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170" yWindow="4950" windowWidth="9375" windowHeight="8970" tabRatio="846"/>
  </bookViews>
  <sheets>
    <sheet name="Resumen Cuota Global" sheetId="1" r:id="rId1"/>
    <sheet name="Cesiones individuales" sheetId="13" r:id="rId2"/>
    <sheet name="Merluza del sur Artesanal X" sheetId="3" r:id="rId3"/>
    <sheet name="Remanente X" sheetId="10" r:id="rId4"/>
    <sheet name="Merluza del sur Artesanal XI" sheetId="4" r:id="rId5"/>
    <sheet name="Remanente XI" sheetId="11" r:id="rId6"/>
    <sheet name="Merluza del sur Artesanal XII" sheetId="2" r:id="rId7"/>
    <sheet name="Remanente XII" sheetId="12" r:id="rId8"/>
    <sheet name="Merluza del sur LTP" sheetId="7" r:id="rId9"/>
    <sheet name="Coeficientes" sheetId="8" r:id="rId10"/>
    <sheet name="Compilado web" sheetId="6" r:id="rId11"/>
  </sheets>
  <definedNames>
    <definedName name="_xlnm._FilterDatabase" localSheetId="6" hidden="1">'Merluza del sur Artesanal XII'!$A$14:$AW$141</definedName>
  </definedNames>
  <calcPr calcId="125725"/>
</workbook>
</file>

<file path=xl/calcChain.xml><?xml version="1.0" encoding="utf-8"?>
<calcChain xmlns="http://schemas.openxmlformats.org/spreadsheetml/2006/main">
  <c r="F15" i="7"/>
  <c r="F37"/>
  <c r="F11" l="1"/>
  <c r="F21"/>
  <c r="H3" i="8"/>
  <c r="F13" i="7" l="1"/>
  <c r="G61" i="2" l="1"/>
  <c r="G60"/>
  <c r="G72"/>
  <c r="F35" i="7"/>
  <c r="H5" i="8"/>
  <c r="F33" i="7"/>
  <c r="F39" l="1"/>
  <c r="F14" l="1"/>
  <c r="G68" i="2" l="1"/>
  <c r="G71"/>
  <c r="G14" i="4"/>
  <c r="E17" i="3" l="1"/>
  <c r="H12" i="13"/>
  <c r="G12"/>
  <c r="I11" i="1"/>
  <c r="H11"/>
  <c r="F12" i="13"/>
  <c r="G11" i="1" s="1"/>
  <c r="F11"/>
  <c r="E11"/>
  <c r="E12" i="13"/>
  <c r="F9" i="7" l="1"/>
  <c r="F29"/>
  <c r="H11" i="13" l="1"/>
  <c r="G11"/>
  <c r="G10"/>
  <c r="H10"/>
  <c r="E21" i="3"/>
  <c r="H18" i="1" l="1"/>
  <c r="I18"/>
  <c r="F18"/>
  <c r="C17" i="8" l="1"/>
  <c r="E10" i="1" l="1"/>
  <c r="H9" i="13" l="1"/>
  <c r="G9"/>
  <c r="B3"/>
  <c r="E15" i="3" l="1"/>
  <c r="E9"/>
  <c r="G23" l="1"/>
  <c r="C90" i="8" l="1"/>
  <c r="J72" s="1"/>
  <c r="C89"/>
  <c r="D108"/>
  <c r="E24" i="7"/>
  <c r="J19" i="8"/>
  <c r="J14"/>
  <c r="J15"/>
  <c r="K72" l="1"/>
  <c r="J20" l="1"/>
  <c r="C21"/>
  <c r="D3" l="1"/>
  <c r="G140" i="2"/>
  <c r="G127"/>
  <c r="G114"/>
  <c r="G112"/>
  <c r="K21" i="8" l="1"/>
  <c r="K34" i="7" l="1"/>
  <c r="E42"/>
  <c r="F23"/>
  <c r="L14" i="8" l="1"/>
  <c r="K14"/>
  <c r="D16"/>
  <c r="F32" i="7"/>
  <c r="M14" i="8" l="1"/>
  <c r="J69"/>
  <c r="J16"/>
  <c r="D89"/>
  <c r="J71"/>
  <c r="E16" l="1"/>
  <c r="F16" l="1"/>
  <c r="E18" i="10"/>
  <c r="G46" i="4"/>
  <c r="G62"/>
  <c r="G12" i="10"/>
  <c r="G11"/>
  <c r="G10"/>
  <c r="G9"/>
  <c r="G109" i="4" l="1"/>
  <c r="H11" i="11" l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0"/>
  <c r="H9"/>
  <c r="G13" i="10"/>
  <c r="G14"/>
  <c r="G15"/>
  <c r="G16"/>
  <c r="G17"/>
  <c r="K10" i="7" l="1"/>
  <c r="F8" l="1"/>
  <c r="G37" i="11" l="1"/>
  <c r="G38"/>
  <c r="B4" i="12" l="1"/>
  <c r="B4" i="11"/>
  <c r="B4" i="10"/>
  <c r="H10" i="12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9"/>
  <c r="I9" s="1"/>
  <c r="G9" i="1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F10" i="10"/>
  <c r="F11"/>
  <c r="F12"/>
  <c r="F13"/>
  <c r="F14"/>
  <c r="F15"/>
  <c r="F16"/>
  <c r="F17"/>
  <c r="F9"/>
  <c r="B3" i="4" l="1"/>
  <c r="J70" i="8" l="1"/>
  <c r="E20" i="3" l="1"/>
  <c r="O42" i="6" l="1"/>
  <c r="O43"/>
  <c r="O44"/>
  <c r="O45"/>
  <c r="O46"/>
  <c r="O47"/>
  <c r="I45"/>
  <c r="K45"/>
  <c r="I46"/>
  <c r="K46"/>
  <c r="H46"/>
  <c r="H45"/>
  <c r="I42"/>
  <c r="K42"/>
  <c r="I43"/>
  <c r="K43"/>
  <c r="H43"/>
  <c r="H42"/>
  <c r="E47"/>
  <c r="E46"/>
  <c r="E45"/>
  <c r="E44"/>
  <c r="E43"/>
  <c r="E42"/>
  <c r="N40" i="7" l="1"/>
  <c r="N38"/>
  <c r="K44" i="6" s="1"/>
  <c r="L40" i="7"/>
  <c r="I47" i="6" s="1"/>
  <c r="L38" i="7"/>
  <c r="K40"/>
  <c r="H47" i="6" s="1"/>
  <c r="K38" i="7"/>
  <c r="H44" i="6" s="1"/>
  <c r="G40" i="7"/>
  <c r="J45" i="6" s="1"/>
  <c r="G38" i="7"/>
  <c r="J42" i="6" s="1"/>
  <c r="J74" i="8"/>
  <c r="K74" s="1"/>
  <c r="J73"/>
  <c r="K73" s="1"/>
  <c r="O23" i="6"/>
  <c r="O24"/>
  <c r="O25"/>
  <c r="I24"/>
  <c r="K24"/>
  <c r="H24"/>
  <c r="I23"/>
  <c r="K23"/>
  <c r="H23"/>
  <c r="E25"/>
  <c r="E24"/>
  <c r="E23"/>
  <c r="N22" i="7"/>
  <c r="K25" i="6" s="1"/>
  <c r="L22" i="7"/>
  <c r="M22" s="1"/>
  <c r="J25" i="6" s="1"/>
  <c r="K22" i="7"/>
  <c r="H25" i="6" s="1"/>
  <c r="G22" i="7"/>
  <c r="I22" s="1"/>
  <c r="L20" i="8"/>
  <c r="K20" l="1"/>
  <c r="L73"/>
  <c r="M73" s="1"/>
  <c r="M20"/>
  <c r="L74"/>
  <c r="M74" s="1"/>
  <c r="L23" i="6"/>
  <c r="G23" i="7"/>
  <c r="J22"/>
  <c r="M23" i="6" s="1"/>
  <c r="I25"/>
  <c r="I38" i="7"/>
  <c r="I40"/>
  <c r="J23" i="6"/>
  <c r="J40" i="7"/>
  <c r="M45" i="6" s="1"/>
  <c r="M38" i="7"/>
  <c r="I44" i="6"/>
  <c r="J38" i="7"/>
  <c r="M42" i="6" s="1"/>
  <c r="M40" i="7"/>
  <c r="J47" i="6" s="1"/>
  <c r="K47"/>
  <c r="O22" i="7"/>
  <c r="L25" i="6" s="1"/>
  <c r="M25"/>
  <c r="G41" i="4"/>
  <c r="L45" i="6" l="1"/>
  <c r="G41" i="7"/>
  <c r="M24" i="6"/>
  <c r="I23" i="7"/>
  <c r="L24" i="6" s="1"/>
  <c r="J24"/>
  <c r="P40" i="7"/>
  <c r="M47" i="6" s="1"/>
  <c r="O40" i="7"/>
  <c r="L47" i="6" s="1"/>
  <c r="J44"/>
  <c r="O38" i="7"/>
  <c r="L44" i="6" s="1"/>
  <c r="M44"/>
  <c r="L42"/>
  <c r="G39" i="7"/>
  <c r="J41" l="1"/>
  <c r="M46" i="6" s="1"/>
  <c r="J46"/>
  <c r="I41" i="7"/>
  <c r="L46" i="6" s="1"/>
  <c r="J43"/>
  <c r="M43"/>
  <c r="I39" i="7"/>
  <c r="L43" i="6" s="1"/>
  <c r="L14" i="7"/>
  <c r="L10"/>
  <c r="G146" i="2"/>
  <c r="H50" i="6" l="1"/>
  <c r="I50"/>
  <c r="K50"/>
  <c r="N50"/>
  <c r="H51"/>
  <c r="I51"/>
  <c r="K51"/>
  <c r="N51"/>
  <c r="H52"/>
  <c r="I52"/>
  <c r="K52"/>
  <c r="N52"/>
  <c r="H53"/>
  <c r="I53"/>
  <c r="K53"/>
  <c r="N53"/>
  <c r="H54"/>
  <c r="I54"/>
  <c r="K54"/>
  <c r="N54"/>
  <c r="H55"/>
  <c r="I55"/>
  <c r="K55"/>
  <c r="N55"/>
  <c r="H56"/>
  <c r="I56"/>
  <c r="K56"/>
  <c r="N56"/>
  <c r="H57"/>
  <c r="I57"/>
  <c r="K57"/>
  <c r="N57"/>
  <c r="H58"/>
  <c r="I58"/>
  <c r="K58"/>
  <c r="N58"/>
  <c r="H59"/>
  <c r="I59"/>
  <c r="K59"/>
  <c r="N59"/>
  <c r="H60"/>
  <c r="I60"/>
  <c r="K60"/>
  <c r="N60"/>
  <c r="H61"/>
  <c r="I61"/>
  <c r="K61"/>
  <c r="N61"/>
  <c r="H62"/>
  <c r="I62"/>
  <c r="K62"/>
  <c r="N62"/>
  <c r="H63"/>
  <c r="I63"/>
  <c r="K63"/>
  <c r="N63"/>
  <c r="I49"/>
  <c r="K49"/>
  <c r="N49"/>
  <c r="H49"/>
  <c r="C111" i="8"/>
  <c r="E110"/>
  <c r="D110"/>
  <c r="F110" s="1"/>
  <c r="E109"/>
  <c r="F109" s="1"/>
  <c r="D109"/>
  <c r="E108"/>
  <c r="F108" s="1"/>
  <c r="E107"/>
  <c r="D107"/>
  <c r="E106"/>
  <c r="D106"/>
  <c r="E105"/>
  <c r="F105" s="1"/>
  <c r="D105"/>
  <c r="E104"/>
  <c r="D104"/>
  <c r="E103"/>
  <c r="D103"/>
  <c r="E102"/>
  <c r="D102"/>
  <c r="F102" s="1"/>
  <c r="E101"/>
  <c r="D101"/>
  <c r="E100"/>
  <c r="D100"/>
  <c r="E99"/>
  <c r="D99"/>
  <c r="E98"/>
  <c r="D98"/>
  <c r="E97"/>
  <c r="D97"/>
  <c r="E96"/>
  <c r="D96"/>
  <c r="E95"/>
  <c r="D95"/>
  <c r="E94"/>
  <c r="D94"/>
  <c r="F94" s="1"/>
  <c r="E93"/>
  <c r="D93"/>
  <c r="E92"/>
  <c r="D92"/>
  <c r="E91"/>
  <c r="D91"/>
  <c r="E90"/>
  <c r="D90"/>
  <c r="E89"/>
  <c r="F89" s="1"/>
  <c r="E88"/>
  <c r="D88"/>
  <c r="E87"/>
  <c r="D87"/>
  <c r="F87" s="1"/>
  <c r="E86"/>
  <c r="D86"/>
  <c r="E85"/>
  <c r="D85"/>
  <c r="F85" s="1"/>
  <c r="E84"/>
  <c r="D84"/>
  <c r="E83"/>
  <c r="D83"/>
  <c r="F83" s="1"/>
  <c r="E82"/>
  <c r="D82"/>
  <c r="E81"/>
  <c r="D81"/>
  <c r="C73"/>
  <c r="L72"/>
  <c r="E72"/>
  <c r="D72"/>
  <c r="K71"/>
  <c r="E71"/>
  <c r="D71"/>
  <c r="L70"/>
  <c r="E70"/>
  <c r="D70"/>
  <c r="L69"/>
  <c r="E69"/>
  <c r="D69"/>
  <c r="J68"/>
  <c r="E68"/>
  <c r="D68"/>
  <c r="C60"/>
  <c r="E60" s="1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L21"/>
  <c r="M21" s="1"/>
  <c r="K19"/>
  <c r="E20"/>
  <c r="D20"/>
  <c r="J18"/>
  <c r="L18" s="1"/>
  <c r="E19"/>
  <c r="D19"/>
  <c r="J17"/>
  <c r="L17" s="1"/>
  <c r="E18"/>
  <c r="D18"/>
  <c r="L16"/>
  <c r="E17"/>
  <c r="D17"/>
  <c r="K15"/>
  <c r="E15"/>
  <c r="D15"/>
  <c r="E14"/>
  <c r="D14"/>
  <c r="J13"/>
  <c r="E13"/>
  <c r="D13"/>
  <c r="C7"/>
  <c r="D5"/>
  <c r="F106" l="1"/>
  <c r="F95"/>
  <c r="F97"/>
  <c r="F90"/>
  <c r="F30"/>
  <c r="F50"/>
  <c r="F69"/>
  <c r="F99"/>
  <c r="F29"/>
  <c r="F33"/>
  <c r="F39"/>
  <c r="F41"/>
  <c r="F43"/>
  <c r="F45"/>
  <c r="F49"/>
  <c r="F55"/>
  <c r="F57"/>
  <c r="F59"/>
  <c r="F71"/>
  <c r="D21"/>
  <c r="J22"/>
  <c r="L22" s="1"/>
  <c r="E21"/>
  <c r="F40"/>
  <c r="F44"/>
  <c r="F84"/>
  <c r="F70"/>
  <c r="K68"/>
  <c r="J75"/>
  <c r="F56"/>
  <c r="D60"/>
  <c r="L68"/>
  <c r="D111"/>
  <c r="F100"/>
  <c r="F13"/>
  <c r="F17"/>
  <c r="F37"/>
  <c r="F101"/>
  <c r="F103"/>
  <c r="F15"/>
  <c r="F34"/>
  <c r="F46"/>
  <c r="F53"/>
  <c r="L71"/>
  <c r="M71" s="1"/>
  <c r="F86"/>
  <c r="F93"/>
  <c r="L19"/>
  <c r="F48"/>
  <c r="D73"/>
  <c r="E111"/>
  <c r="F88"/>
  <c r="L15"/>
  <c r="M15" s="1"/>
  <c r="F19"/>
  <c r="F20"/>
  <c r="F31"/>
  <c r="F36"/>
  <c r="F38"/>
  <c r="F47"/>
  <c r="F52"/>
  <c r="F54"/>
  <c r="F68"/>
  <c r="F72"/>
  <c r="F81"/>
  <c r="F92"/>
  <c r="K18"/>
  <c r="M18" s="1"/>
  <c r="F32"/>
  <c r="F104"/>
  <c r="F14"/>
  <c r="F18"/>
  <c r="F35"/>
  <c r="F42"/>
  <c r="F51"/>
  <c r="F58"/>
  <c r="M72"/>
  <c r="F82"/>
  <c r="F91"/>
  <c r="F96"/>
  <c r="F98"/>
  <c r="F107"/>
  <c r="E73"/>
  <c r="K13"/>
  <c r="K17"/>
  <c r="M17" s="1"/>
  <c r="K70"/>
  <c r="M70" s="1"/>
  <c r="L13"/>
  <c r="K16"/>
  <c r="M16" s="1"/>
  <c r="K69"/>
  <c r="M69" s="1"/>
  <c r="K22" l="1"/>
  <c r="M19"/>
  <c r="M68"/>
  <c r="M75" s="1"/>
  <c r="F21"/>
  <c r="F73"/>
  <c r="M13"/>
  <c r="F60"/>
  <c r="F111"/>
  <c r="K75"/>
  <c r="L75"/>
  <c r="M22" l="1"/>
  <c r="O21" s="1"/>
  <c r="F42" i="7"/>
  <c r="L8" l="1"/>
  <c r="F24"/>
  <c r="F9" i="3"/>
  <c r="J50" i="6" s="1"/>
  <c r="F10" i="3"/>
  <c r="J51" i="6" s="1"/>
  <c r="F11" i="3"/>
  <c r="J52" i="6" s="1"/>
  <c r="F12" i="3"/>
  <c r="J53" i="6" s="1"/>
  <c r="F13" i="3"/>
  <c r="J54" i="6" s="1"/>
  <c r="F14" i="3"/>
  <c r="J55" i="6" s="1"/>
  <c r="F15" i="3"/>
  <c r="J56" i="6" s="1"/>
  <c r="F16" i="3"/>
  <c r="J57" i="6" s="1"/>
  <c r="F17" i="3"/>
  <c r="J58" i="6" s="1"/>
  <c r="F18" i="3"/>
  <c r="J59" i="6" s="1"/>
  <c r="F19" i="3"/>
  <c r="J60" i="6" s="1"/>
  <c r="F20" i="3"/>
  <c r="J61" i="6" s="1"/>
  <c r="F21" i="3"/>
  <c r="J62" i="6" s="1"/>
  <c r="F22" i="3"/>
  <c r="J63" i="6" s="1"/>
  <c r="F8" i="3"/>
  <c r="I13" l="1"/>
  <c r="M54" i="6" s="1"/>
  <c r="I10" i="3"/>
  <c r="M51" i="6" s="1"/>
  <c r="I22" i="3"/>
  <c r="M63" i="6" s="1"/>
  <c r="J49"/>
  <c r="I8" i="3"/>
  <c r="M49" i="6" s="1"/>
  <c r="I14" i="3"/>
  <c r="M55" i="6" s="1"/>
  <c r="I21" i="3"/>
  <c r="M62" i="6" s="1"/>
  <c r="I18" i="3"/>
  <c r="M59" i="6" s="1"/>
  <c r="I17" i="3"/>
  <c r="M58" i="6" s="1"/>
  <c r="I9" i="3"/>
  <c r="M50" i="6" s="1"/>
  <c r="H8" i="3"/>
  <c r="L49" i="6" s="1"/>
  <c r="H15" i="3"/>
  <c r="L56" i="6" s="1"/>
  <c r="H18" i="3"/>
  <c r="L59" i="6" s="1"/>
  <c r="H21" i="3"/>
  <c r="L62" i="6" s="1"/>
  <c r="H17" i="3"/>
  <c r="L58" i="6" s="1"/>
  <c r="H13" i="3"/>
  <c r="L54" i="6" s="1"/>
  <c r="H9" i="3"/>
  <c r="L50" i="6" s="1"/>
  <c r="I20" i="3"/>
  <c r="M61" i="6" s="1"/>
  <c r="I16" i="3"/>
  <c r="M57" i="6" s="1"/>
  <c r="I12" i="3"/>
  <c r="M53" i="6" s="1"/>
  <c r="H19" i="3"/>
  <c r="L60" i="6" s="1"/>
  <c r="H11" i="3"/>
  <c r="L52" i="6" s="1"/>
  <c r="H22" i="3"/>
  <c r="L63" i="6" s="1"/>
  <c r="H14" i="3"/>
  <c r="L55" i="6" s="1"/>
  <c r="H10" i="3"/>
  <c r="L51" i="6" s="1"/>
  <c r="H20" i="3"/>
  <c r="L61" i="6" s="1"/>
  <c r="H16" i="3"/>
  <c r="L57" i="6" s="1"/>
  <c r="H12" i="3"/>
  <c r="L53" i="6" s="1"/>
  <c r="I19" i="3"/>
  <c r="M60" i="6" s="1"/>
  <c r="I15" i="3"/>
  <c r="M56" i="6" s="1"/>
  <c r="I11" i="3"/>
  <c r="M52" i="6" s="1"/>
  <c r="B3" i="3" l="1"/>
  <c r="D9" i="2" l="1"/>
  <c r="F119" i="4" l="1"/>
  <c r="H119" s="1"/>
  <c r="E121"/>
  <c r="F103"/>
  <c r="H103" s="1"/>
  <c r="F104"/>
  <c r="H104" s="1"/>
  <c r="F105"/>
  <c r="H105" s="1"/>
  <c r="F106"/>
  <c r="H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20"/>
  <c r="H120" s="1"/>
  <c r="F102"/>
  <c r="H102" s="1"/>
  <c r="E98"/>
  <c r="F96"/>
  <c r="H96" s="1"/>
  <c r="F95"/>
  <c r="H95" s="1"/>
  <c r="F94"/>
  <c r="H94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F79"/>
  <c r="H79" s="1"/>
  <c r="F80"/>
  <c r="H80" s="1"/>
  <c r="F81"/>
  <c r="H81" s="1"/>
  <c r="F82"/>
  <c r="H82" s="1"/>
  <c r="F83"/>
  <c r="H83" s="1"/>
  <c r="F84"/>
  <c r="H84" s="1"/>
  <c r="F85"/>
  <c r="H85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7"/>
  <c r="H97" s="1"/>
  <c r="F57"/>
  <c r="H57" s="1"/>
  <c r="E53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32"/>
  <c r="H32" s="1"/>
  <c r="E28"/>
  <c r="F26"/>
  <c r="H26" s="1"/>
  <c r="F25"/>
  <c r="H25" s="1"/>
  <c r="F24"/>
  <c r="H24" s="1"/>
  <c r="K24" l="1"/>
  <c r="J24"/>
  <c r="K49"/>
  <c r="J49"/>
  <c r="J41"/>
  <c r="K41"/>
  <c r="K33"/>
  <c r="J33"/>
  <c r="K89"/>
  <c r="J89"/>
  <c r="K81"/>
  <c r="J81"/>
  <c r="K73"/>
  <c r="J73"/>
  <c r="J65"/>
  <c r="K65"/>
  <c r="K61"/>
  <c r="J61"/>
  <c r="J102"/>
  <c r="K102"/>
  <c r="K108"/>
  <c r="J108"/>
  <c r="J25"/>
  <c r="K25"/>
  <c r="K48"/>
  <c r="J48"/>
  <c r="K40"/>
  <c r="J40"/>
  <c r="J88"/>
  <c r="K88"/>
  <c r="K76"/>
  <c r="J76"/>
  <c r="K68"/>
  <c r="J68"/>
  <c r="J60"/>
  <c r="K60"/>
  <c r="K120"/>
  <c r="J120"/>
  <c r="K107"/>
  <c r="J107"/>
  <c r="K26"/>
  <c r="J26"/>
  <c r="J51"/>
  <c r="K51"/>
  <c r="J47"/>
  <c r="K47"/>
  <c r="K43"/>
  <c r="J43"/>
  <c r="K39"/>
  <c r="J39"/>
  <c r="K35"/>
  <c r="J35"/>
  <c r="K57"/>
  <c r="J57"/>
  <c r="K91"/>
  <c r="J91"/>
  <c r="K87"/>
  <c r="J87"/>
  <c r="J83"/>
  <c r="K83"/>
  <c r="J79"/>
  <c r="K79"/>
  <c r="J75"/>
  <c r="K75"/>
  <c r="J71"/>
  <c r="K71"/>
  <c r="K67"/>
  <c r="J67"/>
  <c r="K63"/>
  <c r="J63"/>
  <c r="K59"/>
  <c r="J59"/>
  <c r="J96"/>
  <c r="K96"/>
  <c r="K118"/>
  <c r="J118"/>
  <c r="K114"/>
  <c r="J114"/>
  <c r="K110"/>
  <c r="J110"/>
  <c r="K106"/>
  <c r="J106"/>
  <c r="K32"/>
  <c r="J32"/>
  <c r="J45"/>
  <c r="K45"/>
  <c r="J37"/>
  <c r="K37"/>
  <c r="J93"/>
  <c r="K93"/>
  <c r="J85"/>
  <c r="K85"/>
  <c r="K77"/>
  <c r="J77"/>
  <c r="K69"/>
  <c r="J69"/>
  <c r="J94"/>
  <c r="K94"/>
  <c r="K116"/>
  <c r="J116"/>
  <c r="J112"/>
  <c r="K112"/>
  <c r="J104"/>
  <c r="K104"/>
  <c r="K52"/>
  <c r="J52"/>
  <c r="J44"/>
  <c r="K44"/>
  <c r="K36"/>
  <c r="J36"/>
  <c r="K92"/>
  <c r="J92"/>
  <c r="K84"/>
  <c r="J84"/>
  <c r="K80"/>
  <c r="J80"/>
  <c r="K72"/>
  <c r="J72"/>
  <c r="J64"/>
  <c r="K64"/>
  <c r="J95"/>
  <c r="K95"/>
  <c r="K115"/>
  <c r="J115"/>
  <c r="J111"/>
  <c r="K111"/>
  <c r="K103"/>
  <c r="J103"/>
  <c r="K50"/>
  <c r="J50"/>
  <c r="K46"/>
  <c r="J46"/>
  <c r="K42"/>
  <c r="J42"/>
  <c r="J38"/>
  <c r="K38"/>
  <c r="J34"/>
  <c r="K34"/>
  <c r="K97"/>
  <c r="J97"/>
  <c r="J90"/>
  <c r="K90"/>
  <c r="J86"/>
  <c r="K86"/>
  <c r="J82"/>
  <c r="K82"/>
  <c r="K78"/>
  <c r="J78"/>
  <c r="K74"/>
  <c r="J74"/>
  <c r="J70"/>
  <c r="K70"/>
  <c r="K66"/>
  <c r="J66"/>
  <c r="K62"/>
  <c r="J62"/>
  <c r="K58"/>
  <c r="J58"/>
  <c r="K117"/>
  <c r="J117"/>
  <c r="J113"/>
  <c r="K113"/>
  <c r="J109"/>
  <c r="K109"/>
  <c r="K105"/>
  <c r="J105"/>
  <c r="J119"/>
  <c r="K119"/>
  <c r="F98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7"/>
  <c r="H27" s="1"/>
  <c r="F8"/>
  <c r="H8" s="1"/>
  <c r="K18" l="1"/>
  <c r="J18"/>
  <c r="J14"/>
  <c r="K14"/>
  <c r="K10"/>
  <c r="J10"/>
  <c r="K19"/>
  <c r="J19"/>
  <c r="K8"/>
  <c r="J8"/>
  <c r="K17"/>
  <c r="J17"/>
  <c r="K13"/>
  <c r="J13"/>
  <c r="K9"/>
  <c r="J9"/>
  <c r="J23"/>
  <c r="K23"/>
  <c r="J15"/>
  <c r="K15"/>
  <c r="K11"/>
  <c r="J11"/>
  <c r="K22"/>
  <c r="J22"/>
  <c r="J21"/>
  <c r="K21"/>
  <c r="J27"/>
  <c r="K27"/>
  <c r="K20"/>
  <c r="J20"/>
  <c r="K16"/>
  <c r="J16"/>
  <c r="J12"/>
  <c r="K12"/>
  <c r="G30" i="1"/>
  <c r="I30" s="1"/>
  <c r="I141" i="2" l="1"/>
  <c r="G28" i="4" l="1"/>
  <c r="I53" l="1"/>
  <c r="G7" i="1" l="1"/>
  <c r="K64" i="6"/>
  <c r="G53" i="4"/>
  <c r="E31" i="1"/>
  <c r="H42" i="7" l="1"/>
  <c r="K14" l="1"/>
  <c r="E23" i="3" l="1"/>
  <c r="G121" i="4"/>
  <c r="I64" i="6" l="1"/>
  <c r="E7" i="1"/>
  <c r="G14" i="7"/>
  <c r="M14"/>
  <c r="B3" i="2" l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5"/>
  <c r="G98" i="4"/>
  <c r="E8" i="1" s="1"/>
  <c r="I121" i="4"/>
  <c r="I98"/>
  <c r="I28"/>
  <c r="D16" i="1"/>
  <c r="D15"/>
  <c r="F31"/>
  <c r="G141" i="2"/>
  <c r="N141" l="1"/>
  <c r="E9" i="1"/>
  <c r="E12" s="1"/>
  <c r="B3" i="7"/>
  <c r="G8" i="1"/>
  <c r="P141" i="2"/>
  <c r="B24" i="1"/>
  <c r="G31"/>
  <c r="G29"/>
  <c r="H29" s="1"/>
  <c r="F13"/>
  <c r="H13" s="1"/>
  <c r="O290" i="6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I271"/>
  <c r="K271"/>
  <c r="N271"/>
  <c r="I272"/>
  <c r="K272"/>
  <c r="N272"/>
  <c r="I273"/>
  <c r="K273"/>
  <c r="N273"/>
  <c r="I274"/>
  <c r="K274"/>
  <c r="N274"/>
  <c r="I275"/>
  <c r="K275"/>
  <c r="N275"/>
  <c r="I276"/>
  <c r="K276"/>
  <c r="N276"/>
  <c r="I277"/>
  <c r="K277"/>
  <c r="N277"/>
  <c r="I278"/>
  <c r="K278"/>
  <c r="N278"/>
  <c r="I279"/>
  <c r="K279"/>
  <c r="N279"/>
  <c r="I280"/>
  <c r="K280"/>
  <c r="N280"/>
  <c r="I281"/>
  <c r="K281"/>
  <c r="M281"/>
  <c r="N281"/>
  <c r="I282"/>
  <c r="K282"/>
  <c r="N282"/>
  <c r="I283"/>
  <c r="K283"/>
  <c r="N283"/>
  <c r="I284"/>
  <c r="K284"/>
  <c r="N284"/>
  <c r="I285"/>
  <c r="K285"/>
  <c r="N285"/>
  <c r="I286"/>
  <c r="K286"/>
  <c r="N286"/>
  <c r="I287"/>
  <c r="K287"/>
  <c r="N287"/>
  <c r="I288"/>
  <c r="K288"/>
  <c r="N288"/>
  <c r="I289"/>
  <c r="K289"/>
  <c r="N289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7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I232"/>
  <c r="K232"/>
  <c r="N232"/>
  <c r="I233"/>
  <c r="K233"/>
  <c r="N233"/>
  <c r="I234"/>
  <c r="K234"/>
  <c r="N234"/>
  <c r="I235"/>
  <c r="K235"/>
  <c r="N235"/>
  <c r="I236"/>
  <c r="K236"/>
  <c r="N236"/>
  <c r="I237"/>
  <c r="K237"/>
  <c r="N237"/>
  <c r="I238"/>
  <c r="K238"/>
  <c r="N238"/>
  <c r="I239"/>
  <c r="K239"/>
  <c r="N239"/>
  <c r="I240"/>
  <c r="K240"/>
  <c r="N240"/>
  <c r="I241"/>
  <c r="K241"/>
  <c r="N241"/>
  <c r="I242"/>
  <c r="K242"/>
  <c r="N242"/>
  <c r="I243"/>
  <c r="K243"/>
  <c r="N243"/>
  <c r="I244"/>
  <c r="K244"/>
  <c r="N244"/>
  <c r="I245"/>
  <c r="K245"/>
  <c r="N245"/>
  <c r="I246"/>
  <c r="K246"/>
  <c r="N246"/>
  <c r="I247"/>
  <c r="K247"/>
  <c r="N247"/>
  <c r="I248"/>
  <c r="K248"/>
  <c r="N248"/>
  <c r="I249"/>
  <c r="K249"/>
  <c r="N249"/>
  <c r="I250"/>
  <c r="K250"/>
  <c r="N250"/>
  <c r="I251"/>
  <c r="K251"/>
  <c r="M251"/>
  <c r="N251"/>
  <c r="I252"/>
  <c r="K252"/>
  <c r="N252"/>
  <c r="I253"/>
  <c r="K253"/>
  <c r="N253"/>
  <c r="I254"/>
  <c r="K254"/>
  <c r="N254"/>
  <c r="I255"/>
  <c r="K255"/>
  <c r="N255"/>
  <c r="I256"/>
  <c r="K256"/>
  <c r="N256"/>
  <c r="I257"/>
  <c r="K257"/>
  <c r="N257"/>
  <c r="I258"/>
  <c r="K258"/>
  <c r="N258"/>
  <c r="I259"/>
  <c r="K259"/>
  <c r="N259"/>
  <c r="I260"/>
  <c r="K260"/>
  <c r="N260"/>
  <c r="I261"/>
  <c r="K261"/>
  <c r="N261"/>
  <c r="I262"/>
  <c r="K262"/>
  <c r="N262"/>
  <c r="I263"/>
  <c r="J263"/>
  <c r="K263"/>
  <c r="N263"/>
  <c r="I264"/>
  <c r="K264"/>
  <c r="N264"/>
  <c r="I265"/>
  <c r="K265"/>
  <c r="N265"/>
  <c r="I266"/>
  <c r="K266"/>
  <c r="N266"/>
  <c r="I267"/>
  <c r="K267"/>
  <c r="M267"/>
  <c r="N267"/>
  <c r="I268"/>
  <c r="K268"/>
  <c r="N268"/>
  <c r="I269"/>
  <c r="K269"/>
  <c r="N269"/>
  <c r="I270"/>
  <c r="K270"/>
  <c r="N270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32"/>
  <c r="D267"/>
  <c r="D268"/>
  <c r="D269"/>
  <c r="D262"/>
  <c r="D263"/>
  <c r="D264"/>
  <c r="D265"/>
  <c r="D266"/>
  <c r="D253"/>
  <c r="D254"/>
  <c r="D255"/>
  <c r="D256"/>
  <c r="D257"/>
  <c r="D258"/>
  <c r="D259"/>
  <c r="D260"/>
  <c r="D261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32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I210"/>
  <c r="K210"/>
  <c r="N210"/>
  <c r="I211"/>
  <c r="K211"/>
  <c r="N211"/>
  <c r="I212"/>
  <c r="K212"/>
  <c r="N212"/>
  <c r="I213"/>
  <c r="K213"/>
  <c r="N213"/>
  <c r="I214"/>
  <c r="K214"/>
  <c r="N214"/>
  <c r="I215"/>
  <c r="K215"/>
  <c r="N215"/>
  <c r="I216"/>
  <c r="K216"/>
  <c r="N216"/>
  <c r="I217"/>
  <c r="K217"/>
  <c r="N217"/>
  <c r="I218"/>
  <c r="K218"/>
  <c r="N218"/>
  <c r="I219"/>
  <c r="K219"/>
  <c r="N219"/>
  <c r="I220"/>
  <c r="K220"/>
  <c r="N220"/>
  <c r="I221"/>
  <c r="K221"/>
  <c r="N221"/>
  <c r="I222"/>
  <c r="K222"/>
  <c r="N222"/>
  <c r="I223"/>
  <c r="K223"/>
  <c r="N223"/>
  <c r="I224"/>
  <c r="K224"/>
  <c r="N224"/>
  <c r="I225"/>
  <c r="K225"/>
  <c r="N225"/>
  <c r="I226"/>
  <c r="K226"/>
  <c r="N226"/>
  <c r="I227"/>
  <c r="K227"/>
  <c r="N227"/>
  <c r="I228"/>
  <c r="K228"/>
  <c r="N228"/>
  <c r="I229"/>
  <c r="K229"/>
  <c r="N229"/>
  <c r="I230"/>
  <c r="K230"/>
  <c r="N230"/>
  <c r="I231"/>
  <c r="K231"/>
  <c r="N231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10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I192"/>
  <c r="K192"/>
  <c r="N192"/>
  <c r="I193"/>
  <c r="K193"/>
  <c r="N193"/>
  <c r="I194"/>
  <c r="K194"/>
  <c r="N194"/>
  <c r="I195"/>
  <c r="K195"/>
  <c r="N195"/>
  <c r="I196"/>
  <c r="K196"/>
  <c r="N196"/>
  <c r="I197"/>
  <c r="K197"/>
  <c r="N197"/>
  <c r="I198"/>
  <c r="K198"/>
  <c r="N198"/>
  <c r="I199"/>
  <c r="K199"/>
  <c r="N199"/>
  <c r="I200"/>
  <c r="K200"/>
  <c r="N200"/>
  <c r="I201"/>
  <c r="K201"/>
  <c r="N201"/>
  <c r="I202"/>
  <c r="K202"/>
  <c r="N202"/>
  <c r="I203"/>
  <c r="K203"/>
  <c r="N203"/>
  <c r="I204"/>
  <c r="K204"/>
  <c r="N204"/>
  <c r="I205"/>
  <c r="K205"/>
  <c r="N205"/>
  <c r="I206"/>
  <c r="K206"/>
  <c r="N206"/>
  <c r="I207"/>
  <c r="K207"/>
  <c r="N207"/>
  <c r="I208"/>
  <c r="K208"/>
  <c r="N208"/>
  <c r="I209"/>
  <c r="K209"/>
  <c r="N209"/>
  <c r="H193"/>
  <c r="H194"/>
  <c r="H195"/>
  <c r="H196"/>
  <c r="H197"/>
  <c r="H198"/>
  <c r="H199"/>
  <c r="H200"/>
  <c r="H201"/>
  <c r="H202"/>
  <c r="H203"/>
  <c r="H204"/>
  <c r="H205"/>
  <c r="H206"/>
  <c r="H207"/>
  <c r="H208"/>
  <c r="H192"/>
  <c r="D193"/>
  <c r="D194"/>
  <c r="D195"/>
  <c r="D196"/>
  <c r="D197"/>
  <c r="D198"/>
  <c r="D199"/>
  <c r="D200"/>
  <c r="D201"/>
  <c r="D202"/>
  <c r="D203"/>
  <c r="D204"/>
  <c r="D205"/>
  <c r="D206"/>
  <c r="D207"/>
  <c r="D208"/>
  <c r="D192"/>
  <c r="E206"/>
  <c r="E207"/>
  <c r="E208"/>
  <c r="E193"/>
  <c r="E194"/>
  <c r="E195"/>
  <c r="E196"/>
  <c r="E197"/>
  <c r="E198"/>
  <c r="E199"/>
  <c r="E200"/>
  <c r="E201"/>
  <c r="E202"/>
  <c r="E203"/>
  <c r="E204"/>
  <c r="E205"/>
  <c r="E192"/>
  <c r="M273"/>
  <c r="M274"/>
  <c r="M275"/>
  <c r="M276"/>
  <c r="M287"/>
  <c r="M272"/>
  <c r="J273"/>
  <c r="J274"/>
  <c r="J276"/>
  <c r="J277"/>
  <c r="L278"/>
  <c r="M280"/>
  <c r="J281"/>
  <c r="M282"/>
  <c r="J284"/>
  <c r="J285"/>
  <c r="M286"/>
  <c r="J288"/>
  <c r="J271"/>
  <c r="M236"/>
  <c r="M244"/>
  <c r="M253"/>
  <c r="M263"/>
  <c r="M266"/>
  <c r="L263"/>
  <c r="L233"/>
  <c r="L234"/>
  <c r="J236"/>
  <c r="M237"/>
  <c r="L238"/>
  <c r="J239"/>
  <c r="M240"/>
  <c r="M241"/>
  <c r="L242"/>
  <c r="J243"/>
  <c r="J244"/>
  <c r="L246"/>
  <c r="M247"/>
  <c r="M250"/>
  <c r="J252"/>
  <c r="J253"/>
  <c r="L254"/>
  <c r="L255"/>
  <c r="L256"/>
  <c r="J258"/>
  <c r="L261"/>
  <c r="J262"/>
  <c r="J265"/>
  <c r="J266"/>
  <c r="L267"/>
  <c r="J269"/>
  <c r="J232"/>
  <c r="M226"/>
  <c r="M211"/>
  <c r="J212"/>
  <c r="L213"/>
  <c r="L214"/>
  <c r="J215"/>
  <c r="J216"/>
  <c r="M217"/>
  <c r="L219"/>
  <c r="J220"/>
  <c r="M221"/>
  <c r="J222"/>
  <c r="L223"/>
  <c r="J224"/>
  <c r="J225"/>
  <c r="J226"/>
  <c r="L227"/>
  <c r="J228"/>
  <c r="M229"/>
  <c r="M230"/>
  <c r="J210"/>
  <c r="L203"/>
  <c r="J193"/>
  <c r="L194"/>
  <c r="J195"/>
  <c r="J196"/>
  <c r="J197"/>
  <c r="M198"/>
  <c r="J199"/>
  <c r="J200"/>
  <c r="M201"/>
  <c r="J202"/>
  <c r="J203"/>
  <c r="J204"/>
  <c r="J205"/>
  <c r="J206"/>
  <c r="J207"/>
  <c r="J208"/>
  <c r="J192"/>
  <c r="F121" i="4"/>
  <c r="H270" i="6"/>
  <c r="F53" i="4"/>
  <c r="F28"/>
  <c r="D31" i="1"/>
  <c r="M16" i="2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N15"/>
  <c r="M15"/>
  <c r="H289" i="6" l="1"/>
  <c r="H121" i="4"/>
  <c r="K121" s="1"/>
  <c r="D8" i="1"/>
  <c r="F8" s="1"/>
  <c r="I8" s="1"/>
  <c r="H28" i="4"/>
  <c r="H231" i="6"/>
  <c r="H53" i="4"/>
  <c r="K53" s="1"/>
  <c r="I13" i="1"/>
  <c r="L216" i="6"/>
  <c r="L237"/>
  <c r="L288"/>
  <c r="L276"/>
  <c r="J267"/>
  <c r="J218"/>
  <c r="L218"/>
  <c r="L217"/>
  <c r="M228"/>
  <c r="L236"/>
  <c r="L271"/>
  <c r="L277"/>
  <c r="J241"/>
  <c r="K290"/>
  <c r="O15" i="2"/>
  <c r="L210" i="6"/>
  <c r="L258"/>
  <c r="L202"/>
  <c r="M195"/>
  <c r="L228"/>
  <c r="M222"/>
  <c r="M245"/>
  <c r="M269"/>
  <c r="M233"/>
  <c r="L281"/>
  <c r="M288"/>
  <c r="J233"/>
  <c r="L206"/>
  <c r="M206"/>
  <c r="M239"/>
  <c r="M202"/>
  <c r="L207"/>
  <c r="L198"/>
  <c r="L222"/>
  <c r="M210"/>
  <c r="M216"/>
  <c r="L260"/>
  <c r="M260"/>
  <c r="L244"/>
  <c r="L280"/>
  <c r="M278"/>
  <c r="J278"/>
  <c r="L265"/>
  <c r="L193"/>
  <c r="M197"/>
  <c r="M257"/>
  <c r="L257"/>
  <c r="L266"/>
  <c r="L283"/>
  <c r="M283"/>
  <c r="J283"/>
  <c r="J275"/>
  <c r="L275"/>
  <c r="L197"/>
  <c r="M192"/>
  <c r="M205"/>
  <c r="M200"/>
  <c r="L211"/>
  <c r="J198"/>
  <c r="I31" i="1"/>
  <c r="M227" i="6"/>
  <c r="J227"/>
  <c r="J279"/>
  <c r="M279"/>
  <c r="L279"/>
  <c r="L192"/>
  <c r="L205"/>
  <c r="L200"/>
  <c r="L196"/>
  <c r="M208"/>
  <c r="M204"/>
  <c r="M199"/>
  <c r="M193"/>
  <c r="M213"/>
  <c r="J213"/>
  <c r="L230"/>
  <c r="L226"/>
  <c r="M225"/>
  <c r="M215"/>
  <c r="M268"/>
  <c r="J268"/>
  <c r="L268"/>
  <c r="L264"/>
  <c r="M264"/>
  <c r="J264"/>
  <c r="M259"/>
  <c r="J259"/>
  <c r="J255"/>
  <c r="M255"/>
  <c r="L251"/>
  <c r="J251"/>
  <c r="L235"/>
  <c r="J235"/>
  <c r="M235"/>
  <c r="L243"/>
  <c r="L253"/>
  <c r="J230"/>
  <c r="J229"/>
  <c r="J211"/>
  <c r="J249"/>
  <c r="L249"/>
  <c r="J287"/>
  <c r="L287"/>
  <c r="H209"/>
  <c r="L208"/>
  <c r="L204"/>
  <c r="L199"/>
  <c r="L195"/>
  <c r="M207"/>
  <c r="M203"/>
  <c r="L229"/>
  <c r="L225"/>
  <c r="L215"/>
  <c r="M224"/>
  <c r="M234"/>
  <c r="J234"/>
  <c r="L239"/>
  <c r="L259"/>
  <c r="M277"/>
  <c r="J237"/>
  <c r="J280"/>
  <c r="J272"/>
  <c r="L241"/>
  <c r="L269"/>
  <c r="M265"/>
  <c r="M256"/>
  <c r="J260"/>
  <c r="J256"/>
  <c r="J240"/>
  <c r="J248"/>
  <c r="L248"/>
  <c r="L245"/>
  <c r="L240"/>
  <c r="L274"/>
  <c r="I290"/>
  <c r="L221"/>
  <c r="J221"/>
  <c r="I29" i="1"/>
  <c r="M252" i="6"/>
  <c r="L252"/>
  <c r="L250"/>
  <c r="J250"/>
  <c r="M196"/>
  <c r="J286"/>
  <c r="L286"/>
  <c r="J121" i="4"/>
  <c r="L289" i="6" s="1"/>
  <c r="M271"/>
  <c r="M254"/>
  <c r="J254"/>
  <c r="H31" i="1"/>
  <c r="H30"/>
  <c r="L224" i="6"/>
  <c r="L262"/>
  <c r="M262"/>
  <c r="J214"/>
  <c r="M214"/>
  <c r="M248"/>
  <c r="M284"/>
  <c r="L284"/>
  <c r="M261"/>
  <c r="J261"/>
  <c r="L282"/>
  <c r="J282"/>
  <c r="J245"/>
  <c r="L272"/>
  <c r="L232"/>
  <c r="M232"/>
  <c r="M246"/>
  <c r="J246"/>
  <c r="M243"/>
  <c r="J217"/>
  <c r="M223"/>
  <c r="J223"/>
  <c r="M212"/>
  <c r="L212"/>
  <c r="M218"/>
  <c r="M220"/>
  <c r="L220"/>
  <c r="M219"/>
  <c r="J219"/>
  <c r="L285"/>
  <c r="M285"/>
  <c r="M249"/>
  <c r="J201"/>
  <c r="L201"/>
  <c r="J194"/>
  <c r="M194"/>
  <c r="M258"/>
  <c r="L273"/>
  <c r="J257"/>
  <c r="M238"/>
  <c r="J238"/>
  <c r="L247"/>
  <c r="M242"/>
  <c r="J242"/>
  <c r="J247"/>
  <c r="H98" i="4"/>
  <c r="I39" i="6"/>
  <c r="K39"/>
  <c r="I40"/>
  <c r="K40"/>
  <c r="H40"/>
  <c r="H39"/>
  <c r="H37"/>
  <c r="I37"/>
  <c r="K37"/>
  <c r="I36"/>
  <c r="K36"/>
  <c r="H36"/>
  <c r="I33"/>
  <c r="K33"/>
  <c r="I34"/>
  <c r="K34"/>
  <c r="H34"/>
  <c r="H33"/>
  <c r="I30"/>
  <c r="K30"/>
  <c r="I31"/>
  <c r="K31"/>
  <c r="H31"/>
  <c r="H30"/>
  <c r="I27"/>
  <c r="K27"/>
  <c r="I28"/>
  <c r="K28"/>
  <c r="H28"/>
  <c r="H27"/>
  <c r="I20"/>
  <c r="K20"/>
  <c r="I21"/>
  <c r="K21"/>
  <c r="H21"/>
  <c r="H20"/>
  <c r="I17"/>
  <c r="K17"/>
  <c r="I18"/>
  <c r="K18"/>
  <c r="H18"/>
  <c r="H17"/>
  <c r="I14"/>
  <c r="K14"/>
  <c r="I15"/>
  <c r="K15"/>
  <c r="H15"/>
  <c r="H14"/>
  <c r="I11"/>
  <c r="K11"/>
  <c r="I12"/>
  <c r="K12"/>
  <c r="H12"/>
  <c r="H11"/>
  <c r="I8"/>
  <c r="K8"/>
  <c r="I9"/>
  <c r="K9"/>
  <c r="H9"/>
  <c r="H8"/>
  <c r="I5"/>
  <c r="K5"/>
  <c r="I6"/>
  <c r="K6"/>
  <c r="H6"/>
  <c r="H5"/>
  <c r="H3"/>
  <c r="I3"/>
  <c r="K3"/>
  <c r="I2"/>
  <c r="K2"/>
  <c r="H2"/>
  <c r="I66"/>
  <c r="K66"/>
  <c r="N66"/>
  <c r="I67"/>
  <c r="K67"/>
  <c r="N67"/>
  <c r="I68"/>
  <c r="K68"/>
  <c r="N68"/>
  <c r="I69"/>
  <c r="K69"/>
  <c r="N69"/>
  <c r="I70"/>
  <c r="K70"/>
  <c r="N70"/>
  <c r="I71"/>
  <c r="K71"/>
  <c r="N71"/>
  <c r="I72"/>
  <c r="K72"/>
  <c r="N72"/>
  <c r="I73"/>
  <c r="K73"/>
  <c r="N73"/>
  <c r="I74"/>
  <c r="K74"/>
  <c r="N74"/>
  <c r="I75"/>
  <c r="K75"/>
  <c r="N75"/>
  <c r="I76"/>
  <c r="K76"/>
  <c r="N76"/>
  <c r="I77"/>
  <c r="K77"/>
  <c r="N77"/>
  <c r="I78"/>
  <c r="K78"/>
  <c r="N78"/>
  <c r="I79"/>
  <c r="K79"/>
  <c r="N79"/>
  <c r="I80"/>
  <c r="K80"/>
  <c r="N80"/>
  <c r="I81"/>
  <c r="K81"/>
  <c r="N81"/>
  <c r="I82"/>
  <c r="K82"/>
  <c r="N82"/>
  <c r="I83"/>
  <c r="K83"/>
  <c r="N83"/>
  <c r="I84"/>
  <c r="K84"/>
  <c r="N84"/>
  <c r="I85"/>
  <c r="K85"/>
  <c r="N85"/>
  <c r="I86"/>
  <c r="K86"/>
  <c r="N86"/>
  <c r="I87"/>
  <c r="K87"/>
  <c r="N87"/>
  <c r="I88"/>
  <c r="K88"/>
  <c r="N88"/>
  <c r="I89"/>
  <c r="K89"/>
  <c r="N89"/>
  <c r="I90"/>
  <c r="K90"/>
  <c r="N90"/>
  <c r="I91"/>
  <c r="K91"/>
  <c r="N91"/>
  <c r="I92"/>
  <c r="K92"/>
  <c r="N92"/>
  <c r="I93"/>
  <c r="K93"/>
  <c r="N93"/>
  <c r="I94"/>
  <c r="K94"/>
  <c r="N94"/>
  <c r="I95"/>
  <c r="K95"/>
  <c r="N95"/>
  <c r="I96"/>
  <c r="K96"/>
  <c r="N96"/>
  <c r="I97"/>
  <c r="K97"/>
  <c r="N97"/>
  <c r="I98"/>
  <c r="K98"/>
  <c r="N98"/>
  <c r="I99"/>
  <c r="K99"/>
  <c r="N99"/>
  <c r="I100"/>
  <c r="K100"/>
  <c r="N100"/>
  <c r="I101"/>
  <c r="K101"/>
  <c r="N101"/>
  <c r="I102"/>
  <c r="K102"/>
  <c r="N102"/>
  <c r="I103"/>
  <c r="K103"/>
  <c r="N103"/>
  <c r="I104"/>
  <c r="K104"/>
  <c r="N104"/>
  <c r="I105"/>
  <c r="K105"/>
  <c r="N105"/>
  <c r="I106"/>
  <c r="K106"/>
  <c r="N106"/>
  <c r="I107"/>
  <c r="K107"/>
  <c r="N107"/>
  <c r="I108"/>
  <c r="K108"/>
  <c r="N108"/>
  <c r="I109"/>
  <c r="K109"/>
  <c r="N109"/>
  <c r="I110"/>
  <c r="K110"/>
  <c r="N110"/>
  <c r="I111"/>
  <c r="K111"/>
  <c r="N111"/>
  <c r="I112"/>
  <c r="K112"/>
  <c r="N112"/>
  <c r="I113"/>
  <c r="K113"/>
  <c r="N113"/>
  <c r="I114"/>
  <c r="K114"/>
  <c r="N114"/>
  <c r="I115"/>
  <c r="K115"/>
  <c r="N115"/>
  <c r="I116"/>
  <c r="K116"/>
  <c r="N116"/>
  <c r="I117"/>
  <c r="K117"/>
  <c r="N117"/>
  <c r="I118"/>
  <c r="K118"/>
  <c r="N118"/>
  <c r="I119"/>
  <c r="K119"/>
  <c r="N119"/>
  <c r="I120"/>
  <c r="K120"/>
  <c r="N120"/>
  <c r="I121"/>
  <c r="K121"/>
  <c r="N121"/>
  <c r="I122"/>
  <c r="K122"/>
  <c r="N122"/>
  <c r="I123"/>
  <c r="K123"/>
  <c r="N123"/>
  <c r="I124"/>
  <c r="K124"/>
  <c r="N124"/>
  <c r="I125"/>
  <c r="K125"/>
  <c r="N125"/>
  <c r="I126"/>
  <c r="K126"/>
  <c r="N126"/>
  <c r="I127"/>
  <c r="K127"/>
  <c r="N127"/>
  <c r="I128"/>
  <c r="K128"/>
  <c r="N128"/>
  <c r="I129"/>
  <c r="K129"/>
  <c r="N129"/>
  <c r="I130"/>
  <c r="K130"/>
  <c r="N130"/>
  <c r="I131"/>
  <c r="K131"/>
  <c r="N131"/>
  <c r="I132"/>
  <c r="K132"/>
  <c r="N132"/>
  <c r="I133"/>
  <c r="K133"/>
  <c r="N133"/>
  <c r="I134"/>
  <c r="K134"/>
  <c r="N134"/>
  <c r="I135"/>
  <c r="K135"/>
  <c r="N135"/>
  <c r="I136"/>
  <c r="K136"/>
  <c r="N136"/>
  <c r="I137"/>
  <c r="K137"/>
  <c r="N137"/>
  <c r="I138"/>
  <c r="K138"/>
  <c r="N138"/>
  <c r="I139"/>
  <c r="K139"/>
  <c r="N139"/>
  <c r="I140"/>
  <c r="K140"/>
  <c r="N140"/>
  <c r="I141"/>
  <c r="K141"/>
  <c r="N141"/>
  <c r="I142"/>
  <c r="K142"/>
  <c r="N142"/>
  <c r="I143"/>
  <c r="K143"/>
  <c r="N143"/>
  <c r="I144"/>
  <c r="K144"/>
  <c r="N144"/>
  <c r="I145"/>
  <c r="K145"/>
  <c r="N145"/>
  <c r="I146"/>
  <c r="K146"/>
  <c r="N146"/>
  <c r="I147"/>
  <c r="K147"/>
  <c r="N147"/>
  <c r="I148"/>
  <c r="K148"/>
  <c r="N148"/>
  <c r="I149"/>
  <c r="K149"/>
  <c r="N149"/>
  <c r="I150"/>
  <c r="K150"/>
  <c r="N150"/>
  <c r="I151"/>
  <c r="K151"/>
  <c r="N151"/>
  <c r="I152"/>
  <c r="K152"/>
  <c r="N152"/>
  <c r="I153"/>
  <c r="K153"/>
  <c r="N153"/>
  <c r="I154"/>
  <c r="K154"/>
  <c r="N154"/>
  <c r="I155"/>
  <c r="K155"/>
  <c r="N155"/>
  <c r="I156"/>
  <c r="K156"/>
  <c r="N156"/>
  <c r="I157"/>
  <c r="K157"/>
  <c r="N157"/>
  <c r="I158"/>
  <c r="K158"/>
  <c r="N158"/>
  <c r="I159"/>
  <c r="K159"/>
  <c r="N159"/>
  <c r="I160"/>
  <c r="K160"/>
  <c r="N160"/>
  <c r="I161"/>
  <c r="K161"/>
  <c r="N161"/>
  <c r="I162"/>
  <c r="K162"/>
  <c r="N162"/>
  <c r="I163"/>
  <c r="K163"/>
  <c r="N163"/>
  <c r="I164"/>
  <c r="K164"/>
  <c r="N164"/>
  <c r="I165"/>
  <c r="K165"/>
  <c r="N165"/>
  <c r="I166"/>
  <c r="K166"/>
  <c r="N166"/>
  <c r="I167"/>
  <c r="K167"/>
  <c r="N167"/>
  <c r="I168"/>
  <c r="K168"/>
  <c r="N168"/>
  <c r="I169"/>
  <c r="K169"/>
  <c r="N169"/>
  <c r="I170"/>
  <c r="K170"/>
  <c r="N170"/>
  <c r="I171"/>
  <c r="K171"/>
  <c r="N171"/>
  <c r="I172"/>
  <c r="K172"/>
  <c r="N172"/>
  <c r="I173"/>
  <c r="K173"/>
  <c r="N173"/>
  <c r="I174"/>
  <c r="K174"/>
  <c r="N174"/>
  <c r="I175"/>
  <c r="K175"/>
  <c r="N175"/>
  <c r="I176"/>
  <c r="K176"/>
  <c r="N176"/>
  <c r="I177"/>
  <c r="K177"/>
  <c r="N177"/>
  <c r="I178"/>
  <c r="K178"/>
  <c r="N178"/>
  <c r="I179"/>
  <c r="K179"/>
  <c r="N179"/>
  <c r="I180"/>
  <c r="K180"/>
  <c r="N180"/>
  <c r="I181"/>
  <c r="K181"/>
  <c r="N181"/>
  <c r="I182"/>
  <c r="K182"/>
  <c r="N182"/>
  <c r="I183"/>
  <c r="K183"/>
  <c r="N183"/>
  <c r="I184"/>
  <c r="K184"/>
  <c r="N184"/>
  <c r="I185"/>
  <c r="K185"/>
  <c r="N185"/>
  <c r="I186"/>
  <c r="K186"/>
  <c r="N186"/>
  <c r="I187"/>
  <c r="K187"/>
  <c r="N187"/>
  <c r="I188"/>
  <c r="K188"/>
  <c r="N188"/>
  <c r="I189"/>
  <c r="K189"/>
  <c r="N189"/>
  <c r="I190"/>
  <c r="K190"/>
  <c r="N190"/>
  <c r="K191"/>
  <c r="N191"/>
  <c r="H65"/>
  <c r="I65"/>
  <c r="K65"/>
  <c r="N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65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36"/>
  <c r="D137"/>
  <c r="D138"/>
  <c r="D139"/>
  <c r="D140"/>
  <c r="D141"/>
  <c r="D142"/>
  <c r="D143"/>
  <c r="D144"/>
  <c r="D127"/>
  <c r="D128"/>
  <c r="D129"/>
  <c r="D130"/>
  <c r="D131"/>
  <c r="D132"/>
  <c r="D133"/>
  <c r="D134"/>
  <c r="D135"/>
  <c r="D119"/>
  <c r="D120"/>
  <c r="D121"/>
  <c r="D122"/>
  <c r="D123"/>
  <c r="D124"/>
  <c r="D125"/>
  <c r="D126"/>
  <c r="D117"/>
  <c r="D118"/>
  <c r="D116"/>
  <c r="D114"/>
  <c r="D115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82"/>
  <c r="D83"/>
  <c r="D84"/>
  <c r="D85"/>
  <c r="D86"/>
  <c r="D87"/>
  <c r="D88"/>
  <c r="D89"/>
  <c r="D90"/>
  <c r="D91"/>
  <c r="D92"/>
  <c r="D93"/>
  <c r="D94"/>
  <c r="D95"/>
  <c r="D96"/>
  <c r="D66"/>
  <c r="D67"/>
  <c r="D68"/>
  <c r="D69"/>
  <c r="D70"/>
  <c r="D71"/>
  <c r="D72"/>
  <c r="D73"/>
  <c r="D74"/>
  <c r="D75"/>
  <c r="D76"/>
  <c r="D77"/>
  <c r="D78"/>
  <c r="D79"/>
  <c r="D80"/>
  <c r="D81"/>
  <c r="D65"/>
  <c r="E50"/>
  <c r="E51"/>
  <c r="E52"/>
  <c r="E53"/>
  <c r="E54"/>
  <c r="E55"/>
  <c r="E56"/>
  <c r="E57"/>
  <c r="E58"/>
  <c r="E59"/>
  <c r="E60"/>
  <c r="E61"/>
  <c r="E62"/>
  <c r="E63"/>
  <c r="E49"/>
  <c r="O26"/>
  <c r="O27"/>
  <c r="O28"/>
  <c r="O29"/>
  <c r="O30"/>
  <c r="O31"/>
  <c r="O32"/>
  <c r="O33"/>
  <c r="O34"/>
  <c r="O35"/>
  <c r="O36"/>
  <c r="O37"/>
  <c r="O38"/>
  <c r="O39"/>
  <c r="O40"/>
  <c r="O41"/>
  <c r="O48"/>
  <c r="E41"/>
  <c r="E40"/>
  <c r="E39"/>
  <c r="E38"/>
  <c r="E37"/>
  <c r="E36"/>
  <c r="E35"/>
  <c r="E34"/>
  <c r="E33"/>
  <c r="E32"/>
  <c r="E31"/>
  <c r="E30"/>
  <c r="E29"/>
  <c r="E28"/>
  <c r="E27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"/>
  <c r="E22"/>
  <c r="E21"/>
  <c r="E19"/>
  <c r="E18"/>
  <c r="E16"/>
  <c r="E15"/>
  <c r="E13"/>
  <c r="E12"/>
  <c r="E10"/>
  <c r="E9"/>
  <c r="E7"/>
  <c r="E6"/>
  <c r="E4"/>
  <c r="E3"/>
  <c r="E20"/>
  <c r="E17"/>
  <c r="E14"/>
  <c r="E11"/>
  <c r="E8"/>
  <c r="E5"/>
  <c r="E2"/>
  <c r="N10" i="7"/>
  <c r="N12"/>
  <c r="K10" i="6" s="1"/>
  <c r="N14" i="7"/>
  <c r="N16"/>
  <c r="K16" i="6" s="1"/>
  <c r="N18" i="7"/>
  <c r="K19" i="6" s="1"/>
  <c r="N20" i="7"/>
  <c r="K22" i="6" s="1"/>
  <c r="N8" i="7"/>
  <c r="N36"/>
  <c r="K41" i="6" s="1"/>
  <c r="N34" i="7"/>
  <c r="N32"/>
  <c r="K35" i="6" s="1"/>
  <c r="N30" i="7"/>
  <c r="K32" i="6" s="1"/>
  <c r="N28" i="7"/>
  <c r="L30"/>
  <c r="I32" i="6" s="1"/>
  <c r="L32" i="7"/>
  <c r="I35" i="6" s="1"/>
  <c r="L34" i="7"/>
  <c r="I38" i="6" s="1"/>
  <c r="L36" i="7"/>
  <c r="I41" i="6" s="1"/>
  <c r="L28" i="7"/>
  <c r="I29" i="6" s="1"/>
  <c r="K30" i="7"/>
  <c r="H32" i="6" s="1"/>
  <c r="K32" i="7"/>
  <c r="H38" i="6"/>
  <c r="K36" i="7"/>
  <c r="H41" i="6" s="1"/>
  <c r="K28" i="7"/>
  <c r="G42"/>
  <c r="J42" s="1"/>
  <c r="G36"/>
  <c r="J36" s="1"/>
  <c r="M39" i="6" s="1"/>
  <c r="G34" i="7"/>
  <c r="J34" s="1"/>
  <c r="M36" i="6" s="1"/>
  <c r="G32" i="7"/>
  <c r="J32" s="1"/>
  <c r="M33" i="6" s="1"/>
  <c r="G30" i="7"/>
  <c r="I30" s="1"/>
  <c r="L30" i="6" s="1"/>
  <c r="G28" i="7"/>
  <c r="J27" i="6" s="1"/>
  <c r="I7"/>
  <c r="L12" i="7"/>
  <c r="L16"/>
  <c r="I16" i="6" s="1"/>
  <c r="L18" i="7"/>
  <c r="I19" i="6" s="1"/>
  <c r="L20" i="7"/>
  <c r="I22" i="6" s="1"/>
  <c r="K20" i="7"/>
  <c r="K18"/>
  <c r="K16"/>
  <c r="H13" i="6"/>
  <c r="K12" i="7"/>
  <c r="H10" i="6" s="1"/>
  <c r="H7"/>
  <c r="K8" i="7"/>
  <c r="H24"/>
  <c r="G20"/>
  <c r="I20" s="1"/>
  <c r="G21" s="1"/>
  <c r="J21" i="6" s="1"/>
  <c r="G18" i="7"/>
  <c r="J18" s="1"/>
  <c r="M17" i="6" s="1"/>
  <c r="G16" i="7"/>
  <c r="J14" i="6" s="1"/>
  <c r="I14" i="7"/>
  <c r="G12"/>
  <c r="J8" i="6" s="1"/>
  <c r="G10" i="7"/>
  <c r="J10" s="1"/>
  <c r="M5" i="6" s="1"/>
  <c r="G8" i="7"/>
  <c r="I8" s="1"/>
  <c r="F141" i="2"/>
  <c r="H141" s="1"/>
  <c r="D23" i="3"/>
  <c r="F23" s="1"/>
  <c r="G147" i="2"/>
  <c r="E147"/>
  <c r="E146"/>
  <c r="D147"/>
  <c r="D146"/>
  <c r="G9" i="1"/>
  <c r="O16" i="2"/>
  <c r="Q16" s="1"/>
  <c r="O17"/>
  <c r="R17" s="1"/>
  <c r="O18"/>
  <c r="O19"/>
  <c r="O20"/>
  <c r="Q20" s="1"/>
  <c r="O21"/>
  <c r="R21" s="1"/>
  <c r="O22"/>
  <c r="O23"/>
  <c r="O24"/>
  <c r="Q24" s="1"/>
  <c r="O25"/>
  <c r="R25" s="1"/>
  <c r="O26"/>
  <c r="O27"/>
  <c r="O28"/>
  <c r="Q28" s="1"/>
  <c r="O29"/>
  <c r="R29" s="1"/>
  <c r="O30"/>
  <c r="O31"/>
  <c r="O32"/>
  <c r="Q32" s="1"/>
  <c r="O33"/>
  <c r="R33" s="1"/>
  <c r="O34"/>
  <c r="O35"/>
  <c r="O36"/>
  <c r="Q36" s="1"/>
  <c r="O37"/>
  <c r="R37" s="1"/>
  <c r="O38"/>
  <c r="O39"/>
  <c r="O40"/>
  <c r="Q40" s="1"/>
  <c r="O41"/>
  <c r="R41" s="1"/>
  <c r="O42"/>
  <c r="O43"/>
  <c r="O44"/>
  <c r="Q44" s="1"/>
  <c r="O45"/>
  <c r="R45" s="1"/>
  <c r="O46"/>
  <c r="O47"/>
  <c r="O48"/>
  <c r="Q48" s="1"/>
  <c r="O49"/>
  <c r="R49" s="1"/>
  <c r="O50"/>
  <c r="O51"/>
  <c r="O52"/>
  <c r="Q52" s="1"/>
  <c r="O53"/>
  <c r="R53" s="1"/>
  <c r="O54"/>
  <c r="O55"/>
  <c r="O56"/>
  <c r="Q56" s="1"/>
  <c r="O57"/>
  <c r="R57" s="1"/>
  <c r="O58"/>
  <c r="O59"/>
  <c r="O60"/>
  <c r="Q60" s="1"/>
  <c r="O61"/>
  <c r="R61" s="1"/>
  <c r="O62"/>
  <c r="O63"/>
  <c r="O64"/>
  <c r="Q64" s="1"/>
  <c r="O65"/>
  <c r="R65" s="1"/>
  <c r="O66"/>
  <c r="O67"/>
  <c r="O68"/>
  <c r="Q68" s="1"/>
  <c r="O69"/>
  <c r="R69" s="1"/>
  <c r="O70"/>
  <c r="O71"/>
  <c r="O72"/>
  <c r="Q72" s="1"/>
  <c r="O73"/>
  <c r="R73" s="1"/>
  <c r="O74"/>
  <c r="O75"/>
  <c r="O76"/>
  <c r="Q76" s="1"/>
  <c r="O77"/>
  <c r="R77" s="1"/>
  <c r="O78"/>
  <c r="O79"/>
  <c r="O80"/>
  <c r="Q80" s="1"/>
  <c r="O81"/>
  <c r="R81" s="1"/>
  <c r="O82"/>
  <c r="O83"/>
  <c r="O84"/>
  <c r="Q84" s="1"/>
  <c r="O85"/>
  <c r="R85" s="1"/>
  <c r="O86"/>
  <c r="O87"/>
  <c r="Q87" s="1"/>
  <c r="O88"/>
  <c r="Q88" s="1"/>
  <c r="O89"/>
  <c r="R89" s="1"/>
  <c r="O90"/>
  <c r="O91"/>
  <c r="Q91" s="1"/>
  <c r="O92"/>
  <c r="Q92" s="1"/>
  <c r="O93"/>
  <c r="R93" s="1"/>
  <c r="O94"/>
  <c r="O95"/>
  <c r="Q95" s="1"/>
  <c r="O96"/>
  <c r="Q96" s="1"/>
  <c r="O97"/>
  <c r="R97" s="1"/>
  <c r="O98"/>
  <c r="O99"/>
  <c r="Q99" s="1"/>
  <c r="O100"/>
  <c r="Q100" s="1"/>
  <c r="O101"/>
  <c r="R101" s="1"/>
  <c r="O102"/>
  <c r="O103"/>
  <c r="Q103" s="1"/>
  <c r="O104"/>
  <c r="Q104" s="1"/>
  <c r="O105"/>
  <c r="R105" s="1"/>
  <c r="O106"/>
  <c r="O107"/>
  <c r="Q107" s="1"/>
  <c r="O108"/>
  <c r="Q108" s="1"/>
  <c r="O109"/>
  <c r="R109" s="1"/>
  <c r="O110"/>
  <c r="O111"/>
  <c r="Q111" s="1"/>
  <c r="O112"/>
  <c r="Q112" s="1"/>
  <c r="O113"/>
  <c r="R113" s="1"/>
  <c r="O114"/>
  <c r="O115"/>
  <c r="Q115" s="1"/>
  <c r="O116"/>
  <c r="Q116" s="1"/>
  <c r="O117"/>
  <c r="R117" s="1"/>
  <c r="O118"/>
  <c r="O119"/>
  <c r="Q119" s="1"/>
  <c r="O120"/>
  <c r="Q120" s="1"/>
  <c r="O121"/>
  <c r="R121" s="1"/>
  <c r="O122"/>
  <c r="O123"/>
  <c r="Q123" s="1"/>
  <c r="O124"/>
  <c r="Q124" s="1"/>
  <c r="O125"/>
  <c r="R125" s="1"/>
  <c r="O126"/>
  <c r="O127"/>
  <c r="Q127" s="1"/>
  <c r="O128"/>
  <c r="Q128" s="1"/>
  <c r="O129"/>
  <c r="R129" s="1"/>
  <c r="O130"/>
  <c r="O131"/>
  <c r="Q131" s="1"/>
  <c r="O132"/>
  <c r="Q132" s="1"/>
  <c r="O133"/>
  <c r="R133" s="1"/>
  <c r="O134"/>
  <c r="O135"/>
  <c r="Q135" s="1"/>
  <c r="O136"/>
  <c r="Q136" s="1"/>
  <c r="O137"/>
  <c r="R137" s="1"/>
  <c r="O138"/>
  <c r="O139"/>
  <c r="Q139" s="1"/>
  <c r="O140"/>
  <c r="Q140" s="1"/>
  <c r="H140"/>
  <c r="J140" s="1"/>
  <c r="L190" i="6" s="1"/>
  <c r="H16" i="2"/>
  <c r="J16" s="1"/>
  <c r="L66" i="6" s="1"/>
  <c r="H17" i="2"/>
  <c r="K17" s="1"/>
  <c r="M67" i="6" s="1"/>
  <c r="H18" i="2"/>
  <c r="J68" i="6" s="1"/>
  <c r="H19" i="2"/>
  <c r="J19" s="1"/>
  <c r="L69" i="6" s="1"/>
  <c r="H20" i="2"/>
  <c r="K20" s="1"/>
  <c r="M70" i="6" s="1"/>
  <c r="H21" i="2"/>
  <c r="K21" s="1"/>
  <c r="M71" i="6" s="1"/>
  <c r="H22" i="2"/>
  <c r="J72" i="6" s="1"/>
  <c r="H23" i="2"/>
  <c r="J23" s="1"/>
  <c r="L73" i="6" s="1"/>
  <c r="H24" i="2"/>
  <c r="J24" s="1"/>
  <c r="L74" i="6" s="1"/>
  <c r="H25" i="2"/>
  <c r="K25" s="1"/>
  <c r="M75" i="6" s="1"/>
  <c r="H26" i="2"/>
  <c r="J76" i="6" s="1"/>
  <c r="H27" i="2"/>
  <c r="J27" s="1"/>
  <c r="L77" i="6" s="1"/>
  <c r="H28" i="2"/>
  <c r="K28" s="1"/>
  <c r="M78" i="6" s="1"/>
  <c r="H29" i="2"/>
  <c r="K29" s="1"/>
  <c r="M79" i="6" s="1"/>
  <c r="H30" i="2"/>
  <c r="J80" i="6" s="1"/>
  <c r="H31" i="2"/>
  <c r="J31" s="1"/>
  <c r="L81" i="6" s="1"/>
  <c r="H32" i="2"/>
  <c r="J32" s="1"/>
  <c r="L82" i="6" s="1"/>
  <c r="H33" i="2"/>
  <c r="K33" s="1"/>
  <c r="M83" i="6" s="1"/>
  <c r="H34" i="2"/>
  <c r="J84" i="6" s="1"/>
  <c r="H35" i="2"/>
  <c r="J35" s="1"/>
  <c r="L85" i="6" s="1"/>
  <c r="H36" i="2"/>
  <c r="K36" s="1"/>
  <c r="M86" i="6" s="1"/>
  <c r="H37" i="2"/>
  <c r="K37" s="1"/>
  <c r="M87" i="6" s="1"/>
  <c r="H38" i="2"/>
  <c r="J88" i="6" s="1"/>
  <c r="H39" i="2"/>
  <c r="J39" s="1"/>
  <c r="L89" i="6" s="1"/>
  <c r="H40" i="2"/>
  <c r="J40" s="1"/>
  <c r="L90" i="6" s="1"/>
  <c r="H41" i="2"/>
  <c r="K41" s="1"/>
  <c r="M91" i="6" s="1"/>
  <c r="H42" i="2"/>
  <c r="J92" i="6" s="1"/>
  <c r="H43" i="2"/>
  <c r="J43" s="1"/>
  <c r="L93" i="6" s="1"/>
  <c r="H44" i="2"/>
  <c r="K44" s="1"/>
  <c r="M94" i="6" s="1"/>
  <c r="H45" i="2"/>
  <c r="K45" s="1"/>
  <c r="M95" i="6" s="1"/>
  <c r="H46" i="2"/>
  <c r="J96" i="6" s="1"/>
  <c r="H47" i="2"/>
  <c r="J47" s="1"/>
  <c r="L97" i="6" s="1"/>
  <c r="H48" i="2"/>
  <c r="J48" s="1"/>
  <c r="L98" i="6" s="1"/>
  <c r="H49" i="2"/>
  <c r="K49" s="1"/>
  <c r="M99" i="6" s="1"/>
  <c r="H50" i="2"/>
  <c r="J100" i="6" s="1"/>
  <c r="H51" i="2"/>
  <c r="J51" s="1"/>
  <c r="L101" i="6" s="1"/>
  <c r="H52" i="2"/>
  <c r="K52" s="1"/>
  <c r="M102" i="6" s="1"/>
  <c r="H53" i="2"/>
  <c r="K53" s="1"/>
  <c r="M103" i="6" s="1"/>
  <c r="H54" i="2"/>
  <c r="J104" i="6" s="1"/>
  <c r="H55" i="2"/>
  <c r="J55" s="1"/>
  <c r="L105" i="6" s="1"/>
  <c r="H56" i="2"/>
  <c r="J56" s="1"/>
  <c r="L106" i="6" s="1"/>
  <c r="H57" i="2"/>
  <c r="K57" s="1"/>
  <c r="M107" i="6" s="1"/>
  <c r="H58" i="2"/>
  <c r="J108" i="6" s="1"/>
  <c r="H59" i="2"/>
  <c r="J59" s="1"/>
  <c r="L109" i="6" s="1"/>
  <c r="H60" i="2"/>
  <c r="K60" s="1"/>
  <c r="M110" i="6" s="1"/>
  <c r="H61" i="2"/>
  <c r="K61" s="1"/>
  <c r="M111" i="6" s="1"/>
  <c r="H62" i="2"/>
  <c r="J112" i="6" s="1"/>
  <c r="H63" i="2"/>
  <c r="J63" s="1"/>
  <c r="L113" i="6" s="1"/>
  <c r="H64" i="2"/>
  <c r="J64" s="1"/>
  <c r="L114" i="6" s="1"/>
  <c r="H65" i="2"/>
  <c r="K65" s="1"/>
  <c r="M115" i="6" s="1"/>
  <c r="H66" i="2"/>
  <c r="J116" i="6" s="1"/>
  <c r="H67" i="2"/>
  <c r="J67" s="1"/>
  <c r="L117" i="6" s="1"/>
  <c r="H68" i="2"/>
  <c r="K68" s="1"/>
  <c r="M118" i="6" s="1"/>
  <c r="H69" i="2"/>
  <c r="K69" s="1"/>
  <c r="M119" i="6" s="1"/>
  <c r="H70" i="2"/>
  <c r="J120" i="6" s="1"/>
  <c r="H71" i="2"/>
  <c r="J71" s="1"/>
  <c r="L121" i="6" s="1"/>
  <c r="H72" i="2"/>
  <c r="J72" s="1"/>
  <c r="L122" i="6" s="1"/>
  <c r="H73" i="2"/>
  <c r="K73" s="1"/>
  <c r="M123" i="6" s="1"/>
  <c r="H74" i="2"/>
  <c r="J124" i="6" s="1"/>
  <c r="H75" i="2"/>
  <c r="J75" s="1"/>
  <c r="L125" i="6" s="1"/>
  <c r="H76" i="2"/>
  <c r="K76" s="1"/>
  <c r="M126" i="6" s="1"/>
  <c r="H77" i="2"/>
  <c r="K77" s="1"/>
  <c r="M127" i="6" s="1"/>
  <c r="H78" i="2"/>
  <c r="J128" i="6" s="1"/>
  <c r="H79" i="2"/>
  <c r="J79" s="1"/>
  <c r="L129" i="6" s="1"/>
  <c r="H80" i="2"/>
  <c r="J80" s="1"/>
  <c r="L130" i="6" s="1"/>
  <c r="H81" i="2"/>
  <c r="K81" s="1"/>
  <c r="M131" i="6" s="1"/>
  <c r="H82" i="2"/>
  <c r="J132" i="6" s="1"/>
  <c r="H83" i="2"/>
  <c r="J83" s="1"/>
  <c r="L133" i="6" s="1"/>
  <c r="H84" i="2"/>
  <c r="K84" s="1"/>
  <c r="M134" i="6" s="1"/>
  <c r="H85" i="2"/>
  <c r="K85" s="1"/>
  <c r="M135" i="6" s="1"/>
  <c r="H86" i="2"/>
  <c r="J136" i="6" s="1"/>
  <c r="H87" i="2"/>
  <c r="J87" s="1"/>
  <c r="L137" i="6" s="1"/>
  <c r="H88" i="2"/>
  <c r="J88" s="1"/>
  <c r="L138" i="6" s="1"/>
  <c r="H89" i="2"/>
  <c r="K89" s="1"/>
  <c r="M139" i="6" s="1"/>
  <c r="H90" i="2"/>
  <c r="J140" i="6" s="1"/>
  <c r="H91" i="2"/>
  <c r="J91" s="1"/>
  <c r="L141" i="6" s="1"/>
  <c r="H92" i="2"/>
  <c r="K92" s="1"/>
  <c r="M142" i="6" s="1"/>
  <c r="H93" i="2"/>
  <c r="K93" s="1"/>
  <c r="M143" i="6" s="1"/>
  <c r="H94" i="2"/>
  <c r="J144" i="6" s="1"/>
  <c r="H95" i="2"/>
  <c r="J95" s="1"/>
  <c r="L145" i="6" s="1"/>
  <c r="H96" i="2"/>
  <c r="J96" s="1"/>
  <c r="L146" i="6" s="1"/>
  <c r="H97" i="2"/>
  <c r="K97" s="1"/>
  <c r="M147" i="6" s="1"/>
  <c r="H98" i="2"/>
  <c r="H99"/>
  <c r="J99" s="1"/>
  <c r="L149" i="6" s="1"/>
  <c r="H100" i="2"/>
  <c r="K100" s="1"/>
  <c r="M150" i="6" s="1"/>
  <c r="H101" i="2"/>
  <c r="K101" s="1"/>
  <c r="M151" i="6" s="1"/>
  <c r="H102" i="2"/>
  <c r="J152" i="6" s="1"/>
  <c r="H103" i="2"/>
  <c r="J103" s="1"/>
  <c r="L153" i="6" s="1"/>
  <c r="H104" i="2"/>
  <c r="J104" s="1"/>
  <c r="L154" i="6" s="1"/>
  <c r="H105" i="2"/>
  <c r="K105" s="1"/>
  <c r="M155" i="6" s="1"/>
  <c r="H106" i="2"/>
  <c r="J156" i="6" s="1"/>
  <c r="H107" i="2"/>
  <c r="J107" s="1"/>
  <c r="L157" i="6" s="1"/>
  <c r="H108" i="2"/>
  <c r="K108" s="1"/>
  <c r="M158" i="6" s="1"/>
  <c r="H109" i="2"/>
  <c r="K109" s="1"/>
  <c r="M159" i="6" s="1"/>
  <c r="H110" i="2"/>
  <c r="J160" i="6" s="1"/>
  <c r="H111" i="2"/>
  <c r="J111" s="1"/>
  <c r="L161" i="6" s="1"/>
  <c r="H112" i="2"/>
  <c r="J112" s="1"/>
  <c r="L162" i="6" s="1"/>
  <c r="H113" i="2"/>
  <c r="K113" s="1"/>
  <c r="M163" i="6" s="1"/>
  <c r="H114" i="2"/>
  <c r="J164" i="6" s="1"/>
  <c r="H115" i="2"/>
  <c r="J115" s="1"/>
  <c r="L165" i="6" s="1"/>
  <c r="H116" i="2"/>
  <c r="K116" s="1"/>
  <c r="M166" i="6" s="1"/>
  <c r="H117" i="2"/>
  <c r="K117" s="1"/>
  <c r="M167" i="6" s="1"/>
  <c r="H118" i="2"/>
  <c r="J168" i="6" s="1"/>
  <c r="H119" i="2"/>
  <c r="J119" s="1"/>
  <c r="L169" i="6" s="1"/>
  <c r="H120" i="2"/>
  <c r="J120" s="1"/>
  <c r="L170" i="6" s="1"/>
  <c r="H121" i="2"/>
  <c r="K121" s="1"/>
  <c r="M171" i="6" s="1"/>
  <c r="H122" i="2"/>
  <c r="J172" i="6" s="1"/>
  <c r="H123" i="2"/>
  <c r="J123" s="1"/>
  <c r="L173" i="6" s="1"/>
  <c r="H124" i="2"/>
  <c r="K124" s="1"/>
  <c r="M174" i="6" s="1"/>
  <c r="H125" i="2"/>
  <c r="K125" s="1"/>
  <c r="M175" i="6" s="1"/>
  <c r="H126" i="2"/>
  <c r="J176" i="6" s="1"/>
  <c r="H127" i="2"/>
  <c r="J127" s="1"/>
  <c r="L177" i="6" s="1"/>
  <c r="H128" i="2"/>
  <c r="J128" s="1"/>
  <c r="L178" i="6" s="1"/>
  <c r="H129" i="2"/>
  <c r="K129" s="1"/>
  <c r="M179" i="6" s="1"/>
  <c r="H130" i="2"/>
  <c r="J180" i="6" s="1"/>
  <c r="H131" i="2"/>
  <c r="J131" s="1"/>
  <c r="L181" i="6" s="1"/>
  <c r="H132" i="2"/>
  <c r="K132" s="1"/>
  <c r="M182" i="6" s="1"/>
  <c r="H133" i="2"/>
  <c r="K133" s="1"/>
  <c r="M183" i="6" s="1"/>
  <c r="H134" i="2"/>
  <c r="J184" i="6" s="1"/>
  <c r="H135" i="2"/>
  <c r="J135" s="1"/>
  <c r="L185" i="6" s="1"/>
  <c r="H136" i="2"/>
  <c r="J136" s="1"/>
  <c r="L186" i="6" s="1"/>
  <c r="H137" i="2"/>
  <c r="K137" s="1"/>
  <c r="M187" i="6" s="1"/>
  <c r="H138" i="2"/>
  <c r="J188" i="6" s="1"/>
  <c r="H139" i="2"/>
  <c r="J139" s="1"/>
  <c r="L189" i="6" s="1"/>
  <c r="H15" i="2"/>
  <c r="K15" s="1"/>
  <c r="M65" i="6" s="1"/>
  <c r="J231" l="1"/>
  <c r="K13"/>
  <c r="N24" i="7"/>
  <c r="K26" i="6" s="1"/>
  <c r="K4"/>
  <c r="J28" i="4"/>
  <c r="L209" i="6" s="1"/>
  <c r="K28" i="4"/>
  <c r="M209" i="6" s="1"/>
  <c r="H64"/>
  <c r="D7" i="1"/>
  <c r="I10" i="6"/>
  <c r="L24" i="7"/>
  <c r="J209" i="6"/>
  <c r="J98" i="4"/>
  <c r="L270" i="6" s="1"/>
  <c r="K98" i="4"/>
  <c r="M270" i="6" s="1"/>
  <c r="N42" i="7"/>
  <c r="G16" i="1" s="1"/>
  <c r="I16" i="7"/>
  <c r="L14" i="6" s="1"/>
  <c r="M28" i="7"/>
  <c r="J29" i="6" s="1"/>
  <c r="M231"/>
  <c r="H8" i="1"/>
  <c r="I28" i="7"/>
  <c r="L27" i="6" s="1"/>
  <c r="J53" i="4"/>
  <c r="L231" i="6" s="1"/>
  <c r="H290"/>
  <c r="M32" i="7"/>
  <c r="J35" i="6" s="1"/>
  <c r="G31" i="7"/>
  <c r="G15"/>
  <c r="J12" i="6" s="1"/>
  <c r="J148"/>
  <c r="K98" i="2"/>
  <c r="M148" i="6" s="1"/>
  <c r="J28" i="7"/>
  <c r="M27" i="6" s="1"/>
  <c r="J30"/>
  <c r="K24" i="7"/>
  <c r="M16"/>
  <c r="J16" i="6" s="1"/>
  <c r="G9" i="7"/>
  <c r="J9" s="1"/>
  <c r="M3" i="6" s="1"/>
  <c r="M18" i="7"/>
  <c r="J19" i="6" s="1"/>
  <c r="M36" i="7"/>
  <c r="P36" s="1"/>
  <c r="M41" i="6" s="1"/>
  <c r="H19"/>
  <c r="J20"/>
  <c r="J39"/>
  <c r="K29"/>
  <c r="M20" i="7"/>
  <c r="J22" i="6" s="1"/>
  <c r="J13"/>
  <c r="I36" i="7"/>
  <c r="G37" s="1"/>
  <c r="K42"/>
  <c r="M34"/>
  <c r="P34" s="1"/>
  <c r="M38" i="6" s="1"/>
  <c r="H35"/>
  <c r="K38"/>
  <c r="L42" i="7"/>
  <c r="E16" i="1" s="1"/>
  <c r="M30" i="7"/>
  <c r="O30" s="1"/>
  <c r="L32" i="6" s="1"/>
  <c r="H16"/>
  <c r="J17"/>
  <c r="L20"/>
  <c r="H22"/>
  <c r="H29"/>
  <c r="J36"/>
  <c r="I4"/>
  <c r="J289"/>
  <c r="M289"/>
  <c r="J290"/>
  <c r="J33"/>
  <c r="H4"/>
  <c r="G24" i="7"/>
  <c r="J24" s="1"/>
  <c r="K7" i="6"/>
  <c r="J5"/>
  <c r="I10" i="7"/>
  <c r="G11" s="1"/>
  <c r="M10"/>
  <c r="J7" i="6" s="1"/>
  <c r="J11"/>
  <c r="I13"/>
  <c r="J14" i="7"/>
  <c r="M11" i="6" s="1"/>
  <c r="L11"/>
  <c r="M12" i="7"/>
  <c r="J10" i="6" s="1"/>
  <c r="J270"/>
  <c r="I42" i="7"/>
  <c r="I12"/>
  <c r="G13" s="1"/>
  <c r="J9" i="6" s="1"/>
  <c r="I191"/>
  <c r="H191"/>
  <c r="M141" i="2"/>
  <c r="L2" i="6"/>
  <c r="J2"/>
  <c r="F146" i="2"/>
  <c r="H146" s="1"/>
  <c r="G148"/>
  <c r="E148"/>
  <c r="J161" i="6"/>
  <c r="J121"/>
  <c r="J81"/>
  <c r="J73"/>
  <c r="J185"/>
  <c r="J177"/>
  <c r="J169"/>
  <c r="J153"/>
  <c r="J145"/>
  <c r="J137"/>
  <c r="J129"/>
  <c r="J113"/>
  <c r="J105"/>
  <c r="J97"/>
  <c r="J89"/>
  <c r="D148" i="2"/>
  <c r="J181" i="6"/>
  <c r="J173"/>
  <c r="J165"/>
  <c r="J157"/>
  <c r="J149"/>
  <c r="J141"/>
  <c r="J133"/>
  <c r="J125"/>
  <c r="J117"/>
  <c r="J109"/>
  <c r="J101"/>
  <c r="J93"/>
  <c r="J85"/>
  <c r="J77"/>
  <c r="J69"/>
  <c r="K40" i="2"/>
  <c r="M90" i="6" s="1"/>
  <c r="J187"/>
  <c r="J171"/>
  <c r="J155"/>
  <c r="J151"/>
  <c r="J143"/>
  <c r="J135"/>
  <c r="J127"/>
  <c r="J103"/>
  <c r="J99"/>
  <c r="J95"/>
  <c r="J91"/>
  <c r="J87"/>
  <c r="J83"/>
  <c r="J79"/>
  <c r="J75"/>
  <c r="J71"/>
  <c r="J67"/>
  <c r="J108" i="2"/>
  <c r="L158" i="6" s="1"/>
  <c r="K104" i="2"/>
  <c r="M154" i="6" s="1"/>
  <c r="F147" i="2"/>
  <c r="H147" s="1"/>
  <c r="J44"/>
  <c r="L94" i="6" s="1"/>
  <c r="J65"/>
  <c r="J76" i="2"/>
  <c r="L126" i="6" s="1"/>
  <c r="K72" i="2"/>
  <c r="M122" i="6" s="1"/>
  <c r="J183"/>
  <c r="J179"/>
  <c r="J175"/>
  <c r="J167"/>
  <c r="J163"/>
  <c r="J159"/>
  <c r="J147"/>
  <c r="J139"/>
  <c r="J131"/>
  <c r="J123"/>
  <c r="J119"/>
  <c r="J115"/>
  <c r="J111"/>
  <c r="J107"/>
  <c r="K136" i="2"/>
  <c r="M186" i="6" s="1"/>
  <c r="J190"/>
  <c r="J186"/>
  <c r="J182"/>
  <c r="J178"/>
  <c r="J174"/>
  <c r="J170"/>
  <c r="J166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90"/>
  <c r="J86"/>
  <c r="J82"/>
  <c r="J78"/>
  <c r="J74"/>
  <c r="J70"/>
  <c r="J66"/>
  <c r="J189"/>
  <c r="I34" i="7"/>
  <c r="I32"/>
  <c r="J30"/>
  <c r="M30" i="6" s="1"/>
  <c r="P14" i="7"/>
  <c r="M13" i="6" s="1"/>
  <c r="I18" i="7"/>
  <c r="M8"/>
  <c r="P8" s="1"/>
  <c r="M4" i="6" s="1"/>
  <c r="J8" i="7"/>
  <c r="M2" i="6" s="1"/>
  <c r="I21" i="7"/>
  <c r="L21" i="6" s="1"/>
  <c r="J21" i="7"/>
  <c r="M21" i="6" s="1"/>
  <c r="J20" i="7"/>
  <c r="M20" i="6" s="1"/>
  <c r="J16" i="7"/>
  <c r="M14" i="6" s="1"/>
  <c r="J12" i="7"/>
  <c r="M8" i="6" s="1"/>
  <c r="J116" i="2"/>
  <c r="L166" i="6" s="1"/>
  <c r="J52" i="2"/>
  <c r="L102" i="6" s="1"/>
  <c r="K112" i="2"/>
  <c r="M162" i="6" s="1"/>
  <c r="K80" i="2"/>
  <c r="M130" i="6" s="1"/>
  <c r="K16" i="2"/>
  <c r="M66" i="6" s="1"/>
  <c r="J92" i="2"/>
  <c r="L142" i="6" s="1"/>
  <c r="J132" i="2"/>
  <c r="L182" i="6" s="1"/>
  <c r="J100" i="2"/>
  <c r="L150" i="6" s="1"/>
  <c r="J68" i="2"/>
  <c r="L118" i="6" s="1"/>
  <c r="J36" i="2"/>
  <c r="L86" i="6" s="1"/>
  <c r="K128" i="2"/>
  <c r="M178" i="6" s="1"/>
  <c r="K96" i="2"/>
  <c r="M146" i="6" s="1"/>
  <c r="K64" i="2"/>
  <c r="M114" i="6" s="1"/>
  <c r="K32" i="2"/>
  <c r="M82" i="6" s="1"/>
  <c r="Q29" i="2"/>
  <c r="J84"/>
  <c r="L134" i="6" s="1"/>
  <c r="J20" i="2"/>
  <c r="L70" i="6" s="1"/>
  <c r="K48" i="2"/>
  <c r="M98" i="6" s="1"/>
  <c r="Q45" i="2"/>
  <c r="J124"/>
  <c r="L174" i="6" s="1"/>
  <c r="J60" i="2"/>
  <c r="L110" i="6" s="1"/>
  <c r="J28" i="2"/>
  <c r="L78" i="6" s="1"/>
  <c r="K120" i="2"/>
  <c r="M170" i="6" s="1"/>
  <c r="K88" i="2"/>
  <c r="M138" i="6" s="1"/>
  <c r="K56" i="2"/>
  <c r="M106" i="6" s="1"/>
  <c r="K24" i="2"/>
  <c r="M74" i="6" s="1"/>
  <c r="Q93" i="2"/>
  <c r="J15"/>
  <c r="L65" i="6" s="1"/>
  <c r="R91" i="2"/>
  <c r="J133"/>
  <c r="L183" i="6" s="1"/>
  <c r="J125" i="2"/>
  <c r="L175" i="6" s="1"/>
  <c r="J117" i="2"/>
  <c r="L167" i="6" s="1"/>
  <c r="J109" i="2"/>
  <c r="L159" i="6" s="1"/>
  <c r="J101" i="2"/>
  <c r="L151" i="6" s="1"/>
  <c r="J93" i="2"/>
  <c r="L143" i="6" s="1"/>
  <c r="J85" i="2"/>
  <c r="L135" i="6" s="1"/>
  <c r="J77" i="2"/>
  <c r="L127" i="6" s="1"/>
  <c r="J69" i="2"/>
  <c r="L119" i="6" s="1"/>
  <c r="J61" i="2"/>
  <c r="L111" i="6" s="1"/>
  <c r="J53" i="2"/>
  <c r="L103" i="6" s="1"/>
  <c r="J45" i="2"/>
  <c r="L95" i="6" s="1"/>
  <c r="J37" i="2"/>
  <c r="L87" i="6" s="1"/>
  <c r="J29" i="2"/>
  <c r="L79" i="6" s="1"/>
  <c r="J21" i="2"/>
  <c r="L71" i="6" s="1"/>
  <c r="K139" i="2"/>
  <c r="M189" i="6" s="1"/>
  <c r="K131" i="2"/>
  <c r="M181" i="6" s="1"/>
  <c r="K123" i="2"/>
  <c r="M173" i="6" s="1"/>
  <c r="K115" i="2"/>
  <c r="M165" i="6" s="1"/>
  <c r="K107" i="2"/>
  <c r="M157" i="6" s="1"/>
  <c r="K99" i="2"/>
  <c r="M149" i="6" s="1"/>
  <c r="K91" i="2"/>
  <c r="M141" i="6" s="1"/>
  <c r="K83" i="2"/>
  <c r="M133" i="6" s="1"/>
  <c r="K75" i="2"/>
  <c r="M125" i="6" s="1"/>
  <c r="K67" i="2"/>
  <c r="M117" i="6" s="1"/>
  <c r="K59" i="2"/>
  <c r="M109" i="6" s="1"/>
  <c r="K51" i="2"/>
  <c r="M101" i="6" s="1"/>
  <c r="K43" i="2"/>
  <c r="M93" i="6" s="1"/>
  <c r="K35" i="2"/>
  <c r="M85" i="6" s="1"/>
  <c r="K27" i="2"/>
  <c r="M77" i="6" s="1"/>
  <c r="K19" i="2"/>
  <c r="M69" i="6" s="1"/>
  <c r="Q109" i="2"/>
  <c r="R107"/>
  <c r="Q125"/>
  <c r="Q61"/>
  <c r="R123"/>
  <c r="J137"/>
  <c r="L187" i="6" s="1"/>
  <c r="J129" i="2"/>
  <c r="L179" i="6" s="1"/>
  <c r="J121" i="2"/>
  <c r="L171" i="6" s="1"/>
  <c r="J113" i="2"/>
  <c r="L163" i="6" s="1"/>
  <c r="J105" i="2"/>
  <c r="L155" i="6" s="1"/>
  <c r="J97" i="2"/>
  <c r="L147" i="6" s="1"/>
  <c r="J89" i="2"/>
  <c r="L139" i="6" s="1"/>
  <c r="J81" i="2"/>
  <c r="L131" i="6" s="1"/>
  <c r="J73" i="2"/>
  <c r="L123" i="6" s="1"/>
  <c r="J65" i="2"/>
  <c r="L115" i="6" s="1"/>
  <c r="J57" i="2"/>
  <c r="L107" i="6" s="1"/>
  <c r="J49" i="2"/>
  <c r="L99" i="6" s="1"/>
  <c r="J41" i="2"/>
  <c r="L91" i="6" s="1"/>
  <c r="J33" i="2"/>
  <c r="L83" i="6" s="1"/>
  <c r="J25" i="2"/>
  <c r="L75" i="6" s="1"/>
  <c r="J17" i="2"/>
  <c r="L67" i="6" s="1"/>
  <c r="K135" i="2"/>
  <c r="M185" i="6" s="1"/>
  <c r="K127" i="2"/>
  <c r="M177" i="6" s="1"/>
  <c r="K119" i="2"/>
  <c r="M169" i="6" s="1"/>
  <c r="K111" i="2"/>
  <c r="M161" i="6" s="1"/>
  <c r="K103" i="2"/>
  <c r="M153" i="6" s="1"/>
  <c r="K95" i="2"/>
  <c r="M145" i="6" s="1"/>
  <c r="K87" i="2"/>
  <c r="M137" i="6" s="1"/>
  <c r="K79" i="2"/>
  <c r="M129" i="6" s="1"/>
  <c r="K71" i="2"/>
  <c r="M121" i="6" s="1"/>
  <c r="K63" i="2"/>
  <c r="M113" i="6" s="1"/>
  <c r="K55" i="2"/>
  <c r="M105" i="6" s="1"/>
  <c r="K47" i="2"/>
  <c r="M97" i="6" s="1"/>
  <c r="K39" i="2"/>
  <c r="M89" i="6" s="1"/>
  <c r="K31" i="2"/>
  <c r="M81" i="6" s="1"/>
  <c r="K23" i="2"/>
  <c r="M73" i="6" s="1"/>
  <c r="Q77" i="2"/>
  <c r="R139"/>
  <c r="Q71"/>
  <c r="R71"/>
  <c r="Q63"/>
  <c r="R63"/>
  <c r="Q47"/>
  <c r="R47"/>
  <c r="Q31"/>
  <c r="R31"/>
  <c r="K134"/>
  <c r="M184" i="6" s="1"/>
  <c r="J134" i="2"/>
  <c r="L184" i="6" s="1"/>
  <c r="K126" i="2"/>
  <c r="M176" i="6" s="1"/>
  <c r="J126" i="2"/>
  <c r="L176" i="6" s="1"/>
  <c r="K122" i="2"/>
  <c r="M172" i="6" s="1"/>
  <c r="J122" i="2"/>
  <c r="L172" i="6" s="1"/>
  <c r="K118" i="2"/>
  <c r="M168" i="6" s="1"/>
  <c r="J118" i="2"/>
  <c r="L168" i="6" s="1"/>
  <c r="K110" i="2"/>
  <c r="M160" i="6" s="1"/>
  <c r="J110" i="2"/>
  <c r="L160" i="6" s="1"/>
  <c r="K106" i="2"/>
  <c r="M156" i="6" s="1"/>
  <c r="J106" i="2"/>
  <c r="L156" i="6" s="1"/>
  <c r="J98" i="2"/>
  <c r="L148" i="6" s="1"/>
  <c r="K94" i="2"/>
  <c r="M144" i="6" s="1"/>
  <c r="J94" i="2"/>
  <c r="L144" i="6" s="1"/>
  <c r="K90" i="2"/>
  <c r="M140" i="6" s="1"/>
  <c r="J90" i="2"/>
  <c r="L140" i="6" s="1"/>
  <c r="K86" i="2"/>
  <c r="M136" i="6" s="1"/>
  <c r="J86" i="2"/>
  <c r="L136" i="6" s="1"/>
  <c r="K82" i="2"/>
  <c r="M132" i="6" s="1"/>
  <c r="J82" i="2"/>
  <c r="L132" i="6" s="1"/>
  <c r="K78" i="2"/>
  <c r="M128" i="6" s="1"/>
  <c r="J78" i="2"/>
  <c r="L128" i="6" s="1"/>
  <c r="K70" i="2"/>
  <c r="M120" i="6" s="1"/>
  <c r="J70" i="2"/>
  <c r="L120" i="6" s="1"/>
  <c r="K66" i="2"/>
  <c r="M116" i="6" s="1"/>
  <c r="J66" i="2"/>
  <c r="L116" i="6" s="1"/>
  <c r="K62" i="2"/>
  <c r="M112" i="6" s="1"/>
  <c r="J62" i="2"/>
  <c r="L112" i="6" s="1"/>
  <c r="K58" i="2"/>
  <c r="M108" i="6" s="1"/>
  <c r="J58" i="2"/>
  <c r="L108" i="6" s="1"/>
  <c r="K54" i="2"/>
  <c r="M104" i="6" s="1"/>
  <c r="J54" i="2"/>
  <c r="L104" i="6" s="1"/>
  <c r="K50" i="2"/>
  <c r="M100" i="6" s="1"/>
  <c r="J50" i="2"/>
  <c r="L100" i="6" s="1"/>
  <c r="K46" i="2"/>
  <c r="M96" i="6" s="1"/>
  <c r="J46" i="2"/>
  <c r="L96" i="6" s="1"/>
  <c r="K42" i="2"/>
  <c r="M92" i="6" s="1"/>
  <c r="J42" i="2"/>
  <c r="L92" i="6" s="1"/>
  <c r="K38" i="2"/>
  <c r="M88" i="6" s="1"/>
  <c r="J38" i="2"/>
  <c r="L88" i="6" s="1"/>
  <c r="K34" i="2"/>
  <c r="M84" i="6" s="1"/>
  <c r="J34" i="2"/>
  <c r="L84" i="6" s="1"/>
  <c r="K26" i="2"/>
  <c r="M76" i="6" s="1"/>
  <c r="J26" i="2"/>
  <c r="L76" i="6" s="1"/>
  <c r="K22" i="2"/>
  <c r="M72" i="6" s="1"/>
  <c r="J22" i="2"/>
  <c r="L72" i="6" s="1"/>
  <c r="K18" i="2"/>
  <c r="M68" i="6" s="1"/>
  <c r="J18" i="2"/>
  <c r="L68" i="6" s="1"/>
  <c r="R134" i="2"/>
  <c r="Q134"/>
  <c r="R130"/>
  <c r="Q130"/>
  <c r="R122"/>
  <c r="Q122"/>
  <c r="R114"/>
  <c r="Q114"/>
  <c r="R106"/>
  <c r="Q106"/>
  <c r="R102"/>
  <c r="Q102"/>
  <c r="R94"/>
  <c r="Q94"/>
  <c r="R90"/>
  <c r="Q90"/>
  <c r="R82"/>
  <c r="Q82"/>
  <c r="R74"/>
  <c r="Q74"/>
  <c r="R70"/>
  <c r="Q70"/>
  <c r="R62"/>
  <c r="Q62"/>
  <c r="R58"/>
  <c r="Q58"/>
  <c r="R50"/>
  <c r="Q50"/>
  <c r="R46"/>
  <c r="Q46"/>
  <c r="R38"/>
  <c r="Q38"/>
  <c r="R34"/>
  <c r="Q34"/>
  <c r="R30"/>
  <c r="Q30"/>
  <c r="R22"/>
  <c r="Q22"/>
  <c r="R18"/>
  <c r="Q18"/>
  <c r="Q83"/>
  <c r="R83"/>
  <c r="R75"/>
  <c r="Q75"/>
  <c r="Q67"/>
  <c r="R67"/>
  <c r="Q59"/>
  <c r="R59"/>
  <c r="Q51"/>
  <c r="R51"/>
  <c r="Q43"/>
  <c r="R43"/>
  <c r="Q27"/>
  <c r="R27"/>
  <c r="Q19"/>
  <c r="R19"/>
  <c r="Q129"/>
  <c r="Q97"/>
  <c r="Q65"/>
  <c r="Q49"/>
  <c r="Q33"/>
  <c r="Q17"/>
  <c r="R127"/>
  <c r="R111"/>
  <c r="Q133"/>
  <c r="Q101"/>
  <c r="Q85"/>
  <c r="Q69"/>
  <c r="Q53"/>
  <c r="Q21"/>
  <c r="R99"/>
  <c r="Q137"/>
  <c r="Q121"/>
  <c r="Q105"/>
  <c r="Q89"/>
  <c r="Q73"/>
  <c r="Q57"/>
  <c r="Q41"/>
  <c r="Q25"/>
  <c r="R135"/>
  <c r="R119"/>
  <c r="R103"/>
  <c r="R87"/>
  <c r="Q79"/>
  <c r="R79"/>
  <c r="Q55"/>
  <c r="R55"/>
  <c r="Q39"/>
  <c r="R39"/>
  <c r="Q23"/>
  <c r="R23"/>
  <c r="K138"/>
  <c r="M188" i="6" s="1"/>
  <c r="J138" i="2"/>
  <c r="L188" i="6" s="1"/>
  <c r="K130" i="2"/>
  <c r="M180" i="6" s="1"/>
  <c r="J130" i="2"/>
  <c r="L180" i="6" s="1"/>
  <c r="K114" i="2"/>
  <c r="M164" i="6" s="1"/>
  <c r="J114" i="2"/>
  <c r="L164" i="6" s="1"/>
  <c r="K102" i="2"/>
  <c r="M152" i="6" s="1"/>
  <c r="J102" i="2"/>
  <c r="L152" i="6" s="1"/>
  <c r="K74" i="2"/>
  <c r="M124" i="6" s="1"/>
  <c r="J74" i="2"/>
  <c r="L124" i="6" s="1"/>
  <c r="K30" i="2"/>
  <c r="M80" i="6" s="1"/>
  <c r="J30" i="2"/>
  <c r="L80" i="6" s="1"/>
  <c r="R138" i="2"/>
  <c r="Q138"/>
  <c r="R126"/>
  <c r="Q126"/>
  <c r="R118"/>
  <c r="Q118"/>
  <c r="R110"/>
  <c r="Q110"/>
  <c r="R98"/>
  <c r="Q98"/>
  <c r="R86"/>
  <c r="Q86"/>
  <c r="R78"/>
  <c r="Q78"/>
  <c r="R66"/>
  <c r="Q66"/>
  <c r="R54"/>
  <c r="Q54"/>
  <c r="R42"/>
  <c r="Q42"/>
  <c r="R26"/>
  <c r="Q26"/>
  <c r="Q35"/>
  <c r="R35"/>
  <c r="Q113"/>
  <c r="Q81"/>
  <c r="R95"/>
  <c r="Q117"/>
  <c r="Q37"/>
  <c r="R131"/>
  <c r="R115"/>
  <c r="K140"/>
  <c r="M190" i="6" s="1"/>
  <c r="R140" i="2"/>
  <c r="R136"/>
  <c r="R132"/>
  <c r="R128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J15" i="7" l="1"/>
  <c r="M12" i="6" s="1"/>
  <c r="G17" i="7"/>
  <c r="J15" i="6" s="1"/>
  <c r="J64"/>
  <c r="H23" i="3"/>
  <c r="L64" i="6" s="1"/>
  <c r="I23" i="3"/>
  <c r="M64" i="6" s="1"/>
  <c r="P28" i="7"/>
  <c r="M29" i="6" s="1"/>
  <c r="O28" i="7"/>
  <c r="L29" i="6" s="1"/>
  <c r="I15" i="7"/>
  <c r="L12" i="6" s="1"/>
  <c r="M42" i="7"/>
  <c r="G29"/>
  <c r="I29" s="1"/>
  <c r="L28" i="6" s="1"/>
  <c r="O18" i="7"/>
  <c r="L19" i="6" s="1"/>
  <c r="P18" i="7"/>
  <c r="M19" i="6" s="1"/>
  <c r="I9" i="7"/>
  <c r="L3" i="6" s="1"/>
  <c r="J3"/>
  <c r="H26"/>
  <c r="M24" i="7"/>
  <c r="O16"/>
  <c r="L16" i="6" s="1"/>
  <c r="P16" i="7"/>
  <c r="M16" i="6" s="1"/>
  <c r="P32" i="7"/>
  <c r="M35" i="6" s="1"/>
  <c r="O32" i="7"/>
  <c r="L35" i="6" s="1"/>
  <c r="E15" i="1"/>
  <c r="E17" s="1"/>
  <c r="E19" s="1"/>
  <c r="P20" i="7"/>
  <c r="M22" i="6" s="1"/>
  <c r="J31"/>
  <c r="J31" i="7"/>
  <c r="M31" i="6" s="1"/>
  <c r="I31" i="7"/>
  <c r="L31" i="6" s="1"/>
  <c r="O20" i="7"/>
  <c r="L22" i="6" s="1"/>
  <c r="J13" i="7"/>
  <c r="M9" i="6" s="1"/>
  <c r="K48"/>
  <c r="I24" i="7"/>
  <c r="J38" i="6"/>
  <c r="O34" i="7"/>
  <c r="L38" i="6" s="1"/>
  <c r="G35" i="7"/>
  <c r="L36" i="6"/>
  <c r="O14" i="7"/>
  <c r="L13" i="6" s="1"/>
  <c r="G19" i="7"/>
  <c r="L17" i="6"/>
  <c r="J32"/>
  <c r="P30" i="7"/>
  <c r="M32" i="6" s="1"/>
  <c r="L39"/>
  <c r="O36" i="7"/>
  <c r="L41" i="6" s="1"/>
  <c r="J41"/>
  <c r="M290"/>
  <c r="L290"/>
  <c r="H48"/>
  <c r="D17" i="1"/>
  <c r="G15"/>
  <c r="G17" s="1"/>
  <c r="O12" i="7"/>
  <c r="L10" i="6" s="1"/>
  <c r="P12" i="7"/>
  <c r="M10" i="6" s="1"/>
  <c r="O10" i="7"/>
  <c r="L7" i="6" s="1"/>
  <c r="L5"/>
  <c r="P10" i="7"/>
  <c r="M7" i="6" s="1"/>
  <c r="G33" i="7"/>
  <c r="L33" i="6"/>
  <c r="I48"/>
  <c r="I13" i="7"/>
  <c r="L9" i="6" s="1"/>
  <c r="L8"/>
  <c r="I26"/>
  <c r="F148" i="2"/>
  <c r="I148" s="1"/>
  <c r="O8" i="7"/>
  <c r="L4" i="6" s="1"/>
  <c r="J4"/>
  <c r="I146" i="2"/>
  <c r="O141"/>
  <c r="D9" i="1"/>
  <c r="D12" s="1"/>
  <c r="F12" s="1"/>
  <c r="I147" i="2"/>
  <c r="K141"/>
  <c r="M191" i="6" s="1"/>
  <c r="J191"/>
  <c r="J141" i="2"/>
  <c r="L191" i="6" s="1"/>
  <c r="R15" i="2"/>
  <c r="Q15"/>
  <c r="J28" i="6" l="1"/>
  <c r="J17" i="7"/>
  <c r="M15" i="6" s="1"/>
  <c r="I17" i="7"/>
  <c r="L15" i="6" s="1"/>
  <c r="F17" i="1"/>
  <c r="O24" i="7"/>
  <c r="P24"/>
  <c r="M26" i="6" s="1"/>
  <c r="J29" i="7"/>
  <c r="M28" i="6" s="1"/>
  <c r="P42" i="7"/>
  <c r="O42"/>
  <c r="F7" i="1"/>
  <c r="I7" s="1"/>
  <c r="D14"/>
  <c r="D19" s="1"/>
  <c r="F19" s="1"/>
  <c r="G14"/>
  <c r="G12"/>
  <c r="J40" i="6"/>
  <c r="J37" i="7"/>
  <c r="M40" i="6" s="1"/>
  <c r="I37" i="7"/>
  <c r="L40" i="6" s="1"/>
  <c r="I19" i="7"/>
  <c r="L18" i="6" s="1"/>
  <c r="J18"/>
  <c r="J19" i="7"/>
  <c r="M18" i="6" s="1"/>
  <c r="I35" i="7"/>
  <c r="L37" i="6" s="1"/>
  <c r="J35" i="7"/>
  <c r="M37" i="6" s="1"/>
  <c r="J37"/>
  <c r="F9" i="1"/>
  <c r="J6" i="6"/>
  <c r="J11" i="7"/>
  <c r="M6" i="6" s="1"/>
  <c r="I11" i="7"/>
  <c r="L6" i="6" s="1"/>
  <c r="J33" i="7"/>
  <c r="M34" i="6" s="1"/>
  <c r="J34"/>
  <c r="I33" i="7"/>
  <c r="L34" i="6" s="1"/>
  <c r="F16" i="1"/>
  <c r="J48" i="6"/>
  <c r="J26"/>
  <c r="F15" i="1"/>
  <c r="H148" i="2"/>
  <c r="Q141"/>
  <c r="R141"/>
  <c r="G19" i="1" l="1"/>
  <c r="H7"/>
  <c r="I9"/>
  <c r="H9"/>
  <c r="H17"/>
  <c r="I15"/>
  <c r="H15"/>
  <c r="I16"/>
  <c r="H16"/>
  <c r="I17"/>
  <c r="I12"/>
  <c r="M48" i="6"/>
  <c r="L48"/>
  <c r="L26"/>
  <c r="F14" i="1"/>
  <c r="I14" s="1"/>
  <c r="I19" l="1"/>
  <c r="H19"/>
  <c r="H14"/>
  <c r="H12"/>
</calcChain>
</file>

<file path=xl/comments1.xml><?xml version="1.0" encoding="utf-8"?>
<comments xmlns="http://schemas.openxmlformats.org/spreadsheetml/2006/main">
  <authors>
    <author>kamila molina</author>
    <author>MOLINA SAN MARTIN, KAMILA FERNANDA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453-21 Orga. Aysén 0,147 ton
Res. 454-21 Orga. Aysén 0,156 ton
Res. 455-21 Orga. Aysén 0,5 ton
Res. 807-21 Orga. Aysén 1,644 ton
Res. 2625-21. Orga, Aysén 0,186 ton</t>
        </r>
      </text>
    </comment>
    <comment ref="B18" authorId="1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204-2021 Autoriza Pesca de Investigación</t>
        </r>
      </text>
    </comment>
  </commentList>
</comments>
</file>

<file path=xl/comments2.xml><?xml version="1.0" encoding="utf-8"?>
<comments xmlns="http://schemas.openxmlformats.org/spreadsheetml/2006/main">
  <authors>
    <author>MOLINA SAN MARTIN, KAMILA FERNANDA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Desde ÁREA PUERTO MONTT C, LOS LAGOS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 2753-21 Cesión de 49,888 ton desde Pto Montt C, Los Lagos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de 128 ton a PESCA CHILE 41°28,6 al 47°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380 ton a GRIMAR 41°28,6 a 47°
Res 23-2021 Cesión de 46 ton a SUR AUSTRAL 41°28,6 a 47°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21-2021 Cesión 20,460 ton a GRIMAR 41°28,6 a 47°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Cesión 120,333 ton a GRIMAR 41°28,6 a 47°
Res 22-2021 Cesión 22,222 ton a GRIMAR 41°28,6 a 47°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1-2021 Cesión de 84,308 ton a GRIMAR 47°28,6 al 47°
Res. N° 28-2021 Cesión de 9,3 ton a GRIMAR 47°28,6 al 47°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12-2021 Cesión de 406,522 ton a GRIMAR 41°27,8 al 47°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342,622 ton a EMDEPES 41°28,6 al 47°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08-2021 Cesión 100 ton a GRIMAR 41°28,6 a 47°
Res 09-2021 Cesión 317 ton a PESCA CHILE 41°28,6 a 47°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13-2021 Cesión de 96,667 ton a EMDEPES 41°28,6 al 47°
Res 18-2021 Cesión de 11,389 ton a EMDEPES 41°28,6 al 47°
Res 1897-2021 Cesión de 118,888 ton a Pescador Aysén RPA 218494
Res 2621-2021 Deja sin efecto Res 1897-2021
Res 26-21 Cesión de 139 ton a Grimar 41°28,6 al 47°
Res 2753-21 Cesión de 49,888 ton a Pescador RPA 218490 Aysén</t>
        </r>
      </text>
    </comment>
  </commentList>
</comments>
</file>

<file path=xl/comments4.xml><?xml version="1.0" encoding="utf-8"?>
<comments xmlns="http://schemas.openxmlformats.org/spreadsheetml/2006/main">
  <authors>
    <author>kamila molina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0,346 ton se imputan a cuota 2021</t>
        </r>
      </text>
    </comment>
  </commentList>
</comments>
</file>

<file path=xl/comments5.xml><?xml version="1.0" encoding="utf-8"?>
<comments xmlns="http://schemas.openxmlformats.org/spreadsheetml/2006/main">
  <authors>
    <author>kamila molina</author>
    <author>MOLINA SAN MARTIN, KAMILA FERNANDA</author>
    <author>kmolina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10-2021 Cesión de 55,649 ton a SUR AUSTRAL 41° al 47°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11-21 Cesión de 87,599 ton a EMDEPES 41° al 47°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59,964 a SUR AUSTRAL 41° al 47°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807-2021 Descuento por sanción de 1,644 ton.
Res 2944-21 Descuento por sanción de 0,436 ton.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4,119 a GRIMAR 41° al 47°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455-2021 Descuento por Sanción -0,5 ton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61,969 ton a GRIMAR 41° al 47°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454-21 Descuento de 0,147 ton por sanción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2625-21 Descuento de 0,188 ton por sanción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16,117 ton a EMDEPES 41° al 47°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16-2021 Cesión 5,688 ton a EMDEPES 41°28,6 al 47°</t>
        </r>
      </text>
    </comment>
    <comment ref="G3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49,162 a EMDEPES 41° al 47°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57,550 a GRIMAR 41° al 47°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103,083 ton a EMDEPES 41° al 47°</t>
        </r>
      </text>
    </comment>
    <comment ref="G3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69,481 a EMDEPES 41° al 47°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59,650 ton a EMDEPES 41° al 47°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209,21 ton a EMDEPES 41° al 47°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453-2021 Descuento por sanción -0,156 ton
Res. 16-2021 Cesión 49,968 ton a EMDEPES 41°28,6 al 47°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20,011 ton a EMDEPES 41° al 47°</t>
        </r>
      </text>
    </comment>
    <comment ref="G4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10,737 a EMDEPES 41° al 47°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36,518 ton a EMDEPES 41° al 47°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4,302 ton a EMDEPES 41° al 47°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09-21 Cesión de 5,245 ton a GRIMAR 41° al 47°
Res 20-21 Cesión de 6,409 ton a GRIMAR 41° al 47°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27,745 ton a SUR AUSTRAL 41° al 47°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13,948 a EMDEPES 41° al 47°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9,901 a SUR AUSTRAL 41° al 47°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N° 04-2021 40,713 ton a SUR AUSTRAL 41° al 47°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7,702 ton a SUR AUSTRAL 41° al 47°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8,236 ton a EMDEPES
Res 21-2021 Cesion de 1,111 ton a SUR AUSTRAL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9,395 ton a EMDEPES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16-2021 Cesión 17,792 ton a EMDEPES 41°28,6 al 47°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44,802 ton a EMDEPES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34,362 a SUR AUSTRAL 41° al 47°</t>
        </r>
      </text>
    </comment>
    <comment ref="G69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29,424 a EMDEPES 41° al 47°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34,835 ton a EMDEPES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46,045 a SUR AUSTRAL 41° al 47°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86,336 a EMDEPES 41° al 47°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11-21 Cesión de 83,029 ton a EMDEPES 41° al 47°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12-21 Cesión de 46,491 ton a GRIMAR 41° al 47°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51,451 ton a EMDEPES 41° al 47°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62,948 ton a EMDEPES 41° al 47°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41,165 a EMDEPES 41° al 47°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18,834 ton a SUR AUSTRAL 41° al 47°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117,751 ton a SUR AUSTRAL 41° al 47°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90,868 ton a GRIMAR 41° al 47°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23,250 a EMDEPES 41° al 47°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09-21 Cesión de 21,176 ton a GRIMAR 41° al 47°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5,116 ton a EMDEPES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12-21 Cesión de 14,466 ton a GRIMAR 41° al 47°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3,649 a GRIMAR 41° al 47°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4,314 a EMDEPES 41° al 47°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6,733 a GRIMAR 41° al 47°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14,075 a SUR AUSTRAL 41° al 47°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4,731 ton a EMDEPES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11,168 ton a EMDEPES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16-2021 Cesión 2,828 ton a EMDEPES 41°28,6 al 47°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12,254 a EMDEPES 41° al 47°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10,555 ton a GRIMAR 41° al 47°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13-21 Cesión de 77,312 ton a SUR AUSTRAL 41° al 47°
Res. 14-21 Modifica Res. 13-21 Cesión de 75,785 ton a SUR AUSTRAL 41° al 47°</t>
        </r>
      </text>
    </comment>
    <comment ref="G10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34,645 a EMDEPES 41° al 47°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26,035 ton a EMDEPES 41° al 47°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48,246 ton a EMDEPES 41° al 47°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11-21 Cesión de 20,618 ton a EMDEPES 41° al 47°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34,606 ton a GRIMAR 41° al 47°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36,940 a EMDEPES 41° al 47°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18-2021 Cesion de 64,659 ton a EMDEPES
Res 19-2021 Cesion de 5,476 ton a EMDEPES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12-21 Cesión de 49,384 ton a GRIMAR 41° al 47°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121,854 ton a EMDEPES 41° al 47°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65,994 a EMDEPES 41° al 47°</t>
        </r>
      </text>
    </comment>
    <comment ref="G11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34,247 a EMDEPES 41° al 47°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32,898 ton a EMDEPES 41° al 47°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90,025 ton a EMDEPES 41° al 47°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17-2021 Cesión de 57,226 ton a EMDEPES 41°28,6 al 47°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01-2021 Cesion 2,549 ton a EMDEPES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5,392 ton a SUR AUSTRAL 41° al 47°</t>
        </r>
      </text>
    </comment>
  </commentList>
</comments>
</file>

<file path=xl/comments6.xml><?xml version="1.0" encoding="utf-8"?>
<comments xmlns="http://schemas.openxmlformats.org/spreadsheetml/2006/main">
  <authors>
    <author>kamila molina</author>
    <author>alejandra urizar</author>
    <author>URIZAR GROMSCHS, ALEJANDRA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 a PESCA CHILE 47° al 57°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2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3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32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3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07-21 13 ton a PESCA CHILE 47° al 57°
Res 15-21 0,57 ton a Emb XII.
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13,3 a EMDEPES 41° al 47°,
Res 12-21 Cesion de 0,444 ton a Emb XII.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 a EMDEPES 41° al 47°,
Res 11-21 Cesion de 0,517 ton a Emb XII.
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10 ton a EMDEPES 41° al 47°
Res 09-2021 Cesion de 3 ton a PESCA CHILE 47° al 57°
Res 11-21 Cesion 0,517 ton desde Emb XII.
Res 12-21 Cesion 0,444 ton desde Emb XII.
Res 15- Cesion 0,57 ton desde Emb XII.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09-2021 Cesion de 13,371 ton a PESCA CHILE 47° al 57°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 a PESCA CHILE 47° al 57°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8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13,5 a PESCA CHILE 47° al 57°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 a EMDEPES 41° al 47°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 a EMDEPES 41° al 47°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8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08-2021 13,571 ton a EMDEPES 41° al 47°</t>
        </r>
      </text>
    </comment>
    <comment ref="L9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2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3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06-21 13,571 ton a EMDEPES 41° al 47°</t>
        </r>
      </text>
    </comment>
    <comment ref="L94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13,561 a PESCA CHILE 47° al 57°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0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3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4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13,571 a PESCA CHILE 47° al 57°</t>
        </r>
      </text>
    </comment>
    <comment ref="L10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13,571 a PESCA CHILE 47° al 57°</t>
        </r>
      </text>
    </comment>
    <comment ref="L10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12,571 a PESCA CHILE 47° al 57°
Res 010-2021 Cesion de 0,750 Ton a PESCA CHILE 47° al 57°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06-21 13,5 ton a EMDEPES 41° al 47°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12,571 a PESCA CHILE 47° al 57°
Res 010-2021 Cesion de 0,750 Ton a PESCA CHILE 47° al 57°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 a PESCA CHILE 47° al 57°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1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13,321 a PESCA CHILE 47° al 57°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13,321 a PESCA CHILE 47° al 57°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
Res 010-2021 Cesion de 1 Ton a PESCA CHILE 47° al 57°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2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2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2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3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4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12,071 a PESCA CHILE 47° al 57°
Res 010-2021 Cesion de 1,3 Ton a PESCA CHILE 47° al 57°</t>
        </r>
      </text>
    </comment>
  </commentList>
</comments>
</file>

<file path=xl/comments7.xml><?xml version="1.0" encoding="utf-8"?>
<comments xmlns="http://schemas.openxmlformats.org/spreadsheetml/2006/main">
  <authors>
    <author>kamila molina</author>
    <author>kmolina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01-21 Cesión 823,118 ton desde embarcaciones Region Magallanes
Res 01-21 Cesión de 120,832 ton desde organizaciones Región Aysén
Res 02-21 Cesión de 243,036 desde Organizaciones Región Aysén
Res 03-21 Cesión de 54,284 desde PTO NATALES
Res 04-21 Cesión de 474,343 desde PTA ARENAS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525,230 ton desde Organizaciones Aysén
Res 08-2021 Cesión 357,118 ton desde Organizaciones Aysén
Res 11-2021 Cesión 191,246 ton desde Organizaciones Aysén
Res 06-2021 Cesión 27,071 ton desde Embarcaciones Magallanes
Res 08-2021 Cesión 13,571 ton desde Embarcacion CECILIA I Magallanes
Res 15-2021 Cesión 268,861 ton a desde Organizaciones Aysén
Cert. 03-2021 Traspaso de 500,02732 ton
Res 16-2021 Cesión 76,276 ton a desde Organizaciones Aysén
Res 03-2021 Cesión de 342,622 ton desde PTO MONTT A Los Lagos
Res 17-2021 Cesión de 57,226 ton desde Organización Aysén
Res 18-2021 Cesión de 64,659 ton desde Organización Aysén
Res 13-2021 Cesión de 96,667 ton desde PTO MONTT C Los Lagos
Res 18-2021 Cesión de 11,389 ton desde PTO MONTT C Los Lagos
Res 19-2021 Cesión de 5,476 ton desde Organización Aysén
Cert. 55-2021 Traspaso de 100,01758 ton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72,051 desde Organizaciones Region Aysén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Cesión de </t>
        </r>
        <r>
          <rPr>
            <b/>
            <sz val="9"/>
            <color indexed="81"/>
            <rFont val="Tahoma"/>
            <family val="2"/>
          </rPr>
          <t xml:space="preserve">84,308 </t>
        </r>
        <r>
          <rPr>
            <sz val="9"/>
            <color indexed="81"/>
            <rFont val="Tahoma"/>
            <family val="2"/>
          </rPr>
          <t xml:space="preserve">ton desde PALENA Los Lagos
Res 06-2021 Cesión </t>
        </r>
        <r>
          <rPr>
            <b/>
            <sz val="9"/>
            <color indexed="81"/>
            <rFont val="Tahoma"/>
            <family val="2"/>
          </rPr>
          <t>197,992</t>
        </r>
        <r>
          <rPr>
            <sz val="9"/>
            <color indexed="81"/>
            <rFont val="Tahoma"/>
            <family val="2"/>
          </rPr>
          <t xml:space="preserve"> ton desde Organizaciones Aysén
Res 09-2021 Cesión</t>
        </r>
        <r>
          <rPr>
            <b/>
            <sz val="9"/>
            <color indexed="81"/>
            <rFont val="Tahoma"/>
            <family val="2"/>
          </rPr>
          <t xml:space="preserve"> 26,421</t>
        </r>
        <r>
          <rPr>
            <sz val="9"/>
            <color indexed="81"/>
            <rFont val="Tahoma"/>
            <family val="2"/>
          </rPr>
          <t xml:space="preserve"> ton desde Organizaciones Aysén
Res 12-2021 Cesión </t>
        </r>
        <r>
          <rPr>
            <b/>
            <sz val="9"/>
            <color indexed="81"/>
            <rFont val="Tahoma"/>
            <family val="2"/>
          </rPr>
          <t>110,341</t>
        </r>
        <r>
          <rPr>
            <sz val="9"/>
            <color indexed="81"/>
            <rFont val="Tahoma"/>
            <family val="2"/>
          </rPr>
          <t xml:space="preserve"> ton desde Organizaciones Aysén
Res 06-2021 Cesión </t>
        </r>
        <r>
          <rPr>
            <b/>
            <sz val="9"/>
            <color indexed="81"/>
            <rFont val="Tahoma"/>
            <family val="2"/>
          </rPr>
          <t>120,333</t>
        </r>
        <r>
          <rPr>
            <sz val="9"/>
            <color indexed="81"/>
            <rFont val="Tahoma"/>
            <family val="2"/>
          </rPr>
          <t xml:space="preserve"> ton desde CHILOÉ D Los Lagos
Res 08-2021 Cesión </t>
        </r>
        <r>
          <rPr>
            <b/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Tahoma"/>
            <family val="2"/>
          </rPr>
          <t xml:space="preserve"> ton desde PUERTO MONTT B Los Lagos
Res 02-2021 Cesión</t>
        </r>
        <r>
          <rPr>
            <b/>
            <sz val="9"/>
            <color indexed="81"/>
            <rFont val="Tahoma"/>
            <family val="2"/>
          </rPr>
          <t xml:space="preserve"> 380</t>
        </r>
        <r>
          <rPr>
            <sz val="9"/>
            <color indexed="81"/>
            <rFont val="Tahoma"/>
            <family val="2"/>
          </rPr>
          <t xml:space="preserve"> ton a desde CALBUCO B Los Lagos
Res 12-2021 Cesión de </t>
        </r>
        <r>
          <rPr>
            <b/>
            <sz val="9"/>
            <color indexed="81"/>
            <rFont val="Tahoma"/>
            <family val="2"/>
          </rPr>
          <t>406,522</t>
        </r>
        <r>
          <rPr>
            <sz val="9"/>
            <color indexed="81"/>
            <rFont val="Tahoma"/>
            <family val="2"/>
          </rPr>
          <t xml:space="preserve"> ton desde PATAGONIA Los Lagos
Res 20-2021 Cesión </t>
        </r>
        <r>
          <rPr>
            <b/>
            <sz val="9"/>
            <color indexed="81"/>
            <rFont val="Tahoma"/>
            <family val="2"/>
          </rPr>
          <t>6,409</t>
        </r>
        <r>
          <rPr>
            <sz val="9"/>
            <color indexed="81"/>
            <rFont val="Tahoma"/>
            <family val="2"/>
          </rPr>
          <t xml:space="preserve"> ton desde Organizacion Aysén
Cert. N° 21-21 Traspaso de </t>
        </r>
        <r>
          <rPr>
            <b/>
            <sz val="9"/>
            <color indexed="81"/>
            <rFont val="Tahoma"/>
            <family val="2"/>
          </rPr>
          <t>45,435</t>
        </r>
        <r>
          <rPr>
            <sz val="9"/>
            <color indexed="81"/>
            <rFont val="Tahoma"/>
            <family val="2"/>
          </rPr>
          <t xml:space="preserve"> ton desde 47° al 57°
Res 21-2021 Cesión </t>
        </r>
        <r>
          <rPr>
            <b/>
            <sz val="9"/>
            <color indexed="81"/>
            <rFont val="Tahoma"/>
            <family val="2"/>
          </rPr>
          <t>20,46</t>
        </r>
        <r>
          <rPr>
            <sz val="9"/>
            <color indexed="81"/>
            <rFont val="Tahoma"/>
            <family val="2"/>
          </rPr>
          <t xml:space="preserve"> ton desde CALBUCO D Los Lagos
Res 22-2021 Cesión </t>
        </r>
        <r>
          <rPr>
            <b/>
            <sz val="9"/>
            <color indexed="81"/>
            <rFont val="Tahoma"/>
            <family val="2"/>
          </rPr>
          <t xml:space="preserve">22,222 </t>
        </r>
        <r>
          <rPr>
            <sz val="9"/>
            <color indexed="81"/>
            <rFont val="Tahoma"/>
            <family val="2"/>
          </rPr>
          <t xml:space="preserve">ton desde CHILOÉ D Los Lagos
Res 1839-21 </t>
        </r>
        <r>
          <rPr>
            <b/>
            <sz val="9"/>
            <color indexed="81"/>
            <rFont val="Tahoma"/>
            <family val="2"/>
          </rPr>
          <t>Deja sin efecto Res. 1712-20</t>
        </r>
        <r>
          <rPr>
            <sz val="9"/>
            <color indexed="81"/>
            <rFont val="Tahoma"/>
            <family val="2"/>
          </rPr>
          <t xml:space="preserve">
Res 1840-21</t>
        </r>
        <r>
          <rPr>
            <b/>
            <sz val="9"/>
            <color indexed="81"/>
            <rFont val="Tahoma"/>
            <family val="2"/>
          </rPr>
          <t xml:space="preserve"> Deja sin efecto Res. 1713-20</t>
        </r>
        <r>
          <rPr>
            <sz val="9"/>
            <color indexed="81"/>
            <rFont val="Tahoma"/>
            <family val="2"/>
          </rPr>
          <t xml:space="preserve">
Res 2167-21 </t>
        </r>
        <r>
          <rPr>
            <b/>
            <sz val="9"/>
            <color indexed="81"/>
            <rFont val="Tahoma"/>
            <family val="2"/>
          </rPr>
          <t>LTP A a Pesca Chile S.A.</t>
        </r>
        <r>
          <rPr>
            <sz val="9"/>
            <color indexed="81"/>
            <rFont val="Tahoma"/>
            <family val="2"/>
          </rPr>
          <t xml:space="preserve">
Res 26-21 Cesión  de </t>
        </r>
        <r>
          <rPr>
            <b/>
            <sz val="9"/>
            <color indexed="81"/>
            <rFont val="Tahoma"/>
            <family val="2"/>
          </rPr>
          <t xml:space="preserve">139 </t>
        </r>
        <r>
          <rPr>
            <sz val="9"/>
            <color indexed="81"/>
            <rFont val="Tahoma"/>
            <family val="2"/>
          </rPr>
          <t xml:space="preserve">ton desde PUERTO MONTT C Los Lagos
Res 2653-21 Cesión de </t>
        </r>
        <r>
          <rPr>
            <b/>
            <sz val="9"/>
            <color indexed="81"/>
            <rFont val="Tahoma"/>
            <family val="2"/>
          </rPr>
          <t>150,00508</t>
        </r>
        <r>
          <rPr>
            <sz val="9"/>
            <color indexed="81"/>
            <rFont val="Tahoma"/>
            <family val="2"/>
          </rPr>
          <t xml:space="preserve"> ton desde Pesca Chile S.A
Cert. N° 57-21 Modifica Cert. N° 21-21 serían 43,435 ton
Res. N° 28-2021 Cesión de 9,3 ton desde PALENA. Los Lagos.
Res 3010-21 Modifica Res 1840-21.
Res 3088-21 LTP A desde Pesca Chile 50,03328 ton.
Res 3284-21 LTP A desde Pesca Chile 150,00508 ton.
Res 3289-21 Modifica Res 2167-21.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01-21 Traspaso de 1200 ton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de 128 ton desde CALBUCO A Los Lagos
Res 09-2021 Cesión 317 ton desde PUERTO MONTT B Los Lagos
Res 1974-21 Cesión de 229,03539 ton desde Sur Austral
Res 2167-21 LTP A desde Grimar S.A.
Cert. 56-21 Traspaso de 103,83093
Res 2653-21 Cesión de 150,00508 ton a Grimar S.A
Cert 60-2021 Traspaso de 143,8775 ton 
Res 2919-21 LTP A a Sur Austral 100,01918 ton.
Res 3084-21 LTP A a Sur Austral 30,03892 ton.
Res 3086-21 LTP A a Sur Austral 100,01918 ton.
Res 3088-21 LTP A a Grimar 50,03328 ton.
Res 13-2021 Modifica Res 02-05-07-09-10-2021 +144,74 ton
Res Ex 14-2021 Modifica Res N°13-21.
Res 3288-21 LTP A a Sur Austral 70,02764 ton.
Res 3284-21 LTP A a Grimar S.A. 150,00508 ton.
Res 3289-21 Modifica Res 2167-21.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205,060 desde organizaciones Region Aysén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177,424 ton desde organizaciones Aysén
Res 10-2021 Cesión 55,649 ton desde organizaciones Aysén
Res 13-2021 Cesión 77,312 desde organizaciones Aysén
Res 14-2021 Modifica Res. 13-21 Cesión de 77,312 baja a 75,785 desde organización Aysén
Res 21-2021 Cesión 1,111 ton desde organizacion Aysén
Cert. 26-2021 Traspaso de 10 ton
2015-21 LTP B desde Alexis Cabrera
2016-21 LTP B desde Alexis Cabrera
2017-21 LTP B desde Alexis Cabrera
2018-21 LTP B desde Alexis Cabrera
2019-21 LTP B desde Alexis Cabrera
2020-21 LTP B desde Alexis Cabrera
1974-21 Cesión de 229,03539 ton a Pesca Chile
Res 23-2021 Cesión de 46 ton desde CALBUCO B Los Lagos
Res 2919-21 LTP A desde Pesca Chile 10,01918 ton.
Res 3009-21 LTP A desde Pesca Cisne 50,03328ton.
Res 3011-21 LTP B desde Pesca Cisne 35,535 ton.
Res 3012-21 LTP B desde Pesca Cisne 47,38 ton.
Res 3013-21 LTP B desde Pesca Cisne 47,38 ton.
Res 3084-21 LTP A desde Pesca Chile 30,03892 ton.
Res 3086-21 LTP A desde Pesca Chile 100,01918 ton.
Cert N° 63-21 Traspaso de 53 ton de Sur Austral.
Cert N° 64-21 Traspaso de 247,02366 ton desde Sur Austral.
Res 3288-21 LTP A desde Pesca Chile 70,02764 ton.
Cert. 52-21 Traspaso de 52 ton desde Sur Austral.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1839-21 Deja sin efecto Res. 1712-20
Res 1840-21 Deja sin efecto Res. 1713-20,
Res 3009-21 LTP A a Sur Austral.
Res 3011-21 LTP B a Sur Austral.
Res 3012-21 LTP B a Sur Austral.
Res 3013-21 LTP B a Sur Austral.
Res 3010-21 Modifica res 1840-21.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2015-21 LTP B a Sur Austral
2016-21 LTP B a Sur Austral
2017-21 LTP B a Sur Austral
2018-21 LTP B a Sur Austral
2019-21 LTP B a Sur Austral
2020-21 LTP B a Sur Austral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Cert. 03-2021 Traspaso de 500,02732 ton
Cert. 55-2021 Traspaso de 100,01758 ton</t>
        </r>
      </text>
    </comment>
    <comment ref="F31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Cert. N° 21-21 Traspaso de 45,435 ton a 41°28,6 al 47°
Cert. N° 57-21 Modifica Cert. N° 21-21 serían 43,435 ton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01-21 Traspaso de 1200 ton
Res. 02-21 Cesión de 225,055 ton desde embarcaciones Región Magallanes
Res. 05-21 Cesión de 53,642 ton desde embarcaciones Región Magallanes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13 ton desde Embarcación VICTORIA III Magallanes
Res 09-2021 Cesion de 16,371 ton a desde embarcaciones Magallanes
Res 010-2021 Cesion de 3,8 ton desde embarcaciones Area Pta. Arenas
Cert 56-2021 Traspaso de 103,83093 ton 
Cert 60-2021 Traspaso de 143,8775 ton 
Res Ex 13-21 Modifica Res 02-05-07-09-10-2021 -144,74 ton
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1877-21 Deja sin efecto Res. 2871-20
1878-21 Deja sin efecto Res. 2872-20 y 2873-20
3019-21 traspaso de 30,29 ton a Sur Austral.
3018-21 traspaso de 30,29 ton a Sur Austral.
3017-21 traspaso de 37,8625 ton a Sur Austral.
3016-21traspaso de 22,7175 ton a Sur Austral.
3014-21 traspaso de 178,8636616 a Sur Austral.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26-21 Traspaso 10 toneladas
2022-21 LTP B desde Alexis Cabrera
2023-21 LTP B desde Alexis Cabrera
2024-21 LTP B desde Alexis Cabrera
2025-21 LTP B desde Alexis Cabrera
2026-21 LTP B desde Alexis Cabrera
1877-21 Deja sin efecto Res. 2871-20
1878-21 Deja sin efecto Res. 2872-20 y 2873-20
3019-21 LTP B desde Pesca Cisne S.A.
3018-21 LTP B desde Pesca Cisne S.A.
3017-21 LTP B desde Pesca Cisne S.A.
3016-21 LTP B desde Pesca Cisne S.A.
3014-21 LTP B desde Pesca Cisne S.A.
Cert 63-21 Traspaso de 53 ton a Sur Austral.
Cert 64-21 Traspaso de 247,02366 ton hacia Sur Austral.
Cert 71-21 Traspaso de 52 ton a Sur Austral.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2022-21 LTP B a Sur Austral
2023-21 LTP B a Sur Austral
2024-21 LTP B a Sur Austral
2025-21 LTP B a Sur Austral
2026-21 LTP B a Sur Austral</t>
        </r>
      </text>
    </comment>
  </commentList>
</comments>
</file>

<file path=xl/comments8.xml><?xml version="1.0" encoding="utf-8"?>
<comments xmlns="http://schemas.openxmlformats.org/spreadsheetml/2006/main">
  <authors>
    <author>CEA TELLO, MARIO ANDRES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No tiene Coef. (0,0252261) en la Res. 2976-20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El coef. 0,02326 no  esta en la Res. 2976-20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Lote según Res. 258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Lote según Res. 259</t>
        </r>
      </text>
    </comment>
  </commentList>
</comments>
</file>

<file path=xl/sharedStrings.xml><?xml version="1.0" encoding="utf-8"?>
<sst xmlns="http://schemas.openxmlformats.org/spreadsheetml/2006/main" count="3001" uniqueCount="458">
  <si>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</si>
  <si>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</si>
  <si>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</si>
  <si>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</si>
  <si>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</si>
  <si>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</si>
  <si>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</si>
  <si>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</si>
  <si>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</si>
  <si>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</si>
  <si>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</si>
  <si>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</si>
  <si>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</si>
  <si>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</si>
  <si>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</si>
  <si>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</si>
  <si>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</si>
  <si>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</si>
  <si>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</si>
  <si>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</si>
  <si>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</si>
  <si>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</si>
  <si>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</si>
  <si>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</si>
  <si>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</si>
  <si>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</si>
  <si>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</si>
  <si>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</si>
  <si>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</si>
  <si>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</si>
  <si>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</si>
  <si>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</si>
  <si>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</si>
  <si>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</si>
  <si>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</si>
  <si>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</si>
  <si>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</si>
  <si>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</si>
  <si>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</si>
  <si>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</si>
  <si>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</si>
  <si>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</si>
  <si>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</si>
  <si>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</si>
  <si>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</si>
  <si>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</si>
  <si>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</si>
  <si>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</si>
  <si>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</si>
  <si>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</si>
  <si>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</si>
  <si>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</si>
  <si>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</si>
  <si>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</si>
  <si>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</si>
  <si>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</si>
  <si>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</si>
  <si>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</si>
  <si>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</si>
  <si>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</si>
  <si>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</si>
  <si>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</si>
  <si>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</si>
  <si>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</si>
  <si>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</si>
  <si>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</si>
  <si>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</si>
  <si>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</si>
  <si>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</si>
  <si>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</si>
  <si>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</si>
  <si>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</si>
  <si>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</si>
  <si>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</si>
  <si>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</si>
  <si>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</si>
  <si>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</si>
  <si>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</si>
  <si>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</si>
  <si>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</si>
  <si>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</si>
  <si>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</si>
  <si>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</si>
  <si>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</si>
  <si>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</si>
  <si>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</si>
  <si>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</si>
  <si>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</si>
  <si>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</si>
  <si>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</si>
  <si>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</si>
  <si>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</si>
  <si>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</si>
  <si>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</si>
  <si>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</si>
  <si>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</si>
  <si>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</si>
  <si>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</si>
  <si>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</si>
  <si>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</si>
  <si>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</si>
  <si>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</si>
  <si>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</si>
  <si>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</si>
  <si>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</si>
  <si>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</si>
  <si>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</si>
  <si>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</si>
  <si>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</si>
  <si>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</si>
  <si>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</si>
  <si>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</si>
  <si>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</si>
  <si>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</si>
  <si>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</si>
  <si>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</si>
  <si>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</si>
  <si>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</si>
  <si>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</si>
  <si>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</si>
  <si>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</si>
  <si>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</si>
  <si>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</si>
  <si>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</si>
  <si>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</si>
  <si>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</si>
  <si>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</si>
  <si>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</si>
  <si>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</si>
  <si>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</si>
  <si>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</si>
  <si>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</si>
  <si>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</si>
  <si>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</si>
  <si>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</si>
  <si>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</si>
  <si>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</si>
  <si>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</si>
  <si>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</si>
  <si>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</si>
  <si>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</si>
  <si>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</si>
  <si>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</si>
  <si>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</si>
  <si>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</si>
  <si>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</si>
  <si>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</si>
  <si>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</si>
  <si>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</si>
  <si>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</si>
  <si>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</si>
  <si>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</si>
  <si>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</si>
  <si>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</si>
  <si>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</si>
  <si>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</si>
  <si>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</si>
  <si>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</si>
  <si>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</si>
  <si>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</si>
  <si>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</si>
  <si>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</si>
  <si>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</si>
  <si>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</si>
  <si>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</si>
  <si>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</si>
  <si>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</si>
  <si>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</si>
  <si>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</si>
  <si>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</si>
  <si>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</si>
  <si>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</si>
  <si>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</si>
  <si>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</si>
  <si>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</si>
  <si>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</si>
  <si>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</si>
  <si>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</si>
  <si>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</si>
  <si>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</si>
  <si>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</si>
  <si>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</si>
  <si>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</si>
  <si>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</si>
  <si>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</si>
  <si>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</si>
  <si>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</si>
  <si>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</si>
  <si>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</si>
  <si>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</si>
  <si>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</si>
  <si>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</si>
  <si>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</si>
  <si>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</si>
  <si>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</si>
  <si>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</si>
  <si>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</si>
  <si>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</si>
  <si>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</si>
  <si>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</si>
  <si>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</si>
  <si>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</si>
  <si>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</si>
  <si>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</si>
  <si>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</si>
  <si>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</si>
  <si>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</si>
  <si>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</si>
  <si>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</si>
  <si>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</si>
  <si>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</si>
  <si>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</si>
  <si>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</si>
  <si>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</si>
  <si>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</si>
  <si>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</si>
  <si>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</si>
  <si>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</si>
  <si>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</si>
  <si>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</si>
  <si>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</si>
  <si>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</si>
  <si>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</si>
  <si>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</si>
  <si>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</si>
  <si>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</si>
  <si>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</si>
  <si>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</si>
  <si>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</si>
  <si>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</si>
  <si>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</si>
  <si>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</si>
  <si>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</si>
  <si>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</si>
  <si>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</si>
  <si>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</si>
  <si>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</si>
  <si>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</si>
  <si>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</si>
  <si>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</si>
  <si>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</si>
  <si>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</si>
  <si>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</si>
  <si>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</si>
  <si>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</si>
  <si>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</si>
  <si>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</si>
  <si>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</si>
  <si>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</si>
  <si>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</si>
  <si>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</si>
  <si>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</si>
  <si>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</si>
  <si>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</si>
  <si>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</si>
  <si>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</si>
  <si>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</si>
  <si>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</si>
  <si>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</si>
  <si>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</si>
  <si>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</si>
  <si>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</si>
  <si>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</si>
  <si>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</si>
  <si>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</si>
  <si>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</si>
  <si>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</si>
  <si>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</si>
  <si>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</si>
  <si>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</si>
  <si>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</si>
  <si>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</si>
  <si>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</si>
  <si>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</si>
  <si>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</si>
  <si>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</si>
  <si>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</si>
  <si>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</si>
  <si>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</si>
  <si>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</si>
  <si>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</si>
  <si>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</si>
  <si>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</si>
  <si>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</si>
  <si>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</si>
  <si>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</si>
  <si>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</si>
  <si>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</si>
  <si>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</si>
  <si>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</si>
  <si>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</si>
  <si>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</si>
  <si>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</si>
  <si>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</si>
  <si>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</si>
  <si>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</si>
  <si>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</si>
  <si>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</si>
  <si>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</si>
  <si>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</si>
  <si>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</si>
  <si>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</si>
  <si>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</si>
  <si>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</si>
  <si>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</si>
  <si>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</si>
  <si>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</si>
  <si>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</si>
  <si>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</si>
  <si>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</si>
  <si>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</si>
  <si>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</si>
  <si>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</si>
  <si>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</si>
  <si>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</si>
  <si>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</si>
  <si>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</si>
  <si>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</si>
  <si>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</si>
  <si>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</si>
  <si>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</si>
  <si>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</si>
  <si>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</si>
  <si>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</si>
  <si>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</si>
  <si>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</si>
  <si>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</si>
  <si>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</si>
  <si>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</si>
  <si>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</si>
  <si>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</si>
  <si>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</si>
  <si>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</si>
  <si>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</si>
  <si>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</si>
  <si>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</si>
  <si>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</si>
  <si>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</si>
  <si>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</si>
  <si>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</si>
  <si>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</si>
  <si>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</si>
  <si>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</si>
  <si>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</si>
  <si>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</si>
  <si>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</si>
  <si>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</si>
  <si>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</si>
  <si>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</si>
  <si>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</si>
  <si>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</si>
  <si>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</si>
  <si>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</si>
  <si>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</si>
  <si>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</si>
  <si>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</si>
  <si>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</si>
  <si>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</si>
  <si>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</si>
  <si>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</si>
  <si>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</si>
  <si>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</si>
  <si>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</si>
  <si>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</si>
  <si>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</si>
  <si>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</si>
  <si>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</si>
  <si>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</si>
  <si>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</si>
  <si>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</si>
  <si>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</si>
  <si>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</si>
  <si>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</si>
  <si>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</si>
  <si>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</si>
  <si>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</si>
  <si>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</si>
  <si>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</si>
  <si>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</si>
  <si>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</si>
  <si>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</si>
  <si>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</si>
  <si>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</si>
  <si>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CODEMAIH ROL 4313</t>
  </si>
  <si>
    <t>COOPENAY ROL 4650</t>
  </si>
  <si>
    <t>Coef</t>
  </si>
  <si>
    <t>STI CANAL PUYUHUAPI RSU 11.05.0009</t>
  </si>
  <si>
    <t>SOCIEDAD AMAROMAR LTDA 76.257.407-1</t>
  </si>
  <si>
    <t>PESCA ARTESANAL PESCADORES DEL MAR LTDA 77.008.215-3</t>
  </si>
  <si>
    <t>SOCIEDAD PESQUERA ARTESANAL RC LTDA 77.228.013-0</t>
  </si>
  <si>
    <t>SOCIEDAD PESQUERA SERVIMAREP CIA LTDA 76.295.688-8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</si>
  <si>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</si>
  <si>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</si>
  <si>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</si>
  <si>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DE PESCADORES ARTESANALES MARIMAN TARUMAN LTDA 77.218.151-5</t>
  </si>
  <si>
    <t>KAHORY</t>
  </si>
  <si>
    <t>CONTROL CUOTA MERLUZA DEL SUR ARTESANAL REGION DE LOS LAGOS, AÑO 2021</t>
  </si>
  <si>
    <t>RESUMEN ANUAL CONSUMO GLOBAL DE CUOTA MERLUZA DEL SUR  41°28,6' al 57° L.S. AÑO 2021</t>
  </si>
  <si>
    <t>Cuota Anual de Captura Merluza del Sur Fuera de Unidades de Pesquería 2021</t>
  </si>
  <si>
    <t>CONTROL CUOTA MERLUZA DEL SUR ARTESANAL REGION DE AYSEN, AÑO 2021</t>
  </si>
  <si>
    <t>CONTROL CUOTA MERLUZA DEL SUR ARTESANAL REGION DE MAGALLANES Y ANTARTICA CHILENA, AÑO 2021</t>
  </si>
  <si>
    <t>CONTROL CUOTA MERLUZA DEL SUR INDUSTRIAL, AÑO 2021</t>
  </si>
  <si>
    <t>STEFANY</t>
  </si>
  <si>
    <t xml:space="preserve">PESCA CHILE </t>
  </si>
  <si>
    <t>PESCA CHILE S.A</t>
  </si>
  <si>
    <t>LICITACION</t>
  </si>
  <si>
    <t>ALEXIS CABRERO VALLEJOS</t>
  </si>
  <si>
    <t>ALEXIS CABRERA VALLEJOS</t>
  </si>
  <si>
    <t>JUAN CARLOS MARILAF QUEZADA</t>
  </si>
  <si>
    <t>COOPERATIVA DE PUERTO AGUIRRE COPEAGU ROL 4257</t>
  </si>
  <si>
    <t>AREA</t>
  </si>
  <si>
    <t>ASIGNATARIO</t>
  </si>
  <si>
    <t>EMBARCACION</t>
  </si>
  <si>
    <t>RPA</t>
  </si>
  <si>
    <t>Cuota Remanente (Ton)</t>
  </si>
  <si>
    <t>Captura (Ton)</t>
  </si>
  <si>
    <t>COOPESGAL</t>
  </si>
  <si>
    <t>SIND. GALA-ANTONIO RONCHI</t>
  </si>
  <si>
    <t>SIND GALA-N°1.</t>
  </si>
  <si>
    <t>SOCIEDAD AMAROMAR LTDA</t>
  </si>
  <si>
    <t>SOCIEDAD ALMONACID, ANDRADE E HIJOS LTDA</t>
  </si>
  <si>
    <t>NO ASOC FLOTA NORTE 1</t>
  </si>
  <si>
    <t>S.T.I. N°1 PUERTO CISNES</t>
  </si>
  <si>
    <t>S.T.I. MORALEDA DE PTO GAVIOTA</t>
  </si>
  <si>
    <t>S.T.I. AMPARO DE PTO GAVIOTA</t>
  </si>
  <si>
    <t>S.T.I. FRUTOS DE DIOS</t>
  </si>
  <si>
    <t>S.T.I. SAN PEDRO</t>
  </si>
  <si>
    <t>S.T.I. DE LA PESCA ARTESANAL DE PTO GAVIOTA</t>
  </si>
  <si>
    <t>SOCIEDAD AMPARO LTDA</t>
  </si>
  <si>
    <t>SOCIEDAD DE PESCADORES ARTESANALES Y DE TURISMO DEL SUR LIMITADA</t>
  </si>
  <si>
    <t>NO ASOC FLOTA NORTE 2</t>
  </si>
  <si>
    <t>S.T.I. CANAL COSTA</t>
  </si>
  <si>
    <t>S.T.I. PESC. ART. AYSEN</t>
  </si>
  <si>
    <t>S.T.I. ESFUERZO DEL MAR</t>
  </si>
  <si>
    <t>S.T.I. MARES AUSTRALES Nº3.</t>
  </si>
  <si>
    <t>A.G. AYSEN</t>
  </si>
  <si>
    <t>S.T.I. ETERNOS NAVEGANTES</t>
  </si>
  <si>
    <t>COOPERATIVA PILCOSTA</t>
  </si>
  <si>
    <t>SOC. HUIQUEN Y POBLETE LTDA.</t>
  </si>
  <si>
    <t>SOC. ANALUZ LTDA.</t>
  </si>
  <si>
    <t>SIND. AGUIRRE-ARCHIPIEL.DEL SUR</t>
  </si>
  <si>
    <t>S.T.I. NUEVO AMANECER</t>
  </si>
  <si>
    <t>COOPERATIVA DE PTO AGUIRRE "COPEAGU"</t>
  </si>
  <si>
    <t>SIND.AGUIRRE-NUEVAVENTURA</t>
  </si>
  <si>
    <t>NO ASOC FLOTA SUR 2</t>
  </si>
  <si>
    <t>CONTROL CUOTA REMANENTE REGIÓN DE LOS LAGOS</t>
  </si>
  <si>
    <t>SOC. PESCADORES PTO. GALA LTDA.</t>
  </si>
  <si>
    <t>Información a partir del 14 de abril de 2021</t>
  </si>
  <si>
    <t>res 260</t>
  </si>
  <si>
    <t>N° Resolución</t>
  </si>
  <si>
    <t>1897-21</t>
  </si>
  <si>
    <t>CESIONES INDIVIDUALES MERLUZA DEL SUR</t>
  </si>
  <si>
    <t>Nombre</t>
  </si>
  <si>
    <t>Bastián Gallardo Soto</t>
  </si>
  <si>
    <t>2624-21</t>
  </si>
  <si>
    <t>Deja sin efecto 1897</t>
  </si>
  <si>
    <t>2753-21</t>
  </si>
  <si>
    <t>CESIONES INDIVIDUALES</t>
  </si>
</sst>
</file>

<file path=xl/styles.xml><?xml version="1.0" encoding="utf-8"?>
<styleSheet xmlns="http://schemas.openxmlformats.org/spreadsheetml/2006/main">
  <numFmts count="1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  <numFmt numFmtId="178" formatCode="0.00000"/>
    <numFmt numFmtId="179" formatCode="0.0000"/>
    <numFmt numFmtId="180" formatCode="0.000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8" fontId="2" fillId="7" borderId="24" xfId="0" applyNumberFormat="1" applyFont="1" applyFill="1" applyBorder="1" applyAlignment="1">
      <alignment horizontal="center" vertical="center" wrapText="1"/>
    </xf>
    <xf numFmtId="0" fontId="3" fillId="3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24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4" xfId="0" applyFill="1" applyBorder="1"/>
    <xf numFmtId="0" fontId="0" fillId="31" borderId="24" xfId="0" applyFill="1" applyBorder="1"/>
    <xf numFmtId="0" fontId="0" fillId="32" borderId="24" xfId="0" applyFill="1" applyBorder="1"/>
    <xf numFmtId="0" fontId="0" fillId="31" borderId="24" xfId="0" applyFill="1" applyBorder="1" applyAlignment="1">
      <alignment horizontal="center"/>
    </xf>
    <xf numFmtId="0" fontId="0" fillId="6" borderId="24" xfId="0" applyFill="1" applyBorder="1"/>
    <xf numFmtId="10" fontId="0" fillId="6" borderId="24" xfId="0" applyNumberFormat="1" applyFill="1" applyBorder="1"/>
    <xf numFmtId="9" fontId="0" fillId="4" borderId="24" xfId="0" applyNumberFormat="1" applyFill="1" applyBorder="1"/>
    <xf numFmtId="0" fontId="2" fillId="5" borderId="24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24" xfId="0" applyNumberFormat="1" applyBorder="1"/>
    <xf numFmtId="10" fontId="0" fillId="3" borderId="24" xfId="0" applyNumberFormat="1" applyFill="1" applyBorder="1"/>
    <xf numFmtId="168" fontId="0" fillId="6" borderId="24" xfId="0" applyNumberFormat="1" applyFill="1" applyBorder="1"/>
    <xf numFmtId="168" fontId="0" fillId="3" borderId="24" xfId="0" applyNumberFormat="1" applyFill="1" applyBorder="1"/>
    <xf numFmtId="9" fontId="0" fillId="0" borderId="24" xfId="1" applyFont="1" applyBorder="1"/>
    <xf numFmtId="9" fontId="0" fillId="6" borderId="24" xfId="1" applyFont="1" applyFill="1" applyBorder="1"/>
    <xf numFmtId="0" fontId="3" fillId="4" borderId="24" xfId="0" applyFont="1" applyFill="1" applyBorder="1" applyAlignment="1">
      <alignment horizontal="center"/>
    </xf>
    <xf numFmtId="168" fontId="0" fillId="4" borderId="24" xfId="0" applyNumberFormat="1" applyFill="1" applyBorder="1"/>
    <xf numFmtId="0" fontId="2" fillId="4" borderId="24" xfId="0" applyFont="1" applyFill="1" applyBorder="1"/>
    <xf numFmtId="168" fontId="3" fillId="4" borderId="24" xfId="0" applyNumberFormat="1" applyFont="1" applyFill="1" applyBorder="1"/>
    <xf numFmtId="0" fontId="3" fillId="4" borderId="24" xfId="0" applyFont="1" applyFill="1" applyBorder="1"/>
    <xf numFmtId="9" fontId="3" fillId="4" borderId="24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 wrapText="1"/>
    </xf>
    <xf numFmtId="9" fontId="0" fillId="31" borderId="24" xfId="1" applyFont="1" applyFill="1" applyBorder="1"/>
    <xf numFmtId="0" fontId="3" fillId="32" borderId="24" xfId="0" applyFont="1" applyFill="1" applyBorder="1"/>
    <xf numFmtId="9" fontId="3" fillId="32" borderId="24" xfId="1" applyFont="1" applyFill="1" applyBorder="1"/>
    <xf numFmtId="0" fontId="3" fillId="32" borderId="24" xfId="0" applyFont="1" applyFill="1" applyBorder="1" applyAlignment="1">
      <alignment horizontal="center"/>
    </xf>
    <xf numFmtId="175" fontId="0" fillId="31" borderId="24" xfId="0" applyNumberFormat="1" applyFill="1" applyBorder="1"/>
    <xf numFmtId="175" fontId="3" fillId="32" borderId="24" xfId="0" applyNumberFormat="1" applyFont="1" applyFill="1" applyBorder="1"/>
    <xf numFmtId="175" fontId="4" fillId="5" borderId="0" xfId="0" applyNumberFormat="1" applyFont="1" applyFill="1"/>
    <xf numFmtId="175" fontId="4" fillId="5" borderId="27" xfId="0" applyNumberFormat="1" applyFont="1" applyFill="1" applyBorder="1"/>
    <xf numFmtId="175" fontId="3" fillId="4" borderId="24" xfId="0" applyNumberFormat="1" applyFont="1" applyFill="1" applyBorder="1"/>
    <xf numFmtId="0" fontId="0" fillId="0" borderId="0" xfId="0" applyAlignment="1"/>
    <xf numFmtId="0" fontId="3" fillId="4" borderId="24" xfId="0" applyFont="1" applyFill="1" applyBorder="1" applyAlignment="1">
      <alignment horizontal="center" vertical="center" wrapText="1"/>
    </xf>
    <xf numFmtId="9" fontId="3" fillId="4" borderId="24" xfId="1" applyFont="1" applyFill="1" applyBorder="1" applyAlignment="1">
      <alignment horizontal="center"/>
    </xf>
    <xf numFmtId="0" fontId="3" fillId="4" borderId="24" xfId="0" applyFont="1" applyFill="1" applyBorder="1" applyAlignment="1">
      <alignment horizontal="left"/>
    </xf>
    <xf numFmtId="0" fontId="0" fillId="0" borderId="0" xfId="0"/>
    <xf numFmtId="0" fontId="0" fillId="0" borderId="24" xfId="0" applyBorder="1"/>
    <xf numFmtId="0" fontId="0" fillId="0" borderId="0" xfId="0" applyFill="1"/>
    <xf numFmtId="0" fontId="3" fillId="32" borderId="24" xfId="0" applyFont="1" applyFill="1" applyBorder="1" applyAlignment="1">
      <alignment horizontal="center"/>
    </xf>
    <xf numFmtId="0" fontId="3" fillId="0" borderId="0" xfId="0" applyFont="1"/>
    <xf numFmtId="0" fontId="35" fillId="0" borderId="0" xfId="0" applyFont="1"/>
    <xf numFmtId="170" fontId="6" fillId="0" borderId="24" xfId="0" applyNumberFormat="1" applyFont="1" applyFill="1" applyBorder="1" applyAlignment="1">
      <alignment horizontal="center" vertical="center"/>
    </xf>
    <xf numFmtId="170" fontId="6" fillId="0" borderId="24" xfId="0" applyNumberFormat="1" applyFont="1" applyFill="1" applyBorder="1" applyAlignment="1">
      <alignment horizontal="center" vertical="center" wrapText="1"/>
    </xf>
    <xf numFmtId="171" fontId="6" fillId="0" borderId="24" xfId="0" applyNumberFormat="1" applyFont="1" applyFill="1" applyBorder="1" applyAlignment="1">
      <alignment horizontal="center" vertical="center"/>
    </xf>
    <xf numFmtId="10" fontId="6" fillId="0" borderId="24" xfId="1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169" fontId="6" fillId="6" borderId="24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3" fontId="36" fillId="34" borderId="38" xfId="0" applyNumberFormat="1" applyFont="1" applyFill="1" applyBorder="1" applyAlignment="1">
      <alignment horizontal="center" vertical="center"/>
    </xf>
    <xf numFmtId="173" fontId="36" fillId="34" borderId="38" xfId="0" applyNumberFormat="1" applyFont="1" applyFill="1" applyBorder="1" applyAlignment="1">
      <alignment horizontal="center" vertical="center"/>
    </xf>
    <xf numFmtId="172" fontId="36" fillId="34" borderId="38" xfId="1" applyNumberFormat="1" applyFont="1" applyFill="1" applyBorder="1" applyAlignment="1">
      <alignment horizontal="center" vertical="center"/>
    </xf>
    <xf numFmtId="0" fontId="4" fillId="34" borderId="30" xfId="0" applyFont="1" applyFill="1" applyBorder="1" applyAlignment="1">
      <alignment horizontal="center"/>
    </xf>
    <xf numFmtId="177" fontId="0" fillId="31" borderId="24" xfId="0" applyNumberFormat="1" applyFill="1" applyBorder="1"/>
    <xf numFmtId="10" fontId="6" fillId="0" borderId="24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24" xfId="0" applyBorder="1"/>
    <xf numFmtId="0" fontId="3" fillId="33" borderId="24" xfId="0" applyFont="1" applyFill="1" applyBorder="1" applyAlignment="1">
      <alignment horizontal="center" vertical="center"/>
    </xf>
    <xf numFmtId="167" fontId="34" fillId="2" borderId="30" xfId="0" applyNumberFormat="1" applyFont="1" applyFill="1" applyBorder="1" applyAlignment="1">
      <alignment horizontal="center"/>
    </xf>
    <xf numFmtId="167" fontId="34" fillId="2" borderId="14" xfId="0" applyNumberFormat="1" applyFont="1" applyFill="1" applyBorder="1" applyAlignment="1">
      <alignment horizontal="center"/>
    </xf>
    <xf numFmtId="167" fontId="3" fillId="33" borderId="31" xfId="0" applyNumberFormat="1" applyFont="1" applyFill="1" applyBorder="1"/>
    <xf numFmtId="0" fontId="34" fillId="33" borderId="11" xfId="0" applyFont="1" applyFill="1" applyBorder="1" applyAlignment="1">
      <alignment horizontal="center" vertical="center" wrapText="1"/>
    </xf>
    <xf numFmtId="168" fontId="0" fillId="0" borderId="24" xfId="0" applyNumberFormat="1" applyBorder="1"/>
    <xf numFmtId="1" fontId="3" fillId="33" borderId="24" xfId="0" applyNumberFormat="1" applyFont="1" applyFill="1" applyBorder="1"/>
    <xf numFmtId="0" fontId="34" fillId="33" borderId="10" xfId="0" applyFont="1" applyFill="1" applyBorder="1" applyAlignment="1">
      <alignment horizontal="center" vertical="center" wrapText="1"/>
    </xf>
    <xf numFmtId="0" fontId="0" fillId="0" borderId="24" xfId="0" applyFill="1" applyBorder="1"/>
    <xf numFmtId="176" fontId="3" fillId="33" borderId="24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168" fontId="3" fillId="33" borderId="24" xfId="0" applyNumberFormat="1" applyFont="1" applyFill="1" applyBorder="1" applyAlignment="1">
      <alignment horizontal="center"/>
    </xf>
    <xf numFmtId="168" fontId="3" fillId="33" borderId="24" xfId="0" applyNumberFormat="1" applyFont="1" applyFill="1" applyBorder="1"/>
    <xf numFmtId="168" fontId="0" fillId="0" borderId="24" xfId="0" applyNumberFormat="1" applyFill="1" applyBorder="1"/>
    <xf numFmtId="168" fontId="3" fillId="32" borderId="24" xfId="0" applyNumberFormat="1" applyFont="1" applyFill="1" applyBorder="1"/>
    <xf numFmtId="0" fontId="0" fillId="0" borderId="0" xfId="0" applyAlignment="1">
      <alignment horizontal="right" vertical="center"/>
    </xf>
    <xf numFmtId="0" fontId="3" fillId="32" borderId="24" xfId="0" applyFont="1" applyFill="1" applyBorder="1" applyAlignment="1">
      <alignment horizontal="center" vertical="center" wrapText="1"/>
    </xf>
    <xf numFmtId="0" fontId="10" fillId="32" borderId="24" xfId="0" applyFont="1" applyFill="1" applyBorder="1" applyAlignment="1">
      <alignment horizontal="center" vertical="center" wrapText="1"/>
    </xf>
    <xf numFmtId="175" fontId="11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3" fillId="32" borderId="24" xfId="0" applyFont="1" applyFill="1" applyBorder="1" applyAlignment="1">
      <alignment horizontal="center" vertical="center" wrapText="1"/>
    </xf>
    <xf numFmtId="178" fontId="0" fillId="0" borderId="24" xfId="0" applyNumberFormat="1" applyBorder="1"/>
    <xf numFmtId="1" fontId="3" fillId="35" borderId="24" xfId="0" applyNumberFormat="1" applyFont="1" applyFill="1" applyBorder="1"/>
    <xf numFmtId="179" fontId="0" fillId="0" borderId="24" xfId="0" applyNumberFormat="1" applyBorder="1"/>
    <xf numFmtId="179" fontId="3" fillId="33" borderId="24" xfId="0" applyNumberFormat="1" applyFont="1" applyFill="1" applyBorder="1"/>
    <xf numFmtId="0" fontId="3" fillId="32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1" borderId="24" xfId="0" applyNumberFormat="1" applyFill="1" applyBorder="1" applyAlignment="1">
      <alignment horizontal="center"/>
    </xf>
    <xf numFmtId="14" fontId="0" fillId="4" borderId="24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4" fontId="0" fillId="3" borderId="24" xfId="0" applyNumberFormat="1" applyFill="1" applyBorder="1" applyAlignment="1">
      <alignment horizontal="center"/>
    </xf>
    <xf numFmtId="0" fontId="0" fillId="31" borderId="24" xfId="0" applyFill="1" applyBorder="1" applyAlignment="1"/>
    <xf numFmtId="14" fontId="0" fillId="0" borderId="24" xfId="0" applyNumberFormat="1" applyBorder="1" applyAlignment="1">
      <alignment horizontal="center"/>
    </xf>
    <xf numFmtId="0" fontId="0" fillId="2" borderId="24" xfId="0" applyFill="1" applyBorder="1" applyAlignment="1">
      <alignment horizontal="center"/>
    </xf>
    <xf numFmtId="14" fontId="0" fillId="2" borderId="24" xfId="0" applyNumberFormat="1" applyFill="1" applyBorder="1" applyAlignment="1">
      <alignment horizontal="center"/>
    </xf>
    <xf numFmtId="14" fontId="0" fillId="0" borderId="24" xfId="0" applyNumberFormat="1" applyBorder="1"/>
    <xf numFmtId="0" fontId="0" fillId="0" borderId="24" xfId="0" applyBorder="1" applyAlignment="1">
      <alignment horizontal="center"/>
    </xf>
    <xf numFmtId="178" fontId="3" fillId="35" borderId="24" xfId="0" applyNumberFormat="1" applyFont="1" applyFill="1" applyBorder="1"/>
    <xf numFmtId="0" fontId="2" fillId="7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8" fontId="0" fillId="0" borderId="24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0" fillId="35" borderId="24" xfId="0" applyFill="1" applyBorder="1"/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14" fontId="0" fillId="2" borderId="24" xfId="0" applyNumberFormat="1" applyFill="1" applyBorder="1"/>
    <xf numFmtId="0" fontId="0" fillId="2" borderId="24" xfId="0" applyFill="1" applyBorder="1"/>
    <xf numFmtId="14" fontId="3" fillId="0" borderId="36" xfId="0" applyNumberFormat="1" applyFont="1" applyFill="1" applyBorder="1" applyAlignment="1">
      <alignment horizontal="center" vertical="center"/>
    </xf>
    <xf numFmtId="0" fontId="3" fillId="6" borderId="24" xfId="0" applyFont="1" applyFill="1" applyBorder="1"/>
    <xf numFmtId="179" fontId="0" fillId="35" borderId="24" xfId="0" applyNumberFormat="1" applyFill="1" applyBorder="1"/>
    <xf numFmtId="1" fontId="3" fillId="0" borderId="0" xfId="0" applyNumberFormat="1" applyFont="1" applyFill="1"/>
    <xf numFmtId="176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76" fontId="3" fillId="0" borderId="0" xfId="0" applyNumberFormat="1" applyFont="1" applyFill="1" applyAlignment="1">
      <alignment horizontal="center"/>
    </xf>
    <xf numFmtId="0" fontId="0" fillId="2" borderId="24" xfId="0" applyFill="1" applyBorder="1"/>
    <xf numFmtId="0" fontId="0" fillId="0" borderId="0" xfId="0"/>
    <xf numFmtId="14" fontId="0" fillId="0" borderId="24" xfId="0" applyNumberFormat="1" applyBorder="1"/>
    <xf numFmtId="179" fontId="0" fillId="0" borderId="24" xfId="0" applyNumberFormat="1" applyFill="1" applyBorder="1"/>
    <xf numFmtId="178" fontId="0" fillId="0" borderId="24" xfId="0" applyNumberFormat="1" applyFill="1" applyBorder="1"/>
    <xf numFmtId="0" fontId="42" fillId="0" borderId="0" xfId="0" applyFont="1"/>
    <xf numFmtId="170" fontId="6" fillId="6" borderId="2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ont="1" applyFill="1" applyBorder="1"/>
    <xf numFmtId="168" fontId="6" fillId="0" borderId="24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left" vertical="center" wrapText="1"/>
    </xf>
    <xf numFmtId="168" fontId="6" fillId="0" borderId="24" xfId="0" applyNumberFormat="1" applyFont="1" applyFill="1" applyBorder="1" applyAlignment="1">
      <alignment horizontal="center" vertical="center" wrapText="1"/>
    </xf>
    <xf numFmtId="9" fontId="6" fillId="0" borderId="36" xfId="1" applyFont="1" applyFill="1" applyBorder="1" applyAlignment="1">
      <alignment horizontal="center" vertical="center"/>
    </xf>
    <xf numFmtId="9" fontId="6" fillId="0" borderId="36" xfId="1" applyFont="1" applyFill="1" applyBorder="1" applyAlignment="1">
      <alignment horizontal="center" vertical="center" wrapText="1"/>
    </xf>
    <xf numFmtId="0" fontId="0" fillId="6" borderId="7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9" fontId="6" fillId="0" borderId="14" xfId="1" applyFont="1" applyFill="1" applyBorder="1" applyAlignment="1">
      <alignment horizontal="center" vertical="center"/>
    </xf>
    <xf numFmtId="166" fontId="2" fillId="34" borderId="50" xfId="0" applyNumberFormat="1" applyFont="1" applyFill="1" applyBorder="1" applyAlignment="1">
      <alignment vertical="center"/>
    </xf>
    <xf numFmtId="168" fontId="6" fillId="0" borderId="51" xfId="0" applyNumberFormat="1" applyFont="1" applyFill="1" applyBorder="1" applyAlignment="1">
      <alignment horizontal="center" vertical="center" wrapText="1"/>
    </xf>
    <xf numFmtId="166" fontId="2" fillId="34" borderId="10" xfId="0" applyNumberFormat="1" applyFont="1" applyFill="1" applyBorder="1" applyAlignment="1">
      <alignment vertical="center"/>
    </xf>
    <xf numFmtId="168" fontId="2" fillId="34" borderId="9" xfId="0" applyNumberFormat="1" applyFont="1" applyFill="1" applyBorder="1" applyAlignment="1">
      <alignment horizontal="center" vertical="center" wrapText="1"/>
    </xf>
    <xf numFmtId="9" fontId="2" fillId="34" borderId="11" xfId="1" applyFont="1" applyFill="1" applyBorder="1" applyAlignment="1">
      <alignment horizontal="center" vertical="center" wrapText="1"/>
    </xf>
    <xf numFmtId="168" fontId="0" fillId="0" borderId="0" xfId="0" applyNumberFormat="1"/>
    <xf numFmtId="180" fontId="3" fillId="35" borderId="24" xfId="0" applyNumberFormat="1" applyFont="1" applyFill="1" applyBorder="1"/>
    <xf numFmtId="168" fontId="0" fillId="0" borderId="24" xfId="0" applyNumberFormat="1" applyFill="1" applyBorder="1" applyAlignment="1">
      <alignment horizontal="center" vertical="center"/>
    </xf>
    <xf numFmtId="168" fontId="0" fillId="0" borderId="24" xfId="0" applyNumberForma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9" fontId="0" fillId="0" borderId="24" xfId="1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8" fontId="3" fillId="4" borderId="24" xfId="0" applyNumberFormat="1" applyFont="1" applyFill="1" applyBorder="1" applyAlignment="1">
      <alignment horizontal="center" vertical="center"/>
    </xf>
    <xf numFmtId="9" fontId="3" fillId="4" borderId="24" xfId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1" applyFont="1" applyFill="1"/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/>
    <xf numFmtId="0" fontId="5" fillId="0" borderId="24" xfId="0" applyFont="1" applyFill="1" applyBorder="1" applyAlignment="1">
      <alignment horizontal="center" vertical="center"/>
    </xf>
    <xf numFmtId="9" fontId="5" fillId="0" borderId="24" xfId="1" applyFont="1" applyFill="1" applyBorder="1" applyAlignment="1">
      <alignment horizontal="center" vertical="center"/>
    </xf>
    <xf numFmtId="14" fontId="5" fillId="0" borderId="2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9" fontId="6" fillId="0" borderId="24" xfId="1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68" fontId="3" fillId="6" borderId="24" xfId="0" applyNumberFormat="1" applyFont="1" applyFill="1" applyBorder="1" applyAlignment="1">
      <alignment horizontal="center" vertical="center"/>
    </xf>
    <xf numFmtId="180" fontId="0" fillId="0" borderId="24" xfId="0" applyNumberFormat="1" applyFill="1" applyBorder="1"/>
    <xf numFmtId="180" fontId="0" fillId="35" borderId="24" xfId="0" applyNumberFormat="1" applyFill="1" applyBorder="1"/>
    <xf numFmtId="180" fontId="43" fillId="35" borderId="24" xfId="0" applyNumberFormat="1" applyFont="1" applyFill="1" applyBorder="1"/>
    <xf numFmtId="178" fontId="0" fillId="35" borderId="24" xfId="0" applyNumberFormat="1" applyFill="1" applyBorder="1"/>
    <xf numFmtId="1" fontId="3" fillId="4" borderId="24" xfId="0" applyNumberFormat="1" applyFont="1" applyFill="1" applyBorder="1"/>
    <xf numFmtId="1" fontId="2" fillId="34" borderId="9" xfId="0" applyNumberFormat="1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 wrapText="1"/>
    </xf>
    <xf numFmtId="1" fontId="6" fillId="6" borderId="51" xfId="0" applyNumberFormat="1" applyFont="1" applyFill="1" applyBorder="1" applyAlignment="1">
      <alignment horizontal="center" vertical="center" wrapText="1"/>
    </xf>
    <xf numFmtId="168" fontId="0" fillId="0" borderId="24" xfId="0" applyNumberFormat="1" applyFont="1" applyFill="1" applyBorder="1"/>
    <xf numFmtId="2" fontId="0" fillId="0" borderId="24" xfId="0" applyNumberForma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0" fillId="0" borderId="0" xfId="0"/>
    <xf numFmtId="0" fontId="0" fillId="0" borderId="24" xfId="0" applyBorder="1" applyAlignment="1">
      <alignment horizontal="center"/>
    </xf>
    <xf numFmtId="9" fontId="3" fillId="0" borderId="24" xfId="1" applyFont="1" applyBorder="1" applyAlignment="1">
      <alignment horizontal="center"/>
    </xf>
    <xf numFmtId="175" fontId="41" fillId="0" borderId="24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4" borderId="37" xfId="0" applyNumberFormat="1" applyFont="1" applyFill="1" applyBorder="1" applyAlignment="1">
      <alignment horizontal="center" vertical="center" wrapText="1"/>
    </xf>
    <xf numFmtId="167" fontId="36" fillId="34" borderId="38" xfId="0" applyNumberFormat="1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2" xfId="0" applyNumberFormat="1" applyFont="1" applyFill="1" applyBorder="1" applyAlignment="1">
      <alignment horizontal="center" vertical="center" wrapText="1"/>
    </xf>
    <xf numFmtId="167" fontId="5" fillId="6" borderId="35" xfId="0" applyNumberFormat="1" applyFont="1" applyFill="1" applyBorder="1" applyAlignment="1">
      <alignment horizontal="center" vertical="center" wrapText="1"/>
    </xf>
    <xf numFmtId="167" fontId="5" fillId="6" borderId="5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166" fontId="13" fillId="7" borderId="46" xfId="0" applyNumberFormat="1" applyFont="1" applyFill="1" applyBorder="1" applyAlignment="1">
      <alignment horizontal="center" vertical="center"/>
    </xf>
    <xf numFmtId="166" fontId="13" fillId="7" borderId="47" xfId="0" applyNumberFormat="1" applyFont="1" applyFill="1" applyBorder="1" applyAlignment="1">
      <alignment horizontal="center" vertical="center"/>
    </xf>
    <xf numFmtId="166" fontId="13" fillId="7" borderId="48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32" borderId="24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/>
    </xf>
    <xf numFmtId="0" fontId="39" fillId="7" borderId="48" xfId="0" applyFont="1" applyFill="1" applyBorder="1" applyAlignment="1">
      <alignment horizontal="center" vertical="center"/>
    </xf>
    <xf numFmtId="14" fontId="2" fillId="7" borderId="44" xfId="0" applyNumberFormat="1" applyFont="1" applyFill="1" applyBorder="1" applyAlignment="1">
      <alignment horizontal="center" vertical="center"/>
    </xf>
    <xf numFmtId="14" fontId="2" fillId="7" borderId="0" xfId="0" applyNumberFormat="1" applyFont="1" applyFill="1" applyBorder="1" applyAlignment="1">
      <alignment horizontal="center" vertical="center"/>
    </xf>
    <xf numFmtId="14" fontId="2" fillId="7" borderId="45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" fillId="32" borderId="24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168" fontId="2" fillId="7" borderId="24" xfId="0" applyNumberFormat="1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168" fontId="10" fillId="0" borderId="24" xfId="0" applyNumberFormat="1" applyFont="1" applyFill="1" applyBorder="1" applyAlignment="1">
      <alignment horizontal="center" vertical="center"/>
    </xf>
    <xf numFmtId="168" fontId="10" fillId="30" borderId="24" xfId="0" applyNumberFormat="1" applyFont="1" applyFill="1" applyBorder="1" applyAlignment="1">
      <alignment horizontal="center" vertical="center"/>
    </xf>
    <xf numFmtId="9" fontId="0" fillId="6" borderId="26" xfId="1" applyFont="1" applyFill="1" applyBorder="1" applyAlignment="1">
      <alignment horizontal="center" vertical="center"/>
    </xf>
    <xf numFmtId="9" fontId="0" fillId="6" borderId="7" xfId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8" fontId="0" fillId="6" borderId="26" xfId="0" applyNumberFormat="1" applyFill="1" applyBorder="1" applyAlignment="1">
      <alignment horizontal="center" vertical="center"/>
    </xf>
    <xf numFmtId="168" fontId="0" fillId="6" borderId="7" xfId="0" applyNumberForma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9" fontId="0" fillId="6" borderId="43" xfId="1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8" fontId="0" fillId="6" borderId="43" xfId="0" applyNumberForma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textRotation="90"/>
    </xf>
    <xf numFmtId="0" fontId="3" fillId="4" borderId="2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167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41863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 2" xfId="35890"/>
    <cellStyle name="Porcentaje 3" xfId="35891"/>
    <cellStyle name="Porcentual" xfId="1" builtinId="5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A8AE"/>
  </sheetPr>
  <dimension ref="A1:K34"/>
  <sheetViews>
    <sheetView tabSelected="1" workbookViewId="0">
      <selection activeCell="B5" sqref="B5:I5"/>
    </sheetView>
  </sheetViews>
  <sheetFormatPr baseColWidth="10" defaultRowHeight="15"/>
  <cols>
    <col min="3" max="3" width="37.42578125" bestFit="1" customWidth="1"/>
    <col min="4" max="4" width="15.5703125" customWidth="1"/>
    <col min="5" max="5" width="14.7109375" customWidth="1"/>
    <col min="6" max="6" width="14.28515625" customWidth="1"/>
  </cols>
  <sheetData>
    <row r="1" spans="1:11">
      <c r="A1" s="5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>
      <c r="A2" s="5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/>
      <c r="B3" s="230" t="s">
        <v>397</v>
      </c>
      <c r="C3" s="231"/>
      <c r="D3" s="231"/>
      <c r="E3" s="231"/>
      <c r="F3" s="231"/>
      <c r="G3" s="231"/>
      <c r="H3" s="231"/>
      <c r="I3" s="232"/>
      <c r="J3" s="70"/>
      <c r="K3" s="70"/>
    </row>
    <row r="4" spans="1:11" ht="15.75" thickBot="1">
      <c r="A4" s="6"/>
      <c r="B4" s="233">
        <v>44566</v>
      </c>
      <c r="C4" s="234"/>
      <c r="D4" s="234"/>
      <c r="E4" s="234"/>
      <c r="F4" s="234"/>
      <c r="G4" s="234"/>
      <c r="H4" s="234"/>
      <c r="I4" s="235"/>
      <c r="J4" s="70"/>
      <c r="K4" s="70"/>
    </row>
    <row r="5" spans="1:11" ht="15.75" thickBot="1">
      <c r="A5" s="1"/>
      <c r="B5" s="239" t="s">
        <v>43</v>
      </c>
      <c r="C5" s="239"/>
      <c r="D5" s="239"/>
      <c r="E5" s="239"/>
      <c r="F5" s="239"/>
      <c r="G5" s="239"/>
      <c r="H5" s="239"/>
      <c r="I5" s="239"/>
      <c r="J5" s="70"/>
      <c r="K5" s="70"/>
    </row>
    <row r="6" spans="1:11" ht="24" customHeight="1" thickBot="1">
      <c r="A6" s="6"/>
      <c r="B6" s="10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 t="s">
        <v>7</v>
      </c>
      <c r="J6" s="70"/>
      <c r="K6" s="70"/>
    </row>
    <row r="7" spans="1:11">
      <c r="A7" s="6"/>
      <c r="B7" s="236" t="s">
        <v>8</v>
      </c>
      <c r="C7" s="164" t="s">
        <v>9</v>
      </c>
      <c r="D7" s="203">
        <f>+'Merluza del sur Artesanal X'!D23</f>
        <v>6164</v>
      </c>
      <c r="E7" s="165">
        <f>+'Merluza del sur Artesanal X'!E23</f>
        <v>-2273.7110000000002</v>
      </c>
      <c r="F7" s="165">
        <f>+D7+E7</f>
        <v>3890.2889999999998</v>
      </c>
      <c r="G7" s="165">
        <f>+'Merluza del sur Artesanal X'!G23</f>
        <v>3773.0350000000008</v>
      </c>
      <c r="H7" s="165">
        <f>+F7-G7</f>
        <v>117.253999999999</v>
      </c>
      <c r="I7" s="166">
        <f>+G7/F7</f>
        <v>0.96985982275352833</v>
      </c>
      <c r="J7" s="70"/>
      <c r="K7" s="70"/>
    </row>
    <row r="8" spans="1:11">
      <c r="A8" s="7"/>
      <c r="B8" s="237"/>
      <c r="C8" s="158" t="s">
        <v>10</v>
      </c>
      <c r="D8" s="204">
        <f>+'Merluza del sur Artesanal XI'!F28+'Merluza del sur Artesanal XI'!F53+'Merluza del sur Artesanal XI'!F98+'Merluza del sur Artesanal XI'!F121</f>
        <v>3757.0001089529992</v>
      </c>
      <c r="E8" s="159">
        <f>+'Merluza del sur Artesanal XI'!G28+'Merluza del sur Artesanal XI'!G53+'Merluza del sur Artesanal XI'!G98+'Merluza del sur Artesanal XI'!G121</f>
        <v>-2841.2719999999995</v>
      </c>
      <c r="F8" s="159">
        <f>+D8+E8</f>
        <v>915.72810895299972</v>
      </c>
      <c r="G8" s="159">
        <f>+'Merluza del sur Artesanal XI'!I28+'Merluza del sur Artesanal XI'!I53+'Merluza del sur Artesanal XI'!I98+'Merluza del sur Artesanal XI'!I121</f>
        <v>802.0336666666667</v>
      </c>
      <c r="H8" s="159">
        <f>+F8-G8</f>
        <v>113.69444228633301</v>
      </c>
      <c r="I8" s="162">
        <f t="shared" ref="I8:I9" si="0">+G8/F8</f>
        <v>0.8758425768798056</v>
      </c>
      <c r="J8" s="70"/>
      <c r="K8" s="70"/>
    </row>
    <row r="9" spans="1:11">
      <c r="A9" s="8"/>
      <c r="B9" s="237"/>
      <c r="C9" s="158" t="s">
        <v>11</v>
      </c>
      <c r="D9" s="204">
        <f>+'Merluza del sur Artesanal XII'!M141</f>
        <v>1709.9999279999977</v>
      </c>
      <c r="E9" s="159">
        <f>+'Merluza del sur Artesanal XII'!G141</f>
        <v>-1704.2539999999974</v>
      </c>
      <c r="F9" s="159">
        <f>+D9+E9</f>
        <v>5.7459280000002764</v>
      </c>
      <c r="G9" s="159">
        <f>+'Merluza del sur Artesanal XII'!P141</f>
        <v>2.238</v>
      </c>
      <c r="H9" s="159">
        <f>+F9-G9</f>
        <v>3.5079280000002764</v>
      </c>
      <c r="I9" s="162">
        <f t="shared" si="0"/>
        <v>0.38949322024221195</v>
      </c>
      <c r="J9" s="70"/>
      <c r="K9" s="70"/>
    </row>
    <row r="10" spans="1:11" s="70" customFormat="1">
      <c r="A10" s="8"/>
      <c r="B10" s="237"/>
      <c r="C10" s="33" t="s">
        <v>377</v>
      </c>
      <c r="D10" s="204" t="s">
        <v>31</v>
      </c>
      <c r="E10" s="159">
        <f>0.147+0.156+0.5+1.644+0.186</f>
        <v>2.633</v>
      </c>
      <c r="F10" s="159"/>
      <c r="G10" s="159"/>
      <c r="H10" s="159"/>
      <c r="I10" s="162"/>
    </row>
    <row r="11" spans="1:11" s="212" customFormat="1">
      <c r="A11" s="8"/>
      <c r="B11" s="237"/>
      <c r="C11" s="33" t="s">
        <v>457</v>
      </c>
      <c r="D11" s="204" t="s">
        <v>31</v>
      </c>
      <c r="E11" s="159">
        <f>+'Cesiones individuales'!E12</f>
        <v>49.887999999999998</v>
      </c>
      <c r="F11" s="159">
        <f>+E11</f>
        <v>49.887999999999998</v>
      </c>
      <c r="G11" s="159">
        <f>+'Cesiones individuales'!F12</f>
        <v>0</v>
      </c>
      <c r="H11" s="159">
        <f>+F11-G11</f>
        <v>49.887999999999998</v>
      </c>
      <c r="I11" s="162">
        <f>+G11/F11</f>
        <v>0</v>
      </c>
    </row>
    <row r="12" spans="1:11">
      <c r="A12" s="6"/>
      <c r="B12" s="237"/>
      <c r="C12" s="160" t="s">
        <v>12</v>
      </c>
      <c r="D12" s="205">
        <f>SUM(D7:D9)</f>
        <v>11631.000036952997</v>
      </c>
      <c r="E12" s="161">
        <f>+E7+E8+E9</f>
        <v>-6819.2369999999974</v>
      </c>
      <c r="F12" s="159">
        <f>+D12+E12</f>
        <v>4811.7630369529998</v>
      </c>
      <c r="G12" s="159">
        <f>SUM(G7:G9)</f>
        <v>4577.3066666666682</v>
      </c>
      <c r="H12" s="159">
        <f>+F12-G12</f>
        <v>234.45637028633155</v>
      </c>
      <c r="I12" s="162">
        <f>+G12/F12</f>
        <v>0.95127433157331898</v>
      </c>
      <c r="J12" s="70"/>
      <c r="K12" s="70"/>
    </row>
    <row r="13" spans="1:11">
      <c r="A13" s="6"/>
      <c r="B13" s="237"/>
      <c r="C13" s="160" t="s">
        <v>13</v>
      </c>
      <c r="D13" s="204">
        <v>20</v>
      </c>
      <c r="E13" s="159"/>
      <c r="F13" s="159">
        <f>+D13+E13</f>
        <v>20</v>
      </c>
      <c r="G13" s="159">
        <v>10.231</v>
      </c>
      <c r="H13" s="159">
        <f>+F13-G13</f>
        <v>9.7690000000000001</v>
      </c>
      <c r="I13" s="162">
        <f>+G13/F13</f>
        <v>0.51154999999999995</v>
      </c>
      <c r="J13" s="70"/>
      <c r="K13" s="70"/>
    </row>
    <row r="14" spans="1:11">
      <c r="A14" s="6"/>
      <c r="B14" s="237"/>
      <c r="C14" s="160" t="s">
        <v>14</v>
      </c>
      <c r="D14" s="205">
        <f>+D7+D8+D9+D13</f>
        <v>11651.000036952997</v>
      </c>
      <c r="E14" s="161"/>
      <c r="F14" s="161">
        <f>+D14+E14</f>
        <v>11651.000036952997</v>
      </c>
      <c r="G14" s="159">
        <f>+G7+G8+G9+G13</f>
        <v>4587.537666666668</v>
      </c>
      <c r="H14" s="161">
        <f>+F14-G14</f>
        <v>7063.4623702863291</v>
      </c>
      <c r="I14" s="163">
        <f>+G14/F14</f>
        <v>0.39374625801360946</v>
      </c>
      <c r="J14" s="70"/>
      <c r="K14" s="70"/>
    </row>
    <row r="15" spans="1:11">
      <c r="A15" s="9"/>
      <c r="B15" s="237" t="s">
        <v>15</v>
      </c>
      <c r="C15" s="158" t="s">
        <v>16</v>
      </c>
      <c r="D15" s="204">
        <f>+'Merluza del sur LTP'!E24</f>
        <v>4738.0017952000007</v>
      </c>
      <c r="E15" s="159">
        <f>+'Merluza del sur LTP'!L24</f>
        <v>9037.2529900000009</v>
      </c>
      <c r="F15" s="159">
        <f>+'Merluza del sur LTP'!M24</f>
        <v>13775.254785200003</v>
      </c>
      <c r="G15" s="159">
        <f>+'Merluza del sur LTP'!N24</f>
        <v>13147.99769</v>
      </c>
      <c r="H15" s="161">
        <f t="shared" ref="H15:H17" si="1">+F15-G15</f>
        <v>627.25709520000237</v>
      </c>
      <c r="I15" s="163">
        <f>+G15/F15</f>
        <v>0.95446493694810486</v>
      </c>
      <c r="J15" s="70"/>
      <c r="K15" s="70"/>
    </row>
    <row r="16" spans="1:11">
      <c r="A16" s="9"/>
      <c r="B16" s="237"/>
      <c r="C16" s="158" t="s">
        <v>17</v>
      </c>
      <c r="D16" s="204">
        <f>+'Merluza del sur LTP'!E42</f>
        <v>3028.9795541100002</v>
      </c>
      <c r="E16" s="159">
        <f>+'Merluza del sur LTP'!L42</f>
        <v>-2270.97199</v>
      </c>
      <c r="F16" s="159">
        <f>+'Merluza del sur LTP'!M42</f>
        <v>758.00756411000066</v>
      </c>
      <c r="G16" s="159">
        <f>+'Merluza del sur LTP'!N42</f>
        <v>529.1880000000001</v>
      </c>
      <c r="H16" s="161">
        <f t="shared" si="1"/>
        <v>228.81956411000056</v>
      </c>
      <c r="I16" s="163">
        <f t="shared" ref="I16:I17" si="2">+G16/F16</f>
        <v>0.69813023649880801</v>
      </c>
      <c r="J16" s="70"/>
      <c r="K16" s="70"/>
    </row>
    <row r="17" spans="1:11">
      <c r="A17" s="6"/>
      <c r="B17" s="237"/>
      <c r="C17" s="160" t="s">
        <v>18</v>
      </c>
      <c r="D17" s="205">
        <f>+D15+D16</f>
        <v>7766.981349310001</v>
      </c>
      <c r="E17" s="161">
        <f>SUM(E15:E16)</f>
        <v>6766.2810000000009</v>
      </c>
      <c r="F17" s="161">
        <f>+D17+E17</f>
        <v>14533.262349310002</v>
      </c>
      <c r="G17" s="159">
        <f>SUM(G15:G16)</f>
        <v>13677.18569</v>
      </c>
      <c r="H17" s="161">
        <f t="shared" si="1"/>
        <v>856.07665931000156</v>
      </c>
      <c r="I17" s="163">
        <f t="shared" si="2"/>
        <v>0.94109535500467689</v>
      </c>
      <c r="J17" s="70"/>
      <c r="K17" s="70"/>
    </row>
    <row r="18" spans="1:11" ht="15.75" thickBot="1">
      <c r="A18" s="6"/>
      <c r="B18" s="237" t="s">
        <v>19</v>
      </c>
      <c r="C18" s="238"/>
      <c r="D18" s="206">
        <v>28</v>
      </c>
      <c r="E18" s="168"/>
      <c r="F18" s="161">
        <f>+D18+E18</f>
        <v>28</v>
      </c>
      <c r="G18" s="168">
        <v>3.347</v>
      </c>
      <c r="H18" s="161">
        <f>+F18-G18</f>
        <v>24.652999999999999</v>
      </c>
      <c r="I18" s="163">
        <f>+G18/F18</f>
        <v>0.11953571428571429</v>
      </c>
      <c r="J18" s="70"/>
      <c r="K18" s="70"/>
    </row>
    <row r="19" spans="1:11" ht="15.75" thickBot="1">
      <c r="A19" s="6"/>
      <c r="B19" s="167" t="s">
        <v>20</v>
      </c>
      <c r="C19" s="169"/>
      <c r="D19" s="202">
        <f>+D14+D17+D18</f>
        <v>19445.981386262996</v>
      </c>
      <c r="E19" s="170">
        <f>+E12+E17+E10+E11</f>
        <v>-0.43499999999649219</v>
      </c>
      <c r="F19" s="170">
        <f>+D19+E19</f>
        <v>19445.546386262999</v>
      </c>
      <c r="G19" s="170">
        <f>+G14+G17</f>
        <v>18264.723356666669</v>
      </c>
      <c r="H19" s="170">
        <f>+F19-G19</f>
        <v>1180.8230295963294</v>
      </c>
      <c r="I19" s="171">
        <f>+G19/F19</f>
        <v>0.93927539981954411</v>
      </c>
      <c r="J19" s="70"/>
      <c r="K19" s="70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70"/>
      <c r="K20" s="70"/>
    </row>
    <row r="21" spans="1:11">
      <c r="A21" s="1"/>
      <c r="B21" s="2"/>
      <c r="C21" s="1"/>
      <c r="D21" s="1"/>
      <c r="E21" s="1"/>
      <c r="F21" s="1"/>
      <c r="G21" s="1"/>
      <c r="H21" s="1"/>
      <c r="I21" s="1"/>
      <c r="J21" s="1"/>
      <c r="K21" s="70"/>
    </row>
    <row r="22" spans="1:11" ht="15.75" thickBot="1">
      <c r="A22" s="1"/>
      <c r="B22" s="1"/>
      <c r="C22" s="1"/>
      <c r="D22" s="1"/>
      <c r="E22" s="1"/>
      <c r="F22" s="3"/>
      <c r="G22" s="1"/>
      <c r="H22" s="1"/>
      <c r="I22" s="1"/>
      <c r="J22" s="1"/>
      <c r="K22" s="70"/>
    </row>
    <row r="23" spans="1:11">
      <c r="A23" s="6"/>
      <c r="B23" s="216" t="s">
        <v>398</v>
      </c>
      <c r="C23" s="217"/>
      <c r="D23" s="217"/>
      <c r="E23" s="217"/>
      <c r="F23" s="217"/>
      <c r="G23" s="217"/>
      <c r="H23" s="217"/>
      <c r="I23" s="217"/>
      <c r="J23" s="218"/>
      <c r="K23" s="70"/>
    </row>
    <row r="24" spans="1:11" ht="15.75" thickBot="1">
      <c r="A24" s="6"/>
      <c r="B24" s="219">
        <f>+B4</f>
        <v>44566</v>
      </c>
      <c r="C24" s="220"/>
      <c r="D24" s="220"/>
      <c r="E24" s="220"/>
      <c r="F24" s="220"/>
      <c r="G24" s="220"/>
      <c r="H24" s="220"/>
      <c r="I24" s="220"/>
      <c r="J24" s="221"/>
      <c r="K24" s="70"/>
    </row>
    <row r="25" spans="1:11">
      <c r="B25" s="229" t="s">
        <v>43</v>
      </c>
      <c r="C25" s="229"/>
      <c r="D25" s="229"/>
      <c r="E25" s="229"/>
      <c r="F25" s="229"/>
      <c r="G25" s="229"/>
      <c r="H25" s="229"/>
      <c r="I25" s="229"/>
      <c r="J25" s="229"/>
      <c r="K25" s="70"/>
    </row>
    <row r="26" spans="1:11" ht="15.7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70"/>
    </row>
    <row r="27" spans="1:11" ht="15" customHeight="1" thickBot="1">
      <c r="A27" s="6"/>
      <c r="B27" s="224" t="s">
        <v>21</v>
      </c>
      <c r="C27" s="224" t="s">
        <v>22</v>
      </c>
      <c r="D27" s="224" t="s">
        <v>23</v>
      </c>
      <c r="E27" s="227" t="s">
        <v>24</v>
      </c>
      <c r="F27" s="228"/>
      <c r="G27" s="224" t="s">
        <v>25</v>
      </c>
      <c r="H27" s="224" t="s">
        <v>26</v>
      </c>
      <c r="I27" s="224" t="s">
        <v>27</v>
      </c>
      <c r="J27" s="224" t="s">
        <v>28</v>
      </c>
      <c r="K27" s="1"/>
    </row>
    <row r="28" spans="1:11" ht="15.75" thickBot="1">
      <c r="A28" s="6"/>
      <c r="B28" s="225"/>
      <c r="C28" s="225"/>
      <c r="D28" s="225"/>
      <c r="E28" s="11" t="s">
        <v>15</v>
      </c>
      <c r="F28" s="11" t="s">
        <v>8</v>
      </c>
      <c r="G28" s="225"/>
      <c r="H28" s="225"/>
      <c r="I28" s="225"/>
      <c r="J28" s="225"/>
      <c r="K28" s="1"/>
    </row>
    <row r="29" spans="1:11" ht="36.6" customHeight="1">
      <c r="A29" s="6"/>
      <c r="B29" s="226" t="s">
        <v>275</v>
      </c>
      <c r="C29" s="80" t="s">
        <v>29</v>
      </c>
      <c r="D29" s="81">
        <v>5</v>
      </c>
      <c r="E29" s="76"/>
      <c r="F29" s="76"/>
      <c r="G29" s="77">
        <f>+E29+F29</f>
        <v>0</v>
      </c>
      <c r="H29" s="78">
        <f>+D29-G29</f>
        <v>5</v>
      </c>
      <c r="I29" s="79">
        <f>+G29/D29</f>
        <v>0</v>
      </c>
      <c r="J29" s="142" t="s">
        <v>31</v>
      </c>
      <c r="K29" s="1"/>
    </row>
    <row r="30" spans="1:11" ht="36.75" customHeight="1">
      <c r="A30" s="6"/>
      <c r="B30" s="226"/>
      <c r="C30" s="82" t="s">
        <v>30</v>
      </c>
      <c r="D30" s="81">
        <v>50</v>
      </c>
      <c r="E30" s="155">
        <v>72.355000000000004</v>
      </c>
      <c r="F30" s="76"/>
      <c r="G30" s="76">
        <f>+E30+F30</f>
        <v>72.355000000000004</v>
      </c>
      <c r="H30" s="78">
        <f>+D30-G30</f>
        <v>-22.355000000000004</v>
      </c>
      <c r="I30" s="88">
        <f>+G30/D30</f>
        <v>1.4471000000000001</v>
      </c>
      <c r="J30" s="142">
        <v>44312</v>
      </c>
      <c r="K30" s="1"/>
    </row>
    <row r="31" spans="1:11" ht="15.75" thickBot="1">
      <c r="A31" s="1"/>
      <c r="B31" s="222" t="s">
        <v>32</v>
      </c>
      <c r="C31" s="223"/>
      <c r="D31" s="83">
        <f>SUM(D29:D30)</f>
        <v>55</v>
      </c>
      <c r="E31" s="84">
        <f>SUM(E29:E30)</f>
        <v>72.355000000000004</v>
      </c>
      <c r="F31" s="84">
        <f>SUM(F29:F30)</f>
        <v>0</v>
      </c>
      <c r="G31" s="84">
        <f>+E31+F31</f>
        <v>72.355000000000004</v>
      </c>
      <c r="H31" s="84">
        <f>+D31-G31</f>
        <v>-17.355000000000004</v>
      </c>
      <c r="I31" s="85">
        <f>+G31/D31</f>
        <v>1.3155454545454546</v>
      </c>
      <c r="J31" s="86" t="s">
        <v>31</v>
      </c>
      <c r="K31" s="1"/>
    </row>
    <row r="34" spans="2:2">
      <c r="B34" s="75" t="s">
        <v>362</v>
      </c>
    </row>
  </sheetData>
  <mergeCells count="19">
    <mergeCell ref="B3:I3"/>
    <mergeCell ref="B4:I4"/>
    <mergeCell ref="B7:B14"/>
    <mergeCell ref="B15:B17"/>
    <mergeCell ref="B18:C18"/>
    <mergeCell ref="B5:I5"/>
    <mergeCell ref="B23:J23"/>
    <mergeCell ref="B24:J24"/>
    <mergeCell ref="B31:C31"/>
    <mergeCell ref="J27:J28"/>
    <mergeCell ref="B29:B30"/>
    <mergeCell ref="B27:B28"/>
    <mergeCell ref="C27:C28"/>
    <mergeCell ref="D27:D28"/>
    <mergeCell ref="E27:F27"/>
    <mergeCell ref="G27:G28"/>
    <mergeCell ref="H27:H28"/>
    <mergeCell ref="I27:I28"/>
    <mergeCell ref="B25:J2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1"/>
  <sheetViews>
    <sheetView workbookViewId="0">
      <selection activeCell="I3" sqref="I3"/>
    </sheetView>
  </sheetViews>
  <sheetFormatPr baseColWidth="10" defaultColWidth="11.5703125" defaultRowHeight="15"/>
  <cols>
    <col min="1" max="1" width="11.5703125" style="89"/>
    <col min="2" max="2" width="41.140625" style="89" customWidth="1"/>
    <col min="3" max="3" width="14.5703125" style="89" customWidth="1"/>
    <col min="4" max="4" width="11.5703125" style="89" bestFit="1"/>
    <col min="5" max="5" width="11.5703125" style="89"/>
    <col min="6" max="6" width="13.28515625" style="89" bestFit="1" customWidth="1"/>
    <col min="7" max="7" width="11.5703125" style="89"/>
    <col min="8" max="8" width="12" style="89" bestFit="1" customWidth="1"/>
    <col min="9" max="9" width="24.42578125" style="89" customWidth="1"/>
    <col min="10" max="10" width="11.7109375" style="89" bestFit="1" customWidth="1"/>
    <col min="11" max="13" width="13.5703125" style="89" bestFit="1" customWidth="1"/>
    <col min="14" max="16384" width="11.5703125" style="89"/>
  </cols>
  <sheetData>
    <row r="1" spans="1:13" ht="15.75" thickBot="1"/>
    <row r="2" spans="1:13" ht="15.75" thickBot="1">
      <c r="B2" s="98" t="s">
        <v>215</v>
      </c>
      <c r="C2" s="95" t="s">
        <v>216</v>
      </c>
    </row>
    <row r="3" spans="1:13">
      <c r="A3" s="308" t="s">
        <v>217</v>
      </c>
      <c r="B3" s="101" t="s">
        <v>212</v>
      </c>
      <c r="C3" s="93">
        <v>1658</v>
      </c>
      <c r="D3" s="306">
        <f>C3+C4</f>
        <v>4738</v>
      </c>
      <c r="F3" s="172"/>
      <c r="H3" s="89">
        <f>0.0252261*D3</f>
        <v>119.5212618</v>
      </c>
      <c r="I3" s="89">
        <v>119.5212618</v>
      </c>
    </row>
    <row r="4" spans="1:13" ht="15.75" thickBot="1">
      <c r="A4" s="308"/>
      <c r="B4" s="102" t="s">
        <v>211</v>
      </c>
      <c r="C4" s="92">
        <v>3080</v>
      </c>
      <c r="D4" s="307"/>
    </row>
    <row r="5" spans="1:13">
      <c r="A5" s="308" t="s">
        <v>218</v>
      </c>
      <c r="B5" s="101" t="s">
        <v>212</v>
      </c>
      <c r="C5" s="93">
        <v>1060</v>
      </c>
      <c r="D5" s="306">
        <f>C5+C6</f>
        <v>3029</v>
      </c>
      <c r="H5" s="89">
        <f>0.01*D5</f>
        <v>30.29</v>
      </c>
    </row>
    <row r="6" spans="1:13" ht="15.75" thickBot="1">
      <c r="A6" s="308"/>
      <c r="B6" s="102" t="s">
        <v>211</v>
      </c>
      <c r="C6" s="92">
        <v>1969</v>
      </c>
      <c r="D6" s="307"/>
    </row>
    <row r="7" spans="1:13" ht="15.75" thickBot="1">
      <c r="C7" s="94">
        <f>SUM(C3:C6)</f>
        <v>7767</v>
      </c>
    </row>
    <row r="10" spans="1:13">
      <c r="B10" s="305" t="s">
        <v>219</v>
      </c>
      <c r="C10" s="305"/>
      <c r="D10" s="305"/>
      <c r="E10" s="305"/>
      <c r="F10" s="305"/>
      <c r="I10" s="305" t="s">
        <v>220</v>
      </c>
      <c r="J10" s="305"/>
      <c r="K10" s="305"/>
      <c r="L10" s="305"/>
      <c r="M10" s="305"/>
    </row>
    <row r="12" spans="1:13">
      <c r="B12" s="91" t="s">
        <v>221</v>
      </c>
      <c r="C12" s="91" t="s">
        <v>222</v>
      </c>
      <c r="D12" s="91" t="s">
        <v>223</v>
      </c>
      <c r="E12" s="91" t="s">
        <v>224</v>
      </c>
      <c r="F12" s="91" t="s">
        <v>225</v>
      </c>
      <c r="I12" s="91" t="s">
        <v>221</v>
      </c>
      <c r="J12" s="91" t="s">
        <v>222</v>
      </c>
      <c r="K12" s="91" t="s">
        <v>223</v>
      </c>
      <c r="L12" s="91" t="s">
        <v>224</v>
      </c>
      <c r="M12" s="91" t="s">
        <v>225</v>
      </c>
    </row>
    <row r="13" spans="1:13">
      <c r="B13" s="90" t="s">
        <v>206</v>
      </c>
      <c r="C13" s="99">
        <v>0.1234089</v>
      </c>
      <c r="D13" s="153">
        <f>$C$3*C13</f>
        <v>204.61195620000001</v>
      </c>
      <c r="E13" s="153">
        <f>$C$4*C13</f>
        <v>380.09941200000003</v>
      </c>
      <c r="F13" s="153">
        <f>D13+E13</f>
        <v>584.71136820000004</v>
      </c>
      <c r="I13" s="99" t="s">
        <v>226</v>
      </c>
      <c r="J13" s="99">
        <f>+C13+C39+C46+C47</f>
        <v>0.15590890000000002</v>
      </c>
      <c r="K13" s="197">
        <f t="shared" ref="K13:K15" si="0">+C$3*J13</f>
        <v>258.4969562</v>
      </c>
      <c r="L13" s="197">
        <f>+C$4*J13</f>
        <v>480.19941200000005</v>
      </c>
      <c r="M13" s="197">
        <f>+K13+L13</f>
        <v>738.69636820000005</v>
      </c>
    </row>
    <row r="14" spans="1:13">
      <c r="B14" s="99" t="s">
        <v>214</v>
      </c>
      <c r="C14" s="99">
        <v>0.19347429999999999</v>
      </c>
      <c r="D14" s="153">
        <f>$C$3*C14</f>
        <v>320.78038939999999</v>
      </c>
      <c r="E14" s="153">
        <f t="shared" ref="E14:E20" si="1">$C$4*C14</f>
        <v>595.90084400000001</v>
      </c>
      <c r="F14" s="153">
        <f t="shared" ref="F14:F20" si="2">D14+E14</f>
        <v>916.6812334</v>
      </c>
      <c r="I14" s="137" t="s">
        <v>214</v>
      </c>
      <c r="J14" s="137">
        <f>C14++C15+C16+C29+C30+C31+C32+C33+C34+C37+C38+C40+C41+C42+C43+C44+C45+C48+C49+C58+C59</f>
        <v>0.30316740000000003</v>
      </c>
      <c r="K14" s="198">
        <f>+C$3*J14</f>
        <v>502.65154920000003</v>
      </c>
      <c r="L14" s="198">
        <f>+C$4*J14</f>
        <v>933.75559200000009</v>
      </c>
      <c r="M14" s="199">
        <f>+K14+L14</f>
        <v>1436.4071412000001</v>
      </c>
    </row>
    <row r="15" spans="1:13">
      <c r="B15" s="99" t="s">
        <v>214</v>
      </c>
      <c r="C15" s="99">
        <v>2.1967E-2</v>
      </c>
      <c r="D15" s="153">
        <f>$C$3*C15</f>
        <v>36.421286000000002</v>
      </c>
      <c r="E15" s="153">
        <f t="shared" si="1"/>
        <v>67.658360000000002</v>
      </c>
      <c r="F15" s="153">
        <f t="shared" si="2"/>
        <v>104.079646</v>
      </c>
      <c r="I15" s="99" t="s">
        <v>404</v>
      </c>
      <c r="J15" s="99">
        <f>+C17+C35+C36</f>
        <v>0.1621031</v>
      </c>
      <c r="K15" s="197">
        <f t="shared" si="0"/>
        <v>268.76693979999999</v>
      </c>
      <c r="L15" s="197">
        <f t="shared" ref="L15" si="3">+C$4*J15</f>
        <v>499.27754800000002</v>
      </c>
      <c r="M15" s="197">
        <f t="shared" ref="M15" si="4">+K15+L15</f>
        <v>768.04448780000007</v>
      </c>
    </row>
    <row r="16" spans="1:13" s="150" customFormat="1">
      <c r="B16" s="99" t="s">
        <v>214</v>
      </c>
      <c r="C16" s="99">
        <v>2.5226100000000001E-2</v>
      </c>
      <c r="D16" s="153">
        <f>$C$3*C16</f>
        <v>41.824873799999999</v>
      </c>
      <c r="E16" s="153">
        <f t="shared" ref="E16" si="5">$C$4*C16</f>
        <v>77.696387999999999</v>
      </c>
      <c r="F16" s="153">
        <f t="shared" ref="F16" si="6">D16+E16</f>
        <v>119.52126179999999</v>
      </c>
      <c r="I16" s="99" t="s">
        <v>208</v>
      </c>
      <c r="J16" s="99">
        <f>+C18</f>
        <v>0.33873370000000003</v>
      </c>
      <c r="K16" s="197">
        <f t="shared" ref="K16:K20" si="7">+C$3*J16</f>
        <v>561.62047460000008</v>
      </c>
      <c r="L16" s="197">
        <f t="shared" ref="L16:L21" si="8">+C$4*J16</f>
        <v>1043.299796</v>
      </c>
      <c r="M16" s="197">
        <f>+K16+L16</f>
        <v>1604.9202706000001</v>
      </c>
    </row>
    <row r="17" spans="2:16">
      <c r="B17" s="99" t="s">
        <v>404</v>
      </c>
      <c r="C17" s="99">
        <f>0.1690701-0.021967</f>
        <v>0.14710309999999999</v>
      </c>
      <c r="D17" s="153">
        <f t="shared" ref="D17:D20" si="9">$C$3*C17</f>
        <v>243.89693979999998</v>
      </c>
      <c r="E17" s="153">
        <f t="shared" si="1"/>
        <v>453.07754799999998</v>
      </c>
      <c r="F17" s="153">
        <f t="shared" si="2"/>
        <v>696.97448779999991</v>
      </c>
      <c r="I17" s="99" t="s">
        <v>209</v>
      </c>
      <c r="J17" s="99">
        <f>+C19</f>
        <v>4.4799999999999998E-5</v>
      </c>
      <c r="K17" s="197">
        <f t="shared" si="7"/>
        <v>7.4278399999999994E-2</v>
      </c>
      <c r="L17" s="197">
        <f t="shared" si="8"/>
        <v>0.137984</v>
      </c>
      <c r="M17" s="197">
        <f>+K17+L17</f>
        <v>0.21226239999999999</v>
      </c>
    </row>
    <row r="18" spans="2:16">
      <c r="B18" s="99" t="s">
        <v>208</v>
      </c>
      <c r="C18" s="99">
        <v>0.33873370000000003</v>
      </c>
      <c r="D18" s="153">
        <f t="shared" si="9"/>
        <v>561.62047460000008</v>
      </c>
      <c r="E18" s="153">
        <f t="shared" si="1"/>
        <v>1043.299796</v>
      </c>
      <c r="F18" s="153">
        <f t="shared" si="2"/>
        <v>1604.9202706000001</v>
      </c>
      <c r="I18" s="99" t="s">
        <v>210</v>
      </c>
      <c r="J18" s="99">
        <f>+C20</f>
        <v>4.2500000000000003E-5</v>
      </c>
      <c r="K18" s="197">
        <f t="shared" si="7"/>
        <v>7.0465E-2</v>
      </c>
      <c r="L18" s="197">
        <f t="shared" si="8"/>
        <v>0.13090000000000002</v>
      </c>
      <c r="M18" s="197">
        <f>+K18+L18</f>
        <v>0.20136500000000002</v>
      </c>
    </row>
    <row r="19" spans="2:16">
      <c r="B19" s="90" t="s">
        <v>209</v>
      </c>
      <c r="C19" s="99">
        <v>4.4799999999999998E-5</v>
      </c>
      <c r="D19" s="153">
        <f t="shared" si="9"/>
        <v>7.4278399999999994E-2</v>
      </c>
      <c r="E19" s="153">
        <f t="shared" si="1"/>
        <v>0.137984</v>
      </c>
      <c r="F19" s="153">
        <f t="shared" si="2"/>
        <v>0.21226239999999999</v>
      </c>
      <c r="I19" s="99" t="s">
        <v>213</v>
      </c>
      <c r="J19" s="99">
        <f>C56+C57</f>
        <v>0.02</v>
      </c>
      <c r="K19" s="197">
        <f t="shared" si="7"/>
        <v>33.160000000000004</v>
      </c>
      <c r="L19" s="197">
        <f t="shared" si="8"/>
        <v>61.6</v>
      </c>
      <c r="M19" s="197">
        <f>+K19+L19</f>
        <v>94.76</v>
      </c>
    </row>
    <row r="20" spans="2:16">
      <c r="B20" s="90" t="s">
        <v>210</v>
      </c>
      <c r="C20" s="99">
        <v>4.2500000000000003E-5</v>
      </c>
      <c r="D20" s="153">
        <f t="shared" si="9"/>
        <v>7.0465E-2</v>
      </c>
      <c r="E20" s="153">
        <f t="shared" si="1"/>
        <v>0.13090000000000002</v>
      </c>
      <c r="F20" s="153">
        <f t="shared" si="2"/>
        <v>0.20136500000000002</v>
      </c>
      <c r="I20" s="99" t="s">
        <v>407</v>
      </c>
      <c r="J20" s="99">
        <f>+C50+C51+C52+C53+C54+C55</f>
        <v>0.02</v>
      </c>
      <c r="K20" s="197">
        <f t="shared" si="7"/>
        <v>33.160000000000004</v>
      </c>
      <c r="L20" s="197">
        <f t="shared" si="8"/>
        <v>61.6</v>
      </c>
      <c r="M20" s="197">
        <f t="shared" ref="M20" si="10">+K20+L20</f>
        <v>94.76</v>
      </c>
    </row>
    <row r="21" spans="2:16">
      <c r="C21" s="100">
        <f>SUM(C13:C20)</f>
        <v>0.85000039999999999</v>
      </c>
      <c r="D21" s="97">
        <f>SUM(D13:D20)</f>
        <v>1409.3006631999999</v>
      </c>
      <c r="E21" s="97">
        <f>SUM(E13:E20)</f>
        <v>2618.0012320000001</v>
      </c>
      <c r="F21" s="97">
        <f>SUM(F13:F20)</f>
        <v>4027.3018951999998</v>
      </c>
      <c r="I21" s="99" t="s">
        <v>405</v>
      </c>
      <c r="J21" s="99"/>
      <c r="K21" s="197">
        <f>+C$3*J21</f>
        <v>0</v>
      </c>
      <c r="L21" s="197">
        <f t="shared" si="8"/>
        <v>0</v>
      </c>
      <c r="M21" s="197">
        <f>+K21+L21</f>
        <v>0</v>
      </c>
      <c r="O21" s="172">
        <f>0.005*M22</f>
        <v>23.690009476</v>
      </c>
      <c r="P21" s="89" t="s">
        <v>448</v>
      </c>
    </row>
    <row r="22" spans="2:16">
      <c r="C22" s="146"/>
      <c r="D22" s="147"/>
      <c r="E22" s="147"/>
      <c r="F22" s="147"/>
      <c r="G22" s="72"/>
      <c r="J22" s="173">
        <f>SUM(J13:J21)</f>
        <v>1.0000004</v>
      </c>
      <c r="K22" s="115">
        <f>+C$3*J22</f>
        <v>1658.0006632</v>
      </c>
      <c r="L22" s="115">
        <f>+C$4*J22</f>
        <v>3080.0012320000001</v>
      </c>
      <c r="M22" s="115">
        <f>SUM(M13:M21)</f>
        <v>4738.0018952</v>
      </c>
    </row>
    <row r="23" spans="2:16">
      <c r="C23" s="148"/>
      <c r="D23" s="145"/>
      <c r="E23" s="145"/>
      <c r="F23" s="145"/>
      <c r="G23" s="72"/>
    </row>
    <row r="24" spans="2:16">
      <c r="C24" s="72"/>
      <c r="D24" s="72"/>
      <c r="E24" s="72"/>
      <c r="F24" s="72"/>
      <c r="G24" s="72"/>
    </row>
    <row r="25" spans="2:16">
      <c r="H25" s="154"/>
      <c r="I25" s="139"/>
      <c r="J25" s="139"/>
      <c r="K25" s="139"/>
    </row>
    <row r="26" spans="2:16">
      <c r="B26" s="305" t="s">
        <v>227</v>
      </c>
      <c r="C26" s="305"/>
      <c r="D26" s="305"/>
      <c r="E26" s="305"/>
      <c r="F26" s="305"/>
      <c r="I26" s="139"/>
      <c r="J26" s="194"/>
      <c r="K26" s="139"/>
      <c r="L26" s="195"/>
    </row>
    <row r="27" spans="2:16">
      <c r="I27" s="150"/>
    </row>
    <row r="28" spans="2:16">
      <c r="B28" s="91" t="s">
        <v>221</v>
      </c>
      <c r="C28" s="91" t="s">
        <v>222</v>
      </c>
      <c r="D28" s="91" t="s">
        <v>223</v>
      </c>
      <c r="E28" s="91" t="s">
        <v>224</v>
      </c>
      <c r="F28" s="91" t="s">
        <v>225</v>
      </c>
    </row>
    <row r="29" spans="2:16">
      <c r="B29" s="99" t="s">
        <v>214</v>
      </c>
      <c r="C29" s="99">
        <v>1.25E-3</v>
      </c>
      <c r="D29" s="152">
        <f>$C$3*C29</f>
        <v>2.0725000000000002</v>
      </c>
      <c r="E29" s="152">
        <f>$C$4*C29</f>
        <v>3.85</v>
      </c>
      <c r="F29" s="152">
        <f>D29+E29</f>
        <v>5.9225000000000003</v>
      </c>
    </row>
    <row r="30" spans="2:16">
      <c r="B30" s="99" t="s">
        <v>214</v>
      </c>
      <c r="C30" s="99">
        <v>1.25E-3</v>
      </c>
      <c r="D30" s="152">
        <f t="shared" ref="D30:D59" si="11">$C$3*C30</f>
        <v>2.0725000000000002</v>
      </c>
      <c r="E30" s="152">
        <f t="shared" ref="E30:E48" si="12">$C$4*C30</f>
        <v>3.85</v>
      </c>
      <c r="F30" s="152">
        <f t="shared" ref="F30:F59" si="13">D30+E30</f>
        <v>5.9225000000000003</v>
      </c>
      <c r="H30" s="66"/>
      <c r="I30" s="150"/>
    </row>
    <row r="31" spans="2:16">
      <c r="B31" s="99" t="s">
        <v>214</v>
      </c>
      <c r="C31" s="99">
        <v>2.5000000000000001E-3</v>
      </c>
      <c r="D31" s="152">
        <f t="shared" si="11"/>
        <v>4.1450000000000005</v>
      </c>
      <c r="E31" s="152">
        <f t="shared" si="12"/>
        <v>7.7</v>
      </c>
      <c r="F31" s="152">
        <f t="shared" si="13"/>
        <v>11.845000000000001</v>
      </c>
      <c r="H31" s="66"/>
    </row>
    <row r="32" spans="2:16">
      <c r="B32" s="99" t="s">
        <v>214</v>
      </c>
      <c r="C32" s="99">
        <v>2.5000000000000001E-3</v>
      </c>
      <c r="D32" s="152">
        <f t="shared" si="11"/>
        <v>4.1450000000000005</v>
      </c>
      <c r="E32" s="152">
        <f t="shared" si="12"/>
        <v>7.7</v>
      </c>
      <c r="F32" s="152">
        <f t="shared" si="13"/>
        <v>11.845000000000001</v>
      </c>
    </row>
    <row r="33" spans="2:6">
      <c r="B33" s="99" t="s">
        <v>214</v>
      </c>
      <c r="C33" s="99">
        <v>2.5000000000000001E-3</v>
      </c>
      <c r="D33" s="152">
        <f t="shared" si="11"/>
        <v>4.1450000000000005</v>
      </c>
      <c r="E33" s="152">
        <f t="shared" si="12"/>
        <v>7.7</v>
      </c>
      <c r="F33" s="152">
        <f t="shared" si="13"/>
        <v>11.845000000000001</v>
      </c>
    </row>
    <row r="34" spans="2:6">
      <c r="B34" s="99" t="s">
        <v>214</v>
      </c>
      <c r="C34" s="99">
        <v>5.0000000000000001E-3</v>
      </c>
      <c r="D34" s="152">
        <f t="shared" si="11"/>
        <v>8.2900000000000009</v>
      </c>
      <c r="E34" s="152">
        <f t="shared" si="12"/>
        <v>15.4</v>
      </c>
      <c r="F34" s="152">
        <f t="shared" si="13"/>
        <v>23.69</v>
      </c>
    </row>
    <row r="35" spans="2:6">
      <c r="B35" s="99" t="s">
        <v>404</v>
      </c>
      <c r="C35" s="99">
        <v>7.4999999999999997E-3</v>
      </c>
      <c r="D35" s="152">
        <f t="shared" si="11"/>
        <v>12.434999999999999</v>
      </c>
      <c r="E35" s="152">
        <f t="shared" si="12"/>
        <v>23.099999999999998</v>
      </c>
      <c r="F35" s="152">
        <f t="shared" si="13"/>
        <v>35.534999999999997</v>
      </c>
    </row>
    <row r="36" spans="2:6">
      <c r="B36" s="99" t="s">
        <v>404</v>
      </c>
      <c r="C36" s="99">
        <v>7.4999999999999997E-3</v>
      </c>
      <c r="D36" s="152">
        <f t="shared" si="11"/>
        <v>12.434999999999999</v>
      </c>
      <c r="E36" s="152">
        <f t="shared" si="12"/>
        <v>23.099999999999998</v>
      </c>
      <c r="F36" s="152">
        <f t="shared" si="13"/>
        <v>35.534999999999997</v>
      </c>
    </row>
    <row r="37" spans="2:6">
      <c r="B37" s="99" t="s">
        <v>214</v>
      </c>
      <c r="C37" s="99">
        <v>6.7882000000000003E-3</v>
      </c>
      <c r="D37" s="152">
        <f t="shared" si="11"/>
        <v>11.2548356</v>
      </c>
      <c r="E37" s="152">
        <f t="shared" si="12"/>
        <v>20.907655999999999</v>
      </c>
      <c r="F37" s="152">
        <f t="shared" si="13"/>
        <v>32.162491599999996</v>
      </c>
    </row>
    <row r="38" spans="2:6">
      <c r="B38" s="99" t="s">
        <v>214</v>
      </c>
      <c r="C38" s="99">
        <v>7.1179999999999995E-4</v>
      </c>
      <c r="D38" s="152">
        <f t="shared" si="11"/>
        <v>1.1801644</v>
      </c>
      <c r="E38" s="152">
        <f t="shared" si="12"/>
        <v>2.1923439999999998</v>
      </c>
      <c r="F38" s="152">
        <f t="shared" si="13"/>
        <v>3.3725084000000001</v>
      </c>
    </row>
    <row r="39" spans="2:6">
      <c r="B39" s="99" t="s">
        <v>228</v>
      </c>
      <c r="C39" s="99">
        <v>1.2500000000000001E-2</v>
      </c>
      <c r="D39" s="152">
        <f t="shared" si="11"/>
        <v>20.725000000000001</v>
      </c>
      <c r="E39" s="152">
        <f t="shared" si="12"/>
        <v>38.5</v>
      </c>
      <c r="F39" s="152">
        <f t="shared" si="13"/>
        <v>59.225000000000001</v>
      </c>
    </row>
    <row r="40" spans="2:6">
      <c r="B40" s="99" t="s">
        <v>214</v>
      </c>
      <c r="C40" s="99">
        <v>5.0000000000000001E-3</v>
      </c>
      <c r="D40" s="152">
        <f t="shared" si="11"/>
        <v>8.2900000000000009</v>
      </c>
      <c r="E40" s="152">
        <f t="shared" si="12"/>
        <v>15.4</v>
      </c>
      <c r="F40" s="152">
        <f t="shared" si="13"/>
        <v>23.69</v>
      </c>
    </row>
    <row r="41" spans="2:6">
      <c r="B41" s="99" t="s">
        <v>214</v>
      </c>
      <c r="C41" s="99">
        <v>5.0000000000000001E-3</v>
      </c>
      <c r="D41" s="152">
        <f t="shared" si="11"/>
        <v>8.2900000000000009</v>
      </c>
      <c r="E41" s="152">
        <f t="shared" si="12"/>
        <v>15.4</v>
      </c>
      <c r="F41" s="152">
        <f t="shared" si="13"/>
        <v>23.69</v>
      </c>
    </row>
    <row r="42" spans="2:6">
      <c r="B42" s="99" t="s">
        <v>214</v>
      </c>
      <c r="C42" s="99">
        <v>2.5000000000000001E-3</v>
      </c>
      <c r="D42" s="152">
        <f t="shared" si="11"/>
        <v>4.1450000000000005</v>
      </c>
      <c r="E42" s="152">
        <f t="shared" si="12"/>
        <v>7.7</v>
      </c>
      <c r="F42" s="152">
        <f t="shared" si="13"/>
        <v>11.845000000000001</v>
      </c>
    </row>
    <row r="43" spans="2:6">
      <c r="B43" s="99" t="s">
        <v>214</v>
      </c>
      <c r="C43" s="99">
        <v>2.5000000000000001E-3</v>
      </c>
      <c r="D43" s="152">
        <f t="shared" si="11"/>
        <v>4.1450000000000005</v>
      </c>
      <c r="E43" s="152">
        <f t="shared" si="12"/>
        <v>7.7</v>
      </c>
      <c r="F43" s="152">
        <f t="shared" si="13"/>
        <v>11.845000000000001</v>
      </c>
    </row>
    <row r="44" spans="2:6">
      <c r="B44" s="99" t="s">
        <v>214</v>
      </c>
      <c r="C44" s="99">
        <v>2.5000000000000001E-3</v>
      </c>
      <c r="D44" s="152">
        <f t="shared" si="11"/>
        <v>4.1450000000000005</v>
      </c>
      <c r="E44" s="152">
        <f t="shared" si="12"/>
        <v>7.7</v>
      </c>
      <c r="F44" s="152">
        <f t="shared" si="13"/>
        <v>11.845000000000001</v>
      </c>
    </row>
    <row r="45" spans="2:6">
      <c r="B45" s="99" t="s">
        <v>214</v>
      </c>
      <c r="C45" s="99">
        <v>2.5000000000000001E-3</v>
      </c>
      <c r="D45" s="152">
        <f t="shared" si="11"/>
        <v>4.1450000000000005</v>
      </c>
      <c r="E45" s="152">
        <f t="shared" si="12"/>
        <v>7.7</v>
      </c>
      <c r="F45" s="152">
        <f t="shared" si="13"/>
        <v>11.845000000000001</v>
      </c>
    </row>
    <row r="46" spans="2:6">
      <c r="B46" s="99" t="s">
        <v>228</v>
      </c>
      <c r="C46" s="99">
        <v>0.01</v>
      </c>
      <c r="D46" s="152">
        <f t="shared" si="11"/>
        <v>16.580000000000002</v>
      </c>
      <c r="E46" s="152">
        <f t="shared" si="12"/>
        <v>30.8</v>
      </c>
      <c r="F46" s="152">
        <f t="shared" si="13"/>
        <v>47.38</v>
      </c>
    </row>
    <row r="47" spans="2:6">
      <c r="B47" s="99" t="s">
        <v>228</v>
      </c>
      <c r="C47" s="99">
        <v>0.01</v>
      </c>
      <c r="D47" s="152">
        <f t="shared" si="11"/>
        <v>16.580000000000002</v>
      </c>
      <c r="E47" s="152">
        <f t="shared" si="12"/>
        <v>30.8</v>
      </c>
      <c r="F47" s="152">
        <f t="shared" si="13"/>
        <v>47.38</v>
      </c>
    </row>
    <row r="48" spans="2:6">
      <c r="B48" s="99" t="s">
        <v>214</v>
      </c>
      <c r="C48" s="99">
        <v>5.0000000000000001E-3</v>
      </c>
      <c r="D48" s="152">
        <f t="shared" si="11"/>
        <v>8.2900000000000009</v>
      </c>
      <c r="E48" s="152">
        <f t="shared" si="12"/>
        <v>15.4</v>
      </c>
      <c r="F48" s="152">
        <f t="shared" si="13"/>
        <v>23.69</v>
      </c>
    </row>
    <row r="49" spans="2:6">
      <c r="B49" s="99" t="s">
        <v>214</v>
      </c>
      <c r="C49" s="99">
        <v>5.0000000000000001E-3</v>
      </c>
      <c r="D49" s="152">
        <f t="shared" si="11"/>
        <v>8.2900000000000009</v>
      </c>
      <c r="E49" s="152">
        <f>$C$4*C49</f>
        <v>15.4</v>
      </c>
      <c r="F49" s="152">
        <f t="shared" si="13"/>
        <v>23.69</v>
      </c>
    </row>
    <row r="50" spans="2:6">
      <c r="B50" s="99" t="s">
        <v>406</v>
      </c>
      <c r="C50" s="99">
        <v>5.0000000000000001E-3</v>
      </c>
      <c r="D50" s="152">
        <f t="shared" si="11"/>
        <v>8.2900000000000009</v>
      </c>
      <c r="E50" s="152">
        <f t="shared" ref="E50:E59" si="14">$C$4*C50</f>
        <v>15.4</v>
      </c>
      <c r="F50" s="152">
        <f t="shared" si="13"/>
        <v>23.69</v>
      </c>
    </row>
    <row r="51" spans="2:6">
      <c r="B51" s="99" t="s">
        <v>406</v>
      </c>
      <c r="C51" s="99">
        <v>5.0000000000000001E-3</v>
      </c>
      <c r="D51" s="152">
        <f t="shared" si="11"/>
        <v>8.2900000000000009</v>
      </c>
      <c r="E51" s="152">
        <f t="shared" si="14"/>
        <v>15.4</v>
      </c>
      <c r="F51" s="152">
        <f t="shared" si="13"/>
        <v>23.69</v>
      </c>
    </row>
    <row r="52" spans="2:6">
      <c r="B52" s="99" t="s">
        <v>406</v>
      </c>
      <c r="C52" s="99">
        <v>2.5000000000000001E-3</v>
      </c>
      <c r="D52" s="152">
        <f t="shared" si="11"/>
        <v>4.1450000000000005</v>
      </c>
      <c r="E52" s="152">
        <f t="shared" si="14"/>
        <v>7.7</v>
      </c>
      <c r="F52" s="152">
        <f t="shared" si="13"/>
        <v>11.845000000000001</v>
      </c>
    </row>
    <row r="53" spans="2:6">
      <c r="B53" s="90" t="s">
        <v>406</v>
      </c>
      <c r="C53" s="90">
        <v>2.5000000000000001E-3</v>
      </c>
      <c r="D53" s="116">
        <f t="shared" si="11"/>
        <v>4.1450000000000005</v>
      </c>
      <c r="E53" s="116">
        <f t="shared" si="14"/>
        <v>7.7</v>
      </c>
      <c r="F53" s="116">
        <f t="shared" si="13"/>
        <v>11.845000000000001</v>
      </c>
    </row>
    <row r="54" spans="2:6">
      <c r="B54" s="90" t="s">
        <v>406</v>
      </c>
      <c r="C54" s="90">
        <v>2.5000000000000001E-3</v>
      </c>
      <c r="D54" s="116">
        <f t="shared" si="11"/>
        <v>4.1450000000000005</v>
      </c>
      <c r="E54" s="116">
        <f t="shared" si="14"/>
        <v>7.7</v>
      </c>
      <c r="F54" s="116">
        <f t="shared" si="13"/>
        <v>11.845000000000001</v>
      </c>
    </row>
    <row r="55" spans="2:6">
      <c r="B55" s="90" t="s">
        <v>406</v>
      </c>
      <c r="C55" s="90">
        <v>2.5000000000000001E-3</v>
      </c>
      <c r="D55" s="116">
        <f t="shared" si="11"/>
        <v>4.1450000000000005</v>
      </c>
      <c r="E55" s="116">
        <f t="shared" si="14"/>
        <v>7.7</v>
      </c>
      <c r="F55" s="116">
        <f t="shared" si="13"/>
        <v>11.845000000000001</v>
      </c>
    </row>
    <row r="56" spans="2:6">
      <c r="B56" s="90" t="s">
        <v>213</v>
      </c>
      <c r="C56" s="90">
        <v>0.01</v>
      </c>
      <c r="D56" s="116">
        <f t="shared" si="11"/>
        <v>16.580000000000002</v>
      </c>
      <c r="E56" s="116">
        <f t="shared" si="14"/>
        <v>30.8</v>
      </c>
      <c r="F56" s="116">
        <f t="shared" si="13"/>
        <v>47.38</v>
      </c>
    </row>
    <row r="57" spans="2:6">
      <c r="B57" s="90" t="s">
        <v>213</v>
      </c>
      <c r="C57" s="99">
        <v>0.01</v>
      </c>
      <c r="D57" s="152">
        <f t="shared" si="11"/>
        <v>16.580000000000002</v>
      </c>
      <c r="E57" s="152">
        <f t="shared" si="14"/>
        <v>30.8</v>
      </c>
      <c r="F57" s="152">
        <f t="shared" si="13"/>
        <v>47.38</v>
      </c>
    </row>
    <row r="58" spans="2:6">
      <c r="B58" s="99" t="s">
        <v>214</v>
      </c>
      <c r="C58" s="99">
        <v>5.0000000000000001E-3</v>
      </c>
      <c r="D58" s="152">
        <f t="shared" si="11"/>
        <v>8.2900000000000009</v>
      </c>
      <c r="E58" s="152">
        <f t="shared" si="14"/>
        <v>15.4</v>
      </c>
      <c r="F58" s="152">
        <f t="shared" si="13"/>
        <v>23.69</v>
      </c>
    </row>
    <row r="59" spans="2:6">
      <c r="B59" s="99" t="s">
        <v>214</v>
      </c>
      <c r="C59" s="99">
        <v>5.0000000000000001E-3</v>
      </c>
      <c r="D59" s="152">
        <f t="shared" si="11"/>
        <v>8.2900000000000009</v>
      </c>
      <c r="E59" s="152">
        <f t="shared" si="14"/>
        <v>15.4</v>
      </c>
      <c r="F59" s="152">
        <f t="shared" si="13"/>
        <v>23.69</v>
      </c>
    </row>
    <row r="60" spans="2:6">
      <c r="C60" s="103">
        <f>SUM(C29:C59)</f>
        <v>0.15000000000000005</v>
      </c>
      <c r="D60" s="96">
        <f>$C$3*C60</f>
        <v>248.70000000000007</v>
      </c>
      <c r="E60" s="96">
        <f>$C$4*C60</f>
        <v>462.00000000000017</v>
      </c>
      <c r="F60" s="104">
        <f>SUM(F29:F59)</f>
        <v>710.70000000000027</v>
      </c>
    </row>
    <row r="65" spans="2:13">
      <c r="B65" s="305" t="s">
        <v>229</v>
      </c>
      <c r="C65" s="305"/>
      <c r="D65" s="305"/>
      <c r="E65" s="305"/>
      <c r="F65" s="305"/>
      <c r="I65" s="305" t="s">
        <v>230</v>
      </c>
      <c r="J65" s="305"/>
      <c r="K65" s="305"/>
      <c r="L65" s="305"/>
      <c r="M65" s="305"/>
    </row>
    <row r="67" spans="2:13">
      <c r="B67" s="91" t="s">
        <v>221</v>
      </c>
      <c r="C67" s="91" t="s">
        <v>222</v>
      </c>
      <c r="D67" s="91" t="s">
        <v>223</v>
      </c>
      <c r="E67" s="91" t="s">
        <v>224</v>
      </c>
      <c r="F67" s="91" t="s">
        <v>225</v>
      </c>
      <c r="I67" s="91" t="s">
        <v>221</v>
      </c>
      <c r="J67" s="91" t="s">
        <v>222</v>
      </c>
      <c r="K67" s="91" t="s">
        <v>223</v>
      </c>
      <c r="L67" s="91" t="s">
        <v>224</v>
      </c>
      <c r="M67" s="91" t="s">
        <v>225</v>
      </c>
    </row>
    <row r="68" spans="2:13">
      <c r="B68" s="90" t="s">
        <v>206</v>
      </c>
      <c r="C68" s="90">
        <v>0.28391040000000001</v>
      </c>
      <c r="D68" s="114">
        <f>$C$5*C68</f>
        <v>300.94502399999999</v>
      </c>
      <c r="E68" s="114">
        <f>$C$6*C68</f>
        <v>559.01957760000005</v>
      </c>
      <c r="F68" s="114">
        <f>D68+E68</f>
        <v>859.96460160000004</v>
      </c>
      <c r="I68" s="90" t="s">
        <v>226</v>
      </c>
      <c r="J68" s="90">
        <f>+C68+C97+C98</f>
        <v>0.30391040000000002</v>
      </c>
      <c r="K68" s="90">
        <f>+C$5*J68</f>
        <v>322.14502400000003</v>
      </c>
      <c r="L68" s="90">
        <f>+C$6*J68</f>
        <v>598.39957760000004</v>
      </c>
      <c r="M68" s="90">
        <f>+K68+L68</f>
        <v>920.54460160000008</v>
      </c>
    </row>
    <row r="69" spans="2:13">
      <c r="B69" s="99" t="s">
        <v>214</v>
      </c>
      <c r="C69" s="99">
        <v>4.7189999999999998E-4</v>
      </c>
      <c r="D69" s="153">
        <f t="shared" ref="D69:D72" si="15">$C$5*C69</f>
        <v>0.50021399999999994</v>
      </c>
      <c r="E69" s="153">
        <f t="shared" ref="E69:E72" si="16">$C$6*C69</f>
        <v>0.92917109999999992</v>
      </c>
      <c r="F69" s="153">
        <f t="shared" ref="F69:F72" si="17">D69+E69</f>
        <v>1.4293850999999997</v>
      </c>
      <c r="I69" s="99" t="s">
        <v>214</v>
      </c>
      <c r="J69" s="99">
        <f>+C69+C81+C82+C83+C84+C85+C86</f>
        <v>1.54719E-2</v>
      </c>
      <c r="K69" s="99">
        <f t="shared" ref="K69:K71" si="18">+C$5*J69</f>
        <v>16.400214000000002</v>
      </c>
      <c r="L69" s="99">
        <f t="shared" ref="L69:L72" si="19">+C$6*J69</f>
        <v>30.464171100000002</v>
      </c>
      <c r="M69" s="99">
        <f t="shared" ref="M69:M72" si="20">+K69+L69</f>
        <v>46.864385100000007</v>
      </c>
    </row>
    <row r="70" spans="2:13">
      <c r="B70" s="90" t="s">
        <v>404</v>
      </c>
      <c r="C70" s="90">
        <v>0.42294929999999997</v>
      </c>
      <c r="D70" s="114">
        <f t="shared" si="15"/>
        <v>448.326258</v>
      </c>
      <c r="E70" s="114">
        <f t="shared" si="16"/>
        <v>832.78717169999993</v>
      </c>
      <c r="F70" s="114">
        <f t="shared" si="17"/>
        <v>1281.1134296999999</v>
      </c>
      <c r="I70" s="90" t="s">
        <v>404</v>
      </c>
      <c r="J70" s="90">
        <f>+C70+C87+C88+C91+C92+C93+C94+C95+C96+C99+C100+C109+C110</f>
        <v>0.47794930000000002</v>
      </c>
      <c r="K70" s="90">
        <f t="shared" si="18"/>
        <v>506.62625800000001</v>
      </c>
      <c r="L70" s="90">
        <f t="shared" si="19"/>
        <v>941.0821717</v>
      </c>
      <c r="M70" s="90">
        <f t="shared" si="20"/>
        <v>1447.7084297000001</v>
      </c>
    </row>
    <row r="71" spans="2:13">
      <c r="B71" s="90" t="s">
        <v>213</v>
      </c>
      <c r="C71" s="90">
        <v>0.13911190000000001</v>
      </c>
      <c r="D71" s="114">
        <f t="shared" si="15"/>
        <v>147.45861400000001</v>
      </c>
      <c r="E71" s="114">
        <f t="shared" si="16"/>
        <v>273.91133110000004</v>
      </c>
      <c r="F71" s="114">
        <f t="shared" si="17"/>
        <v>421.36994510000005</v>
      </c>
      <c r="I71" s="137" t="s">
        <v>208</v>
      </c>
      <c r="J71" s="137">
        <f>+C72+C89</f>
        <v>1.8106400000000002E-2</v>
      </c>
      <c r="K71" s="137">
        <f t="shared" si="18"/>
        <v>19.192784000000003</v>
      </c>
      <c r="L71" s="137">
        <f t="shared" si="19"/>
        <v>35.651501600000003</v>
      </c>
      <c r="M71" s="137">
        <f t="shared" si="20"/>
        <v>54.844285600000006</v>
      </c>
    </row>
    <row r="72" spans="2:13">
      <c r="B72" s="137" t="s">
        <v>208</v>
      </c>
      <c r="C72" s="137">
        <v>3.5563999999999999E-3</v>
      </c>
      <c r="D72" s="200">
        <f t="shared" si="15"/>
        <v>3.769784</v>
      </c>
      <c r="E72" s="200">
        <f t="shared" si="16"/>
        <v>7.0025515999999994</v>
      </c>
      <c r="F72" s="200">
        <f t="shared" si="17"/>
        <v>10.7723356</v>
      </c>
      <c r="I72" s="90" t="s">
        <v>213</v>
      </c>
      <c r="J72" s="90">
        <f>+C71+C90+C107+C108</f>
        <v>0.16456190000000004</v>
      </c>
      <c r="K72" s="90">
        <f>+C$5*J72</f>
        <v>174.43561400000004</v>
      </c>
      <c r="L72" s="90">
        <f t="shared" si="19"/>
        <v>324.02238110000008</v>
      </c>
      <c r="M72" s="90">
        <f t="shared" si="20"/>
        <v>498.45799510000012</v>
      </c>
    </row>
    <row r="73" spans="2:13">
      <c r="C73" s="100">
        <f>SUM(C68:C72)</f>
        <v>0.84999990000000014</v>
      </c>
      <c r="D73" s="97">
        <f>SUM(D68:D72)</f>
        <v>900.99989400000004</v>
      </c>
      <c r="E73" s="97">
        <f>SUM(E68:E72)</f>
        <v>1673.6498031000001</v>
      </c>
      <c r="F73" s="97">
        <f>SUM(F68:F72)</f>
        <v>2574.6496971000001</v>
      </c>
      <c r="I73" s="99" t="s">
        <v>407</v>
      </c>
      <c r="J73" s="90">
        <f>+C101+C102+C103+C104+C105</f>
        <v>1.7500000000000002E-2</v>
      </c>
      <c r="K73" s="90">
        <f t="shared" ref="K73" si="21">+C$5*J73</f>
        <v>18.55</v>
      </c>
      <c r="L73" s="90">
        <f t="shared" ref="L73" si="22">+C$6*J73</f>
        <v>34.457500000000003</v>
      </c>
      <c r="M73" s="90">
        <f t="shared" ref="M73" si="23">+K73+L73</f>
        <v>53.007500000000007</v>
      </c>
    </row>
    <row r="74" spans="2:13">
      <c r="B74" s="16"/>
      <c r="C74" s="146"/>
      <c r="D74" s="147"/>
      <c r="E74" s="147"/>
      <c r="F74" s="147"/>
      <c r="G74" s="16"/>
      <c r="I74" s="99" t="s">
        <v>408</v>
      </c>
      <c r="J74" s="90">
        <f>+C106</f>
        <v>2.5000000000000001E-3</v>
      </c>
      <c r="K74" s="90">
        <f t="shared" ref="K74" si="24">+C$5*J74</f>
        <v>2.65</v>
      </c>
      <c r="L74" s="90">
        <f t="shared" ref="L74" si="25">+C$6*J74</f>
        <v>4.9225000000000003</v>
      </c>
      <c r="M74" s="90">
        <f t="shared" ref="M74" si="26">+K74+L74</f>
        <v>7.5724999999999998</v>
      </c>
    </row>
    <row r="75" spans="2:13">
      <c r="B75" s="16"/>
      <c r="C75" s="146"/>
      <c r="D75" s="147"/>
      <c r="E75" s="147"/>
      <c r="F75" s="147"/>
      <c r="G75" s="16"/>
      <c r="J75" s="130">
        <f>SUM(J68:J74)</f>
        <v>0.99999989999999994</v>
      </c>
      <c r="K75" s="115">
        <f>+J75*C5</f>
        <v>1059.999894</v>
      </c>
      <c r="L75" s="115">
        <f>+J75*C6</f>
        <v>1968.9998030999998</v>
      </c>
      <c r="M75" s="115">
        <f>SUM(M68:M74)</f>
        <v>3028.999697100001</v>
      </c>
    </row>
    <row r="78" spans="2:13">
      <c r="B78" s="305" t="s">
        <v>231</v>
      </c>
      <c r="C78" s="305"/>
      <c r="D78" s="305"/>
      <c r="E78" s="305"/>
      <c r="F78" s="305"/>
    </row>
    <row r="80" spans="2:13">
      <c r="B80" s="91" t="s">
        <v>221</v>
      </c>
      <c r="C80" s="91" t="s">
        <v>222</v>
      </c>
      <c r="D80" s="91" t="s">
        <v>223</v>
      </c>
      <c r="E80" s="91" t="s">
        <v>224</v>
      </c>
      <c r="F80" s="91" t="s">
        <v>225</v>
      </c>
    </row>
    <row r="81" spans="2:6">
      <c r="B81" s="99" t="s">
        <v>214</v>
      </c>
      <c r="C81" s="99">
        <v>1.25E-3</v>
      </c>
      <c r="D81" s="152">
        <f>$C$5*C81</f>
        <v>1.325</v>
      </c>
      <c r="E81" s="152">
        <f>$C$6*C81</f>
        <v>2.4612500000000002</v>
      </c>
      <c r="F81" s="152">
        <f>D81+E81</f>
        <v>3.7862499999999999</v>
      </c>
    </row>
    <row r="82" spans="2:6">
      <c r="B82" s="99" t="s">
        <v>214</v>
      </c>
      <c r="C82" s="99">
        <v>1.25E-3</v>
      </c>
      <c r="D82" s="152">
        <f t="shared" ref="D82:D110" si="27">$C$5*C82</f>
        <v>1.325</v>
      </c>
      <c r="E82" s="152">
        <f t="shared" ref="E82:E110" si="28">$C$6*C82</f>
        <v>2.4612500000000002</v>
      </c>
      <c r="F82" s="152">
        <f t="shared" ref="F82:F110" si="29">D82+E82</f>
        <v>3.7862499999999999</v>
      </c>
    </row>
    <row r="83" spans="2:6">
      <c r="B83" s="99" t="s">
        <v>214</v>
      </c>
      <c r="C83" s="99">
        <v>2.5000000000000001E-3</v>
      </c>
      <c r="D83" s="152">
        <f t="shared" si="27"/>
        <v>2.65</v>
      </c>
      <c r="E83" s="152">
        <f t="shared" si="28"/>
        <v>4.9225000000000003</v>
      </c>
      <c r="F83" s="152">
        <f t="shared" si="29"/>
        <v>7.5724999999999998</v>
      </c>
    </row>
    <row r="84" spans="2:6">
      <c r="B84" s="99" t="s">
        <v>214</v>
      </c>
      <c r="C84" s="99">
        <v>2.5000000000000001E-3</v>
      </c>
      <c r="D84" s="152">
        <f t="shared" si="27"/>
        <v>2.65</v>
      </c>
      <c r="E84" s="152">
        <f t="shared" si="28"/>
        <v>4.9225000000000003</v>
      </c>
      <c r="F84" s="152">
        <f t="shared" si="29"/>
        <v>7.5724999999999998</v>
      </c>
    </row>
    <row r="85" spans="2:6">
      <c r="B85" s="99" t="s">
        <v>214</v>
      </c>
      <c r="C85" s="99">
        <v>2.5000000000000001E-3</v>
      </c>
      <c r="D85" s="152">
        <f t="shared" si="27"/>
        <v>2.65</v>
      </c>
      <c r="E85" s="152">
        <f t="shared" si="28"/>
        <v>4.9225000000000003</v>
      </c>
      <c r="F85" s="152">
        <f t="shared" si="29"/>
        <v>7.5724999999999998</v>
      </c>
    </row>
    <row r="86" spans="2:6">
      <c r="B86" s="99" t="s">
        <v>214</v>
      </c>
      <c r="C86" s="99">
        <v>5.0000000000000001E-3</v>
      </c>
      <c r="D86" s="152">
        <f t="shared" si="27"/>
        <v>5.3</v>
      </c>
      <c r="E86" s="152">
        <f t="shared" si="28"/>
        <v>9.8450000000000006</v>
      </c>
      <c r="F86" s="152">
        <f t="shared" si="29"/>
        <v>15.145</v>
      </c>
    </row>
    <row r="87" spans="2:6">
      <c r="B87" s="90" t="s">
        <v>404</v>
      </c>
      <c r="C87" s="90">
        <v>7.4999999999999997E-3</v>
      </c>
      <c r="D87" s="116">
        <f t="shared" si="27"/>
        <v>7.9499999999999993</v>
      </c>
      <c r="E87" s="116">
        <f t="shared" si="28"/>
        <v>14.7675</v>
      </c>
      <c r="F87" s="116">
        <f t="shared" si="29"/>
        <v>22.717500000000001</v>
      </c>
    </row>
    <row r="88" spans="2:6">
      <c r="B88" s="90" t="s">
        <v>404</v>
      </c>
      <c r="C88" s="90">
        <v>7.4999999999999997E-3</v>
      </c>
      <c r="D88" s="116">
        <f t="shared" si="27"/>
        <v>7.9499999999999993</v>
      </c>
      <c r="E88" s="116">
        <f t="shared" si="28"/>
        <v>14.7675</v>
      </c>
      <c r="F88" s="116">
        <f t="shared" si="29"/>
        <v>22.717500000000001</v>
      </c>
    </row>
    <row r="89" spans="2:6">
      <c r="B89" s="137" t="s">
        <v>208</v>
      </c>
      <c r="C89" s="137">
        <f>0.0075+0.00705</f>
        <v>1.455E-2</v>
      </c>
      <c r="D89" s="144">
        <f>$C$5*C89</f>
        <v>15.423</v>
      </c>
      <c r="E89" s="144">
        <f t="shared" si="28"/>
        <v>28.648949999999999</v>
      </c>
      <c r="F89" s="144">
        <f t="shared" si="29"/>
        <v>44.071950000000001</v>
      </c>
    </row>
    <row r="90" spans="2:6">
      <c r="B90" s="137" t="s">
        <v>213</v>
      </c>
      <c r="C90" s="137">
        <f>0.0125-0.00705</f>
        <v>5.4500000000000009E-3</v>
      </c>
      <c r="D90" s="144">
        <f t="shared" si="27"/>
        <v>5.777000000000001</v>
      </c>
      <c r="E90" s="144">
        <f t="shared" si="28"/>
        <v>10.731050000000002</v>
      </c>
      <c r="F90" s="144">
        <f t="shared" si="29"/>
        <v>16.508050000000004</v>
      </c>
    </row>
    <row r="91" spans="2:6">
      <c r="B91" s="90" t="s">
        <v>404</v>
      </c>
      <c r="C91" s="90">
        <v>5.0000000000000001E-3</v>
      </c>
      <c r="D91" s="116">
        <f t="shared" si="27"/>
        <v>5.3</v>
      </c>
      <c r="E91" s="116">
        <f t="shared" si="28"/>
        <v>9.8450000000000006</v>
      </c>
      <c r="F91" s="116">
        <f t="shared" si="29"/>
        <v>15.145</v>
      </c>
    </row>
    <row r="92" spans="2:6">
      <c r="B92" s="90" t="s">
        <v>404</v>
      </c>
      <c r="C92" s="90">
        <v>5.0000000000000001E-3</v>
      </c>
      <c r="D92" s="116">
        <f t="shared" si="27"/>
        <v>5.3</v>
      </c>
      <c r="E92" s="116">
        <f t="shared" si="28"/>
        <v>9.8450000000000006</v>
      </c>
      <c r="F92" s="116">
        <f t="shared" si="29"/>
        <v>15.145</v>
      </c>
    </row>
    <row r="93" spans="2:6">
      <c r="B93" s="90" t="s">
        <v>404</v>
      </c>
      <c r="C93" s="90">
        <v>2.5000000000000001E-3</v>
      </c>
      <c r="D93" s="116">
        <f t="shared" si="27"/>
        <v>2.65</v>
      </c>
      <c r="E93" s="116">
        <f t="shared" si="28"/>
        <v>4.9225000000000003</v>
      </c>
      <c r="F93" s="116">
        <f t="shared" si="29"/>
        <v>7.5724999999999998</v>
      </c>
    </row>
    <row r="94" spans="2:6">
      <c r="B94" s="90" t="s">
        <v>404</v>
      </c>
      <c r="C94" s="90">
        <v>2.5000000000000001E-3</v>
      </c>
      <c r="D94" s="116">
        <f t="shared" si="27"/>
        <v>2.65</v>
      </c>
      <c r="E94" s="116">
        <f t="shared" si="28"/>
        <v>4.9225000000000003</v>
      </c>
      <c r="F94" s="116">
        <f t="shared" si="29"/>
        <v>7.5724999999999998</v>
      </c>
    </row>
    <row r="95" spans="2:6">
      <c r="B95" s="90" t="s">
        <v>404</v>
      </c>
      <c r="C95" s="90">
        <v>2.5000000000000001E-3</v>
      </c>
      <c r="D95" s="116">
        <f t="shared" si="27"/>
        <v>2.65</v>
      </c>
      <c r="E95" s="116">
        <f t="shared" si="28"/>
        <v>4.9225000000000003</v>
      </c>
      <c r="F95" s="116">
        <f t="shared" si="29"/>
        <v>7.5724999999999998</v>
      </c>
    </row>
    <row r="96" spans="2:6">
      <c r="B96" s="90" t="s">
        <v>404</v>
      </c>
      <c r="C96" s="90">
        <v>2.5000000000000001E-3</v>
      </c>
      <c r="D96" s="116">
        <f t="shared" si="27"/>
        <v>2.65</v>
      </c>
      <c r="E96" s="116">
        <f t="shared" si="28"/>
        <v>4.9225000000000003</v>
      </c>
      <c r="F96" s="116">
        <f t="shared" si="29"/>
        <v>7.5724999999999998</v>
      </c>
    </row>
    <row r="97" spans="2:6">
      <c r="B97" s="90" t="s">
        <v>206</v>
      </c>
      <c r="C97" s="90">
        <v>0.01</v>
      </c>
      <c r="D97" s="116">
        <f t="shared" si="27"/>
        <v>10.6</v>
      </c>
      <c r="E97" s="116">
        <f t="shared" si="28"/>
        <v>19.690000000000001</v>
      </c>
      <c r="F97" s="116">
        <f t="shared" si="29"/>
        <v>30.29</v>
      </c>
    </row>
    <row r="98" spans="2:6">
      <c r="B98" s="90" t="s">
        <v>206</v>
      </c>
      <c r="C98" s="90">
        <v>0.01</v>
      </c>
      <c r="D98" s="116">
        <f t="shared" si="27"/>
        <v>10.6</v>
      </c>
      <c r="E98" s="116">
        <f t="shared" si="28"/>
        <v>19.690000000000001</v>
      </c>
      <c r="F98" s="116">
        <f t="shared" si="29"/>
        <v>30.29</v>
      </c>
    </row>
    <row r="99" spans="2:6">
      <c r="B99" s="90" t="s">
        <v>404</v>
      </c>
      <c r="C99" s="90">
        <v>5.0000000000000001E-3</v>
      </c>
      <c r="D99" s="116">
        <f t="shared" si="27"/>
        <v>5.3</v>
      </c>
      <c r="E99" s="116">
        <f t="shared" si="28"/>
        <v>9.8450000000000006</v>
      </c>
      <c r="F99" s="116">
        <f t="shared" si="29"/>
        <v>15.145</v>
      </c>
    </row>
    <row r="100" spans="2:6">
      <c r="B100" s="90" t="s">
        <v>404</v>
      </c>
      <c r="C100" s="90">
        <v>5.0000000000000001E-3</v>
      </c>
      <c r="D100" s="116">
        <f t="shared" si="27"/>
        <v>5.3</v>
      </c>
      <c r="E100" s="116">
        <f t="shared" si="28"/>
        <v>9.8450000000000006</v>
      </c>
      <c r="F100" s="116">
        <f t="shared" si="29"/>
        <v>15.145</v>
      </c>
    </row>
    <row r="101" spans="2:6">
      <c r="B101" s="90" t="s">
        <v>407</v>
      </c>
      <c r="C101" s="90">
        <v>5.0000000000000001E-3</v>
      </c>
      <c r="D101" s="116">
        <f t="shared" si="27"/>
        <v>5.3</v>
      </c>
      <c r="E101" s="116">
        <f t="shared" si="28"/>
        <v>9.8450000000000006</v>
      </c>
      <c r="F101" s="116">
        <f t="shared" si="29"/>
        <v>15.145</v>
      </c>
    </row>
    <row r="102" spans="2:6">
      <c r="B102" s="90" t="s">
        <v>407</v>
      </c>
      <c r="C102" s="90">
        <v>5.0000000000000001E-3</v>
      </c>
      <c r="D102" s="116">
        <f t="shared" si="27"/>
        <v>5.3</v>
      </c>
      <c r="E102" s="116">
        <f t="shared" si="28"/>
        <v>9.8450000000000006</v>
      </c>
      <c r="F102" s="116">
        <f t="shared" si="29"/>
        <v>15.145</v>
      </c>
    </row>
    <row r="103" spans="2:6">
      <c r="B103" s="90" t="s">
        <v>407</v>
      </c>
      <c r="C103" s="90">
        <v>2.5000000000000001E-3</v>
      </c>
      <c r="D103" s="116">
        <f t="shared" si="27"/>
        <v>2.65</v>
      </c>
      <c r="E103" s="116">
        <f t="shared" si="28"/>
        <v>4.9225000000000003</v>
      </c>
      <c r="F103" s="116">
        <f t="shared" si="29"/>
        <v>7.5724999999999998</v>
      </c>
    </row>
    <row r="104" spans="2:6">
      <c r="B104" s="90" t="s">
        <v>407</v>
      </c>
      <c r="C104" s="90">
        <v>2.5000000000000001E-3</v>
      </c>
      <c r="D104" s="116">
        <f t="shared" si="27"/>
        <v>2.65</v>
      </c>
      <c r="E104" s="116">
        <f t="shared" si="28"/>
        <v>4.9225000000000003</v>
      </c>
      <c r="F104" s="116">
        <f t="shared" si="29"/>
        <v>7.5724999999999998</v>
      </c>
    </row>
    <row r="105" spans="2:6">
      <c r="B105" s="90" t="s">
        <v>407</v>
      </c>
      <c r="C105" s="90">
        <v>2.5000000000000001E-3</v>
      </c>
      <c r="D105" s="116">
        <f t="shared" si="27"/>
        <v>2.65</v>
      </c>
      <c r="E105" s="116">
        <f t="shared" si="28"/>
        <v>4.9225000000000003</v>
      </c>
      <c r="F105" s="116">
        <f t="shared" si="29"/>
        <v>7.5724999999999998</v>
      </c>
    </row>
    <row r="106" spans="2:6">
      <c r="B106" s="90" t="s">
        <v>408</v>
      </c>
      <c r="C106" s="90">
        <v>2.5000000000000001E-3</v>
      </c>
      <c r="D106" s="116">
        <f t="shared" si="27"/>
        <v>2.65</v>
      </c>
      <c r="E106" s="116">
        <f t="shared" si="28"/>
        <v>4.9225000000000003</v>
      </c>
      <c r="F106" s="116">
        <f t="shared" si="29"/>
        <v>7.5724999999999998</v>
      </c>
    </row>
    <row r="107" spans="2:6">
      <c r="B107" s="137" t="s">
        <v>213</v>
      </c>
      <c r="C107" s="137">
        <v>0.01</v>
      </c>
      <c r="D107" s="144">
        <f t="shared" si="27"/>
        <v>10.6</v>
      </c>
      <c r="E107" s="144">
        <f t="shared" si="28"/>
        <v>19.690000000000001</v>
      </c>
      <c r="F107" s="144">
        <f t="shared" si="29"/>
        <v>30.29</v>
      </c>
    </row>
    <row r="108" spans="2:6">
      <c r="B108" s="137" t="s">
        <v>213</v>
      </c>
      <c r="C108" s="137">
        <v>0.01</v>
      </c>
      <c r="D108" s="144">
        <f>$C$5*C108</f>
        <v>10.6</v>
      </c>
      <c r="E108" s="144">
        <f t="shared" si="28"/>
        <v>19.690000000000001</v>
      </c>
      <c r="F108" s="144">
        <f>D108+E108</f>
        <v>30.29</v>
      </c>
    </row>
    <row r="109" spans="2:6">
      <c r="B109" s="90" t="s">
        <v>404</v>
      </c>
      <c r="C109" s="90">
        <v>5.0000000000000001E-3</v>
      </c>
      <c r="D109" s="116">
        <f t="shared" si="27"/>
        <v>5.3</v>
      </c>
      <c r="E109" s="116">
        <f t="shared" si="28"/>
        <v>9.8450000000000006</v>
      </c>
      <c r="F109" s="116">
        <f t="shared" si="29"/>
        <v>15.145</v>
      </c>
    </row>
    <row r="110" spans="2:6">
      <c r="B110" s="90" t="s">
        <v>404</v>
      </c>
      <c r="C110" s="90">
        <v>5.0000000000000001E-3</v>
      </c>
      <c r="D110" s="116">
        <f t="shared" si="27"/>
        <v>5.3</v>
      </c>
      <c r="E110" s="116">
        <f t="shared" si="28"/>
        <v>9.8450000000000006</v>
      </c>
      <c r="F110" s="116">
        <f t="shared" si="29"/>
        <v>15.145</v>
      </c>
    </row>
    <row r="111" spans="2:6">
      <c r="C111" s="103">
        <f>SUM(C81:C110)</f>
        <v>0.15000000000000005</v>
      </c>
      <c r="D111" s="116">
        <f>SUM(D81:D110)</f>
        <v>159.00000000000003</v>
      </c>
      <c r="E111" s="116">
        <f>SUM(E81:E110)</f>
        <v>295.35000000000014</v>
      </c>
      <c r="F111" s="117">
        <f>SUM(F81:F110)</f>
        <v>454.34999999999991</v>
      </c>
    </row>
  </sheetData>
  <mergeCells count="10">
    <mergeCell ref="A3:A4"/>
    <mergeCell ref="A5:A6"/>
    <mergeCell ref="I10:M10"/>
    <mergeCell ref="B10:F10"/>
    <mergeCell ref="B26:F26"/>
    <mergeCell ref="B65:F65"/>
    <mergeCell ref="I65:M65"/>
    <mergeCell ref="B78:F78"/>
    <mergeCell ref="D3:D4"/>
    <mergeCell ref="D5:D6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Q290"/>
  <sheetViews>
    <sheetView topLeftCell="B1" workbookViewId="0">
      <pane ySplit="1" topLeftCell="A263" activePane="bottomLeft" state="frozen"/>
      <selection pane="bottomLeft" activeCell="J308" sqref="J308"/>
    </sheetView>
  </sheetViews>
  <sheetFormatPr baseColWidth="10" defaultColWidth="11.42578125" defaultRowHeight="12.75"/>
  <cols>
    <col min="1" max="1" width="27.85546875" style="184" bestFit="1" customWidth="1"/>
    <col min="2" max="2" width="14.7109375" style="184" bestFit="1" customWidth="1"/>
    <col min="3" max="3" width="13.28515625" style="184" bestFit="1" customWidth="1"/>
    <col min="4" max="4" width="15.140625" style="184" customWidth="1"/>
    <col min="5" max="5" width="23.42578125" style="184" bestFit="1" customWidth="1"/>
    <col min="6" max="6" width="11.5703125" style="184" bestFit="1" customWidth="1"/>
    <col min="7" max="7" width="11.140625" style="184" customWidth="1"/>
    <col min="8" max="8" width="8.42578125" style="184" bestFit="1" customWidth="1"/>
    <col min="9" max="9" width="11.28515625" style="184" bestFit="1" customWidth="1"/>
    <col min="10" max="10" width="12" style="184" bestFit="1" customWidth="1"/>
    <col min="11" max="12" width="8.42578125" style="184" bestFit="1" customWidth="1"/>
    <col min="13" max="13" width="11.5703125" style="185" bestFit="1" customWidth="1"/>
    <col min="14" max="14" width="10.140625" style="186" bestFit="1" customWidth="1"/>
    <col min="15" max="15" width="10.140625" style="187" bestFit="1" customWidth="1"/>
    <col min="16" max="16" width="5" style="184" bestFit="1" customWidth="1"/>
    <col min="17" max="17" width="7.5703125" style="184" bestFit="1" customWidth="1"/>
    <col min="18" max="16384" width="11.42578125" style="184"/>
  </cols>
  <sheetData>
    <row r="1" spans="1:17">
      <c r="A1" s="188" t="s">
        <v>232</v>
      </c>
      <c r="B1" s="188" t="s">
        <v>233</v>
      </c>
      <c r="C1" s="188" t="s">
        <v>234</v>
      </c>
      <c r="D1" s="188" t="s">
        <v>235</v>
      </c>
      <c r="E1" s="188" t="s">
        <v>236</v>
      </c>
      <c r="F1" s="188" t="s">
        <v>237</v>
      </c>
      <c r="G1" s="188" t="s">
        <v>238</v>
      </c>
      <c r="H1" s="188" t="s">
        <v>239</v>
      </c>
      <c r="I1" s="188" t="s">
        <v>3</v>
      </c>
      <c r="J1" s="188" t="s">
        <v>4</v>
      </c>
      <c r="K1" s="188" t="s">
        <v>24</v>
      </c>
      <c r="L1" s="188" t="s">
        <v>6</v>
      </c>
      <c r="M1" s="189" t="s">
        <v>240</v>
      </c>
      <c r="N1" s="190" t="s">
        <v>50</v>
      </c>
      <c r="O1" s="188" t="s">
        <v>241</v>
      </c>
      <c r="P1" s="188" t="s">
        <v>242</v>
      </c>
      <c r="Q1" s="188" t="s">
        <v>243</v>
      </c>
    </row>
    <row r="2" spans="1:17">
      <c r="A2" s="191" t="s">
        <v>244</v>
      </c>
      <c r="B2" s="191" t="s">
        <v>245</v>
      </c>
      <c r="C2" s="191" t="s">
        <v>246</v>
      </c>
      <c r="D2" s="191" t="s">
        <v>247</v>
      </c>
      <c r="E2" s="191" t="str">
        <f>+'Merluza del sur LTP'!C8</f>
        <v>EMDEPES S.A</v>
      </c>
      <c r="F2" s="191" t="s">
        <v>223</v>
      </c>
      <c r="G2" s="191" t="s">
        <v>223</v>
      </c>
      <c r="H2" s="159">
        <f>+'Merluza del sur LTP'!E8</f>
        <v>258.4969562</v>
      </c>
      <c r="I2" s="159">
        <f>+'Merluza del sur LTP'!F8</f>
        <v>1715.6130000000003</v>
      </c>
      <c r="J2" s="159">
        <f>+'Merluza del sur LTP'!G8</f>
        <v>1974.1099562000004</v>
      </c>
      <c r="K2" s="159">
        <f>+'Merluza del sur LTP'!H8</f>
        <v>0</v>
      </c>
      <c r="L2" s="159">
        <f>+'Merluza del sur LTP'!I8</f>
        <v>1974.1099562000004</v>
      </c>
      <c r="M2" s="192">
        <f>+'Merluza del sur LTP'!J8</f>
        <v>0</v>
      </c>
      <c r="N2" s="193" t="s">
        <v>31</v>
      </c>
      <c r="O2" s="193">
        <f>+'Resumen Cuota Global'!B$4</f>
        <v>44566</v>
      </c>
      <c r="P2" s="191">
        <v>2021</v>
      </c>
      <c r="Q2" s="191"/>
    </row>
    <row r="3" spans="1:17">
      <c r="A3" s="191" t="s">
        <v>244</v>
      </c>
      <c r="B3" s="191" t="s">
        <v>245</v>
      </c>
      <c r="C3" s="191" t="s">
        <v>246</v>
      </c>
      <c r="D3" s="191" t="s">
        <v>247</v>
      </c>
      <c r="E3" s="191" t="str">
        <f>+'Merluza del sur LTP'!C8</f>
        <v>EMDEPES S.A</v>
      </c>
      <c r="F3" s="191" t="s">
        <v>248</v>
      </c>
      <c r="G3" s="191" t="s">
        <v>249</v>
      </c>
      <c r="H3" s="159">
        <f>+'Merluza del sur LTP'!E9</f>
        <v>480.199412</v>
      </c>
      <c r="I3" s="159">
        <f>+'Merluza del sur LTP'!F9</f>
        <v>2637.4569000000001</v>
      </c>
      <c r="J3" s="159">
        <f>+'Merluza del sur LTP'!G9</f>
        <v>5091.7662682000009</v>
      </c>
      <c r="K3" s="159">
        <f>+'Merluza del sur LTP'!H9</f>
        <v>4801.125</v>
      </c>
      <c r="L3" s="159">
        <f>+'Merluza del sur LTP'!I9</f>
        <v>290.64126820000092</v>
      </c>
      <c r="M3" s="192">
        <f>+'Merluza del sur LTP'!J9</f>
        <v>0.94291936179098301</v>
      </c>
      <c r="N3" s="193" t="s">
        <v>31</v>
      </c>
      <c r="O3" s="193">
        <f>+'Resumen Cuota Global'!B$4</f>
        <v>44566</v>
      </c>
      <c r="P3" s="191">
        <v>2021</v>
      </c>
      <c r="Q3" s="191"/>
    </row>
    <row r="4" spans="1:17">
      <c r="A4" s="191" t="s">
        <v>244</v>
      </c>
      <c r="B4" s="191" t="s">
        <v>245</v>
      </c>
      <c r="C4" s="191" t="s">
        <v>246</v>
      </c>
      <c r="D4" s="191" t="s">
        <v>247</v>
      </c>
      <c r="E4" s="191" t="str">
        <f>+'Merluza del sur LTP'!C8</f>
        <v>EMDEPES S.A</v>
      </c>
      <c r="F4" s="191" t="s">
        <v>223</v>
      </c>
      <c r="G4" s="191" t="s">
        <v>249</v>
      </c>
      <c r="H4" s="159">
        <f>+'Merluza del sur LTP'!K8</f>
        <v>738.69636820000005</v>
      </c>
      <c r="I4" s="159">
        <f>+'Merluza del sur LTP'!L8</f>
        <v>4353.0699000000004</v>
      </c>
      <c r="J4" s="159">
        <f>+'Merluza del sur LTP'!M8</f>
        <v>5091.7662682000009</v>
      </c>
      <c r="K4" s="159">
        <f>+'Merluza del sur LTP'!N8</f>
        <v>4801.125</v>
      </c>
      <c r="L4" s="159">
        <f>+'Merluza del sur LTP'!O8</f>
        <v>290.64126820000092</v>
      </c>
      <c r="M4" s="192">
        <f>+'Merluza del sur LTP'!P8</f>
        <v>0.94291936179098301</v>
      </c>
      <c r="N4" s="193" t="s">
        <v>31</v>
      </c>
      <c r="O4" s="193">
        <f>+'Resumen Cuota Global'!B$4</f>
        <v>44566</v>
      </c>
      <c r="P4" s="191">
        <v>2021</v>
      </c>
      <c r="Q4" s="191"/>
    </row>
    <row r="5" spans="1:17">
      <c r="A5" s="191" t="s">
        <v>244</v>
      </c>
      <c r="B5" s="191" t="s">
        <v>245</v>
      </c>
      <c r="C5" s="191" t="s">
        <v>246</v>
      </c>
      <c r="D5" s="191" t="s">
        <v>247</v>
      </c>
      <c r="E5" s="191" t="str">
        <f>+'Merluza del sur LTP'!C10</f>
        <v xml:space="preserve">GRIMAR S.A </v>
      </c>
      <c r="F5" s="191" t="s">
        <v>223</v>
      </c>
      <c r="G5" s="191" t="s">
        <v>223</v>
      </c>
      <c r="H5" s="159">
        <f>+'Merluza del sur LTP'!E10</f>
        <v>502.65144900000001</v>
      </c>
      <c r="I5" s="159">
        <f>+'Merluza del sur LTP'!F10</f>
        <v>72.051000000000002</v>
      </c>
      <c r="J5" s="159">
        <f>+'Merluza del sur LTP'!G10</f>
        <v>574.702449</v>
      </c>
      <c r="K5" s="159">
        <f>+'Merluza del sur LTP'!H10</f>
        <v>39.407220000000002</v>
      </c>
      <c r="L5" s="159">
        <f>+'Merluza del sur LTP'!I10</f>
        <v>535.29522899999995</v>
      </c>
      <c r="M5" s="192">
        <f>+'Merluza del sur LTP'!J10</f>
        <v>6.8569779141484058E-2</v>
      </c>
      <c r="N5" s="193" t="s">
        <v>31</v>
      </c>
      <c r="O5" s="193">
        <f>+'Resumen Cuota Global'!B$4</f>
        <v>44566</v>
      </c>
      <c r="P5" s="191">
        <v>2021</v>
      </c>
      <c r="Q5" s="191"/>
    </row>
    <row r="6" spans="1:17">
      <c r="A6" s="191" t="s">
        <v>244</v>
      </c>
      <c r="B6" s="191" t="s">
        <v>245</v>
      </c>
      <c r="C6" s="191" t="s">
        <v>246</v>
      </c>
      <c r="D6" s="191" t="s">
        <v>247</v>
      </c>
      <c r="E6" s="191" t="str">
        <f>+'Merluza del sur LTP'!C10</f>
        <v xml:space="preserve">GRIMAR S.A </v>
      </c>
      <c r="F6" s="191" t="s">
        <v>248</v>
      </c>
      <c r="G6" s="191" t="s">
        <v>249</v>
      </c>
      <c r="H6" s="159">
        <f>+'Merluza del sur LTP'!E11</f>
        <v>933.75559199999998</v>
      </c>
      <c r="I6" s="159">
        <f>+'Merluza del sur LTP'!F11</f>
        <v>957.38811819999989</v>
      </c>
      <c r="J6" s="159">
        <f>+'Merluza del sur LTP'!G11</f>
        <v>2426.4389391999998</v>
      </c>
      <c r="K6" s="159">
        <f>+'Merluza del sur LTP'!H11</f>
        <v>2374.2759299999998</v>
      </c>
      <c r="L6" s="159">
        <f>+'Merluza del sur LTP'!I11</f>
        <v>52.163009200000033</v>
      </c>
      <c r="M6" s="192">
        <f>+'Merluza del sur LTP'!J11</f>
        <v>0.97850223702015005</v>
      </c>
      <c r="N6" s="193" t="s">
        <v>31</v>
      </c>
      <c r="O6" s="193">
        <f>+'Resumen Cuota Global'!B$4</f>
        <v>44566</v>
      </c>
      <c r="P6" s="191">
        <v>2021</v>
      </c>
      <c r="Q6" s="191"/>
    </row>
    <row r="7" spans="1:17">
      <c r="A7" s="191" t="s">
        <v>244</v>
      </c>
      <c r="B7" s="191" t="s">
        <v>245</v>
      </c>
      <c r="C7" s="191" t="s">
        <v>246</v>
      </c>
      <c r="D7" s="191" t="s">
        <v>247</v>
      </c>
      <c r="E7" s="191" t="str">
        <f>+'Merluza del sur LTP'!C10</f>
        <v xml:space="preserve">GRIMAR S.A </v>
      </c>
      <c r="F7" s="191" t="s">
        <v>223</v>
      </c>
      <c r="G7" s="191" t="s">
        <v>249</v>
      </c>
      <c r="H7" s="159">
        <f>+'Merluza del sur LTP'!K10</f>
        <v>1436.4070409999999</v>
      </c>
      <c r="I7" s="159">
        <f>+'Merluza del sur LTP'!L10</f>
        <v>1029.4391181999999</v>
      </c>
      <c r="J7" s="159">
        <f>+'Merluza del sur LTP'!M10</f>
        <v>2465.8461591999999</v>
      </c>
      <c r="K7" s="159">
        <f>+'Merluza del sur LTP'!N10</f>
        <v>2413.6831499999998</v>
      </c>
      <c r="L7" s="159">
        <f>+'Merluza del sur LTP'!O10</f>
        <v>52.163009200000033</v>
      </c>
      <c r="M7" s="192">
        <f>+'Merluza del sur LTP'!P10</f>
        <v>0.97884579741303757</v>
      </c>
      <c r="N7" s="193" t="s">
        <v>31</v>
      </c>
      <c r="O7" s="193">
        <f>+'Resumen Cuota Global'!B$4</f>
        <v>44566</v>
      </c>
      <c r="P7" s="191">
        <v>2021</v>
      </c>
      <c r="Q7" s="191"/>
    </row>
    <row r="8" spans="1:17">
      <c r="A8" s="191" t="s">
        <v>244</v>
      </c>
      <c r="B8" s="191" t="s">
        <v>245</v>
      </c>
      <c r="C8" s="191" t="s">
        <v>246</v>
      </c>
      <c r="D8" s="191" t="s">
        <v>247</v>
      </c>
      <c r="E8" s="191" t="str">
        <f>+'Merluza del sur LTP'!C12</f>
        <v xml:space="preserve">PESCA CHILE </v>
      </c>
      <c r="F8" s="191" t="s">
        <v>223</v>
      </c>
      <c r="G8" s="191" t="s">
        <v>223</v>
      </c>
      <c r="H8" s="159">
        <f>+'Merluza del sur LTP'!E12</f>
        <v>268.76693999999998</v>
      </c>
      <c r="I8" s="159">
        <f>+'Merluza del sur LTP'!F12</f>
        <v>1200</v>
      </c>
      <c r="J8" s="159">
        <f>+'Merluza del sur LTP'!G12</f>
        <v>1468.76694</v>
      </c>
      <c r="K8" s="159">
        <f>+'Merluza del sur LTP'!H12</f>
        <v>319.03800000000001</v>
      </c>
      <c r="L8" s="159">
        <f>+'Merluza del sur LTP'!I12</f>
        <v>1149.72894</v>
      </c>
      <c r="M8" s="192">
        <f>+'Merluza del sur LTP'!J12</f>
        <v>0.21721485642916227</v>
      </c>
      <c r="N8" s="193" t="s">
        <v>31</v>
      </c>
      <c r="O8" s="193">
        <f>+'Resumen Cuota Global'!B$4</f>
        <v>44566</v>
      </c>
      <c r="P8" s="191">
        <v>2021</v>
      </c>
      <c r="Q8" s="191"/>
    </row>
    <row r="9" spans="1:17">
      <c r="A9" s="191" t="s">
        <v>244</v>
      </c>
      <c r="B9" s="191" t="s">
        <v>245</v>
      </c>
      <c r="C9" s="191" t="s">
        <v>246</v>
      </c>
      <c r="D9" s="191" t="s">
        <v>247</v>
      </c>
      <c r="E9" s="191" t="str">
        <f>+'Merluza del sur LTP'!C12</f>
        <v xml:space="preserve">PESCA CHILE </v>
      </c>
      <c r="F9" s="191" t="s">
        <v>248</v>
      </c>
      <c r="G9" s="191" t="s">
        <v>249</v>
      </c>
      <c r="H9" s="159">
        <f>+'Merluza del sur LTP'!E13</f>
        <v>499.27754800000002</v>
      </c>
      <c r="I9" s="159">
        <f>+'Merluza del sur LTP'!F13</f>
        <v>1305.5655200000001</v>
      </c>
      <c r="J9" s="159">
        <f>+'Merluza del sur LTP'!G13</f>
        <v>2954.5720080000001</v>
      </c>
      <c r="K9" s="159">
        <f>+'Merluza del sur LTP'!H13</f>
        <v>2701.7849999999999</v>
      </c>
      <c r="L9" s="159">
        <f>+'Merluza del sur LTP'!I13</f>
        <v>252.78700800000024</v>
      </c>
      <c r="M9" s="192">
        <f>+'Merluza del sur LTP'!J13</f>
        <v>0.91444208930581583</v>
      </c>
      <c r="N9" s="193" t="s">
        <v>31</v>
      </c>
      <c r="O9" s="193">
        <f>+'Resumen Cuota Global'!B$4</f>
        <v>44566</v>
      </c>
      <c r="P9" s="191">
        <v>2021</v>
      </c>
      <c r="Q9" s="191"/>
    </row>
    <row r="10" spans="1:17">
      <c r="A10" s="191" t="s">
        <v>244</v>
      </c>
      <c r="B10" s="191" t="s">
        <v>245</v>
      </c>
      <c r="C10" s="191" t="s">
        <v>246</v>
      </c>
      <c r="D10" s="191" t="s">
        <v>247</v>
      </c>
      <c r="E10" s="191" t="str">
        <f>+'Merluza del sur LTP'!C12</f>
        <v xml:space="preserve">PESCA CHILE </v>
      </c>
      <c r="F10" s="191" t="s">
        <v>223</v>
      </c>
      <c r="G10" s="191" t="s">
        <v>249</v>
      </c>
      <c r="H10" s="159">
        <f>+'Merluza del sur LTP'!K12</f>
        <v>768.044488</v>
      </c>
      <c r="I10" s="159">
        <f>+'Merluza del sur LTP'!L12</f>
        <v>2505.5655200000001</v>
      </c>
      <c r="J10" s="159">
        <f>+'Merluza del sur LTP'!M12</f>
        <v>3273.6100080000001</v>
      </c>
      <c r="K10" s="159">
        <f>+'Merluza del sur LTP'!N12</f>
        <v>3020.8229999999999</v>
      </c>
      <c r="L10" s="159">
        <f>+'Merluza del sur LTP'!O12</f>
        <v>252.78700800000024</v>
      </c>
      <c r="M10" s="192">
        <f>+'Merluza del sur LTP'!P12</f>
        <v>0.92278035337677888</v>
      </c>
      <c r="N10" s="193" t="s">
        <v>31</v>
      </c>
      <c r="O10" s="193">
        <f>+'Resumen Cuota Global'!B$4</f>
        <v>44566</v>
      </c>
      <c r="P10" s="191">
        <v>2021</v>
      </c>
      <c r="Q10" s="191"/>
    </row>
    <row r="11" spans="1:17">
      <c r="A11" s="191" t="s">
        <v>244</v>
      </c>
      <c r="B11" s="191" t="s">
        <v>245</v>
      </c>
      <c r="C11" s="191" t="s">
        <v>246</v>
      </c>
      <c r="D11" s="191" t="s">
        <v>247</v>
      </c>
      <c r="E11" s="191" t="str">
        <f>+'Merluza del sur LTP'!C14</f>
        <v>SUR AUSTRAL S.A</v>
      </c>
      <c r="F11" s="191" t="s">
        <v>223</v>
      </c>
      <c r="G11" s="191" t="s">
        <v>223</v>
      </c>
      <c r="H11" s="159">
        <f>+'Merluza del sur LTP'!E14</f>
        <v>561.62047460000008</v>
      </c>
      <c r="I11" s="159">
        <f>+'Merluza del sur LTP'!F14</f>
        <v>205.06</v>
      </c>
      <c r="J11" s="159">
        <f>+'Merluza del sur LTP'!G14</f>
        <v>766.68047460000003</v>
      </c>
      <c r="K11" s="159">
        <f>+'Merluza del sur LTP'!H14</f>
        <v>190.93554</v>
      </c>
      <c r="L11" s="159">
        <f>+'Merluza del sur LTP'!I14</f>
        <v>575.74493460000008</v>
      </c>
      <c r="M11" s="192">
        <f>+'Merluza del sur LTP'!J14</f>
        <v>0.24904187119101573</v>
      </c>
      <c r="N11" s="193" t="s">
        <v>31</v>
      </c>
      <c r="O11" s="193">
        <f>+'Resumen Cuota Global'!B$4</f>
        <v>44566</v>
      </c>
      <c r="P11" s="191">
        <v>2021</v>
      </c>
      <c r="Q11" s="191"/>
    </row>
    <row r="12" spans="1:17">
      <c r="A12" s="191" t="s">
        <v>244</v>
      </c>
      <c r="B12" s="191" t="s">
        <v>245</v>
      </c>
      <c r="C12" s="191" t="s">
        <v>246</v>
      </c>
      <c r="D12" s="191" t="s">
        <v>247</v>
      </c>
      <c r="E12" s="191" t="str">
        <f>+'Merluza del sur LTP'!C14</f>
        <v>SUR AUSTRAL S.A</v>
      </c>
      <c r="F12" s="191" t="s">
        <v>248</v>
      </c>
      <c r="G12" s="191" t="s">
        <v>249</v>
      </c>
      <c r="H12" s="159">
        <f>+'Merluza del sur LTP'!E15</f>
        <v>1043.299796</v>
      </c>
      <c r="I12" s="159">
        <f>+'Merluza del sur LTP'!F15</f>
        <v>1064.15047</v>
      </c>
      <c r="J12" s="159">
        <f>+'Merluza del sur LTP'!G15</f>
        <v>2683.1952006000001</v>
      </c>
      <c r="K12" s="159">
        <f>+'Merluza del sur LTP'!H15</f>
        <v>2679.1880000000001</v>
      </c>
      <c r="L12" s="159">
        <f>+'Merluza del sur LTP'!I15</f>
        <v>4.0072006000000329</v>
      </c>
      <c r="M12" s="192">
        <f>+'Merluza del sur LTP'!J15</f>
        <v>0.99850655643722674</v>
      </c>
      <c r="N12" s="193" t="s">
        <v>31</v>
      </c>
      <c r="O12" s="193">
        <f>+'Resumen Cuota Global'!B$4</f>
        <v>44566</v>
      </c>
      <c r="P12" s="191">
        <v>2021</v>
      </c>
      <c r="Q12" s="191"/>
    </row>
    <row r="13" spans="1:17">
      <c r="A13" s="191" t="s">
        <v>244</v>
      </c>
      <c r="B13" s="191" t="s">
        <v>245</v>
      </c>
      <c r="C13" s="191" t="s">
        <v>246</v>
      </c>
      <c r="D13" s="191" t="s">
        <v>247</v>
      </c>
      <c r="E13" s="191" t="str">
        <f>+'Merluza del sur LTP'!C14</f>
        <v>SUR AUSTRAL S.A</v>
      </c>
      <c r="F13" s="191" t="s">
        <v>223</v>
      </c>
      <c r="G13" s="191" t="s">
        <v>249</v>
      </c>
      <c r="H13" s="159">
        <f>+'Merluza del sur LTP'!K14</f>
        <v>1604.9202706000001</v>
      </c>
      <c r="I13" s="159">
        <f>+'Merluza del sur LTP'!L14</f>
        <v>1269.21047</v>
      </c>
      <c r="J13" s="159">
        <f>+'Merluza del sur LTP'!M14</f>
        <v>2874.1307406000001</v>
      </c>
      <c r="K13" s="159">
        <f>+'Merluza del sur LTP'!N14</f>
        <v>2870.12354</v>
      </c>
      <c r="L13" s="159">
        <f>+'Merluza del sur LTP'!O14</f>
        <v>4.0072006000000329</v>
      </c>
      <c r="M13" s="192">
        <f>+'Merluza del sur LTP'!P14</f>
        <v>0.99860576954854763</v>
      </c>
      <c r="N13" s="193" t="s">
        <v>31</v>
      </c>
      <c r="O13" s="193">
        <f>+'Resumen Cuota Global'!B$4</f>
        <v>44566</v>
      </c>
      <c r="P13" s="191">
        <v>2021</v>
      </c>
      <c r="Q13" s="191"/>
    </row>
    <row r="14" spans="1:17">
      <c r="A14" s="191" t="s">
        <v>244</v>
      </c>
      <c r="B14" s="191" t="s">
        <v>245</v>
      </c>
      <c r="C14" s="191" t="s">
        <v>246</v>
      </c>
      <c r="D14" s="191" t="s">
        <v>247</v>
      </c>
      <c r="E14" s="191" t="str">
        <f>+'Merluza del sur LTP'!C16</f>
        <v>PACIFICBLU SpA.</v>
      </c>
      <c r="F14" s="191" t="s">
        <v>223</v>
      </c>
      <c r="G14" s="191" t="s">
        <v>223</v>
      </c>
      <c r="H14" s="159">
        <f>+'Merluza del sur LTP'!E16</f>
        <v>7.4278399999999994E-2</v>
      </c>
      <c r="I14" s="159">
        <f>+'Merluza del sur LTP'!F16</f>
        <v>0</v>
      </c>
      <c r="J14" s="159">
        <f>+'Merluza del sur LTP'!G16</f>
        <v>7.4278399999999994E-2</v>
      </c>
      <c r="K14" s="159">
        <f>+'Merluza del sur LTP'!H16</f>
        <v>0</v>
      </c>
      <c r="L14" s="159">
        <f>+'Merluza del sur LTP'!I16</f>
        <v>7.4278399999999994E-2</v>
      </c>
      <c r="M14" s="192">
        <f>+'Merluza del sur LTP'!J16</f>
        <v>0</v>
      </c>
      <c r="N14" s="193" t="s">
        <v>31</v>
      </c>
      <c r="O14" s="193">
        <f>+'Resumen Cuota Global'!B$4</f>
        <v>44566</v>
      </c>
      <c r="P14" s="191">
        <v>2021</v>
      </c>
      <c r="Q14" s="191"/>
    </row>
    <row r="15" spans="1:17">
      <c r="A15" s="191" t="s">
        <v>244</v>
      </c>
      <c r="B15" s="191" t="s">
        <v>245</v>
      </c>
      <c r="C15" s="191" t="s">
        <v>246</v>
      </c>
      <c r="D15" s="191" t="s">
        <v>247</v>
      </c>
      <c r="E15" s="191" t="str">
        <f>+'Merluza del sur LTP'!C16</f>
        <v>PACIFICBLU SpA.</v>
      </c>
      <c r="F15" s="191" t="s">
        <v>248</v>
      </c>
      <c r="G15" s="191" t="s">
        <v>249</v>
      </c>
      <c r="H15" s="159">
        <f>+'Merluza del sur LTP'!E17</f>
        <v>0.137984</v>
      </c>
      <c r="I15" s="159">
        <f>+'Merluza del sur LTP'!F17</f>
        <v>0</v>
      </c>
      <c r="J15" s="159">
        <f>+'Merluza del sur LTP'!G17</f>
        <v>0.21226239999999999</v>
      </c>
      <c r="K15" s="159">
        <f>+'Merluza del sur LTP'!H17</f>
        <v>0</v>
      </c>
      <c r="L15" s="159">
        <f>+'Merluza del sur LTP'!I17</f>
        <v>0.21226239999999999</v>
      </c>
      <c r="M15" s="192">
        <f>+'Merluza del sur LTP'!J17</f>
        <v>0</v>
      </c>
      <c r="N15" s="193" t="s">
        <v>31</v>
      </c>
      <c r="O15" s="193">
        <f>+'Resumen Cuota Global'!B$4</f>
        <v>44566</v>
      </c>
      <c r="P15" s="191">
        <v>2021</v>
      </c>
      <c r="Q15" s="191"/>
    </row>
    <row r="16" spans="1:17">
      <c r="A16" s="191" t="s">
        <v>244</v>
      </c>
      <c r="B16" s="191" t="s">
        <v>245</v>
      </c>
      <c r="C16" s="191" t="s">
        <v>246</v>
      </c>
      <c r="D16" s="191" t="s">
        <v>247</v>
      </c>
      <c r="E16" s="191" t="str">
        <f>+'Merluza del sur LTP'!C16</f>
        <v>PACIFICBLU SpA.</v>
      </c>
      <c r="F16" s="191" t="s">
        <v>223</v>
      </c>
      <c r="G16" s="191" t="s">
        <v>249</v>
      </c>
      <c r="H16" s="159">
        <f>+'Merluza del sur LTP'!K16</f>
        <v>0.21226239999999999</v>
      </c>
      <c r="I16" s="159">
        <f>+'Merluza del sur LTP'!L16</f>
        <v>0</v>
      </c>
      <c r="J16" s="159">
        <f>+'Merluza del sur LTP'!M16</f>
        <v>0.21226239999999999</v>
      </c>
      <c r="K16" s="159">
        <f>+'Merluza del sur LTP'!N16</f>
        <v>0</v>
      </c>
      <c r="L16" s="159">
        <f>+'Merluza del sur LTP'!O16</f>
        <v>0.21226239999999999</v>
      </c>
      <c r="M16" s="192">
        <f>+'Merluza del sur LTP'!P16</f>
        <v>0</v>
      </c>
      <c r="N16" s="193" t="s">
        <v>31</v>
      </c>
      <c r="O16" s="193">
        <f>+'Resumen Cuota Global'!B$4</f>
        <v>44566</v>
      </c>
      <c r="P16" s="191">
        <v>2021</v>
      </c>
      <c r="Q16" s="191"/>
    </row>
    <row r="17" spans="1:17">
      <c r="A17" s="191" t="s">
        <v>244</v>
      </c>
      <c r="B17" s="191" t="s">
        <v>245</v>
      </c>
      <c r="C17" s="191" t="s">
        <v>246</v>
      </c>
      <c r="D17" s="191" t="s">
        <v>247</v>
      </c>
      <c r="E17" s="191" t="str">
        <f>+'Merluza del sur LTP'!C18</f>
        <v>ISLA QUIHUA S.A</v>
      </c>
      <c r="F17" s="191" t="s">
        <v>223</v>
      </c>
      <c r="G17" s="191" t="s">
        <v>223</v>
      </c>
      <c r="H17" s="159">
        <f>+'Merluza del sur LTP'!E18</f>
        <v>7.0465E-2</v>
      </c>
      <c r="I17" s="159">
        <f>+'Merluza del sur LTP'!F18</f>
        <v>0</v>
      </c>
      <c r="J17" s="159">
        <f>+'Merluza del sur LTP'!G18</f>
        <v>7.0465E-2</v>
      </c>
      <c r="K17" s="159">
        <f>+'Merluza del sur LTP'!H18</f>
        <v>0</v>
      </c>
      <c r="L17" s="159">
        <f>+'Merluza del sur LTP'!I18</f>
        <v>7.0465E-2</v>
      </c>
      <c r="M17" s="192">
        <f>+'Merluza del sur LTP'!J18</f>
        <v>0</v>
      </c>
      <c r="N17" s="193" t="s">
        <v>31</v>
      </c>
      <c r="O17" s="193">
        <f>+'Resumen Cuota Global'!B$4</f>
        <v>44566</v>
      </c>
      <c r="P17" s="191">
        <v>2021</v>
      </c>
      <c r="Q17" s="191"/>
    </row>
    <row r="18" spans="1:17">
      <c r="A18" s="191" t="s">
        <v>244</v>
      </c>
      <c r="B18" s="191" t="s">
        <v>245</v>
      </c>
      <c r="C18" s="191" t="s">
        <v>246</v>
      </c>
      <c r="D18" s="191" t="s">
        <v>247</v>
      </c>
      <c r="E18" s="191" t="str">
        <f>+'Merluza del sur LTP'!C18</f>
        <v>ISLA QUIHUA S.A</v>
      </c>
      <c r="F18" s="191" t="s">
        <v>248</v>
      </c>
      <c r="G18" s="191" t="s">
        <v>249</v>
      </c>
      <c r="H18" s="159">
        <f>+'Merluza del sur LTP'!E19</f>
        <v>0.13089999999999999</v>
      </c>
      <c r="I18" s="159">
        <f>+'Merluza del sur LTP'!F19</f>
        <v>0</v>
      </c>
      <c r="J18" s="159">
        <f>+'Merluza del sur LTP'!G19</f>
        <v>0.20136499999999999</v>
      </c>
      <c r="K18" s="159">
        <f>+'Merluza del sur LTP'!H19</f>
        <v>0</v>
      </c>
      <c r="L18" s="159">
        <f>+'Merluza del sur LTP'!I19</f>
        <v>0.20136499999999999</v>
      </c>
      <c r="M18" s="192">
        <f>+'Merluza del sur LTP'!J19</f>
        <v>0</v>
      </c>
      <c r="N18" s="193" t="s">
        <v>31</v>
      </c>
      <c r="O18" s="193">
        <f>+'Resumen Cuota Global'!B$4</f>
        <v>44566</v>
      </c>
      <c r="P18" s="191">
        <v>2021</v>
      </c>
      <c r="Q18" s="191"/>
    </row>
    <row r="19" spans="1:17">
      <c r="A19" s="191" t="s">
        <v>244</v>
      </c>
      <c r="B19" s="191" t="s">
        <v>245</v>
      </c>
      <c r="C19" s="191" t="s">
        <v>246</v>
      </c>
      <c r="D19" s="191" t="s">
        <v>247</v>
      </c>
      <c r="E19" s="191" t="str">
        <f>+'Merluza del sur LTP'!C18</f>
        <v>ISLA QUIHUA S.A</v>
      </c>
      <c r="F19" s="191" t="s">
        <v>223</v>
      </c>
      <c r="G19" s="191" t="s">
        <v>249</v>
      </c>
      <c r="H19" s="159">
        <f>+'Merluza del sur LTP'!K18</f>
        <v>0.20136499999999999</v>
      </c>
      <c r="I19" s="159">
        <f>+'Merluza del sur LTP'!L18</f>
        <v>0</v>
      </c>
      <c r="J19" s="159">
        <f>+'Merluza del sur LTP'!M18</f>
        <v>0.20136499999999999</v>
      </c>
      <c r="K19" s="159">
        <f>+'Merluza del sur LTP'!N18</f>
        <v>0</v>
      </c>
      <c r="L19" s="159">
        <f>+'Merluza del sur LTP'!O18</f>
        <v>0.20136499999999999</v>
      </c>
      <c r="M19" s="192">
        <f>+'Merluza del sur LTP'!P18</f>
        <v>0</v>
      </c>
      <c r="N19" s="193" t="s">
        <v>31</v>
      </c>
      <c r="O19" s="193">
        <f>+'Resumen Cuota Global'!B$4</f>
        <v>44566</v>
      </c>
      <c r="P19" s="191">
        <v>2021</v>
      </c>
      <c r="Q19" s="191"/>
    </row>
    <row r="20" spans="1:17">
      <c r="A20" s="191" t="s">
        <v>244</v>
      </c>
      <c r="B20" s="191" t="s">
        <v>245</v>
      </c>
      <c r="C20" s="191" t="s">
        <v>246</v>
      </c>
      <c r="D20" s="191" t="s">
        <v>247</v>
      </c>
      <c r="E20" s="191" t="str">
        <f>+'Merluza del sur LTP'!C20</f>
        <v>PESCA CISNE S.A</v>
      </c>
      <c r="F20" s="191" t="s">
        <v>223</v>
      </c>
      <c r="G20" s="191" t="s">
        <v>223</v>
      </c>
      <c r="H20" s="159">
        <f>+'Merluza del sur LTP'!E20</f>
        <v>33.159999999999997</v>
      </c>
      <c r="I20" s="159">
        <f>+'Merluza del sur LTP'!F20</f>
        <v>0</v>
      </c>
      <c r="J20" s="159">
        <f>+'Merluza del sur LTP'!G20</f>
        <v>33.159999999999997</v>
      </c>
      <c r="K20" s="159">
        <f>+'Merluza del sur LTP'!H20</f>
        <v>1.1739999999999999</v>
      </c>
      <c r="L20" s="159">
        <f>+'Merluza del sur LTP'!I20</f>
        <v>31.985999999999997</v>
      </c>
      <c r="M20" s="192">
        <f>+'Merluza del sur LTP'!J20</f>
        <v>3.5404101326899882E-2</v>
      </c>
      <c r="N20" s="193" t="s">
        <v>31</v>
      </c>
      <c r="O20" s="193">
        <f>+'Resumen Cuota Global'!B$4</f>
        <v>44566</v>
      </c>
      <c r="P20" s="191">
        <v>2021</v>
      </c>
      <c r="Q20" s="191"/>
    </row>
    <row r="21" spans="1:17">
      <c r="A21" s="191" t="s">
        <v>244</v>
      </c>
      <c r="B21" s="191" t="s">
        <v>245</v>
      </c>
      <c r="C21" s="191" t="s">
        <v>246</v>
      </c>
      <c r="D21" s="191" t="s">
        <v>247</v>
      </c>
      <c r="E21" s="191" t="str">
        <f>+'Merluza del sur LTP'!C20</f>
        <v>PESCA CISNE S.A</v>
      </c>
      <c r="F21" s="191" t="s">
        <v>248</v>
      </c>
      <c r="G21" s="191" t="s">
        <v>249</v>
      </c>
      <c r="H21" s="159">
        <f>+'Merluza del sur LTP'!E21</f>
        <v>61.6</v>
      </c>
      <c r="I21" s="159">
        <f>+'Merluza del sur LTP'!F21</f>
        <v>-25.272018199999977</v>
      </c>
      <c r="J21" s="159">
        <f>+'Merluza del sur LTP'!G21</f>
        <v>68.313981800000022</v>
      </c>
      <c r="K21" s="159">
        <f>+'Merluza del sur LTP'!H21</f>
        <v>41.069000000000003</v>
      </c>
      <c r="L21" s="159">
        <f>+'Merluza del sur LTP'!I21</f>
        <v>27.244981800000019</v>
      </c>
      <c r="M21" s="192">
        <f>+'Merluza del sur LTP'!J21</f>
        <v>0.60118000616968847</v>
      </c>
      <c r="N21" s="193" t="s">
        <v>31</v>
      </c>
      <c r="O21" s="193">
        <f>+'Resumen Cuota Global'!B$4</f>
        <v>44566</v>
      </c>
      <c r="P21" s="191">
        <v>2021</v>
      </c>
      <c r="Q21" s="191"/>
    </row>
    <row r="22" spans="1:17">
      <c r="A22" s="191" t="s">
        <v>244</v>
      </c>
      <c r="B22" s="191" t="s">
        <v>245</v>
      </c>
      <c r="C22" s="191" t="s">
        <v>246</v>
      </c>
      <c r="D22" s="191" t="s">
        <v>247</v>
      </c>
      <c r="E22" s="191" t="str">
        <f>+'Merluza del sur LTP'!C20</f>
        <v>PESCA CISNE S.A</v>
      </c>
      <c r="F22" s="191" t="s">
        <v>223</v>
      </c>
      <c r="G22" s="191" t="s">
        <v>249</v>
      </c>
      <c r="H22" s="159">
        <f>+'Merluza del sur LTP'!K20</f>
        <v>94.759999999999991</v>
      </c>
      <c r="I22" s="159">
        <f>+'Merluza del sur LTP'!L20</f>
        <v>-25.272018199999977</v>
      </c>
      <c r="J22" s="159">
        <f>+'Merluza del sur LTP'!M20</f>
        <v>69.487981800000014</v>
      </c>
      <c r="K22" s="159">
        <f>+'Merluza del sur LTP'!N20</f>
        <v>42.243000000000002</v>
      </c>
      <c r="L22" s="159">
        <f>+'Merluza del sur LTP'!O20</f>
        <v>27.244981800000012</v>
      </c>
      <c r="M22" s="192">
        <f>+'Merluza del sur LTP'!P20</f>
        <v>0.6079180731077154</v>
      </c>
      <c r="N22" s="193" t="s">
        <v>31</v>
      </c>
      <c r="O22" s="193">
        <f>+'Resumen Cuota Global'!B$4</f>
        <v>44566</v>
      </c>
      <c r="P22" s="191">
        <v>2021</v>
      </c>
      <c r="Q22" s="191"/>
    </row>
    <row r="23" spans="1:17">
      <c r="A23" s="191" t="s">
        <v>244</v>
      </c>
      <c r="B23" s="191" t="s">
        <v>245</v>
      </c>
      <c r="C23" s="191" t="s">
        <v>246</v>
      </c>
      <c r="D23" s="191" t="s">
        <v>247</v>
      </c>
      <c r="E23" s="191" t="str">
        <f>+'Merluza del sur LTP'!C22</f>
        <v>ALEXIS CABRERA VALLEJOS</v>
      </c>
      <c r="F23" s="191" t="s">
        <v>223</v>
      </c>
      <c r="G23" s="191" t="s">
        <v>223</v>
      </c>
      <c r="H23" s="159">
        <f>+'Merluza del sur LTP'!E22</f>
        <v>33.159999999999997</v>
      </c>
      <c r="I23" s="159">
        <f>+'Merluza del sur LTP'!F22</f>
        <v>0</v>
      </c>
      <c r="J23" s="159">
        <f>+'Merluza del sur LTP'!G22</f>
        <v>33.159999999999997</v>
      </c>
      <c r="K23" s="159">
        <f>+'Merluza del sur LTP'!H22</f>
        <v>0</v>
      </c>
      <c r="L23" s="159">
        <f>+'Merluza del sur LTP'!I22</f>
        <v>33.159999999999997</v>
      </c>
      <c r="M23" s="192">
        <f>+'Merluza del sur LTP'!J22</f>
        <v>0</v>
      </c>
      <c r="N23" s="193" t="s">
        <v>31</v>
      </c>
      <c r="O23" s="193">
        <f>+'Resumen Cuota Global'!B$4</f>
        <v>44566</v>
      </c>
      <c r="P23" s="191">
        <v>2021</v>
      </c>
      <c r="Q23" s="191"/>
    </row>
    <row r="24" spans="1:17">
      <c r="A24" s="191" t="s">
        <v>244</v>
      </c>
      <c r="B24" s="191" t="s">
        <v>245</v>
      </c>
      <c r="C24" s="191" t="s">
        <v>246</v>
      </c>
      <c r="D24" s="191" t="s">
        <v>247</v>
      </c>
      <c r="E24" s="191" t="str">
        <f>+'Merluza del sur LTP'!C22</f>
        <v>ALEXIS CABRERA VALLEJOS</v>
      </c>
      <c r="F24" s="191" t="s">
        <v>248</v>
      </c>
      <c r="G24" s="191" t="s">
        <v>249</v>
      </c>
      <c r="H24" s="159">
        <f>+'Merluza del sur LTP'!E23</f>
        <v>61.6</v>
      </c>
      <c r="I24" s="159">
        <f>+'Merluza del sur LTP'!F23</f>
        <v>-94.76</v>
      </c>
      <c r="J24" s="159">
        <f>+'Merluza del sur LTP'!G23</f>
        <v>0</v>
      </c>
      <c r="K24" s="159">
        <f>+'Merluza del sur LTP'!H23</f>
        <v>0</v>
      </c>
      <c r="L24" s="159">
        <f>+'Merluza del sur LTP'!I23</f>
        <v>0</v>
      </c>
      <c r="M24" s="192">
        <f>+'Merluza del sur LTP'!J23</f>
        <v>0</v>
      </c>
      <c r="N24" s="193" t="s">
        <v>31</v>
      </c>
      <c r="O24" s="193">
        <f>+'Resumen Cuota Global'!B$4</f>
        <v>44566</v>
      </c>
      <c r="P24" s="191">
        <v>2021</v>
      </c>
      <c r="Q24" s="191"/>
    </row>
    <row r="25" spans="1:17">
      <c r="A25" s="191" t="s">
        <v>244</v>
      </c>
      <c r="B25" s="191" t="s">
        <v>245</v>
      </c>
      <c r="C25" s="191" t="s">
        <v>246</v>
      </c>
      <c r="D25" s="191" t="s">
        <v>247</v>
      </c>
      <c r="E25" s="191" t="str">
        <f>+'Merluza del sur LTP'!C22</f>
        <v>ALEXIS CABRERA VALLEJOS</v>
      </c>
      <c r="F25" s="191" t="s">
        <v>223</v>
      </c>
      <c r="G25" s="191" t="s">
        <v>249</v>
      </c>
      <c r="H25" s="159">
        <f>+'Merluza del sur LTP'!K22</f>
        <v>94.759999999999991</v>
      </c>
      <c r="I25" s="159">
        <f>+'Merluza del sur LTP'!L22</f>
        <v>-94.76</v>
      </c>
      <c r="J25" s="159">
        <f>+'Merluza del sur LTP'!M22</f>
        <v>0</v>
      </c>
      <c r="K25" s="159">
        <f>+'Merluza del sur LTP'!N22</f>
        <v>0</v>
      </c>
      <c r="L25" s="159">
        <f>+'Merluza del sur LTP'!O22</f>
        <v>0</v>
      </c>
      <c r="M25" s="192">
        <f>+'Merluza del sur LTP'!P22</f>
        <v>0</v>
      </c>
      <c r="N25" s="193" t="s">
        <v>31</v>
      </c>
      <c r="O25" s="193">
        <f>+'Resumen Cuota Global'!B$4</f>
        <v>44566</v>
      </c>
      <c r="P25" s="191">
        <v>2021</v>
      </c>
      <c r="Q25" s="191"/>
    </row>
    <row r="26" spans="1:17">
      <c r="A26" s="191" t="s">
        <v>244</v>
      </c>
      <c r="B26" s="191" t="s">
        <v>245</v>
      </c>
      <c r="C26" s="191" t="s">
        <v>246</v>
      </c>
      <c r="D26" s="191" t="s">
        <v>250</v>
      </c>
      <c r="E26" s="191" t="s">
        <v>251</v>
      </c>
      <c r="F26" s="191" t="s">
        <v>223</v>
      </c>
      <c r="G26" s="191" t="s">
        <v>249</v>
      </c>
      <c r="H26" s="159">
        <f>+'Merluza del sur LTP'!K24</f>
        <v>4738.0017952000007</v>
      </c>
      <c r="I26" s="159">
        <f>+'Merluza del sur LTP'!L24</f>
        <v>9037.2529900000009</v>
      </c>
      <c r="J26" s="159">
        <f>+'Merluza del sur LTP'!M24</f>
        <v>13775.254785200003</v>
      </c>
      <c r="K26" s="159">
        <f>+'Merluza del sur LTP'!N24</f>
        <v>13147.99769</v>
      </c>
      <c r="L26" s="159">
        <f>+'Merluza del sur LTP'!O24</f>
        <v>627.25709520000237</v>
      </c>
      <c r="M26" s="192">
        <f>+'Merluza del sur LTP'!P24</f>
        <v>0.95446493694810486</v>
      </c>
      <c r="N26" s="193" t="s">
        <v>31</v>
      </c>
      <c r="O26" s="193">
        <f>+'Resumen Cuota Global'!B$4</f>
        <v>44566</v>
      </c>
      <c r="P26" s="191">
        <v>2021</v>
      </c>
      <c r="Q26" s="191"/>
    </row>
    <row r="27" spans="1:17">
      <c r="A27" s="191" t="s">
        <v>252</v>
      </c>
      <c r="B27" s="191" t="s">
        <v>245</v>
      </c>
      <c r="C27" s="191" t="s">
        <v>253</v>
      </c>
      <c r="D27" s="191" t="s">
        <v>247</v>
      </c>
      <c r="E27" s="191" t="str">
        <f>+'Merluza del sur LTP'!C28</f>
        <v>EMDEPES S.A</v>
      </c>
      <c r="F27" s="191" t="s">
        <v>223</v>
      </c>
      <c r="G27" s="191" t="s">
        <v>223</v>
      </c>
      <c r="H27" s="159">
        <f>+'Merluza del sur LTP'!E28</f>
        <v>322.14502399999998</v>
      </c>
      <c r="I27" s="159">
        <f>+'Merluza del sur LTP'!F28</f>
        <v>0</v>
      </c>
      <c r="J27" s="159">
        <f>+'Merluza del sur LTP'!G28</f>
        <v>322.14502399999998</v>
      </c>
      <c r="K27" s="159">
        <f>+'Merluza del sur LTP'!H28</f>
        <v>0</v>
      </c>
      <c r="L27" s="159">
        <f>+'Merluza del sur LTP'!I28</f>
        <v>322.14502399999998</v>
      </c>
      <c r="M27" s="192">
        <f>+'Merluza del sur LTP'!J28</f>
        <v>0</v>
      </c>
      <c r="N27" s="193" t="s">
        <v>31</v>
      </c>
      <c r="O27" s="193">
        <f>+'Resumen Cuota Global'!B$4</f>
        <v>44566</v>
      </c>
      <c r="P27" s="191">
        <v>2021</v>
      </c>
      <c r="Q27" s="191"/>
    </row>
    <row r="28" spans="1:17">
      <c r="A28" s="191" t="s">
        <v>252</v>
      </c>
      <c r="B28" s="191" t="s">
        <v>245</v>
      </c>
      <c r="C28" s="191" t="s">
        <v>253</v>
      </c>
      <c r="D28" s="191" t="s">
        <v>247</v>
      </c>
      <c r="E28" s="191" t="str">
        <f>+'Merluza del sur LTP'!C28</f>
        <v>EMDEPES S.A</v>
      </c>
      <c r="F28" s="191" t="s">
        <v>248</v>
      </c>
      <c r="G28" s="191" t="s">
        <v>249</v>
      </c>
      <c r="H28" s="159">
        <f>+'Merluza del sur LTP'!E29</f>
        <v>598.39957760000004</v>
      </c>
      <c r="I28" s="159">
        <f>+'Merluza del sur LTP'!F29</f>
        <v>-600.04489999999998</v>
      </c>
      <c r="J28" s="159">
        <f>+'Merluza del sur LTP'!G29</f>
        <v>320.49970160000009</v>
      </c>
      <c r="K28" s="159">
        <f>+'Merluza del sur LTP'!H29</f>
        <v>151.31100000000001</v>
      </c>
      <c r="L28" s="159">
        <f>+'Merluza del sur LTP'!I29</f>
        <v>169.18870160000009</v>
      </c>
      <c r="M28" s="192">
        <f>+'Merluza del sur LTP'!J29</f>
        <v>0.47210964392361221</v>
      </c>
      <c r="N28" s="193" t="s">
        <v>31</v>
      </c>
      <c r="O28" s="193">
        <f>+'Resumen Cuota Global'!B$4</f>
        <v>44566</v>
      </c>
      <c r="P28" s="191">
        <v>2021</v>
      </c>
      <c r="Q28" s="191"/>
    </row>
    <row r="29" spans="1:17">
      <c r="A29" s="191" t="s">
        <v>252</v>
      </c>
      <c r="B29" s="191" t="s">
        <v>245</v>
      </c>
      <c r="C29" s="191" t="s">
        <v>253</v>
      </c>
      <c r="D29" s="191" t="s">
        <v>247</v>
      </c>
      <c r="E29" s="191" t="str">
        <f>+'Merluza del sur LTP'!C28</f>
        <v>EMDEPES S.A</v>
      </c>
      <c r="F29" s="191" t="s">
        <v>223</v>
      </c>
      <c r="G29" s="191" t="s">
        <v>249</v>
      </c>
      <c r="H29" s="159">
        <f>+'Merluza del sur LTP'!K28</f>
        <v>920.54460160000008</v>
      </c>
      <c r="I29" s="159">
        <f>+'Merluza del sur LTP'!L28</f>
        <v>-600.04489999999998</v>
      </c>
      <c r="J29" s="159">
        <f>+'Merluza del sur LTP'!M28</f>
        <v>320.49970160000009</v>
      </c>
      <c r="K29" s="159">
        <f>+'Merluza del sur LTP'!N28</f>
        <v>151.31100000000001</v>
      </c>
      <c r="L29" s="159">
        <f>+'Merluza del sur LTP'!O28</f>
        <v>169.18870160000009</v>
      </c>
      <c r="M29" s="192">
        <f>+'Merluza del sur LTP'!P28</f>
        <v>0.47210964392361221</v>
      </c>
      <c r="N29" s="193" t="s">
        <v>31</v>
      </c>
      <c r="O29" s="193">
        <f>+'Resumen Cuota Global'!B$4</f>
        <v>44566</v>
      </c>
      <c r="P29" s="191">
        <v>2021</v>
      </c>
      <c r="Q29" s="191"/>
    </row>
    <row r="30" spans="1:17">
      <c r="A30" s="191" t="s">
        <v>252</v>
      </c>
      <c r="B30" s="191" t="s">
        <v>245</v>
      </c>
      <c r="C30" s="191" t="s">
        <v>253</v>
      </c>
      <c r="D30" s="191" t="s">
        <v>247</v>
      </c>
      <c r="E30" s="191" t="str">
        <f>+'Merluza del sur LTP'!C30</f>
        <v>GRIMAR S.A</v>
      </c>
      <c r="F30" s="191" t="s">
        <v>223</v>
      </c>
      <c r="G30" s="191" t="s">
        <v>223</v>
      </c>
      <c r="H30" s="159">
        <f>+'Merluza del sur LTP'!E30</f>
        <v>16.400213999999998</v>
      </c>
      <c r="I30" s="159">
        <f>+'Merluza del sur LTP'!F30</f>
        <v>0</v>
      </c>
      <c r="J30" s="159">
        <f>+'Merluza del sur LTP'!G30</f>
        <v>16.400213999999998</v>
      </c>
      <c r="K30" s="159">
        <f>+'Merluza del sur LTP'!H30</f>
        <v>0</v>
      </c>
      <c r="L30" s="159">
        <f>+'Merluza del sur LTP'!I30</f>
        <v>16.400213999999998</v>
      </c>
      <c r="M30" s="192">
        <f>+'Merluza del sur LTP'!J30</f>
        <v>0</v>
      </c>
      <c r="N30" s="193" t="s">
        <v>31</v>
      </c>
      <c r="O30" s="193">
        <f>+'Resumen Cuota Global'!B$4</f>
        <v>44566</v>
      </c>
      <c r="P30" s="191">
        <v>2021</v>
      </c>
      <c r="Q30" s="191"/>
    </row>
    <row r="31" spans="1:17">
      <c r="A31" s="191" t="s">
        <v>252</v>
      </c>
      <c r="B31" s="191" t="s">
        <v>245</v>
      </c>
      <c r="C31" s="191" t="s">
        <v>253</v>
      </c>
      <c r="D31" s="191" t="s">
        <v>247</v>
      </c>
      <c r="E31" s="191" t="str">
        <f>+'Merluza del sur LTP'!C30</f>
        <v>GRIMAR S.A</v>
      </c>
      <c r="F31" s="191" t="s">
        <v>248</v>
      </c>
      <c r="G31" s="191" t="s">
        <v>249</v>
      </c>
      <c r="H31" s="159">
        <f>+'Merluza del sur LTP'!E31</f>
        <v>30.464171100000002</v>
      </c>
      <c r="I31" s="159">
        <f>+'Merluza del sur LTP'!F31</f>
        <v>-43.435000000000002</v>
      </c>
      <c r="J31" s="159">
        <f>+'Merluza del sur LTP'!G31</f>
        <v>3.4293850999999975</v>
      </c>
      <c r="K31" s="159">
        <f>+'Merluza del sur LTP'!H31</f>
        <v>2.2530000000000001</v>
      </c>
      <c r="L31" s="159">
        <f>+'Merluza del sur LTP'!I31</f>
        <v>1.1763850999999974</v>
      </c>
      <c r="M31" s="192">
        <f>+'Merluza del sur LTP'!J31</f>
        <v>0.65696908754866923</v>
      </c>
      <c r="N31" s="193" t="s">
        <v>31</v>
      </c>
      <c r="O31" s="193">
        <f>+'Resumen Cuota Global'!B$4</f>
        <v>44566</v>
      </c>
      <c r="P31" s="191">
        <v>2021</v>
      </c>
      <c r="Q31" s="191"/>
    </row>
    <row r="32" spans="1:17">
      <c r="A32" s="191" t="s">
        <v>252</v>
      </c>
      <c r="B32" s="191" t="s">
        <v>245</v>
      </c>
      <c r="C32" s="191" t="s">
        <v>253</v>
      </c>
      <c r="D32" s="191" t="s">
        <v>247</v>
      </c>
      <c r="E32" s="191" t="str">
        <f>+'Merluza del sur LTP'!C30</f>
        <v>GRIMAR S.A</v>
      </c>
      <c r="F32" s="191" t="s">
        <v>223</v>
      </c>
      <c r="G32" s="191" t="s">
        <v>249</v>
      </c>
      <c r="H32" s="159">
        <f>+'Merluza del sur LTP'!K30</f>
        <v>46.8643851</v>
      </c>
      <c r="I32" s="159">
        <f>+'Merluza del sur LTP'!L30</f>
        <v>-43.435000000000002</v>
      </c>
      <c r="J32" s="159">
        <f>+'Merluza del sur LTP'!M30</f>
        <v>3.4293850999999975</v>
      </c>
      <c r="K32" s="159">
        <f>+'Merluza del sur LTP'!N30</f>
        <v>2.2530000000000001</v>
      </c>
      <c r="L32" s="159">
        <f>+'Merluza del sur LTP'!O30</f>
        <v>1.1763850999999974</v>
      </c>
      <c r="M32" s="192">
        <f>+'Merluza del sur LTP'!P30</f>
        <v>0.65696908754866923</v>
      </c>
      <c r="N32" s="193" t="s">
        <v>31</v>
      </c>
      <c r="O32" s="193">
        <f>+'Resumen Cuota Global'!B$4</f>
        <v>44566</v>
      </c>
      <c r="P32" s="191">
        <v>2021</v>
      </c>
      <c r="Q32" s="191"/>
    </row>
    <row r="33" spans="1:17">
      <c r="A33" s="191" t="s">
        <v>252</v>
      </c>
      <c r="B33" s="191" t="s">
        <v>245</v>
      </c>
      <c r="C33" s="191" t="s">
        <v>253</v>
      </c>
      <c r="D33" s="191" t="s">
        <v>247</v>
      </c>
      <c r="E33" s="191" t="str">
        <f>+'Merluza del sur LTP'!C32</f>
        <v xml:space="preserve">PESCA CHILE </v>
      </c>
      <c r="F33" s="191" t="s">
        <v>223</v>
      </c>
      <c r="G33" s="191" t="s">
        <v>223</v>
      </c>
      <c r="H33" s="159">
        <f>+'Merluza del sur LTP'!E32</f>
        <v>506.62625800000001</v>
      </c>
      <c r="I33" s="159">
        <f>+'Merluza del sur LTP'!F32</f>
        <v>-921.30299999999988</v>
      </c>
      <c r="J33" s="159">
        <f>+'Merluza del sur LTP'!G32</f>
        <v>-414.67674199999988</v>
      </c>
      <c r="K33" s="159">
        <f>+'Merluza del sur LTP'!H32</f>
        <v>0</v>
      </c>
      <c r="L33" s="159">
        <f>+'Merluza del sur LTP'!I32</f>
        <v>-414.67674199999988</v>
      </c>
      <c r="M33" s="192">
        <f>+'Merluza del sur LTP'!J32</f>
        <v>0</v>
      </c>
      <c r="N33" s="193" t="s">
        <v>31</v>
      </c>
      <c r="O33" s="193">
        <f>+'Resumen Cuota Global'!B$4</f>
        <v>44566</v>
      </c>
      <c r="P33" s="191">
        <v>2021</v>
      </c>
      <c r="Q33" s="191"/>
    </row>
    <row r="34" spans="1:17">
      <c r="A34" s="191" t="s">
        <v>252</v>
      </c>
      <c r="B34" s="191" t="s">
        <v>245</v>
      </c>
      <c r="C34" s="191" t="s">
        <v>253</v>
      </c>
      <c r="D34" s="191" t="s">
        <v>247</v>
      </c>
      <c r="E34" s="191" t="str">
        <f>+'Merluza del sur LTP'!C32</f>
        <v xml:space="preserve">PESCA CHILE </v>
      </c>
      <c r="F34" s="191" t="s">
        <v>248</v>
      </c>
      <c r="G34" s="191" t="s">
        <v>249</v>
      </c>
      <c r="H34" s="159">
        <f>+'Merluza del sur LTP'!E33</f>
        <v>941.0821717</v>
      </c>
      <c r="I34" s="159">
        <f>+'Merluza del sur LTP'!F33</f>
        <v>-344.16543000000001</v>
      </c>
      <c r="J34" s="159">
        <f>+'Merluza del sur LTP'!G33</f>
        <v>182.23999970000011</v>
      </c>
      <c r="K34" s="159">
        <f>+'Merluza del sur LTP'!H33</f>
        <v>172.54499999999999</v>
      </c>
      <c r="L34" s="159">
        <f>+'Merluza del sur LTP'!I33</f>
        <v>9.6949997000001247</v>
      </c>
      <c r="M34" s="192">
        <f>+'Merluza del sur LTP'!J33</f>
        <v>0.94680092341988675</v>
      </c>
      <c r="N34" s="193" t="s">
        <v>31</v>
      </c>
      <c r="O34" s="193">
        <f>+'Resumen Cuota Global'!B$4</f>
        <v>44566</v>
      </c>
      <c r="P34" s="191">
        <v>2021</v>
      </c>
      <c r="Q34" s="191"/>
    </row>
    <row r="35" spans="1:17">
      <c r="A35" s="191" t="s">
        <v>252</v>
      </c>
      <c r="B35" s="191" t="s">
        <v>245</v>
      </c>
      <c r="C35" s="191" t="s">
        <v>253</v>
      </c>
      <c r="D35" s="191" t="s">
        <v>247</v>
      </c>
      <c r="E35" s="191" t="str">
        <f>+'Merluza del sur LTP'!C32</f>
        <v xml:space="preserve">PESCA CHILE </v>
      </c>
      <c r="F35" s="191" t="s">
        <v>223</v>
      </c>
      <c r="G35" s="191" t="s">
        <v>249</v>
      </c>
      <c r="H35" s="159">
        <f>+'Merluza del sur LTP'!K32</f>
        <v>1447.7084297000001</v>
      </c>
      <c r="I35" s="159">
        <f>+'Merluza del sur LTP'!L32</f>
        <v>-1265.4684299999999</v>
      </c>
      <c r="J35" s="159">
        <f>+'Merluza del sur LTP'!M32</f>
        <v>182.23999970000023</v>
      </c>
      <c r="K35" s="159">
        <f>+'Merluza del sur LTP'!N32</f>
        <v>172.54499999999999</v>
      </c>
      <c r="L35" s="159">
        <f>+'Merluza del sur LTP'!O32</f>
        <v>9.6949997000002384</v>
      </c>
      <c r="M35" s="192">
        <f>+'Merluza del sur LTP'!P32</f>
        <v>0.9468009234198862</v>
      </c>
      <c r="N35" s="193" t="s">
        <v>31</v>
      </c>
      <c r="O35" s="193">
        <f>+'Resumen Cuota Global'!B$4</f>
        <v>44566</v>
      </c>
      <c r="P35" s="191">
        <v>2021</v>
      </c>
      <c r="Q35" s="191"/>
    </row>
    <row r="36" spans="1:17">
      <c r="A36" s="191" t="s">
        <v>252</v>
      </c>
      <c r="B36" s="191" t="s">
        <v>245</v>
      </c>
      <c r="C36" s="191" t="s">
        <v>253</v>
      </c>
      <c r="D36" s="191" t="s">
        <v>247</v>
      </c>
      <c r="E36" s="191" t="str">
        <f>+'Merluza del sur LTP'!C34</f>
        <v>PESCA CISNE S.A</v>
      </c>
      <c r="F36" s="191" t="s">
        <v>223</v>
      </c>
      <c r="G36" s="191" t="s">
        <v>223</v>
      </c>
      <c r="H36" s="159">
        <f>+'Merluza del sur LTP'!E34</f>
        <v>174.43561399999999</v>
      </c>
      <c r="I36" s="159">
        <f>+'Merluza del sur LTP'!F34</f>
        <v>0</v>
      </c>
      <c r="J36" s="159">
        <f>+'Merluza del sur LTP'!G34</f>
        <v>174.43561399999999</v>
      </c>
      <c r="K36" s="159">
        <f>+'Merluza del sur LTP'!H34</f>
        <v>106.042</v>
      </c>
      <c r="L36" s="159">
        <f>+'Merluza del sur LTP'!I34</f>
        <v>68.393613999999985</v>
      </c>
      <c r="M36" s="192">
        <f>+'Merluza del sur LTP'!J34</f>
        <v>0.60791484931511752</v>
      </c>
      <c r="N36" s="193" t="s">
        <v>31</v>
      </c>
      <c r="O36" s="193">
        <f>+'Resumen Cuota Global'!B$4</f>
        <v>44566</v>
      </c>
      <c r="P36" s="191">
        <v>2021</v>
      </c>
      <c r="Q36" s="191"/>
    </row>
    <row r="37" spans="1:17">
      <c r="A37" s="191" t="s">
        <v>252</v>
      </c>
      <c r="B37" s="191" t="s">
        <v>245</v>
      </c>
      <c r="C37" s="191" t="s">
        <v>253</v>
      </c>
      <c r="D37" s="191" t="s">
        <v>247</v>
      </c>
      <c r="E37" s="191" t="str">
        <f>+'Merluza del sur LTP'!C34</f>
        <v>PESCA CISNE S.A</v>
      </c>
      <c r="F37" s="191" t="s">
        <v>248</v>
      </c>
      <c r="G37" s="191" t="s">
        <v>249</v>
      </c>
      <c r="H37" s="159">
        <f>+'Merluza del sur LTP'!E35</f>
        <v>324.00223811000001</v>
      </c>
      <c r="I37" s="159">
        <f>+'Merluza del sur LTP'!F35</f>
        <v>-254.58866159999999</v>
      </c>
      <c r="J37" s="159">
        <f>+'Merluza del sur LTP'!G35</f>
        <v>137.80719050999997</v>
      </c>
      <c r="K37" s="159">
        <f>+'Merluza del sur LTP'!H35</f>
        <v>97.037000000000006</v>
      </c>
      <c r="L37" s="159">
        <f>+'Merluza del sur LTP'!I35</f>
        <v>40.770190509999964</v>
      </c>
      <c r="M37" s="192">
        <f>+'Merluza del sur LTP'!J35</f>
        <v>0.70415048475252473</v>
      </c>
      <c r="N37" s="193" t="s">
        <v>31</v>
      </c>
      <c r="O37" s="193">
        <f>+'Resumen Cuota Global'!B$4</f>
        <v>44566</v>
      </c>
      <c r="P37" s="191">
        <v>2021</v>
      </c>
      <c r="Q37" s="191"/>
    </row>
    <row r="38" spans="1:17">
      <c r="A38" s="191" t="s">
        <v>252</v>
      </c>
      <c r="B38" s="191" t="s">
        <v>245</v>
      </c>
      <c r="C38" s="191" t="s">
        <v>253</v>
      </c>
      <c r="D38" s="191" t="s">
        <v>247</v>
      </c>
      <c r="E38" s="191" t="str">
        <f>+'Merluza del sur LTP'!C34</f>
        <v>PESCA CISNE S.A</v>
      </c>
      <c r="F38" s="191" t="s">
        <v>223</v>
      </c>
      <c r="G38" s="191" t="s">
        <v>249</v>
      </c>
      <c r="H38" s="159">
        <f>+'Merluza del sur LTP'!K34</f>
        <v>498.43785210999999</v>
      </c>
      <c r="I38" s="159">
        <f>+'Merluza del sur LTP'!L34</f>
        <v>-254.58866159999999</v>
      </c>
      <c r="J38" s="159">
        <f>+'Merluza del sur LTP'!M34</f>
        <v>243.84919051</v>
      </c>
      <c r="K38" s="159">
        <f>+'Merluza del sur LTP'!N34</f>
        <v>203.07900000000001</v>
      </c>
      <c r="L38" s="159">
        <f>+'Merluza del sur LTP'!O34</f>
        <v>40.770190509999992</v>
      </c>
      <c r="M38" s="192">
        <f>+'Merluza del sur LTP'!P34</f>
        <v>0.83280571723559582</v>
      </c>
      <c r="N38" s="193" t="s">
        <v>31</v>
      </c>
      <c r="O38" s="193">
        <f>+'Resumen Cuota Global'!B$4</f>
        <v>44566</v>
      </c>
      <c r="P38" s="191">
        <v>2021</v>
      </c>
      <c r="Q38" s="191"/>
    </row>
    <row r="39" spans="1:17">
      <c r="A39" s="191" t="s">
        <v>252</v>
      </c>
      <c r="B39" s="191" t="s">
        <v>245</v>
      </c>
      <c r="C39" s="191" t="s">
        <v>253</v>
      </c>
      <c r="D39" s="191" t="s">
        <v>247</v>
      </c>
      <c r="E39" s="191" t="str">
        <f>+'Merluza del sur LTP'!C36</f>
        <v>SUR AUSTRAL S.A</v>
      </c>
      <c r="F39" s="191" t="s">
        <v>223</v>
      </c>
      <c r="G39" s="191" t="s">
        <v>223</v>
      </c>
      <c r="H39" s="159">
        <f>+'Merluza del sur LTP'!E36</f>
        <v>19.192784</v>
      </c>
      <c r="I39" s="159">
        <f>+'Merluza del sur LTP'!F36</f>
        <v>0</v>
      </c>
      <c r="J39" s="159">
        <f>+'Merluza del sur LTP'!G36</f>
        <v>19.192784</v>
      </c>
      <c r="K39" s="159">
        <f>+'Merluza del sur LTP'!H36</f>
        <v>0</v>
      </c>
      <c r="L39" s="159">
        <f>+'Merluza del sur LTP'!I36</f>
        <v>19.192784</v>
      </c>
      <c r="M39" s="192">
        <f>+'Merluza del sur LTP'!J36</f>
        <v>0</v>
      </c>
      <c r="N39" s="193" t="s">
        <v>31</v>
      </c>
      <c r="O39" s="193">
        <f>+'Resumen Cuota Global'!B$4</f>
        <v>44566</v>
      </c>
      <c r="P39" s="191">
        <v>2021</v>
      </c>
      <c r="Q39" s="191"/>
    </row>
    <row r="40" spans="1:17">
      <c r="A40" s="191" t="s">
        <v>252</v>
      </c>
      <c r="B40" s="191" t="s">
        <v>245</v>
      </c>
      <c r="C40" s="191" t="s">
        <v>253</v>
      </c>
      <c r="D40" s="191" t="s">
        <v>247</v>
      </c>
      <c r="E40" s="191" t="str">
        <f>+'Merluza del sur LTP'!C36</f>
        <v>SUR AUSTRAL S.A</v>
      </c>
      <c r="F40" s="191" t="s">
        <v>248</v>
      </c>
      <c r="G40" s="191" t="s">
        <v>249</v>
      </c>
      <c r="H40" s="159">
        <f>+'Merluza del sur LTP'!E37</f>
        <v>35.651501600000003</v>
      </c>
      <c r="I40" s="159">
        <f>+'Merluza del sur LTP'!F37</f>
        <v>-54.427498400000047</v>
      </c>
      <c r="J40" s="159">
        <f>+'Merluza del sur LTP'!G37</f>
        <v>0.41678719999995906</v>
      </c>
      <c r="K40" s="159">
        <f>+'Merluza del sur LTP'!H37</f>
        <v>0</v>
      </c>
      <c r="L40" s="159">
        <f>+'Merluza del sur LTP'!I37</f>
        <v>0.41678719999995906</v>
      </c>
      <c r="M40" s="192">
        <f>+'Merluza del sur LTP'!J37</f>
        <v>0</v>
      </c>
      <c r="N40" s="193" t="s">
        <v>31</v>
      </c>
      <c r="O40" s="193">
        <f>+'Resumen Cuota Global'!B$4</f>
        <v>44566</v>
      </c>
      <c r="P40" s="191">
        <v>2021</v>
      </c>
      <c r="Q40" s="191"/>
    </row>
    <row r="41" spans="1:17">
      <c r="A41" s="191" t="s">
        <v>252</v>
      </c>
      <c r="B41" s="191" t="s">
        <v>245</v>
      </c>
      <c r="C41" s="191" t="s">
        <v>253</v>
      </c>
      <c r="D41" s="191" t="s">
        <v>247</v>
      </c>
      <c r="E41" s="191" t="str">
        <f>+'Merluza del sur LTP'!C36</f>
        <v>SUR AUSTRAL S.A</v>
      </c>
      <c r="F41" s="191" t="s">
        <v>223</v>
      </c>
      <c r="G41" s="191" t="s">
        <v>249</v>
      </c>
      <c r="H41" s="159">
        <f>+'Merluza del sur LTP'!K36</f>
        <v>54.844285600000006</v>
      </c>
      <c r="I41" s="159">
        <f>+'Merluza del sur LTP'!L36</f>
        <v>-54.427498400000047</v>
      </c>
      <c r="J41" s="159">
        <f>+'Merluza del sur LTP'!M36</f>
        <v>0.41678719999995906</v>
      </c>
      <c r="K41" s="159">
        <f>+'Merluza del sur LTP'!N36</f>
        <v>0</v>
      </c>
      <c r="L41" s="159">
        <f>+'Merluza del sur LTP'!O36</f>
        <v>0.41678719999995906</v>
      </c>
      <c r="M41" s="192">
        <f>+'Merluza del sur LTP'!P36</f>
        <v>0</v>
      </c>
      <c r="N41" s="193" t="s">
        <v>31</v>
      </c>
      <c r="O41" s="193">
        <f>+'Resumen Cuota Global'!B$4</f>
        <v>44566</v>
      </c>
      <c r="P41" s="191">
        <v>2021</v>
      </c>
      <c r="Q41" s="191"/>
    </row>
    <row r="42" spans="1:17">
      <c r="A42" s="191" t="s">
        <v>252</v>
      </c>
      <c r="B42" s="191" t="s">
        <v>245</v>
      </c>
      <c r="C42" s="191" t="s">
        <v>253</v>
      </c>
      <c r="D42" s="191" t="s">
        <v>247</v>
      </c>
      <c r="E42" s="191" t="str">
        <f>+'Merluza del sur LTP'!C38</f>
        <v>ALEXIS CABRERA VALLEJOS</v>
      </c>
      <c r="F42" s="191" t="s">
        <v>223</v>
      </c>
      <c r="G42" s="191" t="s">
        <v>223</v>
      </c>
      <c r="H42" s="159">
        <f>+'Merluza del sur LTP'!E38</f>
        <v>18.55</v>
      </c>
      <c r="I42" s="159">
        <f>+'Merluza del sur LTP'!F38</f>
        <v>0</v>
      </c>
      <c r="J42" s="159">
        <f>+'Merluza del sur LTP'!G38</f>
        <v>18.55</v>
      </c>
      <c r="K42" s="159">
        <f>+'Merluza del sur LTP'!H38</f>
        <v>0</v>
      </c>
      <c r="L42" s="159">
        <f>+'Merluza del sur LTP'!I38</f>
        <v>18.55</v>
      </c>
      <c r="M42" s="192">
        <f>+'Merluza del sur LTP'!J38</f>
        <v>0</v>
      </c>
      <c r="N42" s="193" t="s">
        <v>31</v>
      </c>
      <c r="O42" s="193">
        <f>+'Resumen Cuota Global'!B$4</f>
        <v>44566</v>
      </c>
      <c r="P42" s="191">
        <v>2021</v>
      </c>
      <c r="Q42" s="191"/>
    </row>
    <row r="43" spans="1:17">
      <c r="A43" s="191" t="s">
        <v>252</v>
      </c>
      <c r="B43" s="191" t="s">
        <v>245</v>
      </c>
      <c r="C43" s="191" t="s">
        <v>253</v>
      </c>
      <c r="D43" s="191" t="s">
        <v>247</v>
      </c>
      <c r="E43" s="191" t="str">
        <f>+'Merluza del sur LTP'!C38</f>
        <v>ALEXIS CABRERA VALLEJOS</v>
      </c>
      <c r="F43" s="191" t="s">
        <v>248</v>
      </c>
      <c r="G43" s="191" t="s">
        <v>249</v>
      </c>
      <c r="H43" s="159">
        <f>+'Merluza del sur LTP'!E39</f>
        <v>34.457500000000003</v>
      </c>
      <c r="I43" s="159">
        <f>+'Merluza del sur LTP'!F39</f>
        <v>-53.007499999999993</v>
      </c>
      <c r="J43" s="159">
        <f>+'Merluza del sur LTP'!G39</f>
        <v>0</v>
      </c>
      <c r="K43" s="159">
        <f>+'Merluza del sur LTP'!H39</f>
        <v>0</v>
      </c>
      <c r="L43" s="159">
        <f>+'Merluza del sur LTP'!I39</f>
        <v>0</v>
      </c>
      <c r="M43" s="192">
        <f>+'Merluza del sur LTP'!J39</f>
        <v>0</v>
      </c>
      <c r="N43" s="193" t="s">
        <v>31</v>
      </c>
      <c r="O43" s="193">
        <f>+'Resumen Cuota Global'!B$4</f>
        <v>44566</v>
      </c>
      <c r="P43" s="191">
        <v>2021</v>
      </c>
      <c r="Q43" s="191"/>
    </row>
    <row r="44" spans="1:17">
      <c r="A44" s="191" t="s">
        <v>252</v>
      </c>
      <c r="B44" s="191" t="s">
        <v>245</v>
      </c>
      <c r="C44" s="191" t="s">
        <v>253</v>
      </c>
      <c r="D44" s="191" t="s">
        <v>247</v>
      </c>
      <c r="E44" s="191" t="str">
        <f>+'Merluza del sur LTP'!C38</f>
        <v>ALEXIS CABRERA VALLEJOS</v>
      </c>
      <c r="F44" s="191" t="s">
        <v>223</v>
      </c>
      <c r="G44" s="191" t="s">
        <v>249</v>
      </c>
      <c r="H44" s="159">
        <f>+'Merluza del sur LTP'!K38</f>
        <v>53.007500000000007</v>
      </c>
      <c r="I44" s="159">
        <f>+'Merluza del sur LTP'!L38</f>
        <v>-53.007499999999993</v>
      </c>
      <c r="J44" s="159">
        <f>+'Merluza del sur LTP'!M38</f>
        <v>0</v>
      </c>
      <c r="K44" s="159">
        <f>+'Merluza del sur LTP'!N38</f>
        <v>0</v>
      </c>
      <c r="L44" s="159">
        <f>+'Merluza del sur LTP'!O38</f>
        <v>0</v>
      </c>
      <c r="M44" s="192">
        <f>+'Merluza del sur LTP'!P38</f>
        <v>0</v>
      </c>
      <c r="N44" s="193" t="s">
        <v>31</v>
      </c>
      <c r="O44" s="193">
        <f>+'Resumen Cuota Global'!B$4</f>
        <v>44566</v>
      </c>
      <c r="P44" s="191">
        <v>2021</v>
      </c>
      <c r="Q44" s="191"/>
    </row>
    <row r="45" spans="1:17">
      <c r="A45" s="191" t="s">
        <v>252</v>
      </c>
      <c r="B45" s="191" t="s">
        <v>245</v>
      </c>
      <c r="C45" s="191" t="s">
        <v>253</v>
      </c>
      <c r="D45" s="191" t="s">
        <v>247</v>
      </c>
      <c r="E45" s="191" t="str">
        <f>+'Merluza del sur LTP'!C40</f>
        <v>JUAN CARLOS MARILAF QUEZADA</v>
      </c>
      <c r="F45" s="191" t="s">
        <v>223</v>
      </c>
      <c r="G45" s="191" t="s">
        <v>223</v>
      </c>
      <c r="H45" s="159">
        <f>+'Merluza del sur LTP'!E40</f>
        <v>2.65</v>
      </c>
      <c r="I45" s="159">
        <f>+'Merluza del sur LTP'!F40</f>
        <v>0</v>
      </c>
      <c r="J45" s="159">
        <f>+'Merluza del sur LTP'!G40</f>
        <v>2.65</v>
      </c>
      <c r="K45" s="159">
        <f>+'Merluza del sur LTP'!H40</f>
        <v>0</v>
      </c>
      <c r="L45" s="159">
        <f>+'Merluza del sur LTP'!I40</f>
        <v>2.65</v>
      </c>
      <c r="M45" s="192">
        <f>+'Merluza del sur LTP'!J40</f>
        <v>0</v>
      </c>
      <c r="N45" s="193" t="s">
        <v>31</v>
      </c>
      <c r="O45" s="193">
        <f>+'Resumen Cuota Global'!B$4</f>
        <v>44566</v>
      </c>
      <c r="P45" s="191">
        <v>2021</v>
      </c>
      <c r="Q45" s="191"/>
    </row>
    <row r="46" spans="1:17">
      <c r="A46" s="191" t="s">
        <v>252</v>
      </c>
      <c r="B46" s="191" t="s">
        <v>245</v>
      </c>
      <c r="C46" s="191" t="s">
        <v>253</v>
      </c>
      <c r="D46" s="191" t="s">
        <v>247</v>
      </c>
      <c r="E46" s="191" t="str">
        <f>+'Merluza del sur LTP'!C40</f>
        <v>JUAN CARLOS MARILAF QUEZADA</v>
      </c>
      <c r="F46" s="191" t="s">
        <v>248</v>
      </c>
      <c r="G46" s="191" t="s">
        <v>249</v>
      </c>
      <c r="H46" s="159">
        <f>+'Merluza del sur LTP'!E41</f>
        <v>4.9225000000000003</v>
      </c>
      <c r="I46" s="159">
        <f>+'Merluza del sur LTP'!F41</f>
        <v>0</v>
      </c>
      <c r="J46" s="159">
        <f>+'Merluza del sur LTP'!G41</f>
        <v>7.5724999999999998</v>
      </c>
      <c r="K46" s="159">
        <f>+'Merluza del sur LTP'!H41</f>
        <v>0</v>
      </c>
      <c r="L46" s="159">
        <f>+'Merluza del sur LTP'!I41</f>
        <v>7.5724999999999998</v>
      </c>
      <c r="M46" s="192">
        <f>+'Merluza del sur LTP'!J41</f>
        <v>0</v>
      </c>
      <c r="N46" s="193" t="s">
        <v>31</v>
      </c>
      <c r="O46" s="193">
        <f>+'Resumen Cuota Global'!B$4</f>
        <v>44566</v>
      </c>
      <c r="P46" s="191">
        <v>2021</v>
      </c>
      <c r="Q46" s="191"/>
    </row>
    <row r="47" spans="1:17">
      <c r="A47" s="191" t="s">
        <v>252</v>
      </c>
      <c r="B47" s="191" t="s">
        <v>245</v>
      </c>
      <c r="C47" s="191" t="s">
        <v>253</v>
      </c>
      <c r="D47" s="191" t="s">
        <v>247</v>
      </c>
      <c r="E47" s="191" t="str">
        <f>+'Merluza del sur LTP'!C40</f>
        <v>JUAN CARLOS MARILAF QUEZADA</v>
      </c>
      <c r="F47" s="191" t="s">
        <v>223</v>
      </c>
      <c r="G47" s="191" t="s">
        <v>249</v>
      </c>
      <c r="H47" s="159">
        <f>+'Merluza del sur LTP'!K40</f>
        <v>7.5724999999999998</v>
      </c>
      <c r="I47" s="159">
        <f>+'Merluza del sur LTP'!L40</f>
        <v>0</v>
      </c>
      <c r="J47" s="159">
        <f>+'Merluza del sur LTP'!M40</f>
        <v>7.5724999999999998</v>
      </c>
      <c r="K47" s="159">
        <f>+'Merluza del sur LTP'!N40</f>
        <v>0</v>
      </c>
      <c r="L47" s="159">
        <f>+'Merluza del sur LTP'!O40</f>
        <v>7.5724999999999998</v>
      </c>
      <c r="M47" s="192">
        <f>+'Merluza del sur LTP'!P40</f>
        <v>0</v>
      </c>
      <c r="N47" s="193" t="s">
        <v>31</v>
      </c>
      <c r="O47" s="193">
        <f>+'Resumen Cuota Global'!B$4</f>
        <v>44566</v>
      </c>
      <c r="P47" s="191">
        <v>2021</v>
      </c>
      <c r="Q47" s="191"/>
    </row>
    <row r="48" spans="1:17">
      <c r="A48" s="191" t="s">
        <v>252</v>
      </c>
      <c r="B48" s="191" t="s">
        <v>245</v>
      </c>
      <c r="C48" s="191" t="s">
        <v>253</v>
      </c>
      <c r="D48" s="191" t="s">
        <v>250</v>
      </c>
      <c r="E48" s="191" t="s">
        <v>251</v>
      </c>
      <c r="F48" s="191" t="s">
        <v>223</v>
      </c>
      <c r="G48" s="191" t="s">
        <v>249</v>
      </c>
      <c r="H48" s="159">
        <f>+'Merluza del sur LTP'!K42</f>
        <v>3028.9795541100007</v>
      </c>
      <c r="I48" s="159">
        <f>+'Merluza del sur LTP'!L42</f>
        <v>-2270.97199</v>
      </c>
      <c r="J48" s="159">
        <f>+'Merluza del sur LTP'!M42</f>
        <v>758.00756411000066</v>
      </c>
      <c r="K48" s="159">
        <f>+'Merluza del sur LTP'!N42</f>
        <v>529.1880000000001</v>
      </c>
      <c r="L48" s="159">
        <f>+'Merluza del sur LTP'!O42</f>
        <v>228.81956411000056</v>
      </c>
      <c r="M48" s="192">
        <f>+'Merluza del sur LTP'!P42</f>
        <v>0.69813023649880801</v>
      </c>
      <c r="N48" s="193" t="s">
        <v>31</v>
      </c>
      <c r="O48" s="193">
        <f>+'Resumen Cuota Global'!B$4</f>
        <v>44566</v>
      </c>
      <c r="P48" s="191">
        <v>2021</v>
      </c>
      <c r="Q48" s="191"/>
    </row>
    <row r="49" spans="1:17">
      <c r="A49" s="191" t="s">
        <v>254</v>
      </c>
      <c r="B49" s="191" t="s">
        <v>245</v>
      </c>
      <c r="C49" s="191" t="s">
        <v>255</v>
      </c>
      <c r="D49" s="191" t="s">
        <v>256</v>
      </c>
      <c r="E49" s="191" t="str">
        <f>+'Merluza del sur Artesanal X'!B8</f>
        <v>CALBUCO A</v>
      </c>
      <c r="F49" s="191" t="s">
        <v>223</v>
      </c>
      <c r="G49" s="191" t="s">
        <v>249</v>
      </c>
      <c r="H49" s="159">
        <f>+'Merluza del sur Artesanal X'!D8</f>
        <v>241.559</v>
      </c>
      <c r="I49" s="159">
        <f>+'Merluza del sur Artesanal X'!E8</f>
        <v>-128</v>
      </c>
      <c r="J49" s="159">
        <f>+'Merluza del sur Artesanal X'!F8</f>
        <v>113.559</v>
      </c>
      <c r="K49" s="159">
        <f>+'Merluza del sur Artesanal X'!G8</f>
        <v>103.245</v>
      </c>
      <c r="L49" s="159">
        <f>+'Merluza del sur Artesanal X'!H8</f>
        <v>10.313999999999993</v>
      </c>
      <c r="M49" s="192">
        <f>+'Merluza del sur Artesanal X'!I8</f>
        <v>0.90917496631706873</v>
      </c>
      <c r="N49" s="193" t="str">
        <f>+'Merluza del sur Artesanal X'!J8</f>
        <v>-</v>
      </c>
      <c r="O49" s="193">
        <f>+'Resumen Cuota Global'!B$4</f>
        <v>44566</v>
      </c>
      <c r="P49" s="191">
        <v>2021</v>
      </c>
      <c r="Q49" s="191"/>
    </row>
    <row r="50" spans="1:17">
      <c r="A50" s="191" t="s">
        <v>254</v>
      </c>
      <c r="B50" s="191" t="s">
        <v>245</v>
      </c>
      <c r="C50" s="191" t="s">
        <v>255</v>
      </c>
      <c r="D50" s="191" t="s">
        <v>257</v>
      </c>
      <c r="E50" s="191" t="str">
        <f>+'Merluza del sur Artesanal X'!B9</f>
        <v>CALBUCO B</v>
      </c>
      <c r="F50" s="191" t="s">
        <v>223</v>
      </c>
      <c r="G50" s="191" t="s">
        <v>249</v>
      </c>
      <c r="H50" s="159">
        <f>+'Merluza del sur Artesanal X'!D9</f>
        <v>623.55999999999995</v>
      </c>
      <c r="I50" s="159">
        <f>+'Merluza del sur Artesanal X'!E9</f>
        <v>-426</v>
      </c>
      <c r="J50" s="159">
        <f>+'Merluza del sur Artesanal X'!F9</f>
        <v>197.55999999999995</v>
      </c>
      <c r="K50" s="159">
        <f>+'Merluza del sur Artesanal X'!G9</f>
        <v>172.065</v>
      </c>
      <c r="L50" s="159">
        <f>+'Merluza del sur Artesanal X'!H9</f>
        <v>25.494999999999948</v>
      </c>
      <c r="M50" s="192">
        <f>+'Merluza del sur Artesanal X'!I9</f>
        <v>0.87095059728690039</v>
      </c>
      <c r="N50" s="193" t="str">
        <f>+'Merluza del sur Artesanal X'!J9</f>
        <v>-</v>
      </c>
      <c r="O50" s="193">
        <f>+'Resumen Cuota Global'!B$4</f>
        <v>44566</v>
      </c>
      <c r="P50" s="191">
        <v>2021</v>
      </c>
      <c r="Q50" s="191"/>
    </row>
    <row r="51" spans="1:17">
      <c r="A51" s="191" t="s">
        <v>254</v>
      </c>
      <c r="B51" s="191" t="s">
        <v>245</v>
      </c>
      <c r="C51" s="191" t="s">
        <v>255</v>
      </c>
      <c r="D51" s="191" t="s">
        <v>258</v>
      </c>
      <c r="E51" s="191" t="str">
        <f>+'Merluza del sur Artesanal X'!B10</f>
        <v>CALBUCO C</v>
      </c>
      <c r="F51" s="191" t="s">
        <v>223</v>
      </c>
      <c r="G51" s="191" t="s">
        <v>249</v>
      </c>
      <c r="H51" s="159">
        <f>+'Merluza del sur Artesanal X'!D10</f>
        <v>221.59</v>
      </c>
      <c r="I51" s="159">
        <f>+'Merluza del sur Artesanal X'!E10</f>
        <v>0</v>
      </c>
      <c r="J51" s="159">
        <f>+'Merluza del sur Artesanal X'!F10</f>
        <v>221.59</v>
      </c>
      <c r="K51" s="159">
        <f>+'Merluza del sur Artesanal X'!G10</f>
        <v>216.25899999999999</v>
      </c>
      <c r="L51" s="159">
        <f>+'Merluza del sur Artesanal X'!H10</f>
        <v>5.3310000000000173</v>
      </c>
      <c r="M51" s="192">
        <f>+'Merluza del sur Artesanal X'!I10</f>
        <v>0.97594205514689281</v>
      </c>
      <c r="N51" s="193" t="str">
        <f>+'Merluza del sur Artesanal X'!J10</f>
        <v>-</v>
      </c>
      <c r="O51" s="193">
        <f>+'Resumen Cuota Global'!B$4</f>
        <v>44566</v>
      </c>
      <c r="P51" s="191">
        <v>2021</v>
      </c>
      <c r="Q51" s="191"/>
    </row>
    <row r="52" spans="1:17">
      <c r="A52" s="191" t="s">
        <v>254</v>
      </c>
      <c r="B52" s="191" t="s">
        <v>245</v>
      </c>
      <c r="C52" s="191" t="s">
        <v>255</v>
      </c>
      <c r="D52" s="191" t="s">
        <v>259</v>
      </c>
      <c r="E52" s="191" t="str">
        <f>+'Merluza del sur Artesanal X'!B11</f>
        <v>CALBUCO D</v>
      </c>
      <c r="F52" s="191" t="s">
        <v>223</v>
      </c>
      <c r="G52" s="191" t="s">
        <v>249</v>
      </c>
      <c r="H52" s="159">
        <f>+'Merluza del sur Artesanal X'!D11</f>
        <v>35.137</v>
      </c>
      <c r="I52" s="159">
        <f>+'Merluza del sur Artesanal X'!E11</f>
        <v>-20.46</v>
      </c>
      <c r="J52" s="159">
        <f>+'Merluza del sur Artesanal X'!F11</f>
        <v>14.677</v>
      </c>
      <c r="K52" s="159">
        <f>+'Merluza del sur Artesanal X'!G11</f>
        <v>16.46</v>
      </c>
      <c r="L52" s="159">
        <f>+'Merluza del sur Artesanal X'!H11</f>
        <v>-1.7830000000000013</v>
      </c>
      <c r="M52" s="192">
        <f>+'Merluza del sur Artesanal X'!I11</f>
        <v>1.1214825918103155</v>
      </c>
      <c r="N52" s="193" t="str">
        <f>+'Merluza del sur Artesanal X'!J11</f>
        <v>-</v>
      </c>
      <c r="O52" s="193">
        <f>+'Resumen Cuota Global'!B$4</f>
        <v>44566</v>
      </c>
      <c r="P52" s="191">
        <v>2021</v>
      </c>
      <c r="Q52" s="191"/>
    </row>
    <row r="53" spans="1:17">
      <c r="A53" s="191" t="s">
        <v>254</v>
      </c>
      <c r="B53" s="191" t="s">
        <v>245</v>
      </c>
      <c r="C53" s="191" t="s">
        <v>255</v>
      </c>
      <c r="D53" s="191" t="s">
        <v>260</v>
      </c>
      <c r="E53" s="191" t="str">
        <f>+'Merluza del sur Artesanal X'!B12</f>
        <v>CHILOÉ A</v>
      </c>
      <c r="F53" s="191" t="s">
        <v>223</v>
      </c>
      <c r="G53" s="191" t="s">
        <v>249</v>
      </c>
      <c r="H53" s="159">
        <f>+'Merluza del sur Artesanal X'!D12</f>
        <v>230.08699999999999</v>
      </c>
      <c r="I53" s="159">
        <f>+'Merluza del sur Artesanal X'!E12</f>
        <v>0</v>
      </c>
      <c r="J53" s="159">
        <f>+'Merluza del sur Artesanal X'!F12</f>
        <v>230.08699999999999</v>
      </c>
      <c r="K53" s="159">
        <f>+'Merluza del sur Artesanal X'!G12</f>
        <v>194.679</v>
      </c>
      <c r="L53" s="159">
        <f>+'Merluza del sur Artesanal X'!H12</f>
        <v>35.407999999999987</v>
      </c>
      <c r="M53" s="192">
        <f>+'Merluza del sur Artesanal X'!I12</f>
        <v>0.84611038433288288</v>
      </c>
      <c r="N53" s="193" t="str">
        <f>+'Merluza del sur Artesanal X'!J12</f>
        <v>-</v>
      </c>
      <c r="O53" s="193">
        <f>+'Resumen Cuota Global'!B$4</f>
        <v>44566</v>
      </c>
      <c r="P53" s="191">
        <v>2021</v>
      </c>
      <c r="Q53" s="191"/>
    </row>
    <row r="54" spans="1:17">
      <c r="A54" s="191" t="s">
        <v>254</v>
      </c>
      <c r="B54" s="191" t="s">
        <v>245</v>
      </c>
      <c r="C54" s="191" t="s">
        <v>255</v>
      </c>
      <c r="D54" s="191" t="s">
        <v>261</v>
      </c>
      <c r="E54" s="191" t="str">
        <f>+'Merluza del sur Artesanal X'!B13</f>
        <v>CHILOÉ B</v>
      </c>
      <c r="F54" s="191" t="s">
        <v>223</v>
      </c>
      <c r="G54" s="191" t="s">
        <v>249</v>
      </c>
      <c r="H54" s="159">
        <f>+'Merluza del sur Artesanal X'!D13</f>
        <v>574.75599999999997</v>
      </c>
      <c r="I54" s="159">
        <f>+'Merluza del sur Artesanal X'!E13</f>
        <v>0</v>
      </c>
      <c r="J54" s="159">
        <f>+'Merluza del sur Artesanal X'!F13</f>
        <v>574.75599999999997</v>
      </c>
      <c r="K54" s="159">
        <f>+'Merluza del sur Artesanal X'!G13</f>
        <v>576.38900000000001</v>
      </c>
      <c r="L54" s="159">
        <f>+'Merluza del sur Artesanal X'!H13</f>
        <v>-1.6330000000000382</v>
      </c>
      <c r="M54" s="192">
        <f>+'Merluza del sur Artesanal X'!I13</f>
        <v>1.0028412056594451</v>
      </c>
      <c r="N54" s="193" t="str">
        <f>+'Merluza del sur Artesanal X'!J13</f>
        <v>-</v>
      </c>
      <c r="O54" s="193">
        <f>+'Resumen Cuota Global'!B$4</f>
        <v>44566</v>
      </c>
      <c r="P54" s="191">
        <v>2021</v>
      </c>
      <c r="Q54" s="191"/>
    </row>
    <row r="55" spans="1:17">
      <c r="A55" s="191" t="s">
        <v>254</v>
      </c>
      <c r="B55" s="191" t="s">
        <v>245</v>
      </c>
      <c r="C55" s="191" t="s">
        <v>255</v>
      </c>
      <c r="D55" s="191" t="s">
        <v>262</v>
      </c>
      <c r="E55" s="191" t="str">
        <f>+'Merluza del sur Artesanal X'!B14</f>
        <v>CHILOÉ C</v>
      </c>
      <c r="F55" s="191" t="s">
        <v>223</v>
      </c>
      <c r="G55" s="191" t="s">
        <v>249</v>
      </c>
      <c r="H55" s="159">
        <f>+'Merluza del sur Artesanal X'!D14</f>
        <v>208.63800000000001</v>
      </c>
      <c r="I55" s="159">
        <f>+'Merluza del sur Artesanal X'!E14</f>
        <v>0</v>
      </c>
      <c r="J55" s="159">
        <f>+'Merluza del sur Artesanal X'!F14</f>
        <v>208.63800000000001</v>
      </c>
      <c r="K55" s="159">
        <f>+'Merluza del sur Artesanal X'!G14</f>
        <v>184.066</v>
      </c>
      <c r="L55" s="159">
        <f>+'Merluza del sur Artesanal X'!H14</f>
        <v>24.572000000000003</v>
      </c>
      <c r="M55" s="192">
        <f>+'Merluza del sur Artesanal X'!I14</f>
        <v>0.88222663177369409</v>
      </c>
      <c r="N55" s="193" t="str">
        <f>+'Merluza del sur Artesanal X'!J14</f>
        <v>-</v>
      </c>
      <c r="O55" s="193">
        <f>+'Resumen Cuota Global'!B$4</f>
        <v>44566</v>
      </c>
      <c r="P55" s="191">
        <v>2021</v>
      </c>
      <c r="Q55" s="191"/>
    </row>
    <row r="56" spans="1:17">
      <c r="A56" s="191" t="s">
        <v>254</v>
      </c>
      <c r="B56" s="191" t="s">
        <v>245</v>
      </c>
      <c r="C56" s="191" t="s">
        <v>255</v>
      </c>
      <c r="D56" s="191" t="s">
        <v>263</v>
      </c>
      <c r="E56" s="191" t="str">
        <f>+'Merluza del sur Artesanal X'!B15</f>
        <v>CHILOÉ D</v>
      </c>
      <c r="F56" s="191" t="s">
        <v>223</v>
      </c>
      <c r="G56" s="191" t="s">
        <v>249</v>
      </c>
      <c r="H56" s="159">
        <f>+'Merluza del sur Artesanal X'!D15</f>
        <v>171.07900000000001</v>
      </c>
      <c r="I56" s="159">
        <f>+'Merluza del sur Artesanal X'!E15</f>
        <v>-142.55500000000001</v>
      </c>
      <c r="J56" s="159">
        <f>+'Merluza del sur Artesanal X'!F15</f>
        <v>28.524000000000001</v>
      </c>
      <c r="K56" s="159">
        <f>+'Merluza del sur Artesanal X'!G15</f>
        <v>24.829000000000001</v>
      </c>
      <c r="L56" s="159">
        <f>+'Merluza del sur Artesanal X'!H15</f>
        <v>3.6950000000000003</v>
      </c>
      <c r="M56" s="192">
        <f>+'Merluza del sur Artesanal X'!I15</f>
        <v>0.87045996353947552</v>
      </c>
      <c r="N56" s="193" t="str">
        <f>+'Merluza del sur Artesanal X'!J15</f>
        <v>-</v>
      </c>
      <c r="O56" s="193">
        <f>+'Resumen Cuota Global'!B$4</f>
        <v>44566</v>
      </c>
      <c r="P56" s="191">
        <v>2021</v>
      </c>
      <c r="Q56" s="191"/>
    </row>
    <row r="57" spans="1:17">
      <c r="A57" s="191" t="s">
        <v>254</v>
      </c>
      <c r="B57" s="191" t="s">
        <v>245</v>
      </c>
      <c r="C57" s="191" t="s">
        <v>255</v>
      </c>
      <c r="D57" s="191" t="s">
        <v>264</v>
      </c>
      <c r="E57" s="191" t="str">
        <f>+'Merluza del sur Artesanal X'!B16</f>
        <v>HUALAIHUE</v>
      </c>
      <c r="F57" s="191" t="s">
        <v>223</v>
      </c>
      <c r="G57" s="191" t="s">
        <v>249</v>
      </c>
      <c r="H57" s="159">
        <f>+'Merluza del sur Artesanal X'!D16</f>
        <v>1935.5050000000001</v>
      </c>
      <c r="I57" s="159">
        <f>+'Merluza del sur Artesanal X'!E16</f>
        <v>0</v>
      </c>
      <c r="J57" s="159">
        <f>+'Merluza del sur Artesanal X'!F16</f>
        <v>1935.5050000000001</v>
      </c>
      <c r="K57" s="159">
        <f>+'Merluza del sur Artesanal X'!G16</f>
        <v>1907.421</v>
      </c>
      <c r="L57" s="159">
        <f>+'Merluza del sur Artesanal X'!H16</f>
        <v>28.08400000000006</v>
      </c>
      <c r="M57" s="192">
        <f>+'Merluza del sur Artesanal X'!I16</f>
        <v>0.98549009173316526</v>
      </c>
      <c r="N57" s="193" t="str">
        <f>+'Merluza del sur Artesanal X'!J16</f>
        <v>-</v>
      </c>
      <c r="O57" s="193">
        <f>+'Resumen Cuota Global'!B$4</f>
        <v>44566</v>
      </c>
      <c r="P57" s="191">
        <v>2021</v>
      </c>
      <c r="Q57" s="191"/>
    </row>
    <row r="58" spans="1:17">
      <c r="A58" s="191" t="s">
        <v>254</v>
      </c>
      <c r="B58" s="191" t="s">
        <v>245</v>
      </c>
      <c r="C58" s="191" t="s">
        <v>255</v>
      </c>
      <c r="D58" s="191" t="s">
        <v>265</v>
      </c>
      <c r="E58" s="191" t="str">
        <f>+'Merluza del sur Artesanal X'!B17</f>
        <v>PALENA</v>
      </c>
      <c r="F58" s="191" t="s">
        <v>223</v>
      </c>
      <c r="G58" s="191" t="s">
        <v>249</v>
      </c>
      <c r="H58" s="159">
        <f>+'Merluza del sur Artesanal X'!D17</f>
        <v>115.419</v>
      </c>
      <c r="I58" s="159">
        <f>+'Merluza del sur Artesanal X'!E17</f>
        <v>-93.608000000000004</v>
      </c>
      <c r="J58" s="159">
        <f>+'Merluza del sur Artesanal X'!F17</f>
        <v>21.810999999999993</v>
      </c>
      <c r="K58" s="159">
        <f>+'Merluza del sur Artesanal X'!G17</f>
        <v>21.783000000000001</v>
      </c>
      <c r="L58" s="159">
        <f>+'Merluza del sur Artesanal X'!H17</f>
        <v>2.7999999999991587E-2</v>
      </c>
      <c r="M58" s="192">
        <f>+'Merluza del sur Artesanal X'!I17</f>
        <v>0.99871624409701565</v>
      </c>
      <c r="N58" s="193" t="str">
        <f>+'Merluza del sur Artesanal X'!J17</f>
        <v>-</v>
      </c>
      <c r="O58" s="193">
        <f>+'Resumen Cuota Global'!B$4</f>
        <v>44566</v>
      </c>
      <c r="P58" s="191">
        <v>2021</v>
      </c>
      <c r="Q58" s="191"/>
    </row>
    <row r="59" spans="1:17">
      <c r="A59" s="191" t="s">
        <v>254</v>
      </c>
      <c r="B59" s="191" t="s">
        <v>245</v>
      </c>
      <c r="C59" s="191" t="s">
        <v>255</v>
      </c>
      <c r="D59" s="191" t="s">
        <v>266</v>
      </c>
      <c r="E59" s="191" t="str">
        <f>+'Merluza del sur Artesanal X'!B18</f>
        <v>PATAGONIA</v>
      </c>
      <c r="F59" s="191" t="s">
        <v>223</v>
      </c>
      <c r="G59" s="191" t="s">
        <v>249</v>
      </c>
      <c r="H59" s="159">
        <f>+'Merluza del sur Artesanal X'!D18</f>
        <v>510.529</v>
      </c>
      <c r="I59" s="159">
        <f>+'Merluza del sur Artesanal X'!E18</f>
        <v>-406.52199999999999</v>
      </c>
      <c r="J59" s="159">
        <f>+'Merluza del sur Artesanal X'!F18</f>
        <v>104.00700000000001</v>
      </c>
      <c r="K59" s="159">
        <f>+'Merluza del sur Artesanal X'!G18</f>
        <v>91.962999999999994</v>
      </c>
      <c r="L59" s="159">
        <f>+'Merluza del sur Artesanal X'!H18</f>
        <v>12.044000000000011</v>
      </c>
      <c r="M59" s="192">
        <f>+'Merluza del sur Artesanal X'!I18</f>
        <v>0.88420010191621712</v>
      </c>
      <c r="N59" s="193" t="str">
        <f>+'Merluza del sur Artesanal X'!J18</f>
        <v>-</v>
      </c>
      <c r="O59" s="193">
        <f>+'Resumen Cuota Global'!B$4</f>
        <v>44566</v>
      </c>
      <c r="P59" s="191">
        <v>2021</v>
      </c>
      <c r="Q59" s="191"/>
    </row>
    <row r="60" spans="1:17">
      <c r="A60" s="191" t="s">
        <v>254</v>
      </c>
      <c r="B60" s="191" t="s">
        <v>245</v>
      </c>
      <c r="C60" s="191" t="s">
        <v>255</v>
      </c>
      <c r="D60" s="191" t="s">
        <v>267</v>
      </c>
      <c r="E60" s="191" t="str">
        <f>+'Merluza del sur Artesanal X'!B19</f>
        <v>PTO MONTT A</v>
      </c>
      <c r="F60" s="191" t="s">
        <v>223</v>
      </c>
      <c r="G60" s="191" t="s">
        <v>249</v>
      </c>
      <c r="H60" s="159">
        <f>+'Merluza del sur Artesanal X'!D19</f>
        <v>398.78899999999999</v>
      </c>
      <c r="I60" s="159">
        <f>+'Merluza del sur Artesanal X'!E19</f>
        <v>-342.62200000000001</v>
      </c>
      <c r="J60" s="159">
        <f>+'Merluza del sur Artesanal X'!F19</f>
        <v>56.166999999999973</v>
      </c>
      <c r="K60" s="159">
        <f>+'Merluza del sur Artesanal X'!G19</f>
        <v>59.664000000000001</v>
      </c>
      <c r="L60" s="159">
        <f>+'Merluza del sur Artesanal X'!H19</f>
        <v>-3.4970000000000283</v>
      </c>
      <c r="M60" s="192">
        <f>+'Merluza del sur Artesanal X'!I19</f>
        <v>1.0622607580963916</v>
      </c>
      <c r="N60" s="193" t="str">
        <f>+'Merluza del sur Artesanal X'!J19</f>
        <v>-</v>
      </c>
      <c r="O60" s="193">
        <f>+'Resumen Cuota Global'!B$4</f>
        <v>44566</v>
      </c>
      <c r="P60" s="191">
        <v>2021</v>
      </c>
      <c r="Q60" s="191"/>
    </row>
    <row r="61" spans="1:17">
      <c r="A61" s="191" t="s">
        <v>254</v>
      </c>
      <c r="B61" s="191" t="s">
        <v>245</v>
      </c>
      <c r="C61" s="191" t="s">
        <v>255</v>
      </c>
      <c r="D61" s="191" t="s">
        <v>268</v>
      </c>
      <c r="E61" s="191" t="str">
        <f>+'Merluza del sur Artesanal X'!B20</f>
        <v>PTO MONTT B</v>
      </c>
      <c r="F61" s="191" t="s">
        <v>223</v>
      </c>
      <c r="G61" s="191" t="s">
        <v>249</v>
      </c>
      <c r="H61" s="159">
        <f>+'Merluza del sur Artesanal X'!D20</f>
        <v>528.53</v>
      </c>
      <c r="I61" s="159">
        <f>+'Merluza del sur Artesanal X'!E20</f>
        <v>-417</v>
      </c>
      <c r="J61" s="159">
        <f>+'Merluza del sur Artesanal X'!F20</f>
        <v>111.52999999999997</v>
      </c>
      <c r="K61" s="159">
        <f>+'Merluza del sur Artesanal X'!G20</f>
        <v>112.46</v>
      </c>
      <c r="L61" s="159">
        <f>+'Merluza del sur Artesanal X'!H20</f>
        <v>-0.93000000000002103</v>
      </c>
      <c r="M61" s="192">
        <f>+'Merluza del sur Artesanal X'!I20</f>
        <v>1.0083385636151709</v>
      </c>
      <c r="N61" s="193" t="str">
        <f>+'Merluza del sur Artesanal X'!J20</f>
        <v>-</v>
      </c>
      <c r="O61" s="193">
        <f>+'Resumen Cuota Global'!B$4</f>
        <v>44566</v>
      </c>
      <c r="P61" s="191">
        <v>2021</v>
      </c>
      <c r="Q61" s="191"/>
    </row>
    <row r="62" spans="1:17">
      <c r="A62" s="191" t="s">
        <v>254</v>
      </c>
      <c r="B62" s="191" t="s">
        <v>245</v>
      </c>
      <c r="C62" s="191" t="s">
        <v>255</v>
      </c>
      <c r="D62" s="191" t="s">
        <v>269</v>
      </c>
      <c r="E62" s="191" t="str">
        <f>+'Merluza del sur Artesanal X'!B21</f>
        <v>PTO MONTT C</v>
      </c>
      <c r="F62" s="191" t="s">
        <v>223</v>
      </c>
      <c r="G62" s="191" t="s">
        <v>249</v>
      </c>
      <c r="H62" s="159">
        <f>+'Merluza del sur Artesanal X'!D21</f>
        <v>336.678</v>
      </c>
      <c r="I62" s="159">
        <f>+'Merluza del sur Artesanal X'!E21</f>
        <v>-296.94400000000002</v>
      </c>
      <c r="J62" s="159">
        <f>+'Merluza del sur Artesanal X'!F21</f>
        <v>39.73399999999998</v>
      </c>
      <c r="K62" s="159">
        <f>+'Merluza del sur Artesanal X'!G21</f>
        <v>45.884999999999998</v>
      </c>
      <c r="L62" s="159">
        <f>+'Merluza del sur Artesanal X'!H21</f>
        <v>-6.1510000000000176</v>
      </c>
      <c r="M62" s="192">
        <f>+'Merluza del sur Artesanal X'!I21</f>
        <v>1.1548044495897725</v>
      </c>
      <c r="N62" s="193">
        <f>+'Merluza del sur Artesanal X'!J21</f>
        <v>44560</v>
      </c>
      <c r="O62" s="193">
        <f>+'Resumen Cuota Global'!B$4</f>
        <v>44566</v>
      </c>
      <c r="P62" s="191">
        <v>2021</v>
      </c>
      <c r="Q62" s="191"/>
    </row>
    <row r="63" spans="1:17">
      <c r="A63" s="191" t="s">
        <v>254</v>
      </c>
      <c r="B63" s="191" t="s">
        <v>245</v>
      </c>
      <c r="C63" s="191" t="s">
        <v>255</v>
      </c>
      <c r="D63" s="191" t="s">
        <v>270</v>
      </c>
      <c r="E63" s="191" t="str">
        <f>+'Merluza del sur Artesanal X'!B22</f>
        <v>RESIDUAL</v>
      </c>
      <c r="F63" s="191" t="s">
        <v>223</v>
      </c>
      <c r="G63" s="191" t="s">
        <v>249</v>
      </c>
      <c r="H63" s="159">
        <f>+'Merluza del sur Artesanal X'!D22</f>
        <v>32.143999999999998</v>
      </c>
      <c r="I63" s="159">
        <f>+'Merluza del sur Artesanal X'!E22</f>
        <v>0</v>
      </c>
      <c r="J63" s="159">
        <f>+'Merluza del sur Artesanal X'!F22</f>
        <v>32.143999999999998</v>
      </c>
      <c r="K63" s="159">
        <f>+'Merluza del sur Artesanal X'!G22</f>
        <v>45.866999999999997</v>
      </c>
      <c r="L63" s="159">
        <f>+'Merluza del sur Artesanal X'!H22</f>
        <v>-13.722999999999999</v>
      </c>
      <c r="M63" s="192">
        <f>+'Merluza del sur Artesanal X'!I22</f>
        <v>1.4269225983076157</v>
      </c>
      <c r="N63" s="193">
        <f>+'Merluza del sur Artesanal X'!J22</f>
        <v>44217</v>
      </c>
      <c r="O63" s="193">
        <f>+'Resumen Cuota Global'!B$4</f>
        <v>44566</v>
      </c>
      <c r="P63" s="191">
        <v>2021</v>
      </c>
      <c r="Q63" s="191"/>
    </row>
    <row r="64" spans="1:17">
      <c r="A64" s="191" t="s">
        <v>254</v>
      </c>
      <c r="B64" s="191" t="s">
        <v>245</v>
      </c>
      <c r="C64" s="191" t="s">
        <v>255</v>
      </c>
      <c r="D64" s="191" t="s">
        <v>271</v>
      </c>
      <c r="E64" s="191" t="s">
        <v>272</v>
      </c>
      <c r="F64" s="191" t="s">
        <v>223</v>
      </c>
      <c r="G64" s="191" t="s">
        <v>249</v>
      </c>
      <c r="H64" s="159">
        <f>+'Merluza del sur Artesanal X'!D23</f>
        <v>6164</v>
      </c>
      <c r="I64" s="159">
        <f>+'Merluza del sur Artesanal X'!E23</f>
        <v>-2273.7110000000002</v>
      </c>
      <c r="J64" s="159">
        <f>+'Merluza del sur Artesanal X'!F23</f>
        <v>3890.2889999999998</v>
      </c>
      <c r="K64" s="159">
        <f>+'Merluza del sur Artesanal X'!G23</f>
        <v>3773.0350000000008</v>
      </c>
      <c r="L64" s="159">
        <f>+'Merluza del sur Artesanal X'!H23</f>
        <v>117.253999999999</v>
      </c>
      <c r="M64" s="192">
        <f>+'Merluza del sur Artesanal X'!I23</f>
        <v>0.96985982275352833</v>
      </c>
      <c r="N64" s="193" t="s">
        <v>31</v>
      </c>
      <c r="O64" s="193">
        <f>+'Resumen Cuota Global'!B$4</f>
        <v>44566</v>
      </c>
      <c r="P64" s="191">
        <v>2021</v>
      </c>
      <c r="Q64" s="191"/>
    </row>
    <row r="65" spans="1:17">
      <c r="A65" s="191" t="s">
        <v>273</v>
      </c>
      <c r="B65" s="191" t="s">
        <v>245</v>
      </c>
      <c r="C65" s="191" t="s">
        <v>274</v>
      </c>
      <c r="D65" s="191" t="str">
        <f>+'Merluza del sur Artesanal XII'!B15</f>
        <v>PUERTO NATALES</v>
      </c>
      <c r="E65" s="191" t="str">
        <f>+'Merluza del sur Artesanal XII'!D15</f>
        <v>CALETA VIRTUDES II</v>
      </c>
      <c r="F65" s="191" t="s">
        <v>223</v>
      </c>
      <c r="G65" s="191" t="s">
        <v>249</v>
      </c>
      <c r="H65" s="159">
        <f>+'Merluza del sur Artesanal XII'!F15</f>
        <v>13.571427999999999</v>
      </c>
      <c r="I65" s="159">
        <f>+'Merluza del sur Artesanal XII'!G15</f>
        <v>-13.571</v>
      </c>
      <c r="J65" s="159">
        <f>+'Merluza del sur Artesanal XII'!H15</f>
        <v>4.2799999999942884E-4</v>
      </c>
      <c r="K65" s="159">
        <f>+'Merluza del sur Artesanal XII'!I15</f>
        <v>0</v>
      </c>
      <c r="L65" s="159">
        <f>+'Merluza del sur Artesanal XII'!J15</f>
        <v>4.2799999999942884E-4</v>
      </c>
      <c r="M65" s="192">
        <f>+'Merluza del sur Artesanal XII'!K15</f>
        <v>0</v>
      </c>
      <c r="N65" s="193">
        <f>+'Merluza del sur Artesanal XII'!L15</f>
        <v>44223</v>
      </c>
      <c r="O65" s="193">
        <f>+'Resumen Cuota Global'!B$4</f>
        <v>44566</v>
      </c>
      <c r="P65" s="191">
        <v>2021</v>
      </c>
      <c r="Q65" s="191"/>
    </row>
    <row r="66" spans="1:17">
      <c r="A66" s="191" t="s">
        <v>273</v>
      </c>
      <c r="B66" s="191" t="s">
        <v>245</v>
      </c>
      <c r="C66" s="191" t="s">
        <v>274</v>
      </c>
      <c r="D66" s="191" t="str">
        <f>+'Merluza del sur Artesanal XII'!B16</f>
        <v>PUERTO NATALES</v>
      </c>
      <c r="E66" s="191" t="str">
        <f>+'Merluza del sur Artesanal XII'!D16</f>
        <v>NANAY</v>
      </c>
      <c r="F66" s="191" t="s">
        <v>223</v>
      </c>
      <c r="G66" s="191" t="s">
        <v>249</v>
      </c>
      <c r="H66" s="159">
        <f>+'Merluza del sur Artesanal XII'!F16</f>
        <v>13.571427999999999</v>
      </c>
      <c r="I66" s="159">
        <f>+'Merluza del sur Artesanal XII'!G16</f>
        <v>-13.571</v>
      </c>
      <c r="J66" s="159">
        <f>+'Merluza del sur Artesanal XII'!H16</f>
        <v>4.2799999999942884E-4</v>
      </c>
      <c r="K66" s="159">
        <f>+'Merluza del sur Artesanal XII'!I16</f>
        <v>0</v>
      </c>
      <c r="L66" s="159">
        <f>+'Merluza del sur Artesanal XII'!J16</f>
        <v>4.2799999999942884E-4</v>
      </c>
      <c r="M66" s="192">
        <f>+'Merluza del sur Artesanal XII'!K16</f>
        <v>0</v>
      </c>
      <c r="N66" s="193">
        <f>+'Merluza del sur Artesanal XII'!L16</f>
        <v>44223</v>
      </c>
      <c r="O66" s="193">
        <f>+'Resumen Cuota Global'!B$4</f>
        <v>44566</v>
      </c>
      <c r="P66" s="191">
        <v>2021</v>
      </c>
      <c r="Q66" s="191"/>
    </row>
    <row r="67" spans="1:17">
      <c r="A67" s="191" t="s">
        <v>273</v>
      </c>
      <c r="B67" s="191" t="s">
        <v>245</v>
      </c>
      <c r="C67" s="191" t="s">
        <v>274</v>
      </c>
      <c r="D67" s="191" t="str">
        <f>+'Merluza del sur Artesanal XII'!B17</f>
        <v>PUERTO NATALES</v>
      </c>
      <c r="E67" s="191" t="str">
        <f>+'Merluza del sur Artesanal XII'!D17</f>
        <v>NICOL FERNANDA</v>
      </c>
      <c r="F67" s="191" t="s">
        <v>223</v>
      </c>
      <c r="G67" s="191" t="s">
        <v>249</v>
      </c>
      <c r="H67" s="159">
        <f>+'Merluza del sur Artesanal XII'!F17</f>
        <v>13.571427999999999</v>
      </c>
      <c r="I67" s="159">
        <f>+'Merluza del sur Artesanal XII'!G17</f>
        <v>-13.571</v>
      </c>
      <c r="J67" s="159">
        <f>+'Merluza del sur Artesanal XII'!H17</f>
        <v>4.2799999999942884E-4</v>
      </c>
      <c r="K67" s="159">
        <f>+'Merluza del sur Artesanal XII'!I17</f>
        <v>0</v>
      </c>
      <c r="L67" s="159">
        <f>+'Merluza del sur Artesanal XII'!J17</f>
        <v>4.2799999999942884E-4</v>
      </c>
      <c r="M67" s="192">
        <f>+'Merluza del sur Artesanal XII'!K17</f>
        <v>0</v>
      </c>
      <c r="N67" s="193">
        <f>+'Merluza del sur Artesanal XII'!L17</f>
        <v>44223</v>
      </c>
      <c r="O67" s="193">
        <f>+'Resumen Cuota Global'!B$4</f>
        <v>44566</v>
      </c>
      <c r="P67" s="191">
        <v>2021</v>
      </c>
      <c r="Q67" s="191"/>
    </row>
    <row r="68" spans="1:17">
      <c r="A68" s="191" t="s">
        <v>273</v>
      </c>
      <c r="B68" s="191" t="s">
        <v>245</v>
      </c>
      <c r="C68" s="191" t="s">
        <v>274</v>
      </c>
      <c r="D68" s="191" t="str">
        <f>+'Merluza del sur Artesanal XII'!B18</f>
        <v>PUERTO NATALES</v>
      </c>
      <c r="E68" s="191" t="str">
        <f>+'Merluza del sur Artesanal XII'!D18</f>
        <v>PABLA</v>
      </c>
      <c r="F68" s="191" t="s">
        <v>223</v>
      </c>
      <c r="G68" s="191" t="s">
        <v>249</v>
      </c>
      <c r="H68" s="159">
        <f>+'Merluza del sur Artesanal XII'!F18</f>
        <v>13.571427999999999</v>
      </c>
      <c r="I68" s="159">
        <f>+'Merluza del sur Artesanal XII'!G18</f>
        <v>-13.571</v>
      </c>
      <c r="J68" s="159">
        <f>+'Merluza del sur Artesanal XII'!H18</f>
        <v>4.2799999999942884E-4</v>
      </c>
      <c r="K68" s="159">
        <f>+'Merluza del sur Artesanal XII'!I18</f>
        <v>0</v>
      </c>
      <c r="L68" s="159">
        <f>+'Merluza del sur Artesanal XII'!J18</f>
        <v>4.2799999999942884E-4</v>
      </c>
      <c r="M68" s="192">
        <f>+'Merluza del sur Artesanal XII'!K18</f>
        <v>0</v>
      </c>
      <c r="N68" s="193">
        <f>+'Merluza del sur Artesanal XII'!L18</f>
        <v>44223</v>
      </c>
      <c r="O68" s="193">
        <f>+'Resumen Cuota Global'!B$4</f>
        <v>44566</v>
      </c>
      <c r="P68" s="191">
        <v>2021</v>
      </c>
      <c r="Q68" s="191"/>
    </row>
    <row r="69" spans="1:17">
      <c r="A69" s="191" t="s">
        <v>273</v>
      </c>
      <c r="B69" s="191" t="s">
        <v>245</v>
      </c>
      <c r="C69" s="191" t="s">
        <v>274</v>
      </c>
      <c r="D69" s="191" t="str">
        <f>+'Merluza del sur Artesanal XII'!B19</f>
        <v>PUERTO NATALES</v>
      </c>
      <c r="E69" s="191" t="str">
        <f>+'Merluza del sur Artesanal XII'!D19</f>
        <v>SAN JOAQUIN</v>
      </c>
      <c r="F69" s="191" t="s">
        <v>223</v>
      </c>
      <c r="G69" s="191" t="s">
        <v>249</v>
      </c>
      <c r="H69" s="159">
        <f>+'Merluza del sur Artesanal XII'!F19</f>
        <v>13.571427999999999</v>
      </c>
      <c r="I69" s="159">
        <f>+'Merluza del sur Artesanal XII'!G19</f>
        <v>-13.571</v>
      </c>
      <c r="J69" s="159">
        <f>+'Merluza del sur Artesanal XII'!H19</f>
        <v>4.2799999999942884E-4</v>
      </c>
      <c r="K69" s="159">
        <f>+'Merluza del sur Artesanal XII'!I19</f>
        <v>0</v>
      </c>
      <c r="L69" s="159">
        <f>+'Merluza del sur Artesanal XII'!J19</f>
        <v>4.2799999999942884E-4</v>
      </c>
      <c r="M69" s="192">
        <f>+'Merluza del sur Artesanal XII'!K19</f>
        <v>0</v>
      </c>
      <c r="N69" s="193">
        <f>+'Merluza del sur Artesanal XII'!L19</f>
        <v>44223</v>
      </c>
      <c r="O69" s="193">
        <f>+'Resumen Cuota Global'!B$4</f>
        <v>44566</v>
      </c>
      <c r="P69" s="191">
        <v>2021</v>
      </c>
      <c r="Q69" s="191"/>
    </row>
    <row r="70" spans="1:17">
      <c r="A70" s="191" t="s">
        <v>273</v>
      </c>
      <c r="B70" s="191" t="s">
        <v>245</v>
      </c>
      <c r="C70" s="191" t="s">
        <v>274</v>
      </c>
      <c r="D70" s="191" t="str">
        <f>+'Merluza del sur Artesanal XII'!B20</f>
        <v>PUERTO NATALES</v>
      </c>
      <c r="E70" s="191" t="str">
        <f>+'Merluza del sur Artesanal XII'!D20</f>
        <v>SAN JUAN I</v>
      </c>
      <c r="F70" s="191" t="s">
        <v>223</v>
      </c>
      <c r="G70" s="191" t="s">
        <v>249</v>
      </c>
      <c r="H70" s="159">
        <f>+'Merluza del sur Artesanal XII'!F20</f>
        <v>13.571427999999999</v>
      </c>
      <c r="I70" s="159">
        <f>+'Merluza del sur Artesanal XII'!G20</f>
        <v>-13.571</v>
      </c>
      <c r="J70" s="159">
        <f>+'Merluza del sur Artesanal XII'!H20</f>
        <v>4.2799999999942884E-4</v>
      </c>
      <c r="K70" s="159">
        <f>+'Merluza del sur Artesanal XII'!I20</f>
        <v>0</v>
      </c>
      <c r="L70" s="159">
        <f>+'Merluza del sur Artesanal XII'!J20</f>
        <v>4.2799999999942884E-4</v>
      </c>
      <c r="M70" s="192">
        <f>+'Merluza del sur Artesanal XII'!K20</f>
        <v>0</v>
      </c>
      <c r="N70" s="193">
        <f>+'Merluza del sur Artesanal XII'!L20</f>
        <v>44223</v>
      </c>
      <c r="O70" s="193">
        <f>+'Resumen Cuota Global'!B$4</f>
        <v>44566</v>
      </c>
      <c r="P70" s="191">
        <v>2021</v>
      </c>
      <c r="Q70" s="191"/>
    </row>
    <row r="71" spans="1:17">
      <c r="A71" s="191" t="s">
        <v>273</v>
      </c>
      <c r="B71" s="191" t="s">
        <v>245</v>
      </c>
      <c r="C71" s="191" t="s">
        <v>274</v>
      </c>
      <c r="D71" s="191" t="str">
        <f>+'Merluza del sur Artesanal XII'!B21</f>
        <v>PUERTO NATALES</v>
      </c>
      <c r="E71" s="191" t="str">
        <f>+'Merluza del sur Artesanal XII'!D21</f>
        <v>AGALLADITO</v>
      </c>
      <c r="F71" s="191" t="s">
        <v>223</v>
      </c>
      <c r="G71" s="191" t="s">
        <v>249</v>
      </c>
      <c r="H71" s="159">
        <f>+'Merluza del sur Artesanal XII'!F21</f>
        <v>13.571427999999999</v>
      </c>
      <c r="I71" s="159">
        <f>+'Merluza del sur Artesanal XII'!G21</f>
        <v>-13.5</v>
      </c>
      <c r="J71" s="159">
        <f>+'Merluza del sur Artesanal XII'!H21</f>
        <v>7.1427999999999159E-2</v>
      </c>
      <c r="K71" s="159">
        <f>+'Merluza del sur Artesanal XII'!I21</f>
        <v>0</v>
      </c>
      <c r="L71" s="159">
        <f>+'Merluza del sur Artesanal XII'!J21</f>
        <v>7.1427999999999159E-2</v>
      </c>
      <c r="M71" s="192">
        <f>+'Merluza del sur Artesanal XII'!K21</f>
        <v>0</v>
      </c>
      <c r="N71" s="193">
        <f>+'Merluza del sur Artesanal XII'!L21</f>
        <v>0</v>
      </c>
      <c r="O71" s="193">
        <f>+'Resumen Cuota Global'!B$4</f>
        <v>44566</v>
      </c>
      <c r="P71" s="191">
        <v>2021</v>
      </c>
      <c r="Q71" s="191"/>
    </row>
    <row r="72" spans="1:17">
      <c r="A72" s="191" t="s">
        <v>273</v>
      </c>
      <c r="B72" s="191" t="s">
        <v>245</v>
      </c>
      <c r="C72" s="191" t="s">
        <v>274</v>
      </c>
      <c r="D72" s="191" t="str">
        <f>+'Merluza del sur Artesanal XII'!B22</f>
        <v>PUERTO NATALES</v>
      </c>
      <c r="E72" s="191" t="str">
        <f>+'Merluza del sur Artesanal XII'!D22</f>
        <v>ALCIDES</v>
      </c>
      <c r="F72" s="191" t="s">
        <v>223</v>
      </c>
      <c r="G72" s="191" t="s">
        <v>249</v>
      </c>
      <c r="H72" s="159">
        <f>+'Merluza del sur Artesanal XII'!F22</f>
        <v>13.571427999999999</v>
      </c>
      <c r="I72" s="159">
        <f>+'Merluza del sur Artesanal XII'!G22</f>
        <v>-13.571</v>
      </c>
      <c r="J72" s="159">
        <f>+'Merluza del sur Artesanal XII'!H22</f>
        <v>4.2799999999942884E-4</v>
      </c>
      <c r="K72" s="159">
        <f>+'Merluza del sur Artesanal XII'!I22</f>
        <v>0</v>
      </c>
      <c r="L72" s="159">
        <f>+'Merluza del sur Artesanal XII'!J22</f>
        <v>4.2799999999942884E-4</v>
      </c>
      <c r="M72" s="192">
        <f>+'Merluza del sur Artesanal XII'!K22</f>
        <v>0</v>
      </c>
      <c r="N72" s="193">
        <f>+'Merluza del sur Artesanal XII'!L22</f>
        <v>44223</v>
      </c>
      <c r="O72" s="193">
        <f>+'Resumen Cuota Global'!B$4</f>
        <v>44566</v>
      </c>
      <c r="P72" s="191">
        <v>2021</v>
      </c>
      <c r="Q72" s="191"/>
    </row>
    <row r="73" spans="1:17">
      <c r="A73" s="191" t="s">
        <v>273</v>
      </c>
      <c r="B73" s="191" t="s">
        <v>245</v>
      </c>
      <c r="C73" s="191" t="s">
        <v>274</v>
      </c>
      <c r="D73" s="191" t="str">
        <f>+'Merluza del sur Artesanal XII'!B23</f>
        <v>PUERTO NATALES</v>
      </c>
      <c r="E73" s="191" t="str">
        <f>+'Merluza del sur Artesanal XII'!D23</f>
        <v>ANESTI II</v>
      </c>
      <c r="F73" s="191" t="s">
        <v>223</v>
      </c>
      <c r="G73" s="191" t="s">
        <v>249</v>
      </c>
      <c r="H73" s="159">
        <f>+'Merluza del sur Artesanal XII'!F23</f>
        <v>13.571427999999999</v>
      </c>
      <c r="I73" s="159">
        <f>+'Merluza del sur Artesanal XII'!G23</f>
        <v>-13.571</v>
      </c>
      <c r="J73" s="159">
        <f>+'Merluza del sur Artesanal XII'!H23</f>
        <v>4.2799999999942884E-4</v>
      </c>
      <c r="K73" s="159">
        <f>+'Merluza del sur Artesanal XII'!I23</f>
        <v>0</v>
      </c>
      <c r="L73" s="159">
        <f>+'Merluza del sur Artesanal XII'!J23</f>
        <v>4.2799999999942884E-4</v>
      </c>
      <c r="M73" s="192">
        <f>+'Merluza del sur Artesanal XII'!K23</f>
        <v>0</v>
      </c>
      <c r="N73" s="193">
        <f>+'Merluza del sur Artesanal XII'!L23</f>
        <v>44223</v>
      </c>
      <c r="O73" s="193">
        <f>+'Resumen Cuota Global'!B$4</f>
        <v>44566</v>
      </c>
      <c r="P73" s="191">
        <v>2021</v>
      </c>
      <c r="Q73" s="191"/>
    </row>
    <row r="74" spans="1:17">
      <c r="A74" s="191" t="s">
        <v>273</v>
      </c>
      <c r="B74" s="191" t="s">
        <v>245</v>
      </c>
      <c r="C74" s="191" t="s">
        <v>274</v>
      </c>
      <c r="D74" s="191" t="str">
        <f>+'Merluza del sur Artesanal XII'!B24</f>
        <v>PUERTO NATALES</v>
      </c>
      <c r="E74" s="191" t="str">
        <f>+'Merluza del sur Artesanal XII'!D24</f>
        <v>DON ADRIAN</v>
      </c>
      <c r="F74" s="191" t="s">
        <v>223</v>
      </c>
      <c r="G74" s="191" t="s">
        <v>249</v>
      </c>
      <c r="H74" s="159">
        <f>+'Merluza del sur Artesanal XII'!F24</f>
        <v>13.571427999999999</v>
      </c>
      <c r="I74" s="159">
        <f>+'Merluza del sur Artesanal XII'!G24</f>
        <v>-13.571</v>
      </c>
      <c r="J74" s="159">
        <f>+'Merluza del sur Artesanal XII'!H24</f>
        <v>4.2799999999942884E-4</v>
      </c>
      <c r="K74" s="159">
        <f>+'Merluza del sur Artesanal XII'!I24</f>
        <v>0</v>
      </c>
      <c r="L74" s="159">
        <f>+'Merluza del sur Artesanal XII'!J24</f>
        <v>4.2799999999942884E-4</v>
      </c>
      <c r="M74" s="192">
        <f>+'Merluza del sur Artesanal XII'!K24</f>
        <v>0</v>
      </c>
      <c r="N74" s="193">
        <f>+'Merluza del sur Artesanal XII'!L24</f>
        <v>44223</v>
      </c>
      <c r="O74" s="193">
        <f>+'Resumen Cuota Global'!B$4</f>
        <v>44566</v>
      </c>
      <c r="P74" s="191">
        <v>2021</v>
      </c>
      <c r="Q74" s="191"/>
    </row>
    <row r="75" spans="1:17">
      <c r="A75" s="191" t="s">
        <v>273</v>
      </c>
      <c r="B75" s="191" t="s">
        <v>245</v>
      </c>
      <c r="C75" s="191" t="s">
        <v>274</v>
      </c>
      <c r="D75" s="191" t="str">
        <f>+'Merluza del sur Artesanal XII'!B25</f>
        <v>PUERTO NATALES</v>
      </c>
      <c r="E75" s="191" t="str">
        <f>+'Merluza del sur Artesanal XII'!D25</f>
        <v>REY MAR</v>
      </c>
      <c r="F75" s="191" t="s">
        <v>223</v>
      </c>
      <c r="G75" s="191" t="s">
        <v>249</v>
      </c>
      <c r="H75" s="159">
        <f>+'Merluza del sur Artesanal XII'!F25</f>
        <v>13.571427999999999</v>
      </c>
      <c r="I75" s="159">
        <f>+'Merluza del sur Artesanal XII'!G25</f>
        <v>-13.571</v>
      </c>
      <c r="J75" s="159">
        <f>+'Merluza del sur Artesanal XII'!H25</f>
        <v>4.2799999999942884E-4</v>
      </c>
      <c r="K75" s="159">
        <f>+'Merluza del sur Artesanal XII'!I25</f>
        <v>0</v>
      </c>
      <c r="L75" s="159">
        <f>+'Merluza del sur Artesanal XII'!J25</f>
        <v>4.2799999999942884E-4</v>
      </c>
      <c r="M75" s="192">
        <f>+'Merluza del sur Artesanal XII'!K25</f>
        <v>0</v>
      </c>
      <c r="N75" s="193">
        <f>+'Merluza del sur Artesanal XII'!L25</f>
        <v>44251</v>
      </c>
      <c r="O75" s="193">
        <f>+'Resumen Cuota Global'!B$4</f>
        <v>44566</v>
      </c>
      <c r="P75" s="191">
        <v>2021</v>
      </c>
      <c r="Q75" s="191"/>
    </row>
    <row r="76" spans="1:17">
      <c r="A76" s="191" t="s">
        <v>273</v>
      </c>
      <c r="B76" s="191" t="s">
        <v>245</v>
      </c>
      <c r="C76" s="191" t="s">
        <v>274</v>
      </c>
      <c r="D76" s="191" t="str">
        <f>+'Merluza del sur Artesanal XII'!B26</f>
        <v>PUERTO NATALES</v>
      </c>
      <c r="E76" s="191" t="str">
        <f>+'Merluza del sur Artesanal XII'!D26</f>
        <v>SANTA CATALINA I</v>
      </c>
      <c r="F76" s="191" t="s">
        <v>223</v>
      </c>
      <c r="G76" s="191" t="s">
        <v>249</v>
      </c>
      <c r="H76" s="159">
        <f>+'Merluza del sur Artesanal XII'!F26</f>
        <v>13.571427999999999</v>
      </c>
      <c r="I76" s="159">
        <f>+'Merluza del sur Artesanal XII'!G26</f>
        <v>-13.571</v>
      </c>
      <c r="J76" s="159">
        <f>+'Merluza del sur Artesanal XII'!H26</f>
        <v>4.2799999999942884E-4</v>
      </c>
      <c r="K76" s="159">
        <f>+'Merluza del sur Artesanal XII'!I26</f>
        <v>0</v>
      </c>
      <c r="L76" s="159">
        <f>+'Merluza del sur Artesanal XII'!J26</f>
        <v>4.2799999999942884E-4</v>
      </c>
      <c r="M76" s="192">
        <f>+'Merluza del sur Artesanal XII'!K26</f>
        <v>0</v>
      </c>
      <c r="N76" s="193">
        <f>+'Merluza del sur Artesanal XII'!L26</f>
        <v>44223</v>
      </c>
      <c r="O76" s="193">
        <f>+'Resumen Cuota Global'!B$4</f>
        <v>44566</v>
      </c>
      <c r="P76" s="191">
        <v>2021</v>
      </c>
      <c r="Q76" s="191"/>
    </row>
    <row r="77" spans="1:17">
      <c r="A77" s="191" t="s">
        <v>273</v>
      </c>
      <c r="B77" s="191" t="s">
        <v>245</v>
      </c>
      <c r="C77" s="191" t="s">
        <v>274</v>
      </c>
      <c r="D77" s="191" t="str">
        <f>+'Merluza del sur Artesanal XII'!B27</f>
        <v>PUERTO NATALES</v>
      </c>
      <c r="E77" s="191" t="str">
        <f>+'Merluza del sur Artesanal XII'!D27</f>
        <v>SOR TERESA</v>
      </c>
      <c r="F77" s="191" t="s">
        <v>223</v>
      </c>
      <c r="G77" s="191" t="s">
        <v>249</v>
      </c>
      <c r="H77" s="159">
        <f>+'Merluza del sur Artesanal XII'!F27</f>
        <v>13.571427999999999</v>
      </c>
      <c r="I77" s="159">
        <f>+'Merluza del sur Artesanal XII'!G27</f>
        <v>-13.571</v>
      </c>
      <c r="J77" s="159">
        <f>+'Merluza del sur Artesanal XII'!H27</f>
        <v>4.2799999999942884E-4</v>
      </c>
      <c r="K77" s="159">
        <f>+'Merluza del sur Artesanal XII'!I27</f>
        <v>0</v>
      </c>
      <c r="L77" s="159">
        <f>+'Merluza del sur Artesanal XII'!J27</f>
        <v>4.2799999999942884E-4</v>
      </c>
      <c r="M77" s="192">
        <f>+'Merluza del sur Artesanal XII'!K27</f>
        <v>0</v>
      </c>
      <c r="N77" s="193">
        <f>+'Merluza del sur Artesanal XII'!L27</f>
        <v>44223</v>
      </c>
      <c r="O77" s="193">
        <f>+'Resumen Cuota Global'!B$4</f>
        <v>44566</v>
      </c>
      <c r="P77" s="191">
        <v>2021</v>
      </c>
      <c r="Q77" s="191"/>
    </row>
    <row r="78" spans="1:17">
      <c r="A78" s="191" t="s">
        <v>273</v>
      </c>
      <c r="B78" s="191" t="s">
        <v>245</v>
      </c>
      <c r="C78" s="191" t="s">
        <v>274</v>
      </c>
      <c r="D78" s="191" t="str">
        <f>+'Merluza del sur Artesanal XII'!B28</f>
        <v>PUERTO NATALES</v>
      </c>
      <c r="E78" s="191" t="str">
        <f>+'Merluza del sur Artesanal XII'!D28</f>
        <v>VICTOR ALEJANDRO</v>
      </c>
      <c r="F78" s="191" t="s">
        <v>223</v>
      </c>
      <c r="G78" s="191" t="s">
        <v>249</v>
      </c>
      <c r="H78" s="159">
        <f>+'Merluza del sur Artesanal XII'!F28</f>
        <v>13.571427999999999</v>
      </c>
      <c r="I78" s="159">
        <f>+'Merluza del sur Artesanal XII'!G28</f>
        <v>-13.571</v>
      </c>
      <c r="J78" s="159">
        <f>+'Merluza del sur Artesanal XII'!H28</f>
        <v>4.2799999999942884E-4</v>
      </c>
      <c r="K78" s="159">
        <f>+'Merluza del sur Artesanal XII'!I28</f>
        <v>0</v>
      </c>
      <c r="L78" s="159">
        <f>+'Merluza del sur Artesanal XII'!J28</f>
        <v>4.2799999999942884E-4</v>
      </c>
      <c r="M78" s="192">
        <f>+'Merluza del sur Artesanal XII'!K28</f>
        <v>0</v>
      </c>
      <c r="N78" s="193">
        <f>+'Merluza del sur Artesanal XII'!L28</f>
        <v>44223</v>
      </c>
      <c r="O78" s="193">
        <f>+'Resumen Cuota Global'!B$4</f>
        <v>44566</v>
      </c>
      <c r="P78" s="191">
        <v>2021</v>
      </c>
      <c r="Q78" s="191"/>
    </row>
    <row r="79" spans="1:17">
      <c r="A79" s="191" t="s">
        <v>273</v>
      </c>
      <c r="B79" s="191" t="s">
        <v>245</v>
      </c>
      <c r="C79" s="191" t="s">
        <v>274</v>
      </c>
      <c r="D79" s="191" t="str">
        <f>+'Merluza del sur Artesanal XII'!B29</f>
        <v>PUERTO NATALES</v>
      </c>
      <c r="E79" s="191" t="str">
        <f>+'Merluza del sur Artesanal XII'!D29</f>
        <v>VICMAR I</v>
      </c>
      <c r="F79" s="191" t="s">
        <v>223</v>
      </c>
      <c r="G79" s="191" t="s">
        <v>249</v>
      </c>
      <c r="H79" s="159">
        <f>+'Merluza del sur Artesanal XII'!F29</f>
        <v>13.571427999999999</v>
      </c>
      <c r="I79" s="159">
        <f>+'Merluza del sur Artesanal XII'!G29</f>
        <v>-13.571</v>
      </c>
      <c r="J79" s="159">
        <f>+'Merluza del sur Artesanal XII'!H29</f>
        <v>4.2799999999942884E-4</v>
      </c>
      <c r="K79" s="159">
        <f>+'Merluza del sur Artesanal XII'!I29</f>
        <v>0</v>
      </c>
      <c r="L79" s="159">
        <f>+'Merluza del sur Artesanal XII'!J29</f>
        <v>4.2799999999942884E-4</v>
      </c>
      <c r="M79" s="192">
        <f>+'Merluza del sur Artesanal XII'!K29</f>
        <v>0</v>
      </c>
      <c r="N79" s="193">
        <f>+'Merluza del sur Artesanal XII'!L29</f>
        <v>44223</v>
      </c>
      <c r="O79" s="193">
        <f>+'Resumen Cuota Global'!B$4</f>
        <v>44566</v>
      </c>
      <c r="P79" s="191">
        <v>2021</v>
      </c>
      <c r="Q79" s="191"/>
    </row>
    <row r="80" spans="1:17">
      <c r="A80" s="191" t="s">
        <v>273</v>
      </c>
      <c r="B80" s="191" t="s">
        <v>245</v>
      </c>
      <c r="C80" s="191" t="s">
        <v>274</v>
      </c>
      <c r="D80" s="191" t="str">
        <f>+'Merluza del sur Artesanal XII'!B30</f>
        <v>PUERTO NATALES</v>
      </c>
      <c r="E80" s="191" t="str">
        <f>+'Merluza del sur Artesanal XII'!D30</f>
        <v>COMO PUDIERA</v>
      </c>
      <c r="F80" s="191" t="s">
        <v>223</v>
      </c>
      <c r="G80" s="191" t="s">
        <v>249</v>
      </c>
      <c r="H80" s="159">
        <f>+'Merluza del sur Artesanal XII'!F30</f>
        <v>13.571427999999999</v>
      </c>
      <c r="I80" s="159">
        <f>+'Merluza del sur Artesanal XII'!G30</f>
        <v>-13.571</v>
      </c>
      <c r="J80" s="159">
        <f>+'Merluza del sur Artesanal XII'!H30</f>
        <v>4.2799999999942884E-4</v>
      </c>
      <c r="K80" s="159">
        <f>+'Merluza del sur Artesanal XII'!I30</f>
        <v>0</v>
      </c>
      <c r="L80" s="159">
        <f>+'Merluza del sur Artesanal XII'!J30</f>
        <v>4.2799999999942884E-4</v>
      </c>
      <c r="M80" s="192">
        <f>+'Merluza del sur Artesanal XII'!K30</f>
        <v>0</v>
      </c>
      <c r="N80" s="193">
        <f>+'Merluza del sur Artesanal XII'!L30</f>
        <v>44251</v>
      </c>
      <c r="O80" s="193">
        <f>+'Resumen Cuota Global'!B$4</f>
        <v>44566</v>
      </c>
      <c r="P80" s="191">
        <v>2021</v>
      </c>
      <c r="Q80" s="191"/>
    </row>
    <row r="81" spans="1:17">
      <c r="A81" s="191" t="s">
        <v>273</v>
      </c>
      <c r="B81" s="191" t="s">
        <v>245</v>
      </c>
      <c r="C81" s="191" t="s">
        <v>274</v>
      </c>
      <c r="D81" s="191" t="str">
        <f>+'Merluza del sur Artesanal XII'!B31</f>
        <v>PUERTO NATALES</v>
      </c>
      <c r="E81" s="191" t="str">
        <f>+'Merluza del sur Artesanal XII'!D31</f>
        <v>SAN PEDRO</v>
      </c>
      <c r="F81" s="191" t="s">
        <v>223</v>
      </c>
      <c r="G81" s="191" t="s">
        <v>249</v>
      </c>
      <c r="H81" s="159">
        <f>+'Merluza del sur Artesanal XII'!F31</f>
        <v>13.571427999999999</v>
      </c>
      <c r="I81" s="159">
        <f>+'Merluza del sur Artesanal XII'!G31</f>
        <v>-13.571</v>
      </c>
      <c r="J81" s="159">
        <f>+'Merluza del sur Artesanal XII'!H31</f>
        <v>4.2799999999942884E-4</v>
      </c>
      <c r="K81" s="159">
        <f>+'Merluza del sur Artesanal XII'!I31</f>
        <v>0</v>
      </c>
      <c r="L81" s="159">
        <f>+'Merluza del sur Artesanal XII'!J31</f>
        <v>4.2799999999942884E-4</v>
      </c>
      <c r="M81" s="192">
        <f>+'Merluza del sur Artesanal XII'!K31</f>
        <v>0</v>
      </c>
      <c r="N81" s="193">
        <f>+'Merluza del sur Artesanal XII'!L31</f>
        <v>44223</v>
      </c>
      <c r="O81" s="193">
        <f>+'Resumen Cuota Global'!B$4</f>
        <v>44566</v>
      </c>
      <c r="P81" s="191">
        <v>2021</v>
      </c>
      <c r="Q81" s="191"/>
    </row>
    <row r="82" spans="1:17">
      <c r="A82" s="191" t="s">
        <v>273</v>
      </c>
      <c r="B82" s="191" t="s">
        <v>245</v>
      </c>
      <c r="C82" s="191" t="s">
        <v>274</v>
      </c>
      <c r="D82" s="191" t="str">
        <f>+'Merluza del sur Artesanal XII'!B32</f>
        <v>PUERTO NATALES</v>
      </c>
      <c r="E82" s="191" t="str">
        <f>+'Merluza del sur Artesanal XII'!D32</f>
        <v>TEMERARIO I</v>
      </c>
      <c r="F82" s="191" t="s">
        <v>223</v>
      </c>
      <c r="G82" s="191" t="s">
        <v>249</v>
      </c>
      <c r="H82" s="159">
        <f>+'Merluza del sur Artesanal XII'!F32</f>
        <v>13.571427999999999</v>
      </c>
      <c r="I82" s="159">
        <f>+'Merluza del sur Artesanal XII'!G32</f>
        <v>-13.571</v>
      </c>
      <c r="J82" s="159">
        <f>+'Merluza del sur Artesanal XII'!H32</f>
        <v>4.2799999999942884E-4</v>
      </c>
      <c r="K82" s="159">
        <f>+'Merluza del sur Artesanal XII'!I32</f>
        <v>0</v>
      </c>
      <c r="L82" s="159">
        <f>+'Merluza del sur Artesanal XII'!J32</f>
        <v>4.2799999999942884E-4</v>
      </c>
      <c r="M82" s="192">
        <f>+'Merluza del sur Artesanal XII'!K32</f>
        <v>0</v>
      </c>
      <c r="N82" s="193">
        <f>+'Merluza del sur Artesanal XII'!L32</f>
        <v>44251</v>
      </c>
      <c r="O82" s="193">
        <f>+'Resumen Cuota Global'!B$4</f>
        <v>44566</v>
      </c>
      <c r="P82" s="191">
        <v>2021</v>
      </c>
      <c r="Q82" s="191"/>
    </row>
    <row r="83" spans="1:17">
      <c r="A83" s="191" t="s">
        <v>273</v>
      </c>
      <c r="B83" s="191" t="s">
        <v>245</v>
      </c>
      <c r="C83" s="191" t="s">
        <v>274</v>
      </c>
      <c r="D83" s="191" t="str">
        <f>+'Merluza del sur Artesanal XII'!B33</f>
        <v>PUERTO NATALES</v>
      </c>
      <c r="E83" s="191" t="str">
        <f>+'Merluza del sur Artesanal XII'!D33</f>
        <v>VUELVO POR TI</v>
      </c>
      <c r="F83" s="191" t="s">
        <v>223</v>
      </c>
      <c r="G83" s="191" t="s">
        <v>249</v>
      </c>
      <c r="H83" s="159">
        <f>+'Merluza del sur Artesanal XII'!F33</f>
        <v>13.571427999999999</v>
      </c>
      <c r="I83" s="159">
        <f>+'Merluza del sur Artesanal XII'!G33</f>
        <v>-13.571</v>
      </c>
      <c r="J83" s="159">
        <f>+'Merluza del sur Artesanal XII'!H33</f>
        <v>4.2799999999942884E-4</v>
      </c>
      <c r="K83" s="159">
        <f>+'Merluza del sur Artesanal XII'!I33</f>
        <v>0</v>
      </c>
      <c r="L83" s="159">
        <f>+'Merluza del sur Artesanal XII'!J33</f>
        <v>4.2799999999942884E-4</v>
      </c>
      <c r="M83" s="192">
        <f>+'Merluza del sur Artesanal XII'!K33</f>
        <v>0</v>
      </c>
      <c r="N83" s="193">
        <f>+'Merluza del sur Artesanal XII'!L33</f>
        <v>44223</v>
      </c>
      <c r="O83" s="193">
        <f>+'Resumen Cuota Global'!B$4</f>
        <v>44566</v>
      </c>
      <c r="P83" s="191">
        <v>2021</v>
      </c>
      <c r="Q83" s="191"/>
    </row>
    <row r="84" spans="1:17">
      <c r="A84" s="191" t="s">
        <v>273</v>
      </c>
      <c r="B84" s="191" t="s">
        <v>245</v>
      </c>
      <c r="C84" s="191" t="s">
        <v>274</v>
      </c>
      <c r="D84" s="191" t="str">
        <f>+'Merluza del sur Artesanal XII'!B34</f>
        <v>PUERTO NATALES</v>
      </c>
      <c r="E84" s="191" t="str">
        <f>+'Merluza del sur Artesanal XII'!D34</f>
        <v>CORALITO</v>
      </c>
      <c r="F84" s="191" t="s">
        <v>223</v>
      </c>
      <c r="G84" s="191" t="s">
        <v>249</v>
      </c>
      <c r="H84" s="159">
        <f>+'Merluza del sur Artesanal XII'!F34</f>
        <v>13.571427999999999</v>
      </c>
      <c r="I84" s="159">
        <f>+'Merluza del sur Artesanal XII'!G34</f>
        <v>-13.571</v>
      </c>
      <c r="J84" s="159">
        <f>+'Merluza del sur Artesanal XII'!H34</f>
        <v>4.2799999999942884E-4</v>
      </c>
      <c r="K84" s="159">
        <f>+'Merluza del sur Artesanal XII'!I34</f>
        <v>0</v>
      </c>
      <c r="L84" s="159">
        <f>+'Merluza del sur Artesanal XII'!J34</f>
        <v>4.2799999999942884E-4</v>
      </c>
      <c r="M84" s="192">
        <f>+'Merluza del sur Artesanal XII'!K34</f>
        <v>0</v>
      </c>
      <c r="N84" s="193">
        <f>+'Merluza del sur Artesanal XII'!L34</f>
        <v>44223</v>
      </c>
      <c r="O84" s="193">
        <f>+'Resumen Cuota Global'!B$4</f>
        <v>44566</v>
      </c>
      <c r="P84" s="191">
        <v>2021</v>
      </c>
      <c r="Q84" s="191"/>
    </row>
    <row r="85" spans="1:17">
      <c r="A85" s="191" t="s">
        <v>273</v>
      </c>
      <c r="B85" s="191" t="s">
        <v>245</v>
      </c>
      <c r="C85" s="191" t="s">
        <v>274</v>
      </c>
      <c r="D85" s="191" t="str">
        <f>+'Merluza del sur Artesanal XII'!B35</f>
        <v>PUERTO NATALES</v>
      </c>
      <c r="E85" s="191" t="str">
        <f>+'Merluza del sur Artesanal XII'!D35</f>
        <v>ICEBERG I</v>
      </c>
      <c r="F85" s="191" t="s">
        <v>223</v>
      </c>
      <c r="G85" s="191" t="s">
        <v>249</v>
      </c>
      <c r="H85" s="159">
        <f>+'Merluza del sur Artesanal XII'!F35</f>
        <v>13.571427999999999</v>
      </c>
      <c r="I85" s="159">
        <f>+'Merluza del sur Artesanal XII'!G35</f>
        <v>-13.571</v>
      </c>
      <c r="J85" s="159">
        <f>+'Merluza del sur Artesanal XII'!H35</f>
        <v>4.2799999999942884E-4</v>
      </c>
      <c r="K85" s="159">
        <f>+'Merluza del sur Artesanal XII'!I35</f>
        <v>0</v>
      </c>
      <c r="L85" s="159">
        <f>+'Merluza del sur Artesanal XII'!J35</f>
        <v>4.2799999999942884E-4</v>
      </c>
      <c r="M85" s="192">
        <f>+'Merluza del sur Artesanal XII'!K35</f>
        <v>0</v>
      </c>
      <c r="N85" s="193">
        <f>+'Merluza del sur Artesanal XII'!L35</f>
        <v>44223</v>
      </c>
      <c r="O85" s="193">
        <f>+'Resumen Cuota Global'!B$4</f>
        <v>44566</v>
      </c>
      <c r="P85" s="191">
        <v>2021</v>
      </c>
      <c r="Q85" s="191"/>
    </row>
    <row r="86" spans="1:17">
      <c r="A86" s="191" t="s">
        <v>273</v>
      </c>
      <c r="B86" s="191" t="s">
        <v>245</v>
      </c>
      <c r="C86" s="191" t="s">
        <v>274</v>
      </c>
      <c r="D86" s="191" t="str">
        <f>+'Merluza del sur Artesanal XII'!B36</f>
        <v>PUERTO NATALES</v>
      </c>
      <c r="E86" s="191" t="str">
        <f>+'Merluza del sur Artesanal XII'!D36</f>
        <v>JORGE II</v>
      </c>
      <c r="F86" s="191" t="s">
        <v>223</v>
      </c>
      <c r="G86" s="191" t="s">
        <v>249</v>
      </c>
      <c r="H86" s="159">
        <f>+'Merluza del sur Artesanal XII'!F36</f>
        <v>13.571427999999999</v>
      </c>
      <c r="I86" s="159">
        <f>+'Merluza del sur Artesanal XII'!G36</f>
        <v>-13.571</v>
      </c>
      <c r="J86" s="159">
        <f>+'Merluza del sur Artesanal XII'!H36</f>
        <v>4.2799999999942884E-4</v>
      </c>
      <c r="K86" s="159">
        <f>+'Merluza del sur Artesanal XII'!I36</f>
        <v>0</v>
      </c>
      <c r="L86" s="159">
        <f>+'Merluza del sur Artesanal XII'!J36</f>
        <v>4.2799999999942884E-4</v>
      </c>
      <c r="M86" s="192">
        <f>+'Merluza del sur Artesanal XII'!K36</f>
        <v>0</v>
      </c>
      <c r="N86" s="193">
        <f>+'Merluza del sur Artesanal XII'!L36</f>
        <v>44251</v>
      </c>
      <c r="O86" s="193">
        <f>+'Resumen Cuota Global'!B$4</f>
        <v>44566</v>
      </c>
      <c r="P86" s="191">
        <v>2021</v>
      </c>
      <c r="Q86" s="191"/>
    </row>
    <row r="87" spans="1:17">
      <c r="A87" s="191" t="s">
        <v>273</v>
      </c>
      <c r="B87" s="191" t="s">
        <v>245</v>
      </c>
      <c r="C87" s="191" t="s">
        <v>274</v>
      </c>
      <c r="D87" s="191" t="str">
        <f>+'Merluza del sur Artesanal XII'!B37</f>
        <v>PUERTO NATALES</v>
      </c>
      <c r="E87" s="191" t="str">
        <f>+'Merluza del sur Artesanal XII'!D37</f>
        <v>NO ME OLVIDES</v>
      </c>
      <c r="F87" s="191" t="s">
        <v>223</v>
      </c>
      <c r="G87" s="191" t="s">
        <v>249</v>
      </c>
      <c r="H87" s="159">
        <f>+'Merluza del sur Artesanal XII'!F37</f>
        <v>13.571427999999999</v>
      </c>
      <c r="I87" s="159">
        <f>+'Merluza del sur Artesanal XII'!G37</f>
        <v>-13.571</v>
      </c>
      <c r="J87" s="159">
        <f>+'Merluza del sur Artesanal XII'!H37</f>
        <v>4.2799999999942884E-4</v>
      </c>
      <c r="K87" s="159">
        <f>+'Merluza del sur Artesanal XII'!I37</f>
        <v>0</v>
      </c>
      <c r="L87" s="159">
        <f>+'Merluza del sur Artesanal XII'!J37</f>
        <v>4.2799999999942884E-4</v>
      </c>
      <c r="M87" s="192">
        <f>+'Merluza del sur Artesanal XII'!K37</f>
        <v>0</v>
      </c>
      <c r="N87" s="193">
        <f>+'Merluza del sur Artesanal XII'!L37</f>
        <v>44223</v>
      </c>
      <c r="O87" s="193">
        <f>+'Resumen Cuota Global'!B$4</f>
        <v>44566</v>
      </c>
      <c r="P87" s="191">
        <v>2021</v>
      </c>
      <c r="Q87" s="191"/>
    </row>
    <row r="88" spans="1:17">
      <c r="A88" s="191" t="s">
        <v>273</v>
      </c>
      <c r="B88" s="191" t="s">
        <v>245</v>
      </c>
      <c r="C88" s="191" t="s">
        <v>274</v>
      </c>
      <c r="D88" s="191" t="str">
        <f>+'Merluza del sur Artesanal XII'!B38</f>
        <v>PUERTO NATALES</v>
      </c>
      <c r="E88" s="191" t="str">
        <f>+'Merluza del sur Artesanal XII'!D38</f>
        <v>REY DE CORAZONES</v>
      </c>
      <c r="F88" s="191" t="s">
        <v>223</v>
      </c>
      <c r="G88" s="191" t="s">
        <v>249</v>
      </c>
      <c r="H88" s="159">
        <f>+'Merluza del sur Artesanal XII'!F38</f>
        <v>13.571427999999999</v>
      </c>
      <c r="I88" s="159">
        <f>+'Merluza del sur Artesanal XII'!G38</f>
        <v>-13.571</v>
      </c>
      <c r="J88" s="159">
        <f>+'Merluza del sur Artesanal XII'!H38</f>
        <v>4.2799999999942884E-4</v>
      </c>
      <c r="K88" s="159">
        <f>+'Merluza del sur Artesanal XII'!I38</f>
        <v>0</v>
      </c>
      <c r="L88" s="159">
        <f>+'Merluza del sur Artesanal XII'!J38</f>
        <v>4.2799999999942884E-4</v>
      </c>
      <c r="M88" s="192">
        <f>+'Merluza del sur Artesanal XII'!K38</f>
        <v>0</v>
      </c>
      <c r="N88" s="193">
        <f>+'Merluza del sur Artesanal XII'!L38</f>
        <v>44223</v>
      </c>
      <c r="O88" s="193">
        <f>+'Resumen Cuota Global'!B$4</f>
        <v>44566</v>
      </c>
      <c r="P88" s="191">
        <v>2021</v>
      </c>
      <c r="Q88" s="191"/>
    </row>
    <row r="89" spans="1:17">
      <c r="A89" s="191" t="s">
        <v>273</v>
      </c>
      <c r="B89" s="191" t="s">
        <v>245</v>
      </c>
      <c r="C89" s="191" t="s">
        <v>274</v>
      </c>
      <c r="D89" s="191" t="str">
        <f>+'Merluza del sur Artesanal XII'!B39</f>
        <v>PUERTO NATALES</v>
      </c>
      <c r="E89" s="191" t="str">
        <f>+'Merluza del sur Artesanal XII'!D39</f>
        <v>SANTA ELENA</v>
      </c>
      <c r="F89" s="191" t="s">
        <v>223</v>
      </c>
      <c r="G89" s="191" t="s">
        <v>249</v>
      </c>
      <c r="H89" s="159">
        <f>+'Merluza del sur Artesanal XII'!F39</f>
        <v>13.571427999999999</v>
      </c>
      <c r="I89" s="159">
        <f>+'Merluza del sur Artesanal XII'!G39</f>
        <v>-13.571</v>
      </c>
      <c r="J89" s="159">
        <f>+'Merluza del sur Artesanal XII'!H39</f>
        <v>4.2799999999942884E-4</v>
      </c>
      <c r="K89" s="159">
        <f>+'Merluza del sur Artesanal XII'!I39</f>
        <v>0</v>
      </c>
      <c r="L89" s="159">
        <f>+'Merluza del sur Artesanal XII'!J39</f>
        <v>4.2799999999942884E-4</v>
      </c>
      <c r="M89" s="192">
        <f>+'Merluza del sur Artesanal XII'!K39</f>
        <v>0</v>
      </c>
      <c r="N89" s="193">
        <f>+'Merluza del sur Artesanal XII'!L39</f>
        <v>44223</v>
      </c>
      <c r="O89" s="193">
        <f>+'Resumen Cuota Global'!B$4</f>
        <v>44566</v>
      </c>
      <c r="P89" s="191">
        <v>2021</v>
      </c>
      <c r="Q89" s="191"/>
    </row>
    <row r="90" spans="1:17">
      <c r="A90" s="191" t="s">
        <v>273</v>
      </c>
      <c r="B90" s="191" t="s">
        <v>245</v>
      </c>
      <c r="C90" s="191" t="s">
        <v>274</v>
      </c>
      <c r="D90" s="191" t="str">
        <f>+'Merluza del sur Artesanal XII'!B40</f>
        <v>PUERTO NATALES</v>
      </c>
      <c r="E90" s="191" t="str">
        <f>+'Merluza del sur Artesanal XII'!D40</f>
        <v>PAKITO</v>
      </c>
      <c r="F90" s="191" t="s">
        <v>223</v>
      </c>
      <c r="G90" s="191" t="s">
        <v>249</v>
      </c>
      <c r="H90" s="159">
        <f>+'Merluza del sur Artesanal XII'!F40</f>
        <v>13.571427999999999</v>
      </c>
      <c r="I90" s="159">
        <f>+'Merluza del sur Artesanal XII'!G40</f>
        <v>-13.571</v>
      </c>
      <c r="J90" s="159">
        <f>+'Merluza del sur Artesanal XII'!H40</f>
        <v>4.2799999999942884E-4</v>
      </c>
      <c r="K90" s="159">
        <f>+'Merluza del sur Artesanal XII'!I40</f>
        <v>0</v>
      </c>
      <c r="L90" s="159">
        <f>+'Merluza del sur Artesanal XII'!J40</f>
        <v>4.2799999999942884E-4</v>
      </c>
      <c r="M90" s="192">
        <f>+'Merluza del sur Artesanal XII'!K40</f>
        <v>0</v>
      </c>
      <c r="N90" s="193">
        <f>+'Merluza del sur Artesanal XII'!L40</f>
        <v>44223</v>
      </c>
      <c r="O90" s="193">
        <f>+'Resumen Cuota Global'!B$4</f>
        <v>44566</v>
      </c>
      <c r="P90" s="191">
        <v>2021</v>
      </c>
      <c r="Q90" s="191"/>
    </row>
    <row r="91" spans="1:17">
      <c r="A91" s="191" t="s">
        <v>273</v>
      </c>
      <c r="B91" s="191" t="s">
        <v>245</v>
      </c>
      <c r="C91" s="191" t="s">
        <v>274</v>
      </c>
      <c r="D91" s="191" t="str">
        <f>+'Merluza del sur Artesanal XII'!B41</f>
        <v>PUERTO NATALES</v>
      </c>
      <c r="E91" s="191" t="str">
        <f>+'Merluza del sur Artesanal XII'!D41</f>
        <v>PARRANDERO</v>
      </c>
      <c r="F91" s="191" t="s">
        <v>223</v>
      </c>
      <c r="G91" s="191" t="s">
        <v>249</v>
      </c>
      <c r="H91" s="159">
        <f>+'Merluza del sur Artesanal XII'!F41</f>
        <v>13.571427999999999</v>
      </c>
      <c r="I91" s="159">
        <f>+'Merluza del sur Artesanal XII'!G41</f>
        <v>-13.571</v>
      </c>
      <c r="J91" s="159">
        <f>+'Merluza del sur Artesanal XII'!H41</f>
        <v>4.2799999999942884E-4</v>
      </c>
      <c r="K91" s="159">
        <f>+'Merluza del sur Artesanal XII'!I41</f>
        <v>0</v>
      </c>
      <c r="L91" s="159">
        <f>+'Merluza del sur Artesanal XII'!J41</f>
        <v>4.2799999999942884E-4</v>
      </c>
      <c r="M91" s="192">
        <f>+'Merluza del sur Artesanal XII'!K41</f>
        <v>0</v>
      </c>
      <c r="N91" s="193">
        <f>+'Merluza del sur Artesanal XII'!L41</f>
        <v>44223</v>
      </c>
      <c r="O91" s="193">
        <f>+'Resumen Cuota Global'!B$4</f>
        <v>44566</v>
      </c>
      <c r="P91" s="191">
        <v>2021</v>
      </c>
      <c r="Q91" s="191"/>
    </row>
    <row r="92" spans="1:17">
      <c r="A92" s="191" t="s">
        <v>273</v>
      </c>
      <c r="B92" s="191" t="s">
        <v>245</v>
      </c>
      <c r="C92" s="191" t="s">
        <v>274</v>
      </c>
      <c r="D92" s="191" t="str">
        <f>+'Merluza del sur Artesanal XII'!B42</f>
        <v>PUERTO NATALES</v>
      </c>
      <c r="E92" s="191" t="str">
        <f>+'Merluza del sur Artesanal XII'!D42</f>
        <v>PETREL I</v>
      </c>
      <c r="F92" s="191" t="s">
        <v>223</v>
      </c>
      <c r="G92" s="191" t="s">
        <v>249</v>
      </c>
      <c r="H92" s="159">
        <f>+'Merluza del sur Artesanal XII'!F42</f>
        <v>13.571427999999999</v>
      </c>
      <c r="I92" s="159">
        <f>+'Merluza del sur Artesanal XII'!G42</f>
        <v>-13.571</v>
      </c>
      <c r="J92" s="159">
        <f>+'Merluza del sur Artesanal XII'!H42</f>
        <v>4.2799999999942884E-4</v>
      </c>
      <c r="K92" s="159">
        <f>+'Merluza del sur Artesanal XII'!I42</f>
        <v>0</v>
      </c>
      <c r="L92" s="159">
        <f>+'Merluza del sur Artesanal XII'!J42</f>
        <v>4.2799999999942884E-4</v>
      </c>
      <c r="M92" s="192">
        <f>+'Merluza del sur Artesanal XII'!K42</f>
        <v>0</v>
      </c>
      <c r="N92" s="193">
        <f>+'Merluza del sur Artesanal XII'!L42</f>
        <v>44223</v>
      </c>
      <c r="O92" s="193">
        <f>+'Resumen Cuota Global'!B$4</f>
        <v>44566</v>
      </c>
      <c r="P92" s="191">
        <v>2021</v>
      </c>
      <c r="Q92" s="191"/>
    </row>
    <row r="93" spans="1:17">
      <c r="A93" s="191" t="s">
        <v>273</v>
      </c>
      <c r="B93" s="191" t="s">
        <v>245</v>
      </c>
      <c r="C93" s="191" t="s">
        <v>274</v>
      </c>
      <c r="D93" s="191" t="str">
        <f>+'Merluza del sur Artesanal XII'!B43</f>
        <v>PUERTO NATALES</v>
      </c>
      <c r="E93" s="191" t="str">
        <f>+'Merluza del sur Artesanal XII'!D43</f>
        <v>PETREL II</v>
      </c>
      <c r="F93" s="191" t="s">
        <v>223</v>
      </c>
      <c r="G93" s="191" t="s">
        <v>249</v>
      </c>
      <c r="H93" s="159">
        <f>+'Merluza del sur Artesanal XII'!F43</f>
        <v>13.571427999999999</v>
      </c>
      <c r="I93" s="159">
        <f>+'Merluza del sur Artesanal XII'!G43</f>
        <v>-13.571</v>
      </c>
      <c r="J93" s="159">
        <f>+'Merluza del sur Artesanal XII'!H43</f>
        <v>4.2799999999942884E-4</v>
      </c>
      <c r="K93" s="159">
        <f>+'Merluza del sur Artesanal XII'!I43</f>
        <v>0</v>
      </c>
      <c r="L93" s="159">
        <f>+'Merluza del sur Artesanal XII'!J43</f>
        <v>4.2799999999942884E-4</v>
      </c>
      <c r="M93" s="192">
        <f>+'Merluza del sur Artesanal XII'!K43</f>
        <v>0</v>
      </c>
      <c r="N93" s="193">
        <f>+'Merluza del sur Artesanal XII'!L43</f>
        <v>44223</v>
      </c>
      <c r="O93" s="193">
        <f>+'Resumen Cuota Global'!B$4</f>
        <v>44566</v>
      </c>
      <c r="P93" s="191">
        <v>2021</v>
      </c>
      <c r="Q93" s="191"/>
    </row>
    <row r="94" spans="1:17">
      <c r="A94" s="191" t="s">
        <v>273</v>
      </c>
      <c r="B94" s="191" t="s">
        <v>245</v>
      </c>
      <c r="C94" s="191" t="s">
        <v>274</v>
      </c>
      <c r="D94" s="191" t="str">
        <f>+'Merluza del sur Artesanal XII'!B44</f>
        <v>PUERTO NATALES</v>
      </c>
      <c r="E94" s="191" t="str">
        <f>+'Merluza del sur Artesanal XII'!D44</f>
        <v>RIO BUENO</v>
      </c>
      <c r="F94" s="191" t="s">
        <v>223</v>
      </c>
      <c r="G94" s="191" t="s">
        <v>249</v>
      </c>
      <c r="H94" s="159">
        <f>+'Merluza del sur Artesanal XII'!F44</f>
        <v>13.571427999999999</v>
      </c>
      <c r="I94" s="159">
        <f>+'Merluza del sur Artesanal XII'!G44</f>
        <v>-13.571</v>
      </c>
      <c r="J94" s="159">
        <f>+'Merluza del sur Artesanal XII'!H44</f>
        <v>4.2799999999942884E-4</v>
      </c>
      <c r="K94" s="159">
        <f>+'Merluza del sur Artesanal XII'!I44</f>
        <v>0</v>
      </c>
      <c r="L94" s="159">
        <f>+'Merluza del sur Artesanal XII'!J44</f>
        <v>4.2799999999942884E-4</v>
      </c>
      <c r="M94" s="192">
        <f>+'Merluza del sur Artesanal XII'!K44</f>
        <v>0</v>
      </c>
      <c r="N94" s="193">
        <f>+'Merluza del sur Artesanal XII'!L44</f>
        <v>44223</v>
      </c>
      <c r="O94" s="193">
        <f>+'Resumen Cuota Global'!B$4</f>
        <v>44566</v>
      </c>
      <c r="P94" s="191">
        <v>2021</v>
      </c>
      <c r="Q94" s="191"/>
    </row>
    <row r="95" spans="1:17">
      <c r="A95" s="191" t="s">
        <v>273</v>
      </c>
      <c r="B95" s="191" t="s">
        <v>245</v>
      </c>
      <c r="C95" s="191" t="s">
        <v>274</v>
      </c>
      <c r="D95" s="191" t="str">
        <f>+'Merluza del sur Artesanal XII'!B45</f>
        <v>PUERTO NATALES</v>
      </c>
      <c r="E95" s="191" t="str">
        <f>+'Merluza del sur Artesanal XII'!D45</f>
        <v>RODOLFITO</v>
      </c>
      <c r="F95" s="191" t="s">
        <v>223</v>
      </c>
      <c r="G95" s="191" t="s">
        <v>249</v>
      </c>
      <c r="H95" s="159">
        <f>+'Merluza del sur Artesanal XII'!F45</f>
        <v>13.571427999999999</v>
      </c>
      <c r="I95" s="159">
        <f>+'Merluza del sur Artesanal XII'!G45</f>
        <v>-13.571</v>
      </c>
      <c r="J95" s="159">
        <f>+'Merluza del sur Artesanal XII'!H45</f>
        <v>4.2799999999942884E-4</v>
      </c>
      <c r="K95" s="159">
        <f>+'Merluza del sur Artesanal XII'!I45</f>
        <v>0</v>
      </c>
      <c r="L95" s="159">
        <f>+'Merluza del sur Artesanal XII'!J45</f>
        <v>4.2799999999942884E-4</v>
      </c>
      <c r="M95" s="192">
        <f>+'Merluza del sur Artesanal XII'!K45</f>
        <v>0</v>
      </c>
      <c r="N95" s="193">
        <f>+'Merluza del sur Artesanal XII'!L45</f>
        <v>44223</v>
      </c>
      <c r="O95" s="193">
        <f>+'Resumen Cuota Global'!B$4</f>
        <v>44566</v>
      </c>
      <c r="P95" s="191">
        <v>2021</v>
      </c>
      <c r="Q95" s="191"/>
    </row>
    <row r="96" spans="1:17">
      <c r="A96" s="191" t="s">
        <v>273</v>
      </c>
      <c r="B96" s="191" t="s">
        <v>245</v>
      </c>
      <c r="C96" s="191" t="s">
        <v>274</v>
      </c>
      <c r="D96" s="191" t="str">
        <f>+'Merluza del sur Artesanal XII'!B46</f>
        <v>PUERTO NATALES</v>
      </c>
      <c r="E96" s="191" t="str">
        <f>+'Merluza del sur Artesanal XII'!D46</f>
        <v>PATITO</v>
      </c>
      <c r="F96" s="191" t="s">
        <v>223</v>
      </c>
      <c r="G96" s="191" t="s">
        <v>249</v>
      </c>
      <c r="H96" s="159">
        <f>+'Merluza del sur Artesanal XII'!F46</f>
        <v>13.571427999999999</v>
      </c>
      <c r="I96" s="159">
        <f>+'Merluza del sur Artesanal XII'!G46</f>
        <v>-13.571</v>
      </c>
      <c r="J96" s="159">
        <f>+'Merluza del sur Artesanal XII'!H46</f>
        <v>4.2799999999942884E-4</v>
      </c>
      <c r="K96" s="159">
        <f>+'Merluza del sur Artesanal XII'!I46</f>
        <v>0</v>
      </c>
      <c r="L96" s="159">
        <f>+'Merluza del sur Artesanal XII'!J46</f>
        <v>4.2799999999942884E-4</v>
      </c>
      <c r="M96" s="192">
        <f>+'Merluza del sur Artesanal XII'!K46</f>
        <v>0</v>
      </c>
      <c r="N96" s="193">
        <f>+'Merluza del sur Artesanal XII'!L46</f>
        <v>44223</v>
      </c>
      <c r="O96" s="193">
        <f>+'Resumen Cuota Global'!B$4</f>
        <v>44566</v>
      </c>
      <c r="P96" s="191">
        <v>2021</v>
      </c>
      <c r="Q96" s="191"/>
    </row>
    <row r="97" spans="1:17">
      <c r="A97" s="191" t="s">
        <v>273</v>
      </c>
      <c r="B97" s="191" t="s">
        <v>245</v>
      </c>
      <c r="C97" s="191" t="s">
        <v>274</v>
      </c>
      <c r="D97" s="191" t="str">
        <f>+'Merluza del sur Artesanal XII'!B47</f>
        <v>PUERTO NATALES</v>
      </c>
      <c r="E97" s="191" t="str">
        <f>+'Merluza del sur Artesanal XII'!D47</f>
        <v>PETREL III</v>
      </c>
      <c r="F97" s="191" t="s">
        <v>223</v>
      </c>
      <c r="G97" s="191" t="s">
        <v>249</v>
      </c>
      <c r="H97" s="159">
        <f>+'Merluza del sur Artesanal XII'!F47</f>
        <v>13.571427999999999</v>
      </c>
      <c r="I97" s="159">
        <f>+'Merluza del sur Artesanal XII'!G47</f>
        <v>-13.571</v>
      </c>
      <c r="J97" s="159">
        <f>+'Merluza del sur Artesanal XII'!H47</f>
        <v>4.2799999999942884E-4</v>
      </c>
      <c r="K97" s="159">
        <f>+'Merluza del sur Artesanal XII'!I47</f>
        <v>0</v>
      </c>
      <c r="L97" s="159">
        <f>+'Merluza del sur Artesanal XII'!J47</f>
        <v>4.2799999999942884E-4</v>
      </c>
      <c r="M97" s="192">
        <f>+'Merluza del sur Artesanal XII'!K47</f>
        <v>0</v>
      </c>
      <c r="N97" s="193">
        <f>+'Merluza del sur Artesanal XII'!L47</f>
        <v>44223</v>
      </c>
      <c r="O97" s="193">
        <f>+'Resumen Cuota Global'!B$4</f>
        <v>44566</v>
      </c>
      <c r="P97" s="191">
        <v>2021</v>
      </c>
      <c r="Q97" s="191"/>
    </row>
    <row r="98" spans="1:17">
      <c r="A98" s="191" t="s">
        <v>273</v>
      </c>
      <c r="B98" s="191" t="s">
        <v>245</v>
      </c>
      <c r="C98" s="191" t="s">
        <v>274</v>
      </c>
      <c r="D98" s="191" t="str">
        <f>+'Merluza del sur Artesanal XII'!B48</f>
        <v>PUERTO NATALES</v>
      </c>
      <c r="E98" s="191" t="str">
        <f>+'Merluza del sur Artesanal XII'!D48</f>
        <v xml:space="preserve">SAN NICOLÁS </v>
      </c>
      <c r="F98" s="191" t="s">
        <v>223</v>
      </c>
      <c r="G98" s="191" t="s">
        <v>249</v>
      </c>
      <c r="H98" s="159">
        <f>+'Merluza del sur Artesanal XII'!F48</f>
        <v>13.571427999999999</v>
      </c>
      <c r="I98" s="159">
        <f>+'Merluza del sur Artesanal XII'!G48</f>
        <v>-13.571</v>
      </c>
      <c r="J98" s="159">
        <f>+'Merluza del sur Artesanal XII'!H48</f>
        <v>4.2799999999942884E-4</v>
      </c>
      <c r="K98" s="159">
        <f>+'Merluza del sur Artesanal XII'!I48</f>
        <v>0</v>
      </c>
      <c r="L98" s="159">
        <f>+'Merluza del sur Artesanal XII'!J48</f>
        <v>4.2799999999942884E-4</v>
      </c>
      <c r="M98" s="192">
        <f>+'Merluza del sur Artesanal XII'!K48</f>
        <v>0</v>
      </c>
      <c r="N98" s="193">
        <f>+'Merluza del sur Artesanal XII'!L48</f>
        <v>44223</v>
      </c>
      <c r="O98" s="193">
        <f>+'Resumen Cuota Global'!B$4</f>
        <v>44566</v>
      </c>
      <c r="P98" s="191">
        <v>2021</v>
      </c>
      <c r="Q98" s="191"/>
    </row>
    <row r="99" spans="1:17">
      <c r="A99" s="191" t="s">
        <v>273</v>
      </c>
      <c r="B99" s="191" t="s">
        <v>245</v>
      </c>
      <c r="C99" s="191" t="s">
        <v>274</v>
      </c>
      <c r="D99" s="191" t="str">
        <f>+'Merluza del sur Artesanal XII'!B49</f>
        <v>PUERTO NATALES</v>
      </c>
      <c r="E99" s="191" t="str">
        <f>+'Merluza del sur Artesanal XII'!D49</f>
        <v>SOLARI</v>
      </c>
      <c r="F99" s="191" t="s">
        <v>223</v>
      </c>
      <c r="G99" s="191" t="s">
        <v>249</v>
      </c>
      <c r="H99" s="159">
        <f>+'Merluza del sur Artesanal XII'!F49</f>
        <v>13.571427999999999</v>
      </c>
      <c r="I99" s="159">
        <f>+'Merluza del sur Artesanal XII'!G49</f>
        <v>-13.571</v>
      </c>
      <c r="J99" s="159">
        <f>+'Merluza del sur Artesanal XII'!H49</f>
        <v>4.2799999999942884E-4</v>
      </c>
      <c r="K99" s="159">
        <f>+'Merluza del sur Artesanal XII'!I49</f>
        <v>0</v>
      </c>
      <c r="L99" s="159">
        <f>+'Merluza del sur Artesanal XII'!J49</f>
        <v>4.2799999999942884E-4</v>
      </c>
      <c r="M99" s="192">
        <f>+'Merluza del sur Artesanal XII'!K49</f>
        <v>0</v>
      </c>
      <c r="N99" s="193">
        <f>+'Merluza del sur Artesanal XII'!L49</f>
        <v>44223</v>
      </c>
      <c r="O99" s="193">
        <f>+'Resumen Cuota Global'!B$4</f>
        <v>44566</v>
      </c>
      <c r="P99" s="191">
        <v>2021</v>
      </c>
      <c r="Q99" s="191"/>
    </row>
    <row r="100" spans="1:17">
      <c r="A100" s="191" t="s">
        <v>273</v>
      </c>
      <c r="B100" s="191" t="s">
        <v>245</v>
      </c>
      <c r="C100" s="191" t="s">
        <v>274</v>
      </c>
      <c r="D100" s="191" t="str">
        <f>+'Merluza del sur Artesanal XII'!B50</f>
        <v>PUERTO NATALES</v>
      </c>
      <c r="E100" s="191" t="str">
        <f>+'Merluza del sur Artesanal XII'!D50</f>
        <v>ANGEL MATÍAS</v>
      </c>
      <c r="F100" s="191" t="s">
        <v>223</v>
      </c>
      <c r="G100" s="191" t="s">
        <v>249</v>
      </c>
      <c r="H100" s="159">
        <f>+'Merluza del sur Artesanal XII'!F50</f>
        <v>13.571427999999999</v>
      </c>
      <c r="I100" s="159">
        <f>+'Merluza del sur Artesanal XII'!G50</f>
        <v>-13.571</v>
      </c>
      <c r="J100" s="159">
        <f>+'Merluza del sur Artesanal XII'!H50</f>
        <v>4.2799999999942884E-4</v>
      </c>
      <c r="K100" s="159">
        <f>+'Merluza del sur Artesanal XII'!I50</f>
        <v>0</v>
      </c>
      <c r="L100" s="159">
        <f>+'Merluza del sur Artesanal XII'!J50</f>
        <v>4.2799999999942884E-4</v>
      </c>
      <c r="M100" s="192">
        <f>+'Merluza del sur Artesanal XII'!K50</f>
        <v>0</v>
      </c>
      <c r="N100" s="193">
        <f>+'Merluza del sur Artesanal XII'!L50</f>
        <v>44223</v>
      </c>
      <c r="O100" s="193">
        <f>+'Resumen Cuota Global'!B$4</f>
        <v>44566</v>
      </c>
      <c r="P100" s="191">
        <v>2021</v>
      </c>
      <c r="Q100" s="191"/>
    </row>
    <row r="101" spans="1:17">
      <c r="A101" s="191" t="s">
        <v>273</v>
      </c>
      <c r="B101" s="191" t="s">
        <v>245</v>
      </c>
      <c r="C101" s="191" t="s">
        <v>274</v>
      </c>
      <c r="D101" s="191" t="str">
        <f>+'Merluza del sur Artesanal XII'!B51</f>
        <v>PUERTO NATALES</v>
      </c>
      <c r="E101" s="191" t="str">
        <f>+'Merluza del sur Artesanal XII'!D51</f>
        <v>CAPRICHOSA</v>
      </c>
      <c r="F101" s="191" t="s">
        <v>223</v>
      </c>
      <c r="G101" s="191" t="s">
        <v>249</v>
      </c>
      <c r="H101" s="159">
        <f>+'Merluza del sur Artesanal XII'!F51</f>
        <v>13.571427999999999</v>
      </c>
      <c r="I101" s="159">
        <f>+'Merluza del sur Artesanal XII'!G51</f>
        <v>-13.571</v>
      </c>
      <c r="J101" s="159">
        <f>+'Merluza del sur Artesanal XII'!H51</f>
        <v>4.2799999999942884E-4</v>
      </c>
      <c r="K101" s="159">
        <f>+'Merluza del sur Artesanal XII'!I51</f>
        <v>0</v>
      </c>
      <c r="L101" s="159">
        <f>+'Merluza del sur Artesanal XII'!J51</f>
        <v>4.2799999999942884E-4</v>
      </c>
      <c r="M101" s="192">
        <f>+'Merluza del sur Artesanal XII'!K51</f>
        <v>0</v>
      </c>
      <c r="N101" s="193">
        <f>+'Merluza del sur Artesanal XII'!L51</f>
        <v>44223</v>
      </c>
      <c r="O101" s="193">
        <f>+'Resumen Cuota Global'!B$4</f>
        <v>44566</v>
      </c>
      <c r="P101" s="191">
        <v>2021</v>
      </c>
      <c r="Q101" s="191"/>
    </row>
    <row r="102" spans="1:17">
      <c r="A102" s="191" t="s">
        <v>273</v>
      </c>
      <c r="B102" s="191" t="s">
        <v>245</v>
      </c>
      <c r="C102" s="191" t="s">
        <v>274</v>
      </c>
      <c r="D102" s="191" t="str">
        <f>+'Merluza del sur Artesanal XII'!B52</f>
        <v>PUERTO NATALES</v>
      </c>
      <c r="E102" s="191" t="str">
        <f>+'Merluza del sur Artesanal XII'!D52</f>
        <v>CARLOS FABIÁN</v>
      </c>
      <c r="F102" s="191" t="s">
        <v>223</v>
      </c>
      <c r="G102" s="191" t="s">
        <v>249</v>
      </c>
      <c r="H102" s="159">
        <f>+'Merluza del sur Artesanal XII'!F52</f>
        <v>13.571427999999999</v>
      </c>
      <c r="I102" s="159">
        <f>+'Merluza del sur Artesanal XII'!G52</f>
        <v>-13.571</v>
      </c>
      <c r="J102" s="159">
        <f>+'Merluza del sur Artesanal XII'!H52</f>
        <v>4.2799999999942884E-4</v>
      </c>
      <c r="K102" s="159">
        <f>+'Merluza del sur Artesanal XII'!I52</f>
        <v>0</v>
      </c>
      <c r="L102" s="159">
        <f>+'Merluza del sur Artesanal XII'!J52</f>
        <v>4.2799999999942884E-4</v>
      </c>
      <c r="M102" s="192">
        <f>+'Merluza del sur Artesanal XII'!K52</f>
        <v>0</v>
      </c>
      <c r="N102" s="193">
        <f>+'Merluza del sur Artesanal XII'!L52</f>
        <v>44223</v>
      </c>
      <c r="O102" s="193">
        <f>+'Resumen Cuota Global'!B$4</f>
        <v>44566</v>
      </c>
      <c r="P102" s="191">
        <v>2021</v>
      </c>
      <c r="Q102" s="191"/>
    </row>
    <row r="103" spans="1:17">
      <c r="A103" s="191" t="s">
        <v>273</v>
      </c>
      <c r="B103" s="191" t="s">
        <v>245</v>
      </c>
      <c r="C103" s="191" t="s">
        <v>274</v>
      </c>
      <c r="D103" s="191" t="str">
        <f>+'Merluza del sur Artesanal XII'!B53</f>
        <v>PUERTO NATALES</v>
      </c>
      <c r="E103" s="191" t="str">
        <f>+'Merluza del sur Artesanal XII'!D53</f>
        <v>CHINGAO</v>
      </c>
      <c r="F103" s="191" t="s">
        <v>223</v>
      </c>
      <c r="G103" s="191" t="s">
        <v>249</v>
      </c>
      <c r="H103" s="159">
        <f>+'Merluza del sur Artesanal XII'!F53</f>
        <v>13.571427999999999</v>
      </c>
      <c r="I103" s="159">
        <f>+'Merluza del sur Artesanal XII'!G53</f>
        <v>-13.571</v>
      </c>
      <c r="J103" s="159">
        <f>+'Merluza del sur Artesanal XII'!H53</f>
        <v>4.2799999999942884E-4</v>
      </c>
      <c r="K103" s="159">
        <f>+'Merluza del sur Artesanal XII'!I53</f>
        <v>0</v>
      </c>
      <c r="L103" s="159">
        <f>+'Merluza del sur Artesanal XII'!J53</f>
        <v>4.2799999999942884E-4</v>
      </c>
      <c r="M103" s="192">
        <f>+'Merluza del sur Artesanal XII'!K53</f>
        <v>0</v>
      </c>
      <c r="N103" s="193">
        <f>+'Merluza del sur Artesanal XII'!L53</f>
        <v>44223</v>
      </c>
      <c r="O103" s="193">
        <f>+'Resumen Cuota Global'!B$4</f>
        <v>44566</v>
      </c>
      <c r="P103" s="191">
        <v>2021</v>
      </c>
      <c r="Q103" s="191"/>
    </row>
    <row r="104" spans="1:17">
      <c r="A104" s="191" t="s">
        <v>273</v>
      </c>
      <c r="B104" s="191" t="s">
        <v>245</v>
      </c>
      <c r="C104" s="191" t="s">
        <v>274</v>
      </c>
      <c r="D104" s="191" t="str">
        <f>+'Merluza del sur Artesanal XII'!B54</f>
        <v>PUERTO NATALES</v>
      </c>
      <c r="E104" s="191" t="str">
        <f>+'Merluza del sur Artesanal XII'!D54</f>
        <v>EL BASILON</v>
      </c>
      <c r="F104" s="191" t="s">
        <v>223</v>
      </c>
      <c r="G104" s="191" t="s">
        <v>249</v>
      </c>
      <c r="H104" s="159">
        <f>+'Merluza del sur Artesanal XII'!F54</f>
        <v>13.571427999999999</v>
      </c>
      <c r="I104" s="159">
        <f>+'Merluza del sur Artesanal XII'!G54</f>
        <v>-13.571</v>
      </c>
      <c r="J104" s="159">
        <f>+'Merluza del sur Artesanal XII'!H54</f>
        <v>4.2799999999942884E-4</v>
      </c>
      <c r="K104" s="159">
        <f>+'Merluza del sur Artesanal XII'!I54</f>
        <v>0</v>
      </c>
      <c r="L104" s="159">
        <f>+'Merluza del sur Artesanal XII'!J54</f>
        <v>4.2799999999942884E-4</v>
      </c>
      <c r="M104" s="192">
        <f>+'Merluza del sur Artesanal XII'!K54</f>
        <v>0</v>
      </c>
      <c r="N104" s="193">
        <f>+'Merluza del sur Artesanal XII'!L54</f>
        <v>44223</v>
      </c>
      <c r="O104" s="193">
        <f>+'Resumen Cuota Global'!B$4</f>
        <v>44566</v>
      </c>
      <c r="P104" s="191">
        <v>2021</v>
      </c>
      <c r="Q104" s="191"/>
    </row>
    <row r="105" spans="1:17">
      <c r="A105" s="191" t="s">
        <v>273</v>
      </c>
      <c r="B105" s="191" t="s">
        <v>245</v>
      </c>
      <c r="C105" s="191" t="s">
        <v>274</v>
      </c>
      <c r="D105" s="191" t="str">
        <f>+'Merluza del sur Artesanal XII'!B55</f>
        <v>PUERTO NATALES</v>
      </c>
      <c r="E105" s="191" t="str">
        <f>+'Merluza del sur Artesanal XII'!D55</f>
        <v>FRESIA</v>
      </c>
      <c r="F105" s="191" t="s">
        <v>223</v>
      </c>
      <c r="G105" s="191" t="s">
        <v>249</v>
      </c>
      <c r="H105" s="159">
        <f>+'Merluza del sur Artesanal XII'!F55</f>
        <v>13.571427999999999</v>
      </c>
      <c r="I105" s="159">
        <f>+'Merluza del sur Artesanal XII'!G55</f>
        <v>-13.571</v>
      </c>
      <c r="J105" s="159">
        <f>+'Merluza del sur Artesanal XII'!H55</f>
        <v>4.2799999999942884E-4</v>
      </c>
      <c r="K105" s="159">
        <f>+'Merluza del sur Artesanal XII'!I55</f>
        <v>0</v>
      </c>
      <c r="L105" s="159">
        <f>+'Merluza del sur Artesanal XII'!J55</f>
        <v>4.2799999999942884E-4</v>
      </c>
      <c r="M105" s="192">
        <f>+'Merluza del sur Artesanal XII'!K55</f>
        <v>0</v>
      </c>
      <c r="N105" s="193">
        <f>+'Merluza del sur Artesanal XII'!L55</f>
        <v>44223</v>
      </c>
      <c r="O105" s="193">
        <f>+'Resumen Cuota Global'!B$4</f>
        <v>44566</v>
      </c>
      <c r="P105" s="191">
        <v>2021</v>
      </c>
      <c r="Q105" s="191"/>
    </row>
    <row r="106" spans="1:17">
      <c r="A106" s="191" t="s">
        <v>273</v>
      </c>
      <c r="B106" s="191" t="s">
        <v>245</v>
      </c>
      <c r="C106" s="191" t="s">
        <v>274</v>
      </c>
      <c r="D106" s="191" t="str">
        <f>+'Merluza del sur Artesanal XII'!B56</f>
        <v>PUERTO NATALES</v>
      </c>
      <c r="E106" s="191" t="str">
        <f>+'Merluza del sur Artesanal XII'!D56</f>
        <v>MABEL</v>
      </c>
      <c r="F106" s="191" t="s">
        <v>223</v>
      </c>
      <c r="G106" s="191" t="s">
        <v>249</v>
      </c>
      <c r="H106" s="159">
        <f>+'Merluza del sur Artesanal XII'!F56</f>
        <v>13.571427999999999</v>
      </c>
      <c r="I106" s="159">
        <f>+'Merluza del sur Artesanal XII'!G56</f>
        <v>-13.571</v>
      </c>
      <c r="J106" s="159">
        <f>+'Merluza del sur Artesanal XII'!H56</f>
        <v>4.2799999999942884E-4</v>
      </c>
      <c r="K106" s="159">
        <f>+'Merluza del sur Artesanal XII'!I56</f>
        <v>0</v>
      </c>
      <c r="L106" s="159">
        <f>+'Merluza del sur Artesanal XII'!J56</f>
        <v>4.2799999999942884E-4</v>
      </c>
      <c r="M106" s="192">
        <f>+'Merluza del sur Artesanal XII'!K56</f>
        <v>0</v>
      </c>
      <c r="N106" s="193">
        <f>+'Merluza del sur Artesanal XII'!L56</f>
        <v>44223</v>
      </c>
      <c r="O106" s="193">
        <f>+'Resumen Cuota Global'!B$4</f>
        <v>44566</v>
      </c>
      <c r="P106" s="191">
        <v>2021</v>
      </c>
      <c r="Q106" s="191"/>
    </row>
    <row r="107" spans="1:17">
      <c r="A107" s="191" t="s">
        <v>273</v>
      </c>
      <c r="B107" s="191" t="s">
        <v>245</v>
      </c>
      <c r="C107" s="191" t="s">
        <v>274</v>
      </c>
      <c r="D107" s="191" t="str">
        <f>+'Merluza del sur Artesanal XII'!B57</f>
        <v>PUERTO NATALES</v>
      </c>
      <c r="E107" s="191" t="str">
        <f>+'Merluza del sur Artesanal XII'!D57</f>
        <v>GREY</v>
      </c>
      <c r="F107" s="191" t="s">
        <v>223</v>
      </c>
      <c r="G107" s="191" t="s">
        <v>249</v>
      </c>
      <c r="H107" s="159">
        <f>+'Merluza del sur Artesanal XII'!F57</f>
        <v>13.571427999999999</v>
      </c>
      <c r="I107" s="159">
        <f>+'Merluza del sur Artesanal XII'!G57</f>
        <v>-13.571</v>
      </c>
      <c r="J107" s="159">
        <f>+'Merluza del sur Artesanal XII'!H57</f>
        <v>4.2799999999942884E-4</v>
      </c>
      <c r="K107" s="159">
        <f>+'Merluza del sur Artesanal XII'!I57</f>
        <v>0</v>
      </c>
      <c r="L107" s="159">
        <f>+'Merluza del sur Artesanal XII'!J57</f>
        <v>4.2799999999942884E-4</v>
      </c>
      <c r="M107" s="192">
        <f>+'Merluza del sur Artesanal XII'!K57</f>
        <v>0</v>
      </c>
      <c r="N107" s="193">
        <f>+'Merluza del sur Artesanal XII'!L57</f>
        <v>44223</v>
      </c>
      <c r="O107" s="193">
        <f>+'Resumen Cuota Global'!B$4</f>
        <v>44566</v>
      </c>
      <c r="P107" s="191">
        <v>2021</v>
      </c>
      <c r="Q107" s="191"/>
    </row>
    <row r="108" spans="1:17">
      <c r="A108" s="191" t="s">
        <v>273</v>
      </c>
      <c r="B108" s="191" t="s">
        <v>245</v>
      </c>
      <c r="C108" s="191" t="s">
        <v>274</v>
      </c>
      <c r="D108" s="191" t="str">
        <f>+'Merluza del sur Artesanal XII'!B58</f>
        <v>PUERTO NATALES</v>
      </c>
      <c r="E108" s="191" t="str">
        <f>+'Merluza del sur Artesanal XII'!D58</f>
        <v>ISRAEL</v>
      </c>
      <c r="F108" s="191" t="s">
        <v>223</v>
      </c>
      <c r="G108" s="191" t="s">
        <v>249</v>
      </c>
      <c r="H108" s="159">
        <f>+'Merluza del sur Artesanal XII'!F58</f>
        <v>13.571427999999999</v>
      </c>
      <c r="I108" s="159">
        <f>+'Merluza del sur Artesanal XII'!G58</f>
        <v>-13.571</v>
      </c>
      <c r="J108" s="159">
        <f>+'Merluza del sur Artesanal XII'!H58</f>
        <v>4.2799999999942884E-4</v>
      </c>
      <c r="K108" s="159">
        <f>+'Merluza del sur Artesanal XII'!I58</f>
        <v>0</v>
      </c>
      <c r="L108" s="159">
        <f>+'Merluza del sur Artesanal XII'!J58</f>
        <v>4.2799999999942884E-4</v>
      </c>
      <c r="M108" s="192">
        <f>+'Merluza del sur Artesanal XII'!K58</f>
        <v>0</v>
      </c>
      <c r="N108" s="193">
        <f>+'Merluza del sur Artesanal XII'!L58</f>
        <v>44223</v>
      </c>
      <c r="O108" s="193">
        <f>+'Resumen Cuota Global'!B$4</f>
        <v>44566</v>
      </c>
      <c r="P108" s="191">
        <v>2021</v>
      </c>
      <c r="Q108" s="191"/>
    </row>
    <row r="109" spans="1:17">
      <c r="A109" s="191" t="s">
        <v>273</v>
      </c>
      <c r="B109" s="191" t="s">
        <v>245</v>
      </c>
      <c r="C109" s="191" t="s">
        <v>274</v>
      </c>
      <c r="D109" s="191" t="str">
        <f>+'Merluza del sur Artesanal XII'!B59</f>
        <v>PUERTO NATALES</v>
      </c>
      <c r="E109" s="191" t="str">
        <f>+'Merluza del sur Artesanal XII'!D59</f>
        <v>LOLA</v>
      </c>
      <c r="F109" s="191" t="s">
        <v>223</v>
      </c>
      <c r="G109" s="191" t="s">
        <v>249</v>
      </c>
      <c r="H109" s="159">
        <f>+'Merluza del sur Artesanal XII'!F59</f>
        <v>13.571427999999999</v>
      </c>
      <c r="I109" s="159">
        <f>+'Merluza del sur Artesanal XII'!G59</f>
        <v>-13.571</v>
      </c>
      <c r="J109" s="159">
        <f>+'Merluza del sur Artesanal XII'!H59</f>
        <v>4.2799999999942884E-4</v>
      </c>
      <c r="K109" s="159">
        <f>+'Merluza del sur Artesanal XII'!I59</f>
        <v>0</v>
      </c>
      <c r="L109" s="159">
        <f>+'Merluza del sur Artesanal XII'!J59</f>
        <v>4.2799999999942884E-4</v>
      </c>
      <c r="M109" s="192">
        <f>+'Merluza del sur Artesanal XII'!K59</f>
        <v>0</v>
      </c>
      <c r="N109" s="193">
        <f>+'Merluza del sur Artesanal XII'!L59</f>
        <v>44223</v>
      </c>
      <c r="O109" s="193">
        <f>+'Resumen Cuota Global'!B$4</f>
        <v>44566</v>
      </c>
      <c r="P109" s="191">
        <v>2021</v>
      </c>
      <c r="Q109" s="191"/>
    </row>
    <row r="110" spans="1:17">
      <c r="A110" s="191" t="s">
        <v>273</v>
      </c>
      <c r="B110" s="191" t="s">
        <v>245</v>
      </c>
      <c r="C110" s="191" t="s">
        <v>274</v>
      </c>
      <c r="D110" s="191" t="str">
        <f>+'Merluza del sur Artesanal XII'!B60</f>
        <v>PUERTO NATALES</v>
      </c>
      <c r="E110" s="191" t="str">
        <f>+'Merluza del sur Artesanal XII'!D60</f>
        <v>VICTORIA III</v>
      </c>
      <c r="F110" s="191" t="s">
        <v>223</v>
      </c>
      <c r="G110" s="191" t="s">
        <v>249</v>
      </c>
      <c r="H110" s="159">
        <f>+'Merluza del sur Artesanal XII'!F60</f>
        <v>13.571427999999999</v>
      </c>
      <c r="I110" s="159">
        <f>+'Merluza del sur Artesanal XII'!G60</f>
        <v>-13.57</v>
      </c>
      <c r="J110" s="159">
        <f>+'Merluza del sur Artesanal XII'!H60</f>
        <v>1.4279999999988746E-3</v>
      </c>
      <c r="K110" s="159">
        <f>+'Merluza del sur Artesanal XII'!I60</f>
        <v>0</v>
      </c>
      <c r="L110" s="159">
        <f>+'Merluza del sur Artesanal XII'!J60</f>
        <v>1.4279999999988746E-3</v>
      </c>
      <c r="M110" s="192">
        <f>+'Merluza del sur Artesanal XII'!K60</f>
        <v>0</v>
      </c>
      <c r="N110" s="193" t="str">
        <f>+'Merluza del sur Artesanal XII'!L60</f>
        <v>-</v>
      </c>
      <c r="O110" s="193">
        <f>+'Resumen Cuota Global'!B$4</f>
        <v>44566</v>
      </c>
      <c r="P110" s="191">
        <v>2021</v>
      </c>
      <c r="Q110" s="191"/>
    </row>
    <row r="111" spans="1:17">
      <c r="A111" s="191" t="s">
        <v>273</v>
      </c>
      <c r="B111" s="191" t="s">
        <v>245</v>
      </c>
      <c r="C111" s="191" t="s">
        <v>274</v>
      </c>
      <c r="D111" s="191" t="str">
        <f>+'Merluza del sur Artesanal XII'!B61</f>
        <v>PUERTO NATALES</v>
      </c>
      <c r="E111" s="191" t="str">
        <f>+'Merluza del sur Artesanal XII'!D61</f>
        <v>MENTIROSA</v>
      </c>
      <c r="F111" s="191" t="s">
        <v>223</v>
      </c>
      <c r="G111" s="191" t="s">
        <v>249</v>
      </c>
      <c r="H111" s="159">
        <f>+'Merluza del sur Artesanal XII'!F61</f>
        <v>13.571427999999999</v>
      </c>
      <c r="I111" s="159">
        <f>+'Merluza del sur Artesanal XII'!G61</f>
        <v>-13.57</v>
      </c>
      <c r="J111" s="159">
        <f>+'Merluza del sur Artesanal XII'!H61</f>
        <v>1.4279999999988746E-3</v>
      </c>
      <c r="K111" s="159">
        <f>+'Merluza del sur Artesanal XII'!I61</f>
        <v>0</v>
      </c>
      <c r="L111" s="159">
        <f>+'Merluza del sur Artesanal XII'!J61</f>
        <v>1.4279999999988746E-3</v>
      </c>
      <c r="M111" s="192">
        <f>+'Merluza del sur Artesanal XII'!K61</f>
        <v>0</v>
      </c>
      <c r="N111" s="193">
        <f>+'Merluza del sur Artesanal XII'!L61</f>
        <v>44223</v>
      </c>
      <c r="O111" s="193">
        <f>+'Resumen Cuota Global'!B$4</f>
        <v>44566</v>
      </c>
      <c r="P111" s="191">
        <v>2021</v>
      </c>
      <c r="Q111" s="191"/>
    </row>
    <row r="112" spans="1:17">
      <c r="A112" s="191" t="s">
        <v>273</v>
      </c>
      <c r="B112" s="191" t="s">
        <v>245</v>
      </c>
      <c r="C112" s="191" t="s">
        <v>274</v>
      </c>
      <c r="D112" s="191" t="str">
        <f>+'Merluza del sur Artesanal XII'!B62</f>
        <v>PUERTO NATALES</v>
      </c>
      <c r="E112" s="191" t="str">
        <f>+'Merluza del sur Artesanal XII'!D62</f>
        <v>MONSON</v>
      </c>
      <c r="F112" s="191" t="s">
        <v>223</v>
      </c>
      <c r="G112" s="191" t="s">
        <v>249</v>
      </c>
      <c r="H112" s="159">
        <f>+'Merluza del sur Artesanal XII'!F62</f>
        <v>13.571427999999999</v>
      </c>
      <c r="I112" s="159">
        <f>+'Merluza del sur Artesanal XII'!G62</f>
        <v>-13.571</v>
      </c>
      <c r="J112" s="159">
        <f>+'Merluza del sur Artesanal XII'!H62</f>
        <v>4.2799999999942884E-4</v>
      </c>
      <c r="K112" s="159">
        <f>+'Merluza del sur Artesanal XII'!I62</f>
        <v>0</v>
      </c>
      <c r="L112" s="159">
        <f>+'Merluza del sur Artesanal XII'!J62</f>
        <v>4.2799999999942884E-4</v>
      </c>
      <c r="M112" s="192">
        <f>+'Merluza del sur Artesanal XII'!K62</f>
        <v>0</v>
      </c>
      <c r="N112" s="193">
        <f>+'Merluza del sur Artesanal XII'!L62</f>
        <v>44223</v>
      </c>
      <c r="O112" s="193">
        <f>+'Resumen Cuota Global'!B$4</f>
        <v>44566</v>
      </c>
      <c r="P112" s="191">
        <v>2021</v>
      </c>
      <c r="Q112" s="191"/>
    </row>
    <row r="113" spans="1:17">
      <c r="A113" s="191" t="s">
        <v>273</v>
      </c>
      <c r="B113" s="191" t="s">
        <v>245</v>
      </c>
      <c r="C113" s="191" t="s">
        <v>274</v>
      </c>
      <c r="D113" s="191" t="str">
        <f>+'Merluza del sur Artesanal XII'!B63</f>
        <v>PUERTO NATALES</v>
      </c>
      <c r="E113" s="191" t="str">
        <f>+'Merluza del sur Artesanal XII'!D63</f>
        <v>PINGUINO I</v>
      </c>
      <c r="F113" s="191" t="s">
        <v>223</v>
      </c>
      <c r="G113" s="191" t="s">
        <v>249</v>
      </c>
      <c r="H113" s="159">
        <f>+'Merluza del sur Artesanal XII'!F63</f>
        <v>13.571427999999999</v>
      </c>
      <c r="I113" s="159">
        <f>+'Merluza del sur Artesanal XII'!G63</f>
        <v>-13.571</v>
      </c>
      <c r="J113" s="159">
        <f>+'Merluza del sur Artesanal XII'!H63</f>
        <v>4.2799999999942884E-4</v>
      </c>
      <c r="K113" s="159">
        <f>+'Merluza del sur Artesanal XII'!I63</f>
        <v>0</v>
      </c>
      <c r="L113" s="159">
        <f>+'Merluza del sur Artesanal XII'!J63</f>
        <v>4.2799999999942884E-4</v>
      </c>
      <c r="M113" s="192">
        <f>+'Merluza del sur Artesanal XII'!K63</f>
        <v>0</v>
      </c>
      <c r="N113" s="193">
        <f>+'Merluza del sur Artesanal XII'!L63</f>
        <v>44223</v>
      </c>
      <c r="O113" s="193">
        <f>+'Resumen Cuota Global'!B$4</f>
        <v>44566</v>
      </c>
      <c r="P113" s="191">
        <v>2021</v>
      </c>
      <c r="Q113" s="191"/>
    </row>
    <row r="114" spans="1:17">
      <c r="A114" s="191" t="s">
        <v>273</v>
      </c>
      <c r="B114" s="191" t="s">
        <v>245</v>
      </c>
      <c r="C114" s="191" t="s">
        <v>274</v>
      </c>
      <c r="D114" s="191" t="str">
        <f>+'Merluza del sur Artesanal XII'!B64</f>
        <v>PUERTO NATALES</v>
      </c>
      <c r="E114" s="191" t="str">
        <f>+'Merluza del sur Artesanal XII'!D64</f>
        <v>PINGUINO II</v>
      </c>
      <c r="F114" s="191" t="s">
        <v>223</v>
      </c>
      <c r="G114" s="191" t="s">
        <v>249</v>
      </c>
      <c r="H114" s="159">
        <f>+'Merluza del sur Artesanal XII'!F64</f>
        <v>13.571427999999999</v>
      </c>
      <c r="I114" s="159">
        <f>+'Merluza del sur Artesanal XII'!G64</f>
        <v>-13.571</v>
      </c>
      <c r="J114" s="159">
        <f>+'Merluza del sur Artesanal XII'!H64</f>
        <v>4.2799999999942884E-4</v>
      </c>
      <c r="K114" s="159">
        <f>+'Merluza del sur Artesanal XII'!I64</f>
        <v>0</v>
      </c>
      <c r="L114" s="159">
        <f>+'Merluza del sur Artesanal XII'!J64</f>
        <v>4.2799999999942884E-4</v>
      </c>
      <c r="M114" s="192">
        <f>+'Merluza del sur Artesanal XII'!K64</f>
        <v>0</v>
      </c>
      <c r="N114" s="193">
        <f>+'Merluza del sur Artesanal XII'!L64</f>
        <v>44223</v>
      </c>
      <c r="O114" s="193">
        <f>+'Resumen Cuota Global'!B$4</f>
        <v>44566</v>
      </c>
      <c r="P114" s="191">
        <v>2021</v>
      </c>
      <c r="Q114" s="191"/>
    </row>
    <row r="115" spans="1:17">
      <c r="A115" s="191" t="s">
        <v>273</v>
      </c>
      <c r="B115" s="191" t="s">
        <v>245</v>
      </c>
      <c r="C115" s="191" t="s">
        <v>274</v>
      </c>
      <c r="D115" s="191" t="str">
        <f>+'Merluza del sur Artesanal XII'!B65</f>
        <v>PUERTO NATALES</v>
      </c>
      <c r="E115" s="191" t="str">
        <f>+'Merluza del sur Artesanal XII'!D65</f>
        <v xml:space="preserve">YHONATAN NIETO </v>
      </c>
      <c r="F115" s="191" t="s">
        <v>223</v>
      </c>
      <c r="G115" s="191" t="s">
        <v>249</v>
      </c>
      <c r="H115" s="159">
        <f>+'Merluza del sur Artesanal XII'!F65</f>
        <v>13.571427999999999</v>
      </c>
      <c r="I115" s="159">
        <f>+'Merluza del sur Artesanal XII'!G65</f>
        <v>-13.571</v>
      </c>
      <c r="J115" s="159">
        <f>+'Merluza del sur Artesanal XII'!H65</f>
        <v>4.2799999999942884E-4</v>
      </c>
      <c r="K115" s="159">
        <f>+'Merluza del sur Artesanal XII'!I65</f>
        <v>0</v>
      </c>
      <c r="L115" s="159">
        <f>+'Merluza del sur Artesanal XII'!J65</f>
        <v>4.2799999999942884E-4</v>
      </c>
      <c r="M115" s="192">
        <f>+'Merluza del sur Artesanal XII'!K65</f>
        <v>0</v>
      </c>
      <c r="N115" s="193">
        <f>+'Merluza del sur Artesanal XII'!L65</f>
        <v>44223</v>
      </c>
      <c r="O115" s="193">
        <f>+'Resumen Cuota Global'!B$4</f>
        <v>44566</v>
      </c>
      <c r="P115" s="191">
        <v>2021</v>
      </c>
      <c r="Q115" s="191"/>
    </row>
    <row r="116" spans="1:17">
      <c r="A116" s="191" t="s">
        <v>273</v>
      </c>
      <c r="B116" s="191" t="s">
        <v>245</v>
      </c>
      <c r="C116" s="191" t="s">
        <v>274</v>
      </c>
      <c r="D116" s="191" t="str">
        <f>+'Merluza del sur Artesanal XII'!B66</f>
        <v>PUERTO NATALES</v>
      </c>
      <c r="E116" s="191" t="str">
        <f>+'Merluza del sur Artesanal XII'!D66</f>
        <v>YORDANA</v>
      </c>
      <c r="F116" s="191" t="s">
        <v>223</v>
      </c>
      <c r="G116" s="191" t="s">
        <v>249</v>
      </c>
      <c r="H116" s="159">
        <f>+'Merluza del sur Artesanal XII'!F66</f>
        <v>13.571427999999999</v>
      </c>
      <c r="I116" s="159">
        <f>+'Merluza del sur Artesanal XII'!G66</f>
        <v>-13.571</v>
      </c>
      <c r="J116" s="159">
        <f>+'Merluza del sur Artesanal XII'!H66</f>
        <v>4.2799999999942884E-4</v>
      </c>
      <c r="K116" s="159">
        <f>+'Merluza del sur Artesanal XII'!I66</f>
        <v>0</v>
      </c>
      <c r="L116" s="159">
        <f>+'Merluza del sur Artesanal XII'!J66</f>
        <v>4.2799999999942884E-4</v>
      </c>
      <c r="M116" s="192">
        <f>+'Merluza del sur Artesanal XII'!K66</f>
        <v>0</v>
      </c>
      <c r="N116" s="193">
        <f>+'Merluza del sur Artesanal XII'!L66</f>
        <v>44223</v>
      </c>
      <c r="O116" s="193">
        <f>+'Resumen Cuota Global'!B$4</f>
        <v>44566</v>
      </c>
      <c r="P116" s="191">
        <v>2021</v>
      </c>
      <c r="Q116" s="191"/>
    </row>
    <row r="117" spans="1:17">
      <c r="A117" s="191" t="s">
        <v>273</v>
      </c>
      <c r="B117" s="191" t="s">
        <v>245</v>
      </c>
      <c r="C117" s="191" t="s">
        <v>274</v>
      </c>
      <c r="D117" s="191" t="str">
        <f>+'Merluza del sur Artesanal XII'!B67</f>
        <v>PUERTO NATALES</v>
      </c>
      <c r="E117" s="191" t="str">
        <f>+'Merluza del sur Artesanal XII'!D67</f>
        <v>YORDANA II</v>
      </c>
      <c r="F117" s="191" t="s">
        <v>223</v>
      </c>
      <c r="G117" s="191" t="s">
        <v>249</v>
      </c>
      <c r="H117" s="159">
        <f>+'Merluza del sur Artesanal XII'!F67</f>
        <v>13.571427999999999</v>
      </c>
      <c r="I117" s="159">
        <f>+'Merluza del sur Artesanal XII'!G67</f>
        <v>-13.571</v>
      </c>
      <c r="J117" s="159">
        <f>+'Merluza del sur Artesanal XII'!H67</f>
        <v>4.2799999999942884E-4</v>
      </c>
      <c r="K117" s="159">
        <f>+'Merluza del sur Artesanal XII'!I67</f>
        <v>0</v>
      </c>
      <c r="L117" s="159">
        <f>+'Merluza del sur Artesanal XII'!J67</f>
        <v>4.2799999999942884E-4</v>
      </c>
      <c r="M117" s="192">
        <f>+'Merluza del sur Artesanal XII'!K67</f>
        <v>0</v>
      </c>
      <c r="N117" s="193">
        <f>+'Merluza del sur Artesanal XII'!L67</f>
        <v>44223</v>
      </c>
      <c r="O117" s="193">
        <f>+'Resumen Cuota Global'!B$4</f>
        <v>44566</v>
      </c>
      <c r="P117" s="191">
        <v>2021</v>
      </c>
      <c r="Q117" s="191"/>
    </row>
    <row r="118" spans="1:17">
      <c r="A118" s="191" t="s">
        <v>273</v>
      </c>
      <c r="B118" s="191" t="s">
        <v>245</v>
      </c>
      <c r="C118" s="191" t="s">
        <v>274</v>
      </c>
      <c r="D118" s="191" t="str">
        <f>+'Merluza del sur Artesanal XII'!B68</f>
        <v>PUERTO NATALES</v>
      </c>
      <c r="E118" s="191" t="str">
        <f>+'Merluza del sur Artesanal XII'!D68</f>
        <v>PULPO</v>
      </c>
      <c r="F118" s="191" t="s">
        <v>223</v>
      </c>
      <c r="G118" s="191" t="s">
        <v>249</v>
      </c>
      <c r="H118" s="159">
        <f>+'Merluza del sur Artesanal XII'!F68</f>
        <v>13.571427999999999</v>
      </c>
      <c r="I118" s="159">
        <f>+'Merluza del sur Artesanal XII'!G68</f>
        <v>-13.444000000000001</v>
      </c>
      <c r="J118" s="159">
        <f>+'Merluza del sur Artesanal XII'!H68</f>
        <v>0.12742799999999832</v>
      </c>
      <c r="K118" s="159">
        <f>+'Merluza del sur Artesanal XII'!I68</f>
        <v>0</v>
      </c>
      <c r="L118" s="159">
        <f>+'Merluza del sur Artesanal XII'!J68</f>
        <v>0.12742799999999832</v>
      </c>
      <c r="M118" s="192">
        <f>+'Merluza del sur Artesanal XII'!K68</f>
        <v>0</v>
      </c>
      <c r="N118" s="193">
        <f>+'Merluza del sur Artesanal XII'!L68</f>
        <v>0</v>
      </c>
      <c r="O118" s="193">
        <f>+'Resumen Cuota Global'!B$4</f>
        <v>44566</v>
      </c>
      <c r="P118" s="191">
        <v>2021</v>
      </c>
      <c r="Q118" s="191"/>
    </row>
    <row r="119" spans="1:17">
      <c r="A119" s="191" t="s">
        <v>273</v>
      </c>
      <c r="B119" s="191" t="s">
        <v>245</v>
      </c>
      <c r="C119" s="191" t="s">
        <v>274</v>
      </c>
      <c r="D119" s="191" t="str">
        <f>+'Merluza del sur Artesanal XII'!B69</f>
        <v>PUERTO NATALES</v>
      </c>
      <c r="E119" s="191" t="str">
        <f>+'Merluza del sur Artesanal XII'!D69</f>
        <v>CRISTO SALVA I</v>
      </c>
      <c r="F119" s="191" t="s">
        <v>223</v>
      </c>
      <c r="G119" s="191" t="s">
        <v>249</v>
      </c>
      <c r="H119" s="159">
        <f>+'Merluza del sur Artesanal XII'!F69</f>
        <v>13.571427999999999</v>
      </c>
      <c r="I119" s="159">
        <f>+'Merluza del sur Artesanal XII'!G69</f>
        <v>-13.571</v>
      </c>
      <c r="J119" s="159">
        <f>+'Merluza del sur Artesanal XII'!H69</f>
        <v>4.2799999999942884E-4</v>
      </c>
      <c r="K119" s="159">
        <f>+'Merluza del sur Artesanal XII'!I69</f>
        <v>0</v>
      </c>
      <c r="L119" s="159">
        <f>+'Merluza del sur Artesanal XII'!J69</f>
        <v>4.2799999999942884E-4</v>
      </c>
      <c r="M119" s="192">
        <f>+'Merluza del sur Artesanal XII'!K69</f>
        <v>0</v>
      </c>
      <c r="N119" s="193">
        <f>+'Merluza del sur Artesanal XII'!L69</f>
        <v>44223</v>
      </c>
      <c r="O119" s="193">
        <f>+'Resumen Cuota Global'!B$4</f>
        <v>44566</v>
      </c>
      <c r="P119" s="191">
        <v>2021</v>
      </c>
      <c r="Q119" s="191"/>
    </row>
    <row r="120" spans="1:17">
      <c r="A120" s="191" t="s">
        <v>273</v>
      </c>
      <c r="B120" s="191" t="s">
        <v>245</v>
      </c>
      <c r="C120" s="191" t="s">
        <v>274</v>
      </c>
      <c r="D120" s="191" t="str">
        <f>+'Merluza del sur Artesanal XII'!B70</f>
        <v>PUERTO NATALES</v>
      </c>
      <c r="E120" s="191" t="str">
        <f>+'Merluza del sur Artesanal XII'!D70</f>
        <v>DOÑA MONSE</v>
      </c>
      <c r="F120" s="191" t="s">
        <v>223</v>
      </c>
      <c r="G120" s="191" t="s">
        <v>249</v>
      </c>
      <c r="H120" s="159">
        <f>+'Merluza del sur Artesanal XII'!F70</f>
        <v>13.571427999999999</v>
      </c>
      <c r="I120" s="159">
        <f>+'Merluza del sur Artesanal XII'!G70</f>
        <v>-13.571</v>
      </c>
      <c r="J120" s="159">
        <f>+'Merluza del sur Artesanal XII'!H70</f>
        <v>4.2799999999942884E-4</v>
      </c>
      <c r="K120" s="159">
        <f>+'Merluza del sur Artesanal XII'!I70</f>
        <v>0</v>
      </c>
      <c r="L120" s="159">
        <f>+'Merluza del sur Artesanal XII'!J70</f>
        <v>4.2799999999942884E-4</v>
      </c>
      <c r="M120" s="192">
        <f>+'Merluza del sur Artesanal XII'!K70</f>
        <v>0</v>
      </c>
      <c r="N120" s="193">
        <f>+'Merluza del sur Artesanal XII'!L70</f>
        <v>44223</v>
      </c>
      <c r="O120" s="193">
        <f>+'Resumen Cuota Global'!B$4</f>
        <v>44566</v>
      </c>
      <c r="P120" s="191">
        <v>2021</v>
      </c>
      <c r="Q120" s="191"/>
    </row>
    <row r="121" spans="1:17">
      <c r="A121" s="191" t="s">
        <v>273</v>
      </c>
      <c r="B121" s="191" t="s">
        <v>245</v>
      </c>
      <c r="C121" s="191" t="s">
        <v>274</v>
      </c>
      <c r="D121" s="191" t="str">
        <f>+'Merluza del sur Artesanal XII'!B71</f>
        <v>PUERTO NATALES</v>
      </c>
      <c r="E121" s="191" t="str">
        <f>+'Merluza del sur Artesanal XII'!D71</f>
        <v>FRANCISCA I</v>
      </c>
      <c r="F121" s="191" t="s">
        <v>223</v>
      </c>
      <c r="G121" s="191" t="s">
        <v>249</v>
      </c>
      <c r="H121" s="159">
        <f>+'Merluza del sur Artesanal XII'!F71</f>
        <v>13.571427999999999</v>
      </c>
      <c r="I121" s="159">
        <f>+'Merluza del sur Artesanal XII'!G71</f>
        <v>-13.516999999999999</v>
      </c>
      <c r="J121" s="159">
        <f>+'Merluza del sur Artesanal XII'!H71</f>
        <v>5.4427999999999699E-2</v>
      </c>
      <c r="K121" s="159">
        <f>+'Merluza del sur Artesanal XII'!I71</f>
        <v>0</v>
      </c>
      <c r="L121" s="159">
        <f>+'Merluza del sur Artesanal XII'!J71</f>
        <v>5.4427999999999699E-2</v>
      </c>
      <c r="M121" s="192">
        <f>+'Merluza del sur Artesanal XII'!K71</f>
        <v>0</v>
      </c>
      <c r="N121" s="193">
        <f>+'Merluza del sur Artesanal XII'!L71</f>
        <v>0</v>
      </c>
      <c r="O121" s="193">
        <f>+'Resumen Cuota Global'!B$4</f>
        <v>44566</v>
      </c>
      <c r="P121" s="191">
        <v>2021</v>
      </c>
      <c r="Q121" s="191"/>
    </row>
    <row r="122" spans="1:17">
      <c r="A122" s="191" t="s">
        <v>273</v>
      </c>
      <c r="B122" s="191" t="s">
        <v>245</v>
      </c>
      <c r="C122" s="191" t="s">
        <v>274</v>
      </c>
      <c r="D122" s="191" t="str">
        <f>+'Merluza del sur Artesanal XII'!B72</f>
        <v>PUERTO NATALES</v>
      </c>
      <c r="E122" s="191" t="str">
        <f>+'Merluza del sur Artesanal XII'!D72</f>
        <v>VENUS II</v>
      </c>
      <c r="F122" s="191" t="s">
        <v>223</v>
      </c>
      <c r="G122" s="191" t="s">
        <v>249</v>
      </c>
      <c r="H122" s="159">
        <f>+'Merluza del sur Artesanal XII'!F72</f>
        <v>13.571427999999999</v>
      </c>
      <c r="I122" s="159">
        <f>+'Merluza del sur Artesanal XII'!G72</f>
        <v>-11.468999999999999</v>
      </c>
      <c r="J122" s="159">
        <f>+'Merluza del sur Artesanal XII'!H72</f>
        <v>2.1024279999999997</v>
      </c>
      <c r="K122" s="159">
        <f>+'Merluza del sur Artesanal XII'!I72</f>
        <v>2.0979999999999999</v>
      </c>
      <c r="L122" s="159">
        <f>+'Merluza del sur Artesanal XII'!J72</f>
        <v>4.4279999999998765E-3</v>
      </c>
      <c r="M122" s="192">
        <f>+'Merluza del sur Artesanal XII'!K72</f>
        <v>0.99789386366619937</v>
      </c>
      <c r="N122" s="193">
        <f>+'Merluza del sur Artesanal XII'!L72</f>
        <v>0</v>
      </c>
      <c r="O122" s="193">
        <f>+'Resumen Cuota Global'!B$4</f>
        <v>44566</v>
      </c>
      <c r="P122" s="191">
        <v>2021</v>
      </c>
      <c r="Q122" s="191"/>
    </row>
    <row r="123" spans="1:17">
      <c r="A123" s="191" t="s">
        <v>273</v>
      </c>
      <c r="B123" s="191" t="s">
        <v>245</v>
      </c>
      <c r="C123" s="191" t="s">
        <v>274</v>
      </c>
      <c r="D123" s="191" t="str">
        <f>+'Merluza del sur Artesanal XII'!B73</f>
        <v>PUERTO NATALES</v>
      </c>
      <c r="E123" s="191" t="str">
        <f>+'Merluza del sur Artesanal XII'!D73</f>
        <v>MACARENA</v>
      </c>
      <c r="F123" s="191" t="s">
        <v>223</v>
      </c>
      <c r="G123" s="191" t="s">
        <v>249</v>
      </c>
      <c r="H123" s="159">
        <f>+'Merluza del sur Artesanal XII'!F73</f>
        <v>13.571427999999999</v>
      </c>
      <c r="I123" s="159">
        <f>+'Merluza del sur Artesanal XII'!G73</f>
        <v>-13.571</v>
      </c>
      <c r="J123" s="159">
        <f>+'Merluza del sur Artesanal XII'!H73</f>
        <v>4.2799999999942884E-4</v>
      </c>
      <c r="K123" s="159">
        <f>+'Merluza del sur Artesanal XII'!I73</f>
        <v>0</v>
      </c>
      <c r="L123" s="159">
        <f>+'Merluza del sur Artesanal XII'!J73</f>
        <v>4.2799999999942884E-4</v>
      </c>
      <c r="M123" s="192">
        <f>+'Merluza del sur Artesanal XII'!K73</f>
        <v>0</v>
      </c>
      <c r="N123" s="193">
        <f>+'Merluza del sur Artesanal XII'!L73</f>
        <v>44223</v>
      </c>
      <c r="O123" s="193">
        <f>+'Resumen Cuota Global'!B$4</f>
        <v>44566</v>
      </c>
      <c r="P123" s="191">
        <v>2021</v>
      </c>
      <c r="Q123" s="191"/>
    </row>
    <row r="124" spans="1:17">
      <c r="A124" s="191" t="s">
        <v>273</v>
      </c>
      <c r="B124" s="191" t="s">
        <v>245</v>
      </c>
      <c r="C124" s="191" t="s">
        <v>274</v>
      </c>
      <c r="D124" s="191" t="str">
        <f>+'Merluza del sur Artesanal XII'!B74</f>
        <v>PUERTO NATALES</v>
      </c>
      <c r="E124" s="191" t="str">
        <f>+'Merluza del sur Artesanal XII'!D74</f>
        <v>POLY</v>
      </c>
      <c r="F124" s="191" t="s">
        <v>223</v>
      </c>
      <c r="G124" s="191" t="s">
        <v>249</v>
      </c>
      <c r="H124" s="159">
        <f>+'Merluza del sur Artesanal XII'!F74</f>
        <v>13.571427999999999</v>
      </c>
      <c r="I124" s="159">
        <f>+'Merluza del sur Artesanal XII'!G74</f>
        <v>-13.371</v>
      </c>
      <c r="J124" s="159">
        <f>+'Merluza del sur Artesanal XII'!H74</f>
        <v>0.20042799999999872</v>
      </c>
      <c r="K124" s="159">
        <f>+'Merluza del sur Artesanal XII'!I74</f>
        <v>0</v>
      </c>
      <c r="L124" s="159">
        <f>+'Merluza del sur Artesanal XII'!J74</f>
        <v>0.20042799999999872</v>
      </c>
      <c r="M124" s="192">
        <f>+'Merluza del sur Artesanal XII'!K74</f>
        <v>0</v>
      </c>
      <c r="N124" s="193" t="str">
        <f>+'Merluza del sur Artesanal XII'!L74</f>
        <v>-</v>
      </c>
      <c r="O124" s="193">
        <f>+'Resumen Cuota Global'!B$4</f>
        <v>44566</v>
      </c>
      <c r="P124" s="191">
        <v>2021</v>
      </c>
      <c r="Q124" s="191"/>
    </row>
    <row r="125" spans="1:17">
      <c r="A125" s="191" t="s">
        <v>273</v>
      </c>
      <c r="B125" s="191" t="s">
        <v>245</v>
      </c>
      <c r="C125" s="191" t="s">
        <v>274</v>
      </c>
      <c r="D125" s="191" t="str">
        <f>+'Merluza del sur Artesanal XII'!B75</f>
        <v>PUERTO NATALES</v>
      </c>
      <c r="E125" s="191" t="str">
        <f>+'Merluza del sur Artesanal XII'!D75</f>
        <v>SOL DE AMÉRICA</v>
      </c>
      <c r="F125" s="191" t="s">
        <v>223</v>
      </c>
      <c r="G125" s="191" t="s">
        <v>249</v>
      </c>
      <c r="H125" s="159">
        <f>+'Merluza del sur Artesanal XII'!F75</f>
        <v>13.571427999999999</v>
      </c>
      <c r="I125" s="159">
        <f>+'Merluza del sur Artesanal XII'!G75</f>
        <v>-13.571</v>
      </c>
      <c r="J125" s="159">
        <f>+'Merluza del sur Artesanal XII'!H75</f>
        <v>4.2799999999942884E-4</v>
      </c>
      <c r="K125" s="159">
        <f>+'Merluza del sur Artesanal XII'!I75</f>
        <v>0</v>
      </c>
      <c r="L125" s="159">
        <f>+'Merluza del sur Artesanal XII'!J75</f>
        <v>4.2799999999942884E-4</v>
      </c>
      <c r="M125" s="192">
        <f>+'Merluza del sur Artesanal XII'!K75</f>
        <v>0</v>
      </c>
      <c r="N125" s="193">
        <f>+'Merluza del sur Artesanal XII'!L75</f>
        <v>44223</v>
      </c>
      <c r="O125" s="193">
        <f>+'Resumen Cuota Global'!B$4</f>
        <v>44566</v>
      </c>
      <c r="P125" s="191">
        <v>2021</v>
      </c>
      <c r="Q125" s="191"/>
    </row>
    <row r="126" spans="1:17">
      <c r="A126" s="191" t="s">
        <v>273</v>
      </c>
      <c r="B126" s="191" t="s">
        <v>245</v>
      </c>
      <c r="C126" s="191" t="s">
        <v>274</v>
      </c>
      <c r="D126" s="191" t="str">
        <f>+'Merluza del sur Artesanal XII'!B76</f>
        <v>PUERTO NATALES</v>
      </c>
      <c r="E126" s="191" t="str">
        <f>+'Merluza del sur Artesanal XII'!D76</f>
        <v>CHANBERLEY</v>
      </c>
      <c r="F126" s="191" t="s">
        <v>223</v>
      </c>
      <c r="G126" s="191" t="s">
        <v>249</v>
      </c>
      <c r="H126" s="159">
        <f>+'Merluza del sur Artesanal XII'!F76</f>
        <v>13.571427999999999</v>
      </c>
      <c r="I126" s="159">
        <f>+'Merluza del sur Artesanal XII'!G76</f>
        <v>-13.571</v>
      </c>
      <c r="J126" s="159">
        <f>+'Merluza del sur Artesanal XII'!H76</f>
        <v>4.2799999999942884E-4</v>
      </c>
      <c r="K126" s="159">
        <f>+'Merluza del sur Artesanal XII'!I76</f>
        <v>0</v>
      </c>
      <c r="L126" s="159">
        <f>+'Merluza del sur Artesanal XII'!J76</f>
        <v>4.2799999999942884E-4</v>
      </c>
      <c r="M126" s="192">
        <f>+'Merluza del sur Artesanal XII'!K76</f>
        <v>0</v>
      </c>
      <c r="N126" s="193">
        <f>+'Merluza del sur Artesanal XII'!L76</f>
        <v>44223</v>
      </c>
      <c r="O126" s="193">
        <f>+'Resumen Cuota Global'!B$4</f>
        <v>44566</v>
      </c>
      <c r="P126" s="191">
        <v>2021</v>
      </c>
      <c r="Q126" s="191"/>
    </row>
    <row r="127" spans="1:17">
      <c r="A127" s="191" t="s">
        <v>273</v>
      </c>
      <c r="B127" s="191" t="s">
        <v>245</v>
      </c>
      <c r="C127" s="191" t="s">
        <v>274</v>
      </c>
      <c r="D127" s="191" t="str">
        <f>+'Merluza del sur Artesanal XII'!B77</f>
        <v>PUERTO NATALES</v>
      </c>
      <c r="E127" s="191" t="str">
        <f>+'Merluza del sur Artesanal XII'!D77</f>
        <v>PANGA</v>
      </c>
      <c r="F127" s="191" t="s">
        <v>223</v>
      </c>
      <c r="G127" s="191" t="s">
        <v>249</v>
      </c>
      <c r="H127" s="159">
        <f>+'Merluza del sur Artesanal XII'!F77</f>
        <v>13.571427999999999</v>
      </c>
      <c r="I127" s="159">
        <f>+'Merluza del sur Artesanal XII'!G77</f>
        <v>-13</v>
      </c>
      <c r="J127" s="159">
        <f>+'Merluza del sur Artesanal XII'!H77</f>
        <v>0.57142799999999916</v>
      </c>
      <c r="K127" s="159">
        <f>+'Merluza del sur Artesanal XII'!I77</f>
        <v>0</v>
      </c>
      <c r="L127" s="159">
        <f>+'Merluza del sur Artesanal XII'!J77</f>
        <v>0.57142799999999916</v>
      </c>
      <c r="M127" s="192">
        <f>+'Merluza del sur Artesanal XII'!K77</f>
        <v>0</v>
      </c>
      <c r="N127" s="193" t="str">
        <f>+'Merluza del sur Artesanal XII'!L77</f>
        <v>-</v>
      </c>
      <c r="O127" s="193">
        <f>+'Resumen Cuota Global'!B$4</f>
        <v>44566</v>
      </c>
      <c r="P127" s="191">
        <v>2021</v>
      </c>
      <c r="Q127" s="191"/>
    </row>
    <row r="128" spans="1:17">
      <c r="A128" s="191" t="s">
        <v>273</v>
      </c>
      <c r="B128" s="191" t="s">
        <v>245</v>
      </c>
      <c r="C128" s="191" t="s">
        <v>274</v>
      </c>
      <c r="D128" s="191" t="str">
        <f>+'Merluza del sur Artesanal XII'!B78</f>
        <v>PUERTO NATALES</v>
      </c>
      <c r="E128" s="191" t="str">
        <f>+'Merluza del sur Artesanal XII'!D78</f>
        <v>VICTOR I</v>
      </c>
      <c r="F128" s="191" t="s">
        <v>223</v>
      </c>
      <c r="G128" s="191" t="s">
        <v>249</v>
      </c>
      <c r="H128" s="159">
        <f>+'Merluza del sur Artesanal XII'!F78</f>
        <v>13.571427999999999</v>
      </c>
      <c r="I128" s="159">
        <f>+'Merluza del sur Artesanal XII'!G78</f>
        <v>-13.571</v>
      </c>
      <c r="J128" s="159">
        <f>+'Merluza del sur Artesanal XII'!H78</f>
        <v>4.2799999999942884E-4</v>
      </c>
      <c r="K128" s="159">
        <f>+'Merluza del sur Artesanal XII'!I78</f>
        <v>0</v>
      </c>
      <c r="L128" s="159">
        <f>+'Merluza del sur Artesanal XII'!J78</f>
        <v>4.2799999999942884E-4</v>
      </c>
      <c r="M128" s="192">
        <f>+'Merluza del sur Artesanal XII'!K78</f>
        <v>0</v>
      </c>
      <c r="N128" s="193">
        <f>+'Merluza del sur Artesanal XII'!L78</f>
        <v>44223</v>
      </c>
      <c r="O128" s="193">
        <f>+'Resumen Cuota Global'!B$4</f>
        <v>44566</v>
      </c>
      <c r="P128" s="191">
        <v>2021</v>
      </c>
      <c r="Q128" s="191"/>
    </row>
    <row r="129" spans="1:17">
      <c r="A129" s="191" t="s">
        <v>273</v>
      </c>
      <c r="B129" s="191" t="s">
        <v>245</v>
      </c>
      <c r="C129" s="191" t="s">
        <v>274</v>
      </c>
      <c r="D129" s="191" t="str">
        <f>+'Merluza del sur Artesanal XII'!B79</f>
        <v>PUERTO NATALES</v>
      </c>
      <c r="E129" s="191" t="str">
        <f>+'Merluza del sur Artesanal XII'!D79</f>
        <v>GATUNOS</v>
      </c>
      <c r="F129" s="191" t="s">
        <v>223</v>
      </c>
      <c r="G129" s="191" t="s">
        <v>249</v>
      </c>
      <c r="H129" s="159">
        <f>+'Merluza del sur Artesanal XII'!F79</f>
        <v>13.571427999999999</v>
      </c>
      <c r="I129" s="159">
        <f>+'Merluza del sur Artesanal XII'!G79</f>
        <v>-13.571</v>
      </c>
      <c r="J129" s="159">
        <f>+'Merluza del sur Artesanal XII'!H79</f>
        <v>4.2799999999942884E-4</v>
      </c>
      <c r="K129" s="159">
        <f>+'Merluza del sur Artesanal XII'!I79</f>
        <v>0</v>
      </c>
      <c r="L129" s="159">
        <f>+'Merluza del sur Artesanal XII'!J79</f>
        <v>4.2799999999942884E-4</v>
      </c>
      <c r="M129" s="192">
        <f>+'Merluza del sur Artesanal XII'!K79</f>
        <v>0</v>
      </c>
      <c r="N129" s="193">
        <f>+'Merluza del sur Artesanal XII'!L79</f>
        <v>44223</v>
      </c>
      <c r="O129" s="193">
        <f>+'Resumen Cuota Global'!B$4</f>
        <v>44566</v>
      </c>
      <c r="P129" s="191">
        <v>2021</v>
      </c>
      <c r="Q129" s="191"/>
    </row>
    <row r="130" spans="1:17">
      <c r="A130" s="191" t="s">
        <v>273</v>
      </c>
      <c r="B130" s="191" t="s">
        <v>245</v>
      </c>
      <c r="C130" s="191" t="s">
        <v>274</v>
      </c>
      <c r="D130" s="191" t="str">
        <f>+'Merluza del sur Artesanal XII'!B80</f>
        <v>PUERTO NATALES</v>
      </c>
      <c r="E130" s="191" t="str">
        <f>+'Merluza del sur Artesanal XII'!D80</f>
        <v>BAHÍA PERALES</v>
      </c>
      <c r="F130" s="191" t="s">
        <v>223</v>
      </c>
      <c r="G130" s="191" t="s">
        <v>249</v>
      </c>
      <c r="H130" s="159">
        <f>+'Merluza del sur Artesanal XII'!F80</f>
        <v>13.571427999999999</v>
      </c>
      <c r="I130" s="159">
        <f>+'Merluza del sur Artesanal XII'!G80</f>
        <v>-13.571</v>
      </c>
      <c r="J130" s="159">
        <f>+'Merluza del sur Artesanal XII'!H80</f>
        <v>4.2799999999942884E-4</v>
      </c>
      <c r="K130" s="159">
        <f>+'Merluza del sur Artesanal XII'!I80</f>
        <v>0</v>
      </c>
      <c r="L130" s="159">
        <f>+'Merluza del sur Artesanal XII'!J80</f>
        <v>4.2799999999942884E-4</v>
      </c>
      <c r="M130" s="192">
        <f>+'Merluza del sur Artesanal XII'!K80</f>
        <v>0</v>
      </c>
      <c r="N130" s="193">
        <f>+'Merluza del sur Artesanal XII'!L80</f>
        <v>44223</v>
      </c>
      <c r="O130" s="193">
        <f>+'Resumen Cuota Global'!B$4</f>
        <v>44566</v>
      </c>
      <c r="P130" s="191">
        <v>2021</v>
      </c>
      <c r="Q130" s="191"/>
    </row>
    <row r="131" spans="1:17">
      <c r="A131" s="191" t="s">
        <v>273</v>
      </c>
      <c r="B131" s="191" t="s">
        <v>245</v>
      </c>
      <c r="C131" s="191" t="s">
        <v>274</v>
      </c>
      <c r="D131" s="191" t="str">
        <f>+'Merluza del sur Artesanal XII'!B81</f>
        <v>PUERTO NATALES</v>
      </c>
      <c r="E131" s="191" t="str">
        <f>+'Merluza del sur Artesanal XII'!D81</f>
        <v>DIEMAR II</v>
      </c>
      <c r="F131" s="191" t="s">
        <v>223</v>
      </c>
      <c r="G131" s="191" t="s">
        <v>249</v>
      </c>
      <c r="H131" s="159">
        <f>+'Merluza del sur Artesanal XII'!F81</f>
        <v>13.571427999999999</v>
      </c>
      <c r="I131" s="159">
        <f>+'Merluza del sur Artesanal XII'!G81</f>
        <v>-13.571</v>
      </c>
      <c r="J131" s="159">
        <f>+'Merluza del sur Artesanal XII'!H81</f>
        <v>4.2799999999942884E-4</v>
      </c>
      <c r="K131" s="159">
        <f>+'Merluza del sur Artesanal XII'!I81</f>
        <v>0</v>
      </c>
      <c r="L131" s="159">
        <f>+'Merluza del sur Artesanal XII'!J81</f>
        <v>4.2799999999942884E-4</v>
      </c>
      <c r="M131" s="192">
        <f>+'Merluza del sur Artesanal XII'!K81</f>
        <v>0</v>
      </c>
      <c r="N131" s="193">
        <f>+'Merluza del sur Artesanal XII'!L81</f>
        <v>44223</v>
      </c>
      <c r="O131" s="193">
        <f>+'Resumen Cuota Global'!B$4</f>
        <v>44566</v>
      </c>
      <c r="P131" s="191">
        <v>2021</v>
      </c>
      <c r="Q131" s="191"/>
    </row>
    <row r="132" spans="1:17">
      <c r="A132" s="191" t="s">
        <v>273</v>
      </c>
      <c r="B132" s="191" t="s">
        <v>245</v>
      </c>
      <c r="C132" s="191" t="s">
        <v>274</v>
      </c>
      <c r="D132" s="191" t="str">
        <f>+'Merluza del sur Artesanal XII'!B82</f>
        <v>PUERTO NATALES</v>
      </c>
      <c r="E132" s="191" t="str">
        <f>+'Merluza del sur Artesanal XII'!D82</f>
        <v>STEFANY</v>
      </c>
      <c r="F132" s="191" t="s">
        <v>223</v>
      </c>
      <c r="G132" s="191" t="s">
        <v>249</v>
      </c>
      <c r="H132" s="159">
        <f>+'Merluza del sur Artesanal XII'!F82</f>
        <v>13.571427999999999</v>
      </c>
      <c r="I132" s="159">
        <f>+'Merluza del sur Artesanal XII'!G82</f>
        <v>-13.571</v>
      </c>
      <c r="J132" s="159">
        <f>+'Merluza del sur Artesanal XII'!H82</f>
        <v>4.2799999999942884E-4</v>
      </c>
      <c r="K132" s="159">
        <f>+'Merluza del sur Artesanal XII'!I82</f>
        <v>0</v>
      </c>
      <c r="L132" s="159">
        <f>+'Merluza del sur Artesanal XII'!J82</f>
        <v>4.2799999999942884E-4</v>
      </c>
      <c r="M132" s="192">
        <f>+'Merluza del sur Artesanal XII'!K82</f>
        <v>0</v>
      </c>
      <c r="N132" s="193">
        <f>+'Merluza del sur Artesanal XII'!L82</f>
        <v>44223</v>
      </c>
      <c r="O132" s="193">
        <f>+'Resumen Cuota Global'!B$4</f>
        <v>44566</v>
      </c>
      <c r="P132" s="191">
        <v>2021</v>
      </c>
      <c r="Q132" s="191"/>
    </row>
    <row r="133" spans="1:17">
      <c r="A133" s="191" t="s">
        <v>273</v>
      </c>
      <c r="B133" s="191" t="s">
        <v>245</v>
      </c>
      <c r="C133" s="191" t="s">
        <v>274</v>
      </c>
      <c r="D133" s="191" t="str">
        <f>+'Merluza del sur Artesanal XII'!B83</f>
        <v>PUERTO NATALES</v>
      </c>
      <c r="E133" s="191" t="str">
        <f>+'Merluza del sur Artesanal XII'!D83</f>
        <v>VAMPIRO</v>
      </c>
      <c r="F133" s="191" t="s">
        <v>223</v>
      </c>
      <c r="G133" s="191" t="s">
        <v>249</v>
      </c>
      <c r="H133" s="159">
        <f>+'Merluza del sur Artesanal XII'!F83</f>
        <v>13.571427999999999</v>
      </c>
      <c r="I133" s="159">
        <f>+'Merluza del sur Artesanal XII'!G83</f>
        <v>-13.571</v>
      </c>
      <c r="J133" s="159">
        <f>+'Merluza del sur Artesanal XII'!H83</f>
        <v>4.2799999999942884E-4</v>
      </c>
      <c r="K133" s="159">
        <f>+'Merluza del sur Artesanal XII'!I83</f>
        <v>0</v>
      </c>
      <c r="L133" s="159">
        <f>+'Merluza del sur Artesanal XII'!J83</f>
        <v>4.2799999999942884E-4</v>
      </c>
      <c r="M133" s="192">
        <f>+'Merluza del sur Artesanal XII'!K83</f>
        <v>0</v>
      </c>
      <c r="N133" s="193">
        <f>+'Merluza del sur Artesanal XII'!L83</f>
        <v>44223</v>
      </c>
      <c r="O133" s="193">
        <f>+'Resumen Cuota Global'!B$4</f>
        <v>44566</v>
      </c>
      <c r="P133" s="191">
        <v>2021</v>
      </c>
      <c r="Q133" s="191"/>
    </row>
    <row r="134" spans="1:17">
      <c r="A134" s="191" t="s">
        <v>273</v>
      </c>
      <c r="B134" s="191" t="s">
        <v>245</v>
      </c>
      <c r="C134" s="191" t="s">
        <v>274</v>
      </c>
      <c r="D134" s="191" t="str">
        <f>+'Merluza del sur Artesanal XII'!B84</f>
        <v>PUERTO NATALES</v>
      </c>
      <c r="E134" s="191" t="str">
        <f>+'Merluza del sur Artesanal XII'!D84</f>
        <v>ROMANE ISAIAS</v>
      </c>
      <c r="F134" s="191" t="s">
        <v>223</v>
      </c>
      <c r="G134" s="191" t="s">
        <v>249</v>
      </c>
      <c r="H134" s="159">
        <f>+'Merluza del sur Artesanal XII'!F84</f>
        <v>13.571427999999999</v>
      </c>
      <c r="I134" s="159">
        <f>+'Merluza del sur Artesanal XII'!G84</f>
        <v>-13.571</v>
      </c>
      <c r="J134" s="159">
        <f>+'Merluza del sur Artesanal XII'!H84</f>
        <v>4.2799999999942884E-4</v>
      </c>
      <c r="K134" s="159">
        <f>+'Merluza del sur Artesanal XII'!I84</f>
        <v>0</v>
      </c>
      <c r="L134" s="159">
        <f>+'Merluza del sur Artesanal XII'!J84</f>
        <v>4.2799999999942884E-4</v>
      </c>
      <c r="M134" s="192">
        <f>+'Merluza del sur Artesanal XII'!K84</f>
        <v>0</v>
      </c>
      <c r="N134" s="193">
        <f>+'Merluza del sur Artesanal XII'!L84</f>
        <v>44223</v>
      </c>
      <c r="O134" s="193">
        <f>+'Resumen Cuota Global'!B$4</f>
        <v>44566</v>
      </c>
      <c r="P134" s="191">
        <v>2021</v>
      </c>
      <c r="Q134" s="191"/>
    </row>
    <row r="135" spans="1:17">
      <c r="A135" s="191" t="s">
        <v>273</v>
      </c>
      <c r="B135" s="191" t="s">
        <v>245</v>
      </c>
      <c r="C135" s="191" t="s">
        <v>274</v>
      </c>
      <c r="D135" s="191" t="str">
        <f>+'Merluza del sur Artesanal XII'!B85</f>
        <v>PUNTA ARENAS</v>
      </c>
      <c r="E135" s="191" t="str">
        <f>+'Merluza del sur Artesanal XII'!D85</f>
        <v>ALBATROS II</v>
      </c>
      <c r="F135" s="191" t="s">
        <v>223</v>
      </c>
      <c r="G135" s="191" t="s">
        <v>249</v>
      </c>
      <c r="H135" s="159">
        <f>+'Merluza del sur Artesanal XII'!F85</f>
        <v>13.571427999999999</v>
      </c>
      <c r="I135" s="159">
        <f>+'Merluza del sur Artesanal XII'!G85</f>
        <v>-13.571</v>
      </c>
      <c r="J135" s="159">
        <f>+'Merluza del sur Artesanal XII'!H85</f>
        <v>4.2799999999942884E-4</v>
      </c>
      <c r="K135" s="159">
        <f>+'Merluza del sur Artesanal XII'!I85</f>
        <v>0</v>
      </c>
      <c r="L135" s="159">
        <f>+'Merluza del sur Artesanal XII'!J85</f>
        <v>4.2799999999942884E-4</v>
      </c>
      <c r="M135" s="192">
        <f>+'Merluza del sur Artesanal XII'!K85</f>
        <v>0</v>
      </c>
      <c r="N135" s="193">
        <f>+'Merluza del sur Artesanal XII'!L85</f>
        <v>44251</v>
      </c>
      <c r="O135" s="193">
        <f>+'Resumen Cuota Global'!B$4</f>
        <v>44566</v>
      </c>
      <c r="P135" s="191">
        <v>2021</v>
      </c>
      <c r="Q135" s="191"/>
    </row>
    <row r="136" spans="1:17">
      <c r="A136" s="191" t="s">
        <v>273</v>
      </c>
      <c r="B136" s="191" t="s">
        <v>245</v>
      </c>
      <c r="C136" s="191" t="s">
        <v>274</v>
      </c>
      <c r="D136" s="191" t="str">
        <f>+'Merluza del sur Artesanal XII'!B86</f>
        <v>PUNTA ARENAS</v>
      </c>
      <c r="E136" s="191" t="str">
        <f>+'Merluza del sur Artesanal XII'!D86</f>
        <v>ALFA HUARA</v>
      </c>
      <c r="F136" s="191" t="s">
        <v>223</v>
      </c>
      <c r="G136" s="191" t="s">
        <v>249</v>
      </c>
      <c r="H136" s="159">
        <f>+'Merluza del sur Artesanal XII'!F86</f>
        <v>13.571427999999999</v>
      </c>
      <c r="I136" s="159">
        <f>+'Merluza del sur Artesanal XII'!G86</f>
        <v>-13.5</v>
      </c>
      <c r="J136" s="159">
        <f>+'Merluza del sur Artesanal XII'!H86</f>
        <v>7.1427999999999159E-2</v>
      </c>
      <c r="K136" s="159">
        <f>+'Merluza del sur Artesanal XII'!I86</f>
        <v>0</v>
      </c>
      <c r="L136" s="159">
        <f>+'Merluza del sur Artesanal XII'!J86</f>
        <v>7.1427999999999159E-2</v>
      </c>
      <c r="M136" s="192">
        <f>+'Merluza del sur Artesanal XII'!K86</f>
        <v>0</v>
      </c>
      <c r="N136" s="193" t="str">
        <f>+'Merluza del sur Artesanal XII'!L86</f>
        <v>-</v>
      </c>
      <c r="O136" s="193">
        <f>+'Resumen Cuota Global'!B$4</f>
        <v>44566</v>
      </c>
      <c r="P136" s="191">
        <v>2021</v>
      </c>
      <c r="Q136" s="191"/>
    </row>
    <row r="137" spans="1:17">
      <c r="A137" s="191" t="s">
        <v>273</v>
      </c>
      <c r="B137" s="191" t="s">
        <v>245</v>
      </c>
      <c r="C137" s="191" t="s">
        <v>274</v>
      </c>
      <c r="D137" s="191" t="str">
        <f>+'Merluza del sur Artesanal XII'!B87</f>
        <v>PUNTA ARENAS</v>
      </c>
      <c r="E137" s="191" t="str">
        <f>+'Merluza del sur Artesanal XII'!D87</f>
        <v>BERNARDITA I</v>
      </c>
      <c r="F137" s="191" t="s">
        <v>223</v>
      </c>
      <c r="G137" s="191" t="s">
        <v>249</v>
      </c>
      <c r="H137" s="159">
        <f>+'Merluza del sur Artesanal XII'!F87</f>
        <v>13.571427999999999</v>
      </c>
      <c r="I137" s="159">
        <f>+'Merluza del sur Artesanal XII'!G87</f>
        <v>-13</v>
      </c>
      <c r="J137" s="159">
        <f>+'Merluza del sur Artesanal XII'!H87</f>
        <v>0.57142799999999916</v>
      </c>
      <c r="K137" s="159">
        <f>+'Merluza del sur Artesanal XII'!I87</f>
        <v>0</v>
      </c>
      <c r="L137" s="159">
        <f>+'Merluza del sur Artesanal XII'!J87</f>
        <v>0.57142799999999916</v>
      </c>
      <c r="M137" s="192">
        <f>+'Merluza del sur Artesanal XII'!K87</f>
        <v>0</v>
      </c>
      <c r="N137" s="193" t="str">
        <f>+'Merluza del sur Artesanal XII'!L87</f>
        <v>-</v>
      </c>
      <c r="O137" s="193">
        <f>+'Resumen Cuota Global'!B$4</f>
        <v>44566</v>
      </c>
      <c r="P137" s="191">
        <v>2021</v>
      </c>
      <c r="Q137" s="191"/>
    </row>
    <row r="138" spans="1:17">
      <c r="A138" s="191" t="s">
        <v>273</v>
      </c>
      <c r="B138" s="191" t="s">
        <v>245</v>
      </c>
      <c r="C138" s="191" t="s">
        <v>274</v>
      </c>
      <c r="D138" s="191" t="str">
        <f>+'Merluza del sur Artesanal XII'!B88</f>
        <v>PUNTA ARENAS</v>
      </c>
      <c r="E138" s="191" t="str">
        <f>+'Merluza del sur Artesanal XII'!D88</f>
        <v>BORIS</v>
      </c>
      <c r="F138" s="191" t="s">
        <v>223</v>
      </c>
      <c r="G138" s="191" t="s">
        <v>249</v>
      </c>
      <c r="H138" s="159">
        <f>+'Merluza del sur Artesanal XII'!F88</f>
        <v>13.571427999999999</v>
      </c>
      <c r="I138" s="159">
        <f>+'Merluza del sur Artesanal XII'!G88</f>
        <v>-13.5</v>
      </c>
      <c r="J138" s="159">
        <f>+'Merluza del sur Artesanal XII'!H88</f>
        <v>7.1427999999999159E-2</v>
      </c>
      <c r="K138" s="159">
        <f>+'Merluza del sur Artesanal XII'!I88</f>
        <v>0</v>
      </c>
      <c r="L138" s="159">
        <f>+'Merluza del sur Artesanal XII'!J88</f>
        <v>7.1427999999999159E-2</v>
      </c>
      <c r="M138" s="192">
        <f>+'Merluza del sur Artesanal XII'!K88</f>
        <v>0</v>
      </c>
      <c r="N138" s="193" t="str">
        <f>+'Merluza del sur Artesanal XII'!L88</f>
        <v>-</v>
      </c>
      <c r="O138" s="193">
        <f>+'Resumen Cuota Global'!B$4</f>
        <v>44566</v>
      </c>
      <c r="P138" s="191">
        <v>2021</v>
      </c>
      <c r="Q138" s="191"/>
    </row>
    <row r="139" spans="1:17">
      <c r="A139" s="191" t="s">
        <v>273</v>
      </c>
      <c r="B139" s="191" t="s">
        <v>245</v>
      </c>
      <c r="C139" s="191" t="s">
        <v>274</v>
      </c>
      <c r="D139" s="191" t="str">
        <f>+'Merluza del sur Artesanal XII'!B89</f>
        <v>PUNTA ARENAS</v>
      </c>
      <c r="E139" s="191" t="str">
        <f>+'Merluza del sur Artesanal XII'!D89</f>
        <v>CARANCO</v>
      </c>
      <c r="F139" s="191" t="s">
        <v>223</v>
      </c>
      <c r="G139" s="191" t="s">
        <v>249</v>
      </c>
      <c r="H139" s="159">
        <f>+'Merluza del sur Artesanal XII'!F89</f>
        <v>13.571427999999999</v>
      </c>
      <c r="I139" s="159">
        <f>+'Merluza del sur Artesanal XII'!G89</f>
        <v>-13.571</v>
      </c>
      <c r="J139" s="159">
        <f>+'Merluza del sur Artesanal XII'!H89</f>
        <v>4.2799999999942884E-4</v>
      </c>
      <c r="K139" s="159">
        <f>+'Merluza del sur Artesanal XII'!I89</f>
        <v>0</v>
      </c>
      <c r="L139" s="159">
        <f>+'Merluza del sur Artesanal XII'!J89</f>
        <v>4.2799999999942884E-4</v>
      </c>
      <c r="M139" s="192">
        <f>+'Merluza del sur Artesanal XII'!K89</f>
        <v>0</v>
      </c>
      <c r="N139" s="193">
        <f>+'Merluza del sur Artesanal XII'!L89</f>
        <v>44251</v>
      </c>
      <c r="O139" s="193">
        <f>+'Resumen Cuota Global'!B$4</f>
        <v>44566</v>
      </c>
      <c r="P139" s="191">
        <v>2021</v>
      </c>
      <c r="Q139" s="191"/>
    </row>
    <row r="140" spans="1:17">
      <c r="A140" s="191" t="s">
        <v>273</v>
      </c>
      <c r="B140" s="191" t="s">
        <v>245</v>
      </c>
      <c r="C140" s="191" t="s">
        <v>274</v>
      </c>
      <c r="D140" s="191" t="str">
        <f>+'Merluza del sur Artesanal XII'!B90</f>
        <v>PUNTA ARENAS</v>
      </c>
      <c r="E140" s="191" t="str">
        <f>+'Merluza del sur Artesanal XII'!D90</f>
        <v>CECILIA I</v>
      </c>
      <c r="F140" s="191" t="s">
        <v>223</v>
      </c>
      <c r="G140" s="191" t="s">
        <v>249</v>
      </c>
      <c r="H140" s="159">
        <f>+'Merluza del sur Artesanal XII'!F90</f>
        <v>13.571427999999999</v>
      </c>
      <c r="I140" s="159">
        <f>+'Merluza del sur Artesanal XII'!G90</f>
        <v>-13.571</v>
      </c>
      <c r="J140" s="159">
        <f>+'Merluza del sur Artesanal XII'!H90</f>
        <v>4.2799999999942884E-4</v>
      </c>
      <c r="K140" s="159">
        <f>+'Merluza del sur Artesanal XII'!I90</f>
        <v>0</v>
      </c>
      <c r="L140" s="159">
        <f>+'Merluza del sur Artesanal XII'!J90</f>
        <v>4.2799999999942884E-4</v>
      </c>
      <c r="M140" s="192">
        <f>+'Merluza del sur Artesanal XII'!K90</f>
        <v>0</v>
      </c>
      <c r="N140" s="193">
        <f>+'Merluza del sur Artesanal XII'!L90</f>
        <v>44251</v>
      </c>
      <c r="O140" s="193">
        <f>+'Resumen Cuota Global'!B$4</f>
        <v>44566</v>
      </c>
      <c r="P140" s="191">
        <v>2021</v>
      </c>
      <c r="Q140" s="191"/>
    </row>
    <row r="141" spans="1:17">
      <c r="A141" s="191" t="s">
        <v>273</v>
      </c>
      <c r="B141" s="191" t="s">
        <v>245</v>
      </c>
      <c r="C141" s="191" t="s">
        <v>274</v>
      </c>
      <c r="D141" s="191" t="str">
        <f>+'Merluza del sur Artesanal XII'!B91</f>
        <v>PUNTA ARENAS</v>
      </c>
      <c r="E141" s="191" t="str">
        <f>+'Merluza del sur Artesanal XII'!D91</f>
        <v>CECILIA II</v>
      </c>
      <c r="F141" s="191" t="s">
        <v>223</v>
      </c>
      <c r="G141" s="191" t="s">
        <v>249</v>
      </c>
      <c r="H141" s="159">
        <f>+'Merluza del sur Artesanal XII'!F91</f>
        <v>13.571427999999999</v>
      </c>
      <c r="I141" s="159">
        <f>+'Merluza del sur Artesanal XII'!G91</f>
        <v>-13.571</v>
      </c>
      <c r="J141" s="159">
        <f>+'Merluza del sur Artesanal XII'!H91</f>
        <v>4.2799999999942884E-4</v>
      </c>
      <c r="K141" s="159">
        <f>+'Merluza del sur Artesanal XII'!I91</f>
        <v>0</v>
      </c>
      <c r="L141" s="159">
        <f>+'Merluza del sur Artesanal XII'!J91</f>
        <v>4.2799999999942884E-4</v>
      </c>
      <c r="M141" s="192">
        <f>+'Merluza del sur Artesanal XII'!K91</f>
        <v>0</v>
      </c>
      <c r="N141" s="193">
        <f>+'Merluza del sur Artesanal XII'!L91</f>
        <v>44251</v>
      </c>
      <c r="O141" s="193">
        <f>+'Resumen Cuota Global'!B$4</f>
        <v>44566</v>
      </c>
      <c r="P141" s="191">
        <v>2021</v>
      </c>
      <c r="Q141" s="191"/>
    </row>
    <row r="142" spans="1:17">
      <c r="A142" s="191" t="s">
        <v>273</v>
      </c>
      <c r="B142" s="191" t="s">
        <v>245</v>
      </c>
      <c r="C142" s="191" t="s">
        <v>274</v>
      </c>
      <c r="D142" s="191" t="str">
        <f>+'Merluza del sur Artesanal XII'!B92</f>
        <v>PUNTA ARENAS</v>
      </c>
      <c r="E142" s="191" t="str">
        <f>+'Merluza del sur Artesanal XII'!D92</f>
        <v>VALENT</v>
      </c>
      <c r="F142" s="191" t="s">
        <v>223</v>
      </c>
      <c r="G142" s="191" t="s">
        <v>249</v>
      </c>
      <c r="H142" s="159">
        <f>+'Merluza del sur Artesanal XII'!F92</f>
        <v>13.571427999999999</v>
      </c>
      <c r="I142" s="159">
        <f>+'Merluza del sur Artesanal XII'!G92</f>
        <v>-13.571</v>
      </c>
      <c r="J142" s="159">
        <f>+'Merluza del sur Artesanal XII'!H92</f>
        <v>4.2799999999942884E-4</v>
      </c>
      <c r="K142" s="159">
        <f>+'Merluza del sur Artesanal XII'!I92</f>
        <v>0</v>
      </c>
      <c r="L142" s="159">
        <f>+'Merluza del sur Artesanal XII'!J92</f>
        <v>4.2799999999942884E-4</v>
      </c>
      <c r="M142" s="192">
        <f>+'Merluza del sur Artesanal XII'!K92</f>
        <v>0</v>
      </c>
      <c r="N142" s="193">
        <f>+'Merluza del sur Artesanal XII'!L92</f>
        <v>44251</v>
      </c>
      <c r="O142" s="193">
        <f>+'Resumen Cuota Global'!B$4</f>
        <v>44566</v>
      </c>
      <c r="P142" s="191">
        <v>2021</v>
      </c>
      <c r="Q142" s="191"/>
    </row>
    <row r="143" spans="1:17">
      <c r="A143" s="191" t="s">
        <v>273</v>
      </c>
      <c r="B143" s="191" t="s">
        <v>245</v>
      </c>
      <c r="C143" s="191" t="s">
        <v>274</v>
      </c>
      <c r="D143" s="191" t="str">
        <f>+'Merluza del sur Artesanal XII'!B93</f>
        <v>PUNTA ARENAS</v>
      </c>
      <c r="E143" s="191" t="str">
        <f>+'Merluza del sur Artesanal XII'!D93</f>
        <v>VALENT I</v>
      </c>
      <c r="F143" s="191" t="s">
        <v>223</v>
      </c>
      <c r="G143" s="191" t="s">
        <v>249</v>
      </c>
      <c r="H143" s="159">
        <f>+'Merluza del sur Artesanal XII'!F93</f>
        <v>13.571427999999999</v>
      </c>
      <c r="I143" s="159">
        <f>+'Merluza del sur Artesanal XII'!G93</f>
        <v>-13.571</v>
      </c>
      <c r="J143" s="159">
        <f>+'Merluza del sur Artesanal XII'!H93</f>
        <v>4.2799999999942884E-4</v>
      </c>
      <c r="K143" s="159">
        <f>+'Merluza del sur Artesanal XII'!I93</f>
        <v>0</v>
      </c>
      <c r="L143" s="159">
        <f>+'Merluza del sur Artesanal XII'!J93</f>
        <v>4.2799999999942884E-4</v>
      </c>
      <c r="M143" s="192">
        <f>+'Merluza del sur Artesanal XII'!K93</f>
        <v>0</v>
      </c>
      <c r="N143" s="193">
        <f>+'Merluza del sur Artesanal XII'!L93</f>
        <v>44251</v>
      </c>
      <c r="O143" s="193">
        <f>+'Resumen Cuota Global'!B$4</f>
        <v>44566</v>
      </c>
      <c r="P143" s="191">
        <v>2021</v>
      </c>
      <c r="Q143" s="191"/>
    </row>
    <row r="144" spans="1:17">
      <c r="A144" s="191" t="s">
        <v>273</v>
      </c>
      <c r="B144" s="191" t="s">
        <v>245</v>
      </c>
      <c r="C144" s="191" t="s">
        <v>274</v>
      </c>
      <c r="D144" s="191" t="str">
        <f>+'Merluza del sur Artesanal XII'!B94</f>
        <v>PUNTA ARENAS</v>
      </c>
      <c r="E144" s="191" t="str">
        <f>+'Merluza del sur Artesanal XII'!D94</f>
        <v>CORRAL</v>
      </c>
      <c r="F144" s="191" t="s">
        <v>223</v>
      </c>
      <c r="G144" s="191" t="s">
        <v>249</v>
      </c>
      <c r="H144" s="159">
        <f>+'Merluza del sur Artesanal XII'!F94</f>
        <v>13.571427999999999</v>
      </c>
      <c r="I144" s="159">
        <f>+'Merluza del sur Artesanal XII'!G94</f>
        <v>-13.571</v>
      </c>
      <c r="J144" s="159">
        <f>+'Merluza del sur Artesanal XII'!H94</f>
        <v>4.2799999999942884E-4</v>
      </c>
      <c r="K144" s="159">
        <f>+'Merluza del sur Artesanal XII'!I94</f>
        <v>0</v>
      </c>
      <c r="L144" s="159">
        <f>+'Merluza del sur Artesanal XII'!J94</f>
        <v>4.2799999999942884E-4</v>
      </c>
      <c r="M144" s="192">
        <f>+'Merluza del sur Artesanal XII'!K94</f>
        <v>0</v>
      </c>
      <c r="N144" s="193">
        <f>+'Merluza del sur Artesanal XII'!L94</f>
        <v>44251</v>
      </c>
      <c r="O144" s="193">
        <f>+'Resumen Cuota Global'!B$4</f>
        <v>44566</v>
      </c>
      <c r="P144" s="191">
        <v>2021</v>
      </c>
      <c r="Q144" s="191"/>
    </row>
    <row r="145" spans="1:17">
      <c r="A145" s="191" t="s">
        <v>273</v>
      </c>
      <c r="B145" s="191" t="s">
        <v>245</v>
      </c>
      <c r="C145" s="191" t="s">
        <v>274</v>
      </c>
      <c r="D145" s="191" t="str">
        <f>+'Merluza del sur Artesanal XII'!B95</f>
        <v>PUNTA ARENAS</v>
      </c>
      <c r="E145" s="191" t="str">
        <f>+'Merluza del sur Artesanal XII'!D95</f>
        <v>DANIELA III</v>
      </c>
      <c r="F145" s="191" t="s">
        <v>223</v>
      </c>
      <c r="G145" s="191" t="s">
        <v>249</v>
      </c>
      <c r="H145" s="159">
        <f>+'Merluza del sur Artesanal XII'!F95</f>
        <v>13.571427999999999</v>
      </c>
      <c r="I145" s="159">
        <f>+'Merluza del sur Artesanal XII'!G95</f>
        <v>-13.571</v>
      </c>
      <c r="J145" s="159">
        <f>+'Merluza del sur Artesanal XII'!H95</f>
        <v>4.2799999999942884E-4</v>
      </c>
      <c r="K145" s="159">
        <f>+'Merluza del sur Artesanal XII'!I95</f>
        <v>0</v>
      </c>
      <c r="L145" s="159">
        <f>+'Merluza del sur Artesanal XII'!J95</f>
        <v>4.2799999999942884E-4</v>
      </c>
      <c r="M145" s="192">
        <f>+'Merluza del sur Artesanal XII'!K95</f>
        <v>0</v>
      </c>
      <c r="N145" s="193">
        <f>+'Merluza del sur Artesanal XII'!L95</f>
        <v>44251</v>
      </c>
      <c r="O145" s="193">
        <f>+'Resumen Cuota Global'!B$4</f>
        <v>44566</v>
      </c>
      <c r="P145" s="191">
        <v>2021</v>
      </c>
      <c r="Q145" s="191"/>
    </row>
    <row r="146" spans="1:17">
      <c r="A146" s="191" t="s">
        <v>273</v>
      </c>
      <c r="B146" s="191" t="s">
        <v>245</v>
      </c>
      <c r="C146" s="191" t="s">
        <v>274</v>
      </c>
      <c r="D146" s="191" t="str">
        <f>+'Merluza del sur Artesanal XII'!B96</f>
        <v>PUNTA ARENAS</v>
      </c>
      <c r="E146" s="191" t="str">
        <f>+'Merluza del sur Artesanal XII'!D96</f>
        <v>KAHORY</v>
      </c>
      <c r="F146" s="191" t="s">
        <v>223</v>
      </c>
      <c r="G146" s="191" t="s">
        <v>249</v>
      </c>
      <c r="H146" s="159">
        <f>+'Merluza del sur Artesanal XII'!F96</f>
        <v>13.571427999999999</v>
      </c>
      <c r="I146" s="159">
        <f>+'Merluza del sur Artesanal XII'!G96</f>
        <v>-13.571</v>
      </c>
      <c r="J146" s="159">
        <f>+'Merluza del sur Artesanal XII'!H96</f>
        <v>4.2799999999942884E-4</v>
      </c>
      <c r="K146" s="159">
        <f>+'Merluza del sur Artesanal XII'!I96</f>
        <v>0</v>
      </c>
      <c r="L146" s="159">
        <f>+'Merluza del sur Artesanal XII'!J96</f>
        <v>4.2799999999942884E-4</v>
      </c>
      <c r="M146" s="192">
        <f>+'Merluza del sur Artesanal XII'!K96</f>
        <v>0</v>
      </c>
      <c r="N146" s="193">
        <f>+'Merluza del sur Artesanal XII'!L96</f>
        <v>44251</v>
      </c>
      <c r="O146" s="193">
        <f>+'Resumen Cuota Global'!B$4</f>
        <v>44566</v>
      </c>
      <c r="P146" s="191">
        <v>2021</v>
      </c>
      <c r="Q146" s="191"/>
    </row>
    <row r="147" spans="1:17">
      <c r="A147" s="191" t="s">
        <v>273</v>
      </c>
      <c r="B147" s="191" t="s">
        <v>245</v>
      </c>
      <c r="C147" s="191" t="s">
        <v>274</v>
      </c>
      <c r="D147" s="191" t="str">
        <f>+'Merluza del sur Artesanal XII'!B97</f>
        <v>PUNTA ARENAS</v>
      </c>
      <c r="E147" s="191" t="str">
        <f>+'Merluza del sur Artesanal XII'!D97</f>
        <v>LONCOYEN</v>
      </c>
      <c r="F147" s="191" t="s">
        <v>223</v>
      </c>
      <c r="G147" s="191" t="s">
        <v>249</v>
      </c>
      <c r="H147" s="159">
        <f>+'Merluza del sur Artesanal XII'!F97</f>
        <v>13.571427999999999</v>
      </c>
      <c r="I147" s="159">
        <f>+'Merluza del sur Artesanal XII'!G97</f>
        <v>-13.571</v>
      </c>
      <c r="J147" s="159">
        <f>+'Merluza del sur Artesanal XII'!H97</f>
        <v>4.2799999999942884E-4</v>
      </c>
      <c r="K147" s="159">
        <f>+'Merluza del sur Artesanal XII'!I97</f>
        <v>0</v>
      </c>
      <c r="L147" s="159">
        <f>+'Merluza del sur Artesanal XII'!J97</f>
        <v>4.2799999999942884E-4</v>
      </c>
      <c r="M147" s="192">
        <f>+'Merluza del sur Artesanal XII'!K97</f>
        <v>0</v>
      </c>
      <c r="N147" s="193">
        <f>+'Merluza del sur Artesanal XII'!L97</f>
        <v>44251</v>
      </c>
      <c r="O147" s="193">
        <f>+'Resumen Cuota Global'!B$4</f>
        <v>44566</v>
      </c>
      <c r="P147" s="191">
        <v>2021</v>
      </c>
      <c r="Q147" s="191"/>
    </row>
    <row r="148" spans="1:17">
      <c r="A148" s="191" t="s">
        <v>273</v>
      </c>
      <c r="B148" s="191" t="s">
        <v>245</v>
      </c>
      <c r="C148" s="191" t="s">
        <v>274</v>
      </c>
      <c r="D148" s="191" t="str">
        <f>+'Merluza del sur Artesanal XII'!B98</f>
        <v>PUNTA ARENAS</v>
      </c>
      <c r="E148" s="191" t="str">
        <f>+'Merluza del sur Artesanal XII'!D98</f>
        <v>NATIVA</v>
      </c>
      <c r="F148" s="191" t="s">
        <v>223</v>
      </c>
      <c r="G148" s="191" t="s">
        <v>249</v>
      </c>
      <c r="H148" s="159">
        <f>+'Merluza del sur Artesanal XII'!F98</f>
        <v>13.571427999999999</v>
      </c>
      <c r="I148" s="159">
        <f>+'Merluza del sur Artesanal XII'!G98</f>
        <v>-13.571</v>
      </c>
      <c r="J148" s="159">
        <f>+'Merluza del sur Artesanal XII'!H98</f>
        <v>4.2799999999942884E-4</v>
      </c>
      <c r="K148" s="159">
        <f>+'Merluza del sur Artesanal XII'!I98</f>
        <v>0</v>
      </c>
      <c r="L148" s="159">
        <f>+'Merluza del sur Artesanal XII'!J98</f>
        <v>4.2799999999942884E-4</v>
      </c>
      <c r="M148" s="192">
        <f>+'Merluza del sur Artesanal XII'!K98</f>
        <v>0</v>
      </c>
      <c r="N148" s="193">
        <f>+'Merluza del sur Artesanal XII'!L98</f>
        <v>44251</v>
      </c>
      <c r="O148" s="193">
        <f>+'Resumen Cuota Global'!B$4</f>
        <v>44566</v>
      </c>
      <c r="P148" s="191">
        <v>2021</v>
      </c>
      <c r="Q148" s="191"/>
    </row>
    <row r="149" spans="1:17">
      <c r="A149" s="191" t="s">
        <v>273</v>
      </c>
      <c r="B149" s="191" t="s">
        <v>245</v>
      </c>
      <c r="C149" s="191" t="s">
        <v>274</v>
      </c>
      <c r="D149" s="191" t="str">
        <f>+'Merluza del sur Artesanal XII'!B99</f>
        <v>PUNTA ARENAS</v>
      </c>
      <c r="E149" s="191" t="str">
        <f>+'Merluza del sur Artesanal XII'!D99</f>
        <v>TIBURON I</v>
      </c>
      <c r="F149" s="191" t="s">
        <v>223</v>
      </c>
      <c r="G149" s="191" t="s">
        <v>249</v>
      </c>
      <c r="H149" s="159">
        <f>+'Merluza del sur Artesanal XII'!F99</f>
        <v>13.571427999999999</v>
      </c>
      <c r="I149" s="159">
        <f>+'Merluza del sur Artesanal XII'!G99</f>
        <v>-13.571</v>
      </c>
      <c r="J149" s="159">
        <f>+'Merluza del sur Artesanal XII'!H99</f>
        <v>4.2799999999942884E-4</v>
      </c>
      <c r="K149" s="159">
        <f>+'Merluza del sur Artesanal XII'!I99</f>
        <v>0</v>
      </c>
      <c r="L149" s="159">
        <f>+'Merluza del sur Artesanal XII'!J99</f>
        <v>4.2799999999942884E-4</v>
      </c>
      <c r="M149" s="192">
        <f>+'Merluza del sur Artesanal XII'!K99</f>
        <v>0</v>
      </c>
      <c r="N149" s="193">
        <f>+'Merluza del sur Artesanal XII'!L99</f>
        <v>44251</v>
      </c>
      <c r="O149" s="193">
        <f>+'Resumen Cuota Global'!B$4</f>
        <v>44566</v>
      </c>
      <c r="P149" s="191">
        <v>2021</v>
      </c>
      <c r="Q149" s="191"/>
    </row>
    <row r="150" spans="1:17">
      <c r="A150" s="191" t="s">
        <v>273</v>
      </c>
      <c r="B150" s="191" t="s">
        <v>245</v>
      </c>
      <c r="C150" s="191" t="s">
        <v>274</v>
      </c>
      <c r="D150" s="191" t="str">
        <f>+'Merluza del sur Artesanal XII'!B100</f>
        <v>PUNTA ARENAS</v>
      </c>
      <c r="E150" s="191" t="str">
        <f>+'Merluza del sur Artesanal XII'!D100</f>
        <v>TOBY I</v>
      </c>
      <c r="F150" s="191" t="s">
        <v>223</v>
      </c>
      <c r="G150" s="191" t="s">
        <v>249</v>
      </c>
      <c r="H150" s="159">
        <f>+'Merluza del sur Artesanal XII'!F100</f>
        <v>13.571427999999999</v>
      </c>
      <c r="I150" s="159">
        <f>+'Merluza del sur Artesanal XII'!G100</f>
        <v>-13.561</v>
      </c>
      <c r="J150" s="159">
        <f>+'Merluza del sur Artesanal XII'!H100</f>
        <v>1.0427999999999216E-2</v>
      </c>
      <c r="K150" s="159">
        <f>+'Merluza del sur Artesanal XII'!I100</f>
        <v>0</v>
      </c>
      <c r="L150" s="159">
        <f>+'Merluza del sur Artesanal XII'!J100</f>
        <v>1.0427999999999216E-2</v>
      </c>
      <c r="M150" s="192">
        <f>+'Merluza del sur Artesanal XII'!K100</f>
        <v>0</v>
      </c>
      <c r="N150" s="193" t="str">
        <f>+'Merluza del sur Artesanal XII'!L100</f>
        <v>-</v>
      </c>
      <c r="O150" s="193">
        <f>+'Resumen Cuota Global'!B$4</f>
        <v>44566</v>
      </c>
      <c r="P150" s="191">
        <v>2021</v>
      </c>
      <c r="Q150" s="191"/>
    </row>
    <row r="151" spans="1:17">
      <c r="A151" s="191" t="s">
        <v>273</v>
      </c>
      <c r="B151" s="191" t="s">
        <v>245</v>
      </c>
      <c r="C151" s="191" t="s">
        <v>274</v>
      </c>
      <c r="D151" s="191" t="str">
        <f>+'Merluza del sur Artesanal XII'!B101</f>
        <v>PUNTA ARENAS</v>
      </c>
      <c r="E151" s="191" t="str">
        <f>+'Merluza del sur Artesanal XII'!D101</f>
        <v>EMMANUEL</v>
      </c>
      <c r="F151" s="191" t="s">
        <v>223</v>
      </c>
      <c r="G151" s="191" t="s">
        <v>249</v>
      </c>
      <c r="H151" s="159">
        <f>+'Merluza del sur Artesanal XII'!F101</f>
        <v>13.571427999999999</v>
      </c>
      <c r="I151" s="159">
        <f>+'Merluza del sur Artesanal XII'!G101</f>
        <v>-13.571</v>
      </c>
      <c r="J151" s="159">
        <f>+'Merluza del sur Artesanal XII'!H101</f>
        <v>4.2799999999942884E-4</v>
      </c>
      <c r="K151" s="159">
        <f>+'Merluza del sur Artesanal XII'!I101</f>
        <v>0</v>
      </c>
      <c r="L151" s="159">
        <f>+'Merluza del sur Artesanal XII'!J101</f>
        <v>4.2799999999942884E-4</v>
      </c>
      <c r="M151" s="192">
        <f>+'Merluza del sur Artesanal XII'!K101</f>
        <v>0</v>
      </c>
      <c r="N151" s="193">
        <f>+'Merluza del sur Artesanal XII'!L101</f>
        <v>44251</v>
      </c>
      <c r="O151" s="193">
        <f>+'Resumen Cuota Global'!B$4</f>
        <v>44566</v>
      </c>
      <c r="P151" s="191">
        <v>2021</v>
      </c>
      <c r="Q151" s="191"/>
    </row>
    <row r="152" spans="1:17">
      <c r="A152" s="191" t="s">
        <v>273</v>
      </c>
      <c r="B152" s="191" t="s">
        <v>245</v>
      </c>
      <c r="C152" s="191" t="s">
        <v>274</v>
      </c>
      <c r="D152" s="191" t="str">
        <f>+'Merluza del sur Artesanal XII'!B102</f>
        <v>PUNTA ARENAS</v>
      </c>
      <c r="E152" s="191" t="str">
        <f>+'Merluza del sur Artesanal XII'!D102</f>
        <v>JADU</v>
      </c>
      <c r="F152" s="191" t="s">
        <v>223</v>
      </c>
      <c r="G152" s="191" t="s">
        <v>249</v>
      </c>
      <c r="H152" s="159">
        <f>+'Merluza del sur Artesanal XII'!F102</f>
        <v>13.571427999999999</v>
      </c>
      <c r="I152" s="159">
        <f>+'Merluza del sur Artesanal XII'!G102</f>
        <v>-13.571</v>
      </c>
      <c r="J152" s="159">
        <f>+'Merluza del sur Artesanal XII'!H102</f>
        <v>4.2799999999942884E-4</v>
      </c>
      <c r="K152" s="159">
        <f>+'Merluza del sur Artesanal XII'!I102</f>
        <v>0</v>
      </c>
      <c r="L152" s="159">
        <f>+'Merluza del sur Artesanal XII'!J102</f>
        <v>4.2799999999942884E-4</v>
      </c>
      <c r="M152" s="192">
        <f>+'Merluza del sur Artesanal XII'!K102</f>
        <v>0</v>
      </c>
      <c r="N152" s="193">
        <f>+'Merluza del sur Artesanal XII'!L102</f>
        <v>44223</v>
      </c>
      <c r="O152" s="193">
        <f>+'Resumen Cuota Global'!B$4</f>
        <v>44566</v>
      </c>
      <c r="P152" s="191">
        <v>2021</v>
      </c>
      <c r="Q152" s="191"/>
    </row>
    <row r="153" spans="1:17">
      <c r="A153" s="191" t="s">
        <v>273</v>
      </c>
      <c r="B153" s="191" t="s">
        <v>245</v>
      </c>
      <c r="C153" s="191" t="s">
        <v>274</v>
      </c>
      <c r="D153" s="191" t="str">
        <f>+'Merluza del sur Artesanal XII'!B103</f>
        <v>PUNTA ARENAS</v>
      </c>
      <c r="E153" s="191" t="str">
        <f>+'Merluza del sur Artesanal XII'!D103</f>
        <v>HURACAN II</v>
      </c>
      <c r="F153" s="191" t="s">
        <v>223</v>
      </c>
      <c r="G153" s="191" t="s">
        <v>249</v>
      </c>
      <c r="H153" s="159">
        <f>+'Merluza del sur Artesanal XII'!F103</f>
        <v>13.571427999999999</v>
      </c>
      <c r="I153" s="159">
        <f>+'Merluza del sur Artesanal XII'!G103</f>
        <v>-13.571</v>
      </c>
      <c r="J153" s="159">
        <f>+'Merluza del sur Artesanal XII'!H103</f>
        <v>4.2799999999942884E-4</v>
      </c>
      <c r="K153" s="159">
        <f>+'Merluza del sur Artesanal XII'!I103</f>
        <v>0</v>
      </c>
      <c r="L153" s="159">
        <f>+'Merluza del sur Artesanal XII'!J103</f>
        <v>4.2799999999942884E-4</v>
      </c>
      <c r="M153" s="192">
        <f>+'Merluza del sur Artesanal XII'!K103</f>
        <v>0</v>
      </c>
      <c r="N153" s="193">
        <f>+'Merluza del sur Artesanal XII'!L103</f>
        <v>44251</v>
      </c>
      <c r="O153" s="193">
        <f>+'Resumen Cuota Global'!B$4</f>
        <v>44566</v>
      </c>
      <c r="P153" s="191">
        <v>2021</v>
      </c>
      <c r="Q153" s="191"/>
    </row>
    <row r="154" spans="1:17">
      <c r="A154" s="191" t="s">
        <v>273</v>
      </c>
      <c r="B154" s="191" t="s">
        <v>245</v>
      </c>
      <c r="C154" s="191" t="s">
        <v>274</v>
      </c>
      <c r="D154" s="191" t="str">
        <f>+'Merluza del sur Artesanal XII'!B104</f>
        <v>PUNTA ARENAS</v>
      </c>
      <c r="E154" s="191" t="str">
        <f>+'Merluza del sur Artesanal XII'!D104</f>
        <v>CISNE III</v>
      </c>
      <c r="F154" s="191" t="s">
        <v>223</v>
      </c>
      <c r="G154" s="191" t="s">
        <v>249</v>
      </c>
      <c r="H154" s="159">
        <f>+'Merluza del sur Artesanal XII'!F104</f>
        <v>13.571427999999999</v>
      </c>
      <c r="I154" s="159">
        <f>+'Merluza del sur Artesanal XII'!G104</f>
        <v>-13.571</v>
      </c>
      <c r="J154" s="159">
        <f>+'Merluza del sur Artesanal XII'!H104</f>
        <v>4.2799999999942884E-4</v>
      </c>
      <c r="K154" s="159">
        <f>+'Merluza del sur Artesanal XII'!I104</f>
        <v>0</v>
      </c>
      <c r="L154" s="159">
        <f>+'Merluza del sur Artesanal XII'!J104</f>
        <v>4.2799999999942884E-4</v>
      </c>
      <c r="M154" s="192">
        <f>+'Merluza del sur Artesanal XII'!K104</f>
        <v>0</v>
      </c>
      <c r="N154" s="193">
        <f>+'Merluza del sur Artesanal XII'!L104</f>
        <v>44251</v>
      </c>
      <c r="O154" s="193">
        <f>+'Resumen Cuota Global'!B$4</f>
        <v>44566</v>
      </c>
      <c r="P154" s="191">
        <v>2021</v>
      </c>
      <c r="Q154" s="191"/>
    </row>
    <row r="155" spans="1:17">
      <c r="A155" s="191" t="s">
        <v>273</v>
      </c>
      <c r="B155" s="191" t="s">
        <v>245</v>
      </c>
      <c r="C155" s="191" t="s">
        <v>274</v>
      </c>
      <c r="D155" s="191" t="str">
        <f>+'Merluza del sur Artesanal XII'!B105</f>
        <v>PUNTA ARENAS</v>
      </c>
      <c r="E155" s="191" t="str">
        <f>+'Merluza del sur Artesanal XII'!D105</f>
        <v>El TATA</v>
      </c>
      <c r="F155" s="191" t="s">
        <v>223</v>
      </c>
      <c r="G155" s="191" t="s">
        <v>249</v>
      </c>
      <c r="H155" s="159">
        <f>+'Merluza del sur Artesanal XII'!F105</f>
        <v>13.571427999999999</v>
      </c>
      <c r="I155" s="159">
        <f>+'Merluza del sur Artesanal XII'!G105</f>
        <v>-13.571</v>
      </c>
      <c r="J155" s="159">
        <f>+'Merluza del sur Artesanal XII'!H105</f>
        <v>4.2799999999942884E-4</v>
      </c>
      <c r="K155" s="159">
        <f>+'Merluza del sur Artesanal XII'!I105</f>
        <v>0</v>
      </c>
      <c r="L155" s="159">
        <f>+'Merluza del sur Artesanal XII'!J105</f>
        <v>4.2799999999942884E-4</v>
      </c>
      <c r="M155" s="192">
        <f>+'Merluza del sur Artesanal XII'!K105</f>
        <v>0</v>
      </c>
      <c r="N155" s="193">
        <f>+'Merluza del sur Artesanal XII'!L105</f>
        <v>44251</v>
      </c>
      <c r="O155" s="193">
        <f>+'Resumen Cuota Global'!B$4</f>
        <v>44566</v>
      </c>
      <c r="P155" s="191">
        <v>2021</v>
      </c>
      <c r="Q155" s="191"/>
    </row>
    <row r="156" spans="1:17">
      <c r="A156" s="191" t="s">
        <v>273</v>
      </c>
      <c r="B156" s="191" t="s">
        <v>245</v>
      </c>
      <c r="C156" s="191" t="s">
        <v>274</v>
      </c>
      <c r="D156" s="191" t="str">
        <f>+'Merluza del sur Artesanal XII'!B106</f>
        <v>PUNTA ARENAS</v>
      </c>
      <c r="E156" s="191" t="str">
        <f>+'Merluza del sur Artesanal XII'!D106</f>
        <v>NUEVO MILENIO</v>
      </c>
      <c r="F156" s="191" t="s">
        <v>223</v>
      </c>
      <c r="G156" s="191" t="s">
        <v>249</v>
      </c>
      <c r="H156" s="159">
        <f>+'Merluza del sur Artesanal XII'!F106</f>
        <v>13.571427999999999</v>
      </c>
      <c r="I156" s="159">
        <f>+'Merluza del sur Artesanal XII'!G106</f>
        <v>-13.571</v>
      </c>
      <c r="J156" s="159">
        <f>+'Merluza del sur Artesanal XII'!H106</f>
        <v>4.2799999999942884E-4</v>
      </c>
      <c r="K156" s="159">
        <f>+'Merluza del sur Artesanal XII'!I106</f>
        <v>0</v>
      </c>
      <c r="L156" s="159">
        <f>+'Merluza del sur Artesanal XII'!J106</f>
        <v>4.2799999999942884E-4</v>
      </c>
      <c r="M156" s="192">
        <f>+'Merluza del sur Artesanal XII'!K106</f>
        <v>0</v>
      </c>
      <c r="N156" s="193">
        <f>+'Merluza del sur Artesanal XII'!L106</f>
        <v>44251</v>
      </c>
      <c r="O156" s="193">
        <f>+'Resumen Cuota Global'!B$4</f>
        <v>44566</v>
      </c>
      <c r="P156" s="191">
        <v>2021</v>
      </c>
      <c r="Q156" s="191"/>
    </row>
    <row r="157" spans="1:17">
      <c r="A157" s="191" t="s">
        <v>273</v>
      </c>
      <c r="B157" s="191" t="s">
        <v>245</v>
      </c>
      <c r="C157" s="191" t="s">
        <v>274</v>
      </c>
      <c r="D157" s="191" t="str">
        <f>+'Merluza del sur Artesanal XII'!B107</f>
        <v>PUNTA ARENAS</v>
      </c>
      <c r="E157" s="191" t="str">
        <f>+'Merluza del sur Artesanal XII'!D107</f>
        <v>JESUS MARIA</v>
      </c>
      <c r="F157" s="191" t="s">
        <v>223</v>
      </c>
      <c r="G157" s="191" t="s">
        <v>249</v>
      </c>
      <c r="H157" s="159">
        <f>+'Merluza del sur Artesanal XII'!F107</f>
        <v>13.571427999999999</v>
      </c>
      <c r="I157" s="159">
        <f>+'Merluza del sur Artesanal XII'!G107</f>
        <v>-13.571</v>
      </c>
      <c r="J157" s="159">
        <f>+'Merluza del sur Artesanal XII'!H107</f>
        <v>4.2799999999942884E-4</v>
      </c>
      <c r="K157" s="159">
        <f>+'Merluza del sur Artesanal XII'!I107</f>
        <v>0</v>
      </c>
      <c r="L157" s="159">
        <f>+'Merluza del sur Artesanal XII'!J107</f>
        <v>4.2799999999942884E-4</v>
      </c>
      <c r="M157" s="192">
        <f>+'Merluza del sur Artesanal XII'!K107</f>
        <v>0</v>
      </c>
      <c r="N157" s="193">
        <f>+'Merluza del sur Artesanal XII'!L107</f>
        <v>44251</v>
      </c>
      <c r="O157" s="193">
        <f>+'Resumen Cuota Global'!B$4</f>
        <v>44566</v>
      </c>
      <c r="P157" s="191">
        <v>2021</v>
      </c>
      <c r="Q157" s="191"/>
    </row>
    <row r="158" spans="1:17">
      <c r="A158" s="191" t="s">
        <v>273</v>
      </c>
      <c r="B158" s="191" t="s">
        <v>245</v>
      </c>
      <c r="C158" s="191" t="s">
        <v>274</v>
      </c>
      <c r="D158" s="191" t="str">
        <f>+'Merluza del sur Artesanal XII'!B108</f>
        <v>PUNTA ARENAS</v>
      </c>
      <c r="E158" s="191" t="str">
        <f>+'Merluza del sur Artesanal XII'!D108</f>
        <v>ISRAEL</v>
      </c>
      <c r="F158" s="191" t="s">
        <v>223</v>
      </c>
      <c r="G158" s="191" t="s">
        <v>249</v>
      </c>
      <c r="H158" s="159">
        <f>+'Merluza del sur Artesanal XII'!F108</f>
        <v>13.571427999999999</v>
      </c>
      <c r="I158" s="159">
        <f>+'Merluza del sur Artesanal XII'!G108</f>
        <v>-13.571</v>
      </c>
      <c r="J158" s="159">
        <f>+'Merluza del sur Artesanal XII'!H108</f>
        <v>4.2799999999942884E-4</v>
      </c>
      <c r="K158" s="159">
        <f>+'Merluza del sur Artesanal XII'!I108</f>
        <v>0</v>
      </c>
      <c r="L158" s="159">
        <f>+'Merluza del sur Artesanal XII'!J108</f>
        <v>4.2799999999942884E-4</v>
      </c>
      <c r="M158" s="192">
        <f>+'Merluza del sur Artesanal XII'!K108</f>
        <v>0</v>
      </c>
      <c r="N158" s="193">
        <f>+'Merluza del sur Artesanal XII'!L108</f>
        <v>44251</v>
      </c>
      <c r="O158" s="193">
        <f>+'Resumen Cuota Global'!B$4</f>
        <v>44566</v>
      </c>
      <c r="P158" s="191">
        <v>2021</v>
      </c>
      <c r="Q158" s="191"/>
    </row>
    <row r="159" spans="1:17">
      <c r="A159" s="191" t="s">
        <v>273</v>
      </c>
      <c r="B159" s="191" t="s">
        <v>245</v>
      </c>
      <c r="C159" s="191" t="s">
        <v>274</v>
      </c>
      <c r="D159" s="191" t="str">
        <f>+'Merluza del sur Artesanal XII'!B109</f>
        <v>PUNTA ARENAS</v>
      </c>
      <c r="E159" s="191" t="str">
        <f>+'Merluza del sur Artesanal XII'!D109</f>
        <v xml:space="preserve">ARIEL </v>
      </c>
      <c r="F159" s="191" t="s">
        <v>223</v>
      </c>
      <c r="G159" s="191" t="s">
        <v>249</v>
      </c>
      <c r="H159" s="159">
        <f>+'Merluza del sur Artesanal XII'!F109</f>
        <v>13.571427999999999</v>
      </c>
      <c r="I159" s="159">
        <f>+'Merluza del sur Artesanal XII'!G109</f>
        <v>-13.571</v>
      </c>
      <c r="J159" s="159">
        <f>+'Merluza del sur Artesanal XII'!H109</f>
        <v>4.2799999999942884E-4</v>
      </c>
      <c r="K159" s="159">
        <f>+'Merluza del sur Artesanal XII'!I109</f>
        <v>0</v>
      </c>
      <c r="L159" s="159">
        <f>+'Merluza del sur Artesanal XII'!J109</f>
        <v>4.2799999999942884E-4</v>
      </c>
      <c r="M159" s="192">
        <f>+'Merluza del sur Artesanal XII'!K109</f>
        <v>0</v>
      </c>
      <c r="N159" s="193">
        <f>+'Merluza del sur Artesanal XII'!L109</f>
        <v>44251</v>
      </c>
      <c r="O159" s="193">
        <f>+'Resumen Cuota Global'!B$4</f>
        <v>44566</v>
      </c>
      <c r="P159" s="191">
        <v>2021</v>
      </c>
      <c r="Q159" s="191"/>
    </row>
    <row r="160" spans="1:17">
      <c r="A160" s="191" t="s">
        <v>273</v>
      </c>
      <c r="B160" s="191" t="s">
        <v>245</v>
      </c>
      <c r="C160" s="191" t="s">
        <v>274</v>
      </c>
      <c r="D160" s="191" t="str">
        <f>+'Merluza del sur Artesanal XII'!B110</f>
        <v>PUNTA ARENAS</v>
      </c>
      <c r="E160" s="191" t="str">
        <f>+'Merluza del sur Artesanal XII'!D110</f>
        <v>ANGELA RENEE</v>
      </c>
      <c r="F160" s="191" t="s">
        <v>223</v>
      </c>
      <c r="G160" s="191" t="s">
        <v>249</v>
      </c>
      <c r="H160" s="159">
        <f>+'Merluza del sur Artesanal XII'!F110</f>
        <v>13.571427999999999</v>
      </c>
      <c r="I160" s="159">
        <f>+'Merluza del sur Artesanal XII'!G110</f>
        <v>-13.571</v>
      </c>
      <c r="J160" s="159">
        <f>+'Merluza del sur Artesanal XII'!H110</f>
        <v>4.2799999999942884E-4</v>
      </c>
      <c r="K160" s="159">
        <f>+'Merluza del sur Artesanal XII'!I110</f>
        <v>0</v>
      </c>
      <c r="L160" s="159">
        <f>+'Merluza del sur Artesanal XII'!J110</f>
        <v>4.2799999999942884E-4</v>
      </c>
      <c r="M160" s="192">
        <f>+'Merluza del sur Artesanal XII'!K110</f>
        <v>0</v>
      </c>
      <c r="N160" s="193">
        <f>+'Merluza del sur Artesanal XII'!L110</f>
        <v>44251</v>
      </c>
      <c r="O160" s="193">
        <f>+'Resumen Cuota Global'!B$4</f>
        <v>44566</v>
      </c>
      <c r="P160" s="191">
        <v>2021</v>
      </c>
      <c r="Q160" s="191"/>
    </row>
    <row r="161" spans="1:17">
      <c r="A161" s="191" t="s">
        <v>273</v>
      </c>
      <c r="B161" s="191" t="s">
        <v>245</v>
      </c>
      <c r="C161" s="191" t="s">
        <v>274</v>
      </c>
      <c r="D161" s="191" t="str">
        <f>+'Merluza del sur Artesanal XII'!B111</f>
        <v>PUNTA ARENAS</v>
      </c>
      <c r="E161" s="191" t="str">
        <f>+'Merluza del sur Artesanal XII'!D111</f>
        <v>AMANECER</v>
      </c>
      <c r="F161" s="191" t="s">
        <v>223</v>
      </c>
      <c r="G161" s="191" t="s">
        <v>249</v>
      </c>
      <c r="H161" s="159">
        <f>+'Merluza del sur Artesanal XII'!F111</f>
        <v>13.571427999999999</v>
      </c>
      <c r="I161" s="159">
        <f>+'Merluza del sur Artesanal XII'!G111</f>
        <v>-13.571</v>
      </c>
      <c r="J161" s="159">
        <f>+'Merluza del sur Artesanal XII'!H111</f>
        <v>4.2799999999942884E-4</v>
      </c>
      <c r="K161" s="159">
        <f>+'Merluza del sur Artesanal XII'!I111</f>
        <v>0</v>
      </c>
      <c r="L161" s="159">
        <f>+'Merluza del sur Artesanal XII'!J111</f>
        <v>4.2799999999942884E-4</v>
      </c>
      <c r="M161" s="192">
        <f>+'Merluza del sur Artesanal XII'!K111</f>
        <v>0</v>
      </c>
      <c r="N161" s="193">
        <f>+'Merluza del sur Artesanal XII'!L111</f>
        <v>44251</v>
      </c>
      <c r="O161" s="193">
        <f>+'Resumen Cuota Global'!B$4</f>
        <v>44566</v>
      </c>
      <c r="P161" s="191">
        <v>2021</v>
      </c>
      <c r="Q161" s="191"/>
    </row>
    <row r="162" spans="1:17">
      <c r="A162" s="191" t="s">
        <v>273</v>
      </c>
      <c r="B162" s="191" t="s">
        <v>245</v>
      </c>
      <c r="C162" s="191" t="s">
        <v>274</v>
      </c>
      <c r="D162" s="191" t="str">
        <f>+'Merluza del sur Artesanal XII'!B112</f>
        <v>PUNTA ARENAS</v>
      </c>
      <c r="E162" s="191" t="str">
        <f>+'Merluza del sur Artesanal XII'!D112</f>
        <v>PAJARO AZUL</v>
      </c>
      <c r="F162" s="191" t="s">
        <v>223</v>
      </c>
      <c r="G162" s="191" t="s">
        <v>249</v>
      </c>
      <c r="H162" s="159">
        <f>+'Merluza del sur Artesanal XII'!F112</f>
        <v>13.571427999999999</v>
      </c>
      <c r="I162" s="159">
        <f>+'Merluza del sur Artesanal XII'!G112</f>
        <v>-13.321</v>
      </c>
      <c r="J162" s="159">
        <f>+'Merluza del sur Artesanal XII'!H112</f>
        <v>0.25042799999999943</v>
      </c>
      <c r="K162" s="159">
        <f>+'Merluza del sur Artesanal XII'!I112</f>
        <v>0</v>
      </c>
      <c r="L162" s="159">
        <f>+'Merluza del sur Artesanal XII'!J112</f>
        <v>0.25042799999999943</v>
      </c>
      <c r="M162" s="192">
        <f>+'Merluza del sur Artesanal XII'!K112</f>
        <v>0</v>
      </c>
      <c r="N162" s="193" t="str">
        <f>+'Merluza del sur Artesanal XII'!L112</f>
        <v>-</v>
      </c>
      <c r="O162" s="193">
        <f>+'Resumen Cuota Global'!B$4</f>
        <v>44566</v>
      </c>
      <c r="P162" s="191">
        <v>2021</v>
      </c>
      <c r="Q162" s="191"/>
    </row>
    <row r="163" spans="1:17">
      <c r="A163" s="191" t="s">
        <v>273</v>
      </c>
      <c r="B163" s="191" t="s">
        <v>245</v>
      </c>
      <c r="C163" s="191" t="s">
        <v>274</v>
      </c>
      <c r="D163" s="191" t="str">
        <f>+'Merluza del sur Artesanal XII'!B113</f>
        <v>PUNTA ARENAS</v>
      </c>
      <c r="E163" s="191" t="str">
        <f>+'Merluza del sur Artesanal XII'!D113</f>
        <v>SIETE MARES</v>
      </c>
      <c r="F163" s="191" t="s">
        <v>223</v>
      </c>
      <c r="G163" s="191" t="s">
        <v>249</v>
      </c>
      <c r="H163" s="159">
        <f>+'Merluza del sur Artesanal XII'!F113</f>
        <v>13.571427999999999</v>
      </c>
      <c r="I163" s="159">
        <f>+'Merluza del sur Artesanal XII'!G113</f>
        <v>-13.5</v>
      </c>
      <c r="J163" s="159">
        <f>+'Merluza del sur Artesanal XII'!H113</f>
        <v>7.1427999999999159E-2</v>
      </c>
      <c r="K163" s="159">
        <f>+'Merluza del sur Artesanal XII'!I113</f>
        <v>0</v>
      </c>
      <c r="L163" s="159">
        <f>+'Merluza del sur Artesanal XII'!J113</f>
        <v>7.1427999999999159E-2</v>
      </c>
      <c r="M163" s="192">
        <f>+'Merluza del sur Artesanal XII'!K113</f>
        <v>0</v>
      </c>
      <c r="N163" s="193" t="str">
        <f>+'Merluza del sur Artesanal XII'!L113</f>
        <v>-</v>
      </c>
      <c r="O163" s="193">
        <f>+'Resumen Cuota Global'!B$4</f>
        <v>44566</v>
      </c>
      <c r="P163" s="191">
        <v>2021</v>
      </c>
      <c r="Q163" s="191"/>
    </row>
    <row r="164" spans="1:17">
      <c r="A164" s="191" t="s">
        <v>273</v>
      </c>
      <c r="B164" s="191" t="s">
        <v>245</v>
      </c>
      <c r="C164" s="191" t="s">
        <v>274</v>
      </c>
      <c r="D164" s="191" t="str">
        <f>+'Merluza del sur Artesanal XII'!B114</f>
        <v>PUNTA ARENAS</v>
      </c>
      <c r="E164" s="191" t="str">
        <f>+'Merluza del sur Artesanal XII'!D114</f>
        <v>VAGABUNDO I</v>
      </c>
      <c r="F164" s="191" t="s">
        <v>223</v>
      </c>
      <c r="G164" s="191" t="s">
        <v>249</v>
      </c>
      <c r="H164" s="159">
        <f>+'Merluza del sur Artesanal XII'!F114</f>
        <v>13.571427999999999</v>
      </c>
      <c r="I164" s="159">
        <f>+'Merluza del sur Artesanal XII'!G114</f>
        <v>-13.321</v>
      </c>
      <c r="J164" s="159">
        <f>+'Merluza del sur Artesanal XII'!H114</f>
        <v>0.25042799999999943</v>
      </c>
      <c r="K164" s="159">
        <f>+'Merluza del sur Artesanal XII'!I114</f>
        <v>5.5E-2</v>
      </c>
      <c r="L164" s="159">
        <f>+'Merluza del sur Artesanal XII'!J114</f>
        <v>0.19542799999999944</v>
      </c>
      <c r="M164" s="192">
        <f>+'Merluza del sur Artesanal XII'!K114</f>
        <v>0.21962400370565641</v>
      </c>
      <c r="N164" s="193" t="str">
        <f>+'Merluza del sur Artesanal XII'!L114</f>
        <v>-</v>
      </c>
      <c r="O164" s="193">
        <f>+'Resumen Cuota Global'!B$4</f>
        <v>44566</v>
      </c>
      <c r="P164" s="191">
        <v>2021</v>
      </c>
      <c r="Q164" s="191"/>
    </row>
    <row r="165" spans="1:17">
      <c r="A165" s="191" t="s">
        <v>273</v>
      </c>
      <c r="B165" s="191" t="s">
        <v>245</v>
      </c>
      <c r="C165" s="191" t="s">
        <v>274</v>
      </c>
      <c r="D165" s="191" t="str">
        <f>+'Merluza del sur Artesanal XII'!B115</f>
        <v>PUNTA ARENAS</v>
      </c>
      <c r="E165" s="191" t="str">
        <f>+'Merluza del sur Artesanal XII'!D115</f>
        <v>LA FORTUNA</v>
      </c>
      <c r="F165" s="191" t="s">
        <v>223</v>
      </c>
      <c r="G165" s="191" t="s">
        <v>249</v>
      </c>
      <c r="H165" s="159">
        <f>+'Merluza del sur Artesanal XII'!F115</f>
        <v>13.571427999999999</v>
      </c>
      <c r="I165" s="159">
        <f>+'Merluza del sur Artesanal XII'!G115</f>
        <v>-13.571</v>
      </c>
      <c r="J165" s="159">
        <f>+'Merluza del sur Artesanal XII'!H115</f>
        <v>4.2799999999942884E-4</v>
      </c>
      <c r="K165" s="159">
        <f>+'Merluza del sur Artesanal XII'!I115</f>
        <v>0</v>
      </c>
      <c r="L165" s="159">
        <f>+'Merluza del sur Artesanal XII'!J115</f>
        <v>4.2799999999942884E-4</v>
      </c>
      <c r="M165" s="192">
        <f>+'Merluza del sur Artesanal XII'!K115</f>
        <v>0</v>
      </c>
      <c r="N165" s="193">
        <f>+'Merluza del sur Artesanal XII'!L115</f>
        <v>44251</v>
      </c>
      <c r="O165" s="193">
        <f>+'Resumen Cuota Global'!B$4</f>
        <v>44566</v>
      </c>
      <c r="P165" s="191">
        <v>2021</v>
      </c>
      <c r="Q165" s="191"/>
    </row>
    <row r="166" spans="1:17">
      <c r="A166" s="191" t="s">
        <v>273</v>
      </c>
      <c r="B166" s="191" t="s">
        <v>245</v>
      </c>
      <c r="C166" s="191" t="s">
        <v>274</v>
      </c>
      <c r="D166" s="191" t="str">
        <f>+'Merluza del sur Artesanal XII'!B116</f>
        <v>PUNTA ARENAS</v>
      </c>
      <c r="E166" s="191" t="str">
        <f>+'Merluza del sur Artesanal XII'!D116</f>
        <v>ARAUCANO</v>
      </c>
      <c r="F166" s="191" t="s">
        <v>223</v>
      </c>
      <c r="G166" s="191" t="s">
        <v>249</v>
      </c>
      <c r="H166" s="159">
        <f>+'Merluza del sur Artesanal XII'!F116</f>
        <v>13.571427999999999</v>
      </c>
      <c r="I166" s="159">
        <f>+'Merluza del sur Artesanal XII'!G116</f>
        <v>-13</v>
      </c>
      <c r="J166" s="159">
        <f>+'Merluza del sur Artesanal XII'!H116</f>
        <v>0.57142799999999916</v>
      </c>
      <c r="K166" s="159">
        <f>+'Merluza del sur Artesanal XII'!I116</f>
        <v>0</v>
      </c>
      <c r="L166" s="159">
        <f>+'Merluza del sur Artesanal XII'!J116</f>
        <v>0.57142799999999916</v>
      </c>
      <c r="M166" s="192">
        <f>+'Merluza del sur Artesanal XII'!K116</f>
        <v>0</v>
      </c>
      <c r="N166" s="193" t="str">
        <f>+'Merluza del sur Artesanal XII'!L116</f>
        <v>-</v>
      </c>
      <c r="O166" s="193">
        <f>+'Resumen Cuota Global'!B$4</f>
        <v>44566</v>
      </c>
      <c r="P166" s="191">
        <v>2021</v>
      </c>
      <c r="Q166" s="191"/>
    </row>
    <row r="167" spans="1:17">
      <c r="A167" s="191" t="s">
        <v>273</v>
      </c>
      <c r="B167" s="191" t="s">
        <v>245</v>
      </c>
      <c r="C167" s="191" t="s">
        <v>274</v>
      </c>
      <c r="D167" s="191" t="str">
        <f>+'Merluza del sur Artesanal XII'!B117</f>
        <v>PUNTA ARENAS</v>
      </c>
      <c r="E167" s="191" t="str">
        <f>+'Merluza del sur Artesanal XII'!D117</f>
        <v>CHINGAO II</v>
      </c>
      <c r="F167" s="191" t="s">
        <v>223</v>
      </c>
      <c r="G167" s="191" t="s">
        <v>249</v>
      </c>
      <c r="H167" s="159">
        <f>+'Merluza del sur Artesanal XII'!F117</f>
        <v>13.571427999999999</v>
      </c>
      <c r="I167" s="159">
        <f>+'Merluza del sur Artesanal XII'!G117</f>
        <v>-13.571</v>
      </c>
      <c r="J167" s="159">
        <f>+'Merluza del sur Artesanal XII'!H117</f>
        <v>4.2799999999942884E-4</v>
      </c>
      <c r="K167" s="159">
        <f>+'Merluza del sur Artesanal XII'!I117</f>
        <v>0</v>
      </c>
      <c r="L167" s="159">
        <f>+'Merluza del sur Artesanal XII'!J117</f>
        <v>4.2799999999942884E-4</v>
      </c>
      <c r="M167" s="192">
        <f>+'Merluza del sur Artesanal XII'!K117</f>
        <v>0</v>
      </c>
      <c r="N167" s="193">
        <f>+'Merluza del sur Artesanal XII'!L117</f>
        <v>44251</v>
      </c>
      <c r="O167" s="193">
        <f>+'Resumen Cuota Global'!B$4</f>
        <v>44566</v>
      </c>
      <c r="P167" s="191">
        <v>2021</v>
      </c>
      <c r="Q167" s="191"/>
    </row>
    <row r="168" spans="1:17">
      <c r="A168" s="191" t="s">
        <v>273</v>
      </c>
      <c r="B168" s="191" t="s">
        <v>245</v>
      </c>
      <c r="C168" s="191" t="s">
        <v>274</v>
      </c>
      <c r="D168" s="191" t="str">
        <f>+'Merluza del sur Artesanal XII'!B118</f>
        <v>PUNTA ARENAS</v>
      </c>
      <c r="E168" s="191" t="str">
        <f>+'Merluza del sur Artesanal XII'!D118</f>
        <v>CRISHNA I</v>
      </c>
      <c r="F168" s="191" t="s">
        <v>223</v>
      </c>
      <c r="G168" s="191" t="s">
        <v>249</v>
      </c>
      <c r="H168" s="159">
        <f>+'Merluza del sur Artesanal XII'!F118</f>
        <v>13.571427999999999</v>
      </c>
      <c r="I168" s="159">
        <f>+'Merluza del sur Artesanal XII'!G118</f>
        <v>-13.571</v>
      </c>
      <c r="J168" s="159">
        <f>+'Merluza del sur Artesanal XII'!H118</f>
        <v>4.2799999999942884E-4</v>
      </c>
      <c r="K168" s="159">
        <f>+'Merluza del sur Artesanal XII'!I118</f>
        <v>0</v>
      </c>
      <c r="L168" s="159">
        <f>+'Merluza del sur Artesanal XII'!J118</f>
        <v>4.2799999999942884E-4</v>
      </c>
      <c r="M168" s="192">
        <f>+'Merluza del sur Artesanal XII'!K118</f>
        <v>0</v>
      </c>
      <c r="N168" s="193">
        <f>+'Merluza del sur Artesanal XII'!L118</f>
        <v>44223</v>
      </c>
      <c r="O168" s="193">
        <f>+'Resumen Cuota Global'!B$4</f>
        <v>44566</v>
      </c>
      <c r="P168" s="191">
        <v>2021</v>
      </c>
      <c r="Q168" s="191"/>
    </row>
    <row r="169" spans="1:17">
      <c r="A169" s="191" t="s">
        <v>273</v>
      </c>
      <c r="B169" s="191" t="s">
        <v>245</v>
      </c>
      <c r="C169" s="191" t="s">
        <v>274</v>
      </c>
      <c r="D169" s="191" t="str">
        <f>+'Merluza del sur Artesanal XII'!B119</f>
        <v>PUNTA ARENAS</v>
      </c>
      <c r="E169" s="191" t="str">
        <f>+'Merluza del sur Artesanal XII'!D119</f>
        <v>TUAMAPU</v>
      </c>
      <c r="F169" s="191" t="s">
        <v>223</v>
      </c>
      <c r="G169" s="191" t="s">
        <v>249</v>
      </c>
      <c r="H169" s="159">
        <f>+'Merluza del sur Artesanal XII'!F119</f>
        <v>13.571427999999999</v>
      </c>
      <c r="I169" s="159">
        <f>+'Merluza del sur Artesanal XII'!G119</f>
        <v>-13.571</v>
      </c>
      <c r="J169" s="159">
        <f>+'Merluza del sur Artesanal XII'!H119</f>
        <v>4.2799999999942884E-4</v>
      </c>
      <c r="K169" s="159">
        <f>+'Merluza del sur Artesanal XII'!I119</f>
        <v>0</v>
      </c>
      <c r="L169" s="159">
        <f>+'Merluza del sur Artesanal XII'!J119</f>
        <v>4.2799999999942884E-4</v>
      </c>
      <c r="M169" s="192">
        <f>+'Merluza del sur Artesanal XII'!K119</f>
        <v>0</v>
      </c>
      <c r="N169" s="193">
        <f>+'Merluza del sur Artesanal XII'!L119</f>
        <v>44251</v>
      </c>
      <c r="O169" s="193">
        <f>+'Resumen Cuota Global'!B$4</f>
        <v>44566</v>
      </c>
      <c r="P169" s="191">
        <v>2021</v>
      </c>
      <c r="Q169" s="191"/>
    </row>
    <row r="170" spans="1:17">
      <c r="A170" s="191" t="s">
        <v>273</v>
      </c>
      <c r="B170" s="191" t="s">
        <v>245</v>
      </c>
      <c r="C170" s="191" t="s">
        <v>274</v>
      </c>
      <c r="D170" s="191" t="str">
        <f>+'Merluza del sur Artesanal XII'!B120</f>
        <v>PUNTA ARENAS</v>
      </c>
      <c r="E170" s="191" t="str">
        <f>+'Merluza del sur Artesanal XII'!D120</f>
        <v>GEMINIS</v>
      </c>
      <c r="F170" s="191" t="s">
        <v>223</v>
      </c>
      <c r="G170" s="191" t="s">
        <v>249</v>
      </c>
      <c r="H170" s="159">
        <f>+'Merluza del sur Artesanal XII'!F120</f>
        <v>13.571427999999999</v>
      </c>
      <c r="I170" s="159">
        <f>+'Merluza del sur Artesanal XII'!G120</f>
        <v>-13.571</v>
      </c>
      <c r="J170" s="159">
        <f>+'Merluza del sur Artesanal XII'!H120</f>
        <v>4.2799999999942884E-4</v>
      </c>
      <c r="K170" s="159">
        <f>+'Merluza del sur Artesanal XII'!I120</f>
        <v>0</v>
      </c>
      <c r="L170" s="159">
        <f>+'Merluza del sur Artesanal XII'!J120</f>
        <v>4.2799999999942884E-4</v>
      </c>
      <c r="M170" s="192">
        <f>+'Merluza del sur Artesanal XII'!K120</f>
        <v>0</v>
      </c>
      <c r="N170" s="193">
        <f>+'Merluza del sur Artesanal XII'!L120</f>
        <v>44223</v>
      </c>
      <c r="O170" s="193">
        <f>+'Resumen Cuota Global'!B$4</f>
        <v>44566</v>
      </c>
      <c r="P170" s="191">
        <v>2021</v>
      </c>
      <c r="Q170" s="191"/>
    </row>
    <row r="171" spans="1:17">
      <c r="A171" s="191" t="s">
        <v>273</v>
      </c>
      <c r="B171" s="191" t="s">
        <v>245</v>
      </c>
      <c r="C171" s="191" t="s">
        <v>274</v>
      </c>
      <c r="D171" s="191" t="str">
        <f>+'Merluza del sur Artesanal XII'!B121</f>
        <v>PUNTA ARENAS</v>
      </c>
      <c r="E171" s="191" t="str">
        <f>+'Merluza del sur Artesanal XII'!D121</f>
        <v>HIMALAYA</v>
      </c>
      <c r="F171" s="191" t="s">
        <v>223</v>
      </c>
      <c r="G171" s="191" t="s">
        <v>249</v>
      </c>
      <c r="H171" s="159">
        <f>+'Merluza del sur Artesanal XII'!F121</f>
        <v>13.571427999999999</v>
      </c>
      <c r="I171" s="159">
        <f>+'Merluza del sur Artesanal XII'!G121</f>
        <v>-13.321</v>
      </c>
      <c r="J171" s="159">
        <f>+'Merluza del sur Artesanal XII'!H121</f>
        <v>0.25042799999999943</v>
      </c>
      <c r="K171" s="159">
        <f>+'Merluza del sur Artesanal XII'!I121</f>
        <v>0</v>
      </c>
      <c r="L171" s="159">
        <f>+'Merluza del sur Artesanal XII'!J121</f>
        <v>0.25042799999999943</v>
      </c>
      <c r="M171" s="192">
        <f>+'Merluza del sur Artesanal XII'!K121</f>
        <v>0</v>
      </c>
      <c r="N171" s="193" t="str">
        <f>+'Merluza del sur Artesanal XII'!L121</f>
        <v>-</v>
      </c>
      <c r="O171" s="193">
        <f>+'Resumen Cuota Global'!B$4</f>
        <v>44566</v>
      </c>
      <c r="P171" s="191">
        <v>2021</v>
      </c>
      <c r="Q171" s="191"/>
    </row>
    <row r="172" spans="1:17">
      <c r="A172" s="191" t="s">
        <v>273</v>
      </c>
      <c r="B172" s="191" t="s">
        <v>245</v>
      </c>
      <c r="C172" s="191" t="s">
        <v>274</v>
      </c>
      <c r="D172" s="191" t="str">
        <f>+'Merluza del sur Artesanal XII'!B122</f>
        <v>PUNTA ARENAS</v>
      </c>
      <c r="E172" s="191" t="str">
        <f>+'Merluza del sur Artesanal XII'!D122</f>
        <v>CLAUDIO I</v>
      </c>
      <c r="F172" s="191" t="s">
        <v>223</v>
      </c>
      <c r="G172" s="191" t="s">
        <v>249</v>
      </c>
      <c r="H172" s="159">
        <f>+'Merluza del sur Artesanal XII'!F122</f>
        <v>13.571427999999999</v>
      </c>
      <c r="I172" s="159">
        <f>+'Merluza del sur Artesanal XII'!G122</f>
        <v>-13.571</v>
      </c>
      <c r="J172" s="159">
        <f>+'Merluza del sur Artesanal XII'!H122</f>
        <v>4.2799999999942884E-4</v>
      </c>
      <c r="K172" s="159">
        <f>+'Merluza del sur Artesanal XII'!I122</f>
        <v>0</v>
      </c>
      <c r="L172" s="159">
        <f>+'Merluza del sur Artesanal XII'!J122</f>
        <v>4.2799999999942884E-4</v>
      </c>
      <c r="M172" s="192">
        <f>+'Merluza del sur Artesanal XII'!K122</f>
        <v>0</v>
      </c>
      <c r="N172" s="193">
        <f>+'Merluza del sur Artesanal XII'!L122</f>
        <v>44223</v>
      </c>
      <c r="O172" s="193">
        <f>+'Resumen Cuota Global'!B$4</f>
        <v>44566</v>
      </c>
      <c r="P172" s="191">
        <v>2021</v>
      </c>
      <c r="Q172" s="191"/>
    </row>
    <row r="173" spans="1:17">
      <c r="A173" s="191" t="s">
        <v>273</v>
      </c>
      <c r="B173" s="191" t="s">
        <v>245</v>
      </c>
      <c r="C173" s="191" t="s">
        <v>274</v>
      </c>
      <c r="D173" s="191" t="str">
        <f>+'Merluza del sur Artesanal XII'!B123</f>
        <v>PUNTA ARENAS</v>
      </c>
      <c r="E173" s="191" t="str">
        <f>+'Merluza del sur Artesanal XII'!D123</f>
        <v>LA KARLITA</v>
      </c>
      <c r="F173" s="191" t="s">
        <v>223</v>
      </c>
      <c r="G173" s="191" t="s">
        <v>249</v>
      </c>
      <c r="H173" s="159">
        <f>+'Merluza del sur Artesanal XII'!F123</f>
        <v>13.571427999999999</v>
      </c>
      <c r="I173" s="159">
        <f>+'Merluza del sur Artesanal XII'!G123</f>
        <v>-13.571</v>
      </c>
      <c r="J173" s="159">
        <f>+'Merluza del sur Artesanal XII'!H123</f>
        <v>4.2799999999942884E-4</v>
      </c>
      <c r="K173" s="159">
        <f>+'Merluza del sur Artesanal XII'!I123</f>
        <v>0</v>
      </c>
      <c r="L173" s="159">
        <f>+'Merluza del sur Artesanal XII'!J123</f>
        <v>4.2799999999942884E-4</v>
      </c>
      <c r="M173" s="192">
        <f>+'Merluza del sur Artesanal XII'!K123</f>
        <v>0</v>
      </c>
      <c r="N173" s="193">
        <f>+'Merluza del sur Artesanal XII'!L123</f>
        <v>44223</v>
      </c>
      <c r="O173" s="193">
        <f>+'Resumen Cuota Global'!B$4</f>
        <v>44566</v>
      </c>
      <c r="P173" s="191">
        <v>2021</v>
      </c>
      <c r="Q173" s="191"/>
    </row>
    <row r="174" spans="1:17">
      <c r="A174" s="191" t="s">
        <v>273</v>
      </c>
      <c r="B174" s="191" t="s">
        <v>245</v>
      </c>
      <c r="C174" s="191" t="s">
        <v>274</v>
      </c>
      <c r="D174" s="191" t="str">
        <f>+'Merluza del sur Artesanal XII'!B124</f>
        <v>PUNTA ARENAS</v>
      </c>
      <c r="E174" s="191" t="str">
        <f>+'Merluza del sur Artesanal XII'!D124</f>
        <v>NATALIA BEATRIZ</v>
      </c>
      <c r="F174" s="191" t="s">
        <v>223</v>
      </c>
      <c r="G174" s="191" t="s">
        <v>249</v>
      </c>
      <c r="H174" s="159">
        <f>+'Merluza del sur Artesanal XII'!F124</f>
        <v>13.571427999999999</v>
      </c>
      <c r="I174" s="159">
        <f>+'Merluza del sur Artesanal XII'!G124</f>
        <v>-13.571</v>
      </c>
      <c r="J174" s="159">
        <f>+'Merluza del sur Artesanal XII'!H124</f>
        <v>4.2799999999942884E-4</v>
      </c>
      <c r="K174" s="159">
        <f>+'Merluza del sur Artesanal XII'!I124</f>
        <v>0</v>
      </c>
      <c r="L174" s="159">
        <f>+'Merluza del sur Artesanal XII'!J124</f>
        <v>4.2799999999942884E-4</v>
      </c>
      <c r="M174" s="192">
        <f>+'Merluza del sur Artesanal XII'!K124</f>
        <v>0</v>
      </c>
      <c r="N174" s="193">
        <f>+'Merluza del sur Artesanal XII'!L124</f>
        <v>44223</v>
      </c>
      <c r="O174" s="193">
        <f>+'Resumen Cuota Global'!B$4</f>
        <v>44566</v>
      </c>
      <c r="P174" s="191">
        <v>2021</v>
      </c>
      <c r="Q174" s="191"/>
    </row>
    <row r="175" spans="1:17">
      <c r="A175" s="191" t="s">
        <v>273</v>
      </c>
      <c r="B175" s="191" t="s">
        <v>245</v>
      </c>
      <c r="C175" s="191" t="s">
        <v>274</v>
      </c>
      <c r="D175" s="191" t="str">
        <f>+'Merluza del sur Artesanal XII'!B125</f>
        <v>PUNTA ARENAS</v>
      </c>
      <c r="E175" s="191" t="str">
        <f>+'Merluza del sur Artesanal XII'!D125</f>
        <v>SOL NACIENTE</v>
      </c>
      <c r="F175" s="191" t="s">
        <v>223</v>
      </c>
      <c r="G175" s="191" t="s">
        <v>249</v>
      </c>
      <c r="H175" s="159">
        <f>+'Merluza del sur Artesanal XII'!F125</f>
        <v>13.571427999999999</v>
      </c>
      <c r="I175" s="159">
        <f>+'Merluza del sur Artesanal XII'!G125</f>
        <v>-13.571</v>
      </c>
      <c r="J175" s="159">
        <f>+'Merluza del sur Artesanal XII'!H125</f>
        <v>4.2799999999942884E-4</v>
      </c>
      <c r="K175" s="159">
        <f>+'Merluza del sur Artesanal XII'!I125</f>
        <v>0</v>
      </c>
      <c r="L175" s="159">
        <f>+'Merluza del sur Artesanal XII'!J125</f>
        <v>4.2799999999942884E-4</v>
      </c>
      <c r="M175" s="192">
        <f>+'Merluza del sur Artesanal XII'!K125</f>
        <v>0</v>
      </c>
      <c r="N175" s="193">
        <f>+'Merluza del sur Artesanal XII'!L125</f>
        <v>44223</v>
      </c>
      <c r="O175" s="193">
        <f>+'Resumen Cuota Global'!B$4</f>
        <v>44566</v>
      </c>
      <c r="P175" s="191">
        <v>2021</v>
      </c>
      <c r="Q175" s="191"/>
    </row>
    <row r="176" spans="1:17">
      <c r="A176" s="191" t="s">
        <v>273</v>
      </c>
      <c r="B176" s="191" t="s">
        <v>245</v>
      </c>
      <c r="C176" s="191" t="s">
        <v>274</v>
      </c>
      <c r="D176" s="191" t="str">
        <f>+'Merluza del sur Artesanal XII'!B126</f>
        <v>PUNTA ARENAS</v>
      </c>
      <c r="E176" s="191" t="str">
        <f>+'Merluza del sur Artesanal XII'!D126</f>
        <v>OLIMPO I</v>
      </c>
      <c r="F176" s="191" t="s">
        <v>223</v>
      </c>
      <c r="G176" s="191" t="s">
        <v>249</v>
      </c>
      <c r="H176" s="159">
        <f>+'Merluza del sur Artesanal XII'!F126</f>
        <v>13.571427999999999</v>
      </c>
      <c r="I176" s="159">
        <f>+'Merluza del sur Artesanal XII'!G126</f>
        <v>-13.321</v>
      </c>
      <c r="J176" s="159">
        <f>+'Merluza del sur Artesanal XII'!H126</f>
        <v>0.25042799999999943</v>
      </c>
      <c r="K176" s="159">
        <f>+'Merluza del sur Artesanal XII'!I126</f>
        <v>8.5000000000000006E-2</v>
      </c>
      <c r="L176" s="159">
        <f>+'Merluza del sur Artesanal XII'!J126</f>
        <v>0.16542799999999941</v>
      </c>
      <c r="M176" s="192">
        <f>+'Merluza del sur Artesanal XII'!K126</f>
        <v>0.33941891481783265</v>
      </c>
      <c r="N176" s="193" t="str">
        <f>+'Merluza del sur Artesanal XII'!L126</f>
        <v>-</v>
      </c>
      <c r="O176" s="193">
        <f>+'Resumen Cuota Global'!B$4</f>
        <v>44566</v>
      </c>
      <c r="P176" s="191">
        <v>2021</v>
      </c>
      <c r="Q176" s="191"/>
    </row>
    <row r="177" spans="1:17">
      <c r="A177" s="191" t="s">
        <v>273</v>
      </c>
      <c r="B177" s="191" t="s">
        <v>245</v>
      </c>
      <c r="C177" s="191" t="s">
        <v>274</v>
      </c>
      <c r="D177" s="191" t="str">
        <f>+'Merluza del sur Artesanal XII'!B127</f>
        <v>PUNTA ARENAS</v>
      </c>
      <c r="E177" s="191" t="str">
        <f>+'Merluza del sur Artesanal XII'!D127</f>
        <v>NICOLAS</v>
      </c>
      <c r="F177" s="191" t="s">
        <v>223</v>
      </c>
      <c r="G177" s="191" t="s">
        <v>249</v>
      </c>
      <c r="H177" s="159">
        <f>+'Merluza del sur Artesanal XII'!F127</f>
        <v>13.571427999999999</v>
      </c>
      <c r="I177" s="159">
        <f>+'Merluza del sur Artesanal XII'!G127</f>
        <v>-13.571</v>
      </c>
      <c r="J177" s="159">
        <f>+'Merluza del sur Artesanal XII'!H127</f>
        <v>4.2799999999942884E-4</v>
      </c>
      <c r="K177" s="159">
        <f>+'Merluza del sur Artesanal XII'!I127</f>
        <v>0</v>
      </c>
      <c r="L177" s="159">
        <f>+'Merluza del sur Artesanal XII'!J127</f>
        <v>4.2799999999942884E-4</v>
      </c>
      <c r="M177" s="192">
        <f>+'Merluza del sur Artesanal XII'!K127</f>
        <v>0</v>
      </c>
      <c r="N177" s="193" t="str">
        <f>+'Merluza del sur Artesanal XII'!L127</f>
        <v>-</v>
      </c>
      <c r="O177" s="193">
        <f>+'Resumen Cuota Global'!B$4</f>
        <v>44566</v>
      </c>
      <c r="P177" s="191">
        <v>2021</v>
      </c>
      <c r="Q177" s="191"/>
    </row>
    <row r="178" spans="1:17">
      <c r="A178" s="191" t="s">
        <v>273</v>
      </c>
      <c r="B178" s="191" t="s">
        <v>245</v>
      </c>
      <c r="C178" s="191" t="s">
        <v>274</v>
      </c>
      <c r="D178" s="191" t="str">
        <f>+'Merluza del sur Artesanal XII'!B128</f>
        <v>PUNTA ARENAS</v>
      </c>
      <c r="E178" s="191" t="str">
        <f>+'Merluza del sur Artesanal XII'!D128</f>
        <v>NICOL I</v>
      </c>
      <c r="F178" s="191" t="s">
        <v>223</v>
      </c>
      <c r="G178" s="191" t="s">
        <v>249</v>
      </c>
      <c r="H178" s="159">
        <f>+'Merluza del sur Artesanal XII'!F128</f>
        <v>13.571427999999999</v>
      </c>
      <c r="I178" s="159">
        <f>+'Merluza del sur Artesanal XII'!G128</f>
        <v>-13.571</v>
      </c>
      <c r="J178" s="159">
        <f>+'Merluza del sur Artesanal XII'!H128</f>
        <v>4.2799999999942884E-4</v>
      </c>
      <c r="K178" s="159">
        <f>+'Merluza del sur Artesanal XII'!I128</f>
        <v>0</v>
      </c>
      <c r="L178" s="159">
        <f>+'Merluza del sur Artesanal XII'!J128</f>
        <v>4.2799999999942884E-4</v>
      </c>
      <c r="M178" s="192">
        <f>+'Merluza del sur Artesanal XII'!K128</f>
        <v>0</v>
      </c>
      <c r="N178" s="193">
        <f>+'Merluza del sur Artesanal XII'!L128</f>
        <v>44251</v>
      </c>
      <c r="O178" s="193">
        <f>+'Resumen Cuota Global'!B$4</f>
        <v>44566</v>
      </c>
      <c r="P178" s="191">
        <v>2021</v>
      </c>
      <c r="Q178" s="191"/>
    </row>
    <row r="179" spans="1:17">
      <c r="A179" s="191" t="s">
        <v>273</v>
      </c>
      <c r="B179" s="191" t="s">
        <v>245</v>
      </c>
      <c r="C179" s="191" t="s">
        <v>274</v>
      </c>
      <c r="D179" s="191" t="str">
        <f>+'Merluza del sur Artesanal XII'!B129</f>
        <v>PUNTA ARENAS</v>
      </c>
      <c r="E179" s="191" t="str">
        <f>+'Merluza del sur Artesanal XII'!D129</f>
        <v>SAN SEBASTIAN XVI</v>
      </c>
      <c r="F179" s="191" t="s">
        <v>223</v>
      </c>
      <c r="G179" s="191" t="s">
        <v>249</v>
      </c>
      <c r="H179" s="159">
        <f>+'Merluza del sur Artesanal XII'!F129</f>
        <v>13.571427999999999</v>
      </c>
      <c r="I179" s="159">
        <f>+'Merluza del sur Artesanal XII'!G129</f>
        <v>-13.571</v>
      </c>
      <c r="J179" s="159">
        <f>+'Merluza del sur Artesanal XII'!H129</f>
        <v>4.2799999999942884E-4</v>
      </c>
      <c r="K179" s="159">
        <f>+'Merluza del sur Artesanal XII'!I129</f>
        <v>0</v>
      </c>
      <c r="L179" s="159">
        <f>+'Merluza del sur Artesanal XII'!J129</f>
        <v>4.2799999999942884E-4</v>
      </c>
      <c r="M179" s="192">
        <f>+'Merluza del sur Artesanal XII'!K129</f>
        <v>0</v>
      </c>
      <c r="N179" s="193">
        <f>+'Merluza del sur Artesanal XII'!L129</f>
        <v>44251</v>
      </c>
      <c r="O179" s="193">
        <f>+'Resumen Cuota Global'!B$4</f>
        <v>44566</v>
      </c>
      <c r="P179" s="191">
        <v>2021</v>
      </c>
      <c r="Q179" s="191"/>
    </row>
    <row r="180" spans="1:17">
      <c r="A180" s="191" t="s">
        <v>273</v>
      </c>
      <c r="B180" s="191" t="s">
        <v>245</v>
      </c>
      <c r="C180" s="191" t="s">
        <v>274</v>
      </c>
      <c r="D180" s="191" t="str">
        <f>+'Merluza del sur Artesanal XII'!B130</f>
        <v>PUNTA ARENAS</v>
      </c>
      <c r="E180" s="191" t="str">
        <f>+'Merluza del sur Artesanal XII'!D130</f>
        <v>BELL II</v>
      </c>
      <c r="F180" s="191" t="s">
        <v>223</v>
      </c>
      <c r="G180" s="191" t="s">
        <v>249</v>
      </c>
      <c r="H180" s="159">
        <f>+'Merluza del sur Artesanal XII'!F130</f>
        <v>13.571427999999999</v>
      </c>
      <c r="I180" s="159">
        <f>+'Merluza del sur Artesanal XII'!G130</f>
        <v>-13.571</v>
      </c>
      <c r="J180" s="159">
        <f>+'Merluza del sur Artesanal XII'!H130</f>
        <v>4.2799999999942884E-4</v>
      </c>
      <c r="K180" s="159">
        <f>+'Merluza del sur Artesanal XII'!I130</f>
        <v>0</v>
      </c>
      <c r="L180" s="159">
        <f>+'Merluza del sur Artesanal XII'!J130</f>
        <v>4.2799999999942884E-4</v>
      </c>
      <c r="M180" s="192">
        <f>+'Merluza del sur Artesanal XII'!K130</f>
        <v>0</v>
      </c>
      <c r="N180" s="193">
        <f>+'Merluza del sur Artesanal XII'!L130</f>
        <v>44251</v>
      </c>
      <c r="O180" s="193">
        <f>+'Resumen Cuota Global'!B$4</f>
        <v>44566</v>
      </c>
      <c r="P180" s="191">
        <v>2021</v>
      </c>
      <c r="Q180" s="191"/>
    </row>
    <row r="181" spans="1:17">
      <c r="A181" s="191" t="s">
        <v>273</v>
      </c>
      <c r="B181" s="191" t="s">
        <v>245</v>
      </c>
      <c r="C181" s="191" t="s">
        <v>274</v>
      </c>
      <c r="D181" s="191" t="str">
        <f>+'Merluza del sur Artesanal XII'!B131</f>
        <v>PUNTA ARENAS</v>
      </c>
      <c r="E181" s="191" t="str">
        <f>+'Merluza del sur Artesanal XII'!D131</f>
        <v>CAUTIN</v>
      </c>
      <c r="F181" s="191" t="s">
        <v>223</v>
      </c>
      <c r="G181" s="191" t="s">
        <v>249</v>
      </c>
      <c r="H181" s="159">
        <f>+'Merluza del sur Artesanal XII'!F131</f>
        <v>13.571427999999999</v>
      </c>
      <c r="I181" s="159">
        <f>+'Merluza del sur Artesanal XII'!G131</f>
        <v>-13.571</v>
      </c>
      <c r="J181" s="159">
        <f>+'Merluza del sur Artesanal XII'!H131</f>
        <v>4.2799999999942884E-4</v>
      </c>
      <c r="K181" s="159">
        <f>+'Merluza del sur Artesanal XII'!I131</f>
        <v>0</v>
      </c>
      <c r="L181" s="159">
        <f>+'Merluza del sur Artesanal XII'!J131</f>
        <v>4.2799999999942884E-4</v>
      </c>
      <c r="M181" s="192">
        <f>+'Merluza del sur Artesanal XII'!K131</f>
        <v>0</v>
      </c>
      <c r="N181" s="193">
        <f>+'Merluza del sur Artesanal XII'!L131</f>
        <v>44251</v>
      </c>
      <c r="O181" s="193">
        <f>+'Resumen Cuota Global'!B$4</f>
        <v>44566</v>
      </c>
      <c r="P181" s="191">
        <v>2021</v>
      </c>
      <c r="Q181" s="191"/>
    </row>
    <row r="182" spans="1:17">
      <c r="A182" s="191" t="s">
        <v>273</v>
      </c>
      <c r="B182" s="191" t="s">
        <v>245</v>
      </c>
      <c r="C182" s="191" t="s">
        <v>274</v>
      </c>
      <c r="D182" s="191" t="str">
        <f>+'Merluza del sur Artesanal XII'!B132</f>
        <v>PUNTA ARENAS</v>
      </c>
      <c r="E182" s="191" t="str">
        <f>+'Merluza del sur Artesanal XII'!D132</f>
        <v>COBRA</v>
      </c>
      <c r="F182" s="191" t="s">
        <v>223</v>
      </c>
      <c r="G182" s="191" t="s">
        <v>249</v>
      </c>
      <c r="H182" s="159">
        <f>+'Merluza del sur Artesanal XII'!F132</f>
        <v>13.571427999999999</v>
      </c>
      <c r="I182" s="159">
        <f>+'Merluza del sur Artesanal XII'!G132</f>
        <v>-13.571</v>
      </c>
      <c r="J182" s="159">
        <f>+'Merluza del sur Artesanal XII'!H132</f>
        <v>4.2799999999942884E-4</v>
      </c>
      <c r="K182" s="159">
        <f>+'Merluza del sur Artesanal XII'!I132</f>
        <v>0</v>
      </c>
      <c r="L182" s="159">
        <f>+'Merluza del sur Artesanal XII'!J132</f>
        <v>4.2799999999942884E-4</v>
      </c>
      <c r="M182" s="192">
        <f>+'Merluza del sur Artesanal XII'!K132</f>
        <v>0</v>
      </c>
      <c r="N182" s="193">
        <f>+'Merluza del sur Artesanal XII'!L132</f>
        <v>44251</v>
      </c>
      <c r="O182" s="193">
        <f>+'Resumen Cuota Global'!B$4</f>
        <v>44566</v>
      </c>
      <c r="P182" s="191">
        <v>2021</v>
      </c>
      <c r="Q182" s="191"/>
    </row>
    <row r="183" spans="1:17">
      <c r="A183" s="191" t="s">
        <v>273</v>
      </c>
      <c r="B183" s="191" t="s">
        <v>245</v>
      </c>
      <c r="C183" s="191" t="s">
        <v>274</v>
      </c>
      <c r="D183" s="191" t="str">
        <f>+'Merluza del sur Artesanal XII'!B133</f>
        <v>PUNTA ARENAS</v>
      </c>
      <c r="E183" s="191" t="str">
        <f>+'Merluza del sur Artesanal XII'!D133</f>
        <v>DAMAR II</v>
      </c>
      <c r="F183" s="191" t="s">
        <v>223</v>
      </c>
      <c r="G183" s="191" t="s">
        <v>249</v>
      </c>
      <c r="H183" s="159">
        <f>+'Merluza del sur Artesanal XII'!F133</f>
        <v>13.571427999999999</v>
      </c>
      <c r="I183" s="159">
        <f>+'Merluza del sur Artesanal XII'!G133</f>
        <v>-13.571</v>
      </c>
      <c r="J183" s="159">
        <f>+'Merluza del sur Artesanal XII'!H133</f>
        <v>4.2799999999942884E-4</v>
      </c>
      <c r="K183" s="159">
        <f>+'Merluza del sur Artesanal XII'!I133</f>
        <v>0</v>
      </c>
      <c r="L183" s="159">
        <f>+'Merluza del sur Artesanal XII'!J133</f>
        <v>4.2799999999942884E-4</v>
      </c>
      <c r="M183" s="192">
        <f>+'Merluza del sur Artesanal XII'!K133</f>
        <v>0</v>
      </c>
      <c r="N183" s="193">
        <f>+'Merluza del sur Artesanal XII'!L133</f>
        <v>44251</v>
      </c>
      <c r="O183" s="193">
        <f>+'Resumen Cuota Global'!B$4</f>
        <v>44566</v>
      </c>
      <c r="P183" s="191">
        <v>2021</v>
      </c>
      <c r="Q183" s="191"/>
    </row>
    <row r="184" spans="1:17">
      <c r="A184" s="191" t="s">
        <v>273</v>
      </c>
      <c r="B184" s="191" t="s">
        <v>245</v>
      </c>
      <c r="C184" s="191" t="s">
        <v>274</v>
      </c>
      <c r="D184" s="191" t="str">
        <f>+'Merluza del sur Artesanal XII'!B134</f>
        <v>PUNTA ARENAS</v>
      </c>
      <c r="E184" s="191" t="str">
        <f>+'Merluza del sur Artesanal XII'!D134</f>
        <v>DON IGNACIO</v>
      </c>
      <c r="F184" s="191" t="s">
        <v>223</v>
      </c>
      <c r="G184" s="191" t="s">
        <v>249</v>
      </c>
      <c r="H184" s="159">
        <f>+'Merluza del sur Artesanal XII'!F134</f>
        <v>13.571427999999999</v>
      </c>
      <c r="I184" s="159">
        <f>+'Merluza del sur Artesanal XII'!G134</f>
        <v>-13.571</v>
      </c>
      <c r="J184" s="159">
        <f>+'Merluza del sur Artesanal XII'!H134</f>
        <v>4.2799999999942884E-4</v>
      </c>
      <c r="K184" s="159">
        <f>+'Merluza del sur Artesanal XII'!I134</f>
        <v>0</v>
      </c>
      <c r="L184" s="159">
        <f>+'Merluza del sur Artesanal XII'!J134</f>
        <v>4.2799999999942884E-4</v>
      </c>
      <c r="M184" s="192">
        <f>+'Merluza del sur Artesanal XII'!K134</f>
        <v>0</v>
      </c>
      <c r="N184" s="193">
        <f>+'Merluza del sur Artesanal XII'!L134</f>
        <v>44251</v>
      </c>
      <c r="O184" s="193">
        <f>+'Resumen Cuota Global'!B$4</f>
        <v>44566</v>
      </c>
      <c r="P184" s="191">
        <v>2021</v>
      </c>
      <c r="Q184" s="191"/>
    </row>
    <row r="185" spans="1:17">
      <c r="A185" s="191" t="s">
        <v>273</v>
      </c>
      <c r="B185" s="191" t="s">
        <v>245</v>
      </c>
      <c r="C185" s="191" t="s">
        <v>274</v>
      </c>
      <c r="D185" s="191" t="str">
        <f>+'Merluza del sur Artesanal XII'!B135</f>
        <v>PUNTA ARENAS</v>
      </c>
      <c r="E185" s="191" t="str">
        <f>+'Merluza del sur Artesanal XII'!D135</f>
        <v>EL BACAN</v>
      </c>
      <c r="F185" s="191" t="s">
        <v>223</v>
      </c>
      <c r="G185" s="191" t="s">
        <v>249</v>
      </c>
      <c r="H185" s="159">
        <f>+'Merluza del sur Artesanal XII'!F135</f>
        <v>13.571427999999999</v>
      </c>
      <c r="I185" s="159">
        <f>+'Merluza del sur Artesanal XII'!G135</f>
        <v>-13.571</v>
      </c>
      <c r="J185" s="159">
        <f>+'Merluza del sur Artesanal XII'!H135</f>
        <v>4.2799999999942884E-4</v>
      </c>
      <c r="K185" s="159">
        <f>+'Merluza del sur Artesanal XII'!I135</f>
        <v>0</v>
      </c>
      <c r="L185" s="159">
        <f>+'Merluza del sur Artesanal XII'!J135</f>
        <v>4.2799999999942884E-4</v>
      </c>
      <c r="M185" s="192">
        <f>+'Merluza del sur Artesanal XII'!K135</f>
        <v>0</v>
      </c>
      <c r="N185" s="193">
        <f>+'Merluza del sur Artesanal XII'!L135</f>
        <v>44251</v>
      </c>
      <c r="O185" s="193">
        <f>+'Resumen Cuota Global'!B$4</f>
        <v>44566</v>
      </c>
      <c r="P185" s="191">
        <v>2021</v>
      </c>
      <c r="Q185" s="191"/>
    </row>
    <row r="186" spans="1:17">
      <c r="A186" s="191" t="s">
        <v>273</v>
      </c>
      <c r="B186" s="191" t="s">
        <v>245</v>
      </c>
      <c r="C186" s="191" t="s">
        <v>274</v>
      </c>
      <c r="D186" s="191" t="str">
        <f>+'Merluza del sur Artesanal XII'!B136</f>
        <v>PUNTA ARENAS</v>
      </c>
      <c r="E186" s="191" t="str">
        <f>+'Merluza del sur Artesanal XII'!D136</f>
        <v>CORCOVADO II</v>
      </c>
      <c r="F186" s="191" t="s">
        <v>223</v>
      </c>
      <c r="G186" s="191" t="s">
        <v>249</v>
      </c>
      <c r="H186" s="159">
        <f>+'Merluza del sur Artesanal XII'!F136</f>
        <v>13.571427999999999</v>
      </c>
      <c r="I186" s="159">
        <f>+'Merluza del sur Artesanal XII'!G136</f>
        <v>-13.571</v>
      </c>
      <c r="J186" s="159">
        <f>+'Merluza del sur Artesanal XII'!H136</f>
        <v>4.2799999999942884E-4</v>
      </c>
      <c r="K186" s="159">
        <f>+'Merluza del sur Artesanal XII'!I136</f>
        <v>0</v>
      </c>
      <c r="L186" s="159">
        <f>+'Merluza del sur Artesanal XII'!J136</f>
        <v>4.2799999999942884E-4</v>
      </c>
      <c r="M186" s="192">
        <f>+'Merluza del sur Artesanal XII'!K136</f>
        <v>0</v>
      </c>
      <c r="N186" s="193">
        <f>+'Merluza del sur Artesanal XII'!L136</f>
        <v>44251</v>
      </c>
      <c r="O186" s="193">
        <f>+'Resumen Cuota Global'!B$4</f>
        <v>44566</v>
      </c>
      <c r="P186" s="191">
        <v>2021</v>
      </c>
      <c r="Q186" s="191"/>
    </row>
    <row r="187" spans="1:17">
      <c r="A187" s="191" t="s">
        <v>273</v>
      </c>
      <c r="B187" s="191" t="s">
        <v>245</v>
      </c>
      <c r="C187" s="191" t="s">
        <v>274</v>
      </c>
      <c r="D187" s="191" t="str">
        <f>+'Merluza del sur Artesanal XII'!B137</f>
        <v>PUNTA ARENAS</v>
      </c>
      <c r="E187" s="191" t="str">
        <f>+'Merluza del sur Artesanal XII'!D137</f>
        <v>TOPACIO</v>
      </c>
      <c r="F187" s="191" t="s">
        <v>223</v>
      </c>
      <c r="G187" s="191" t="s">
        <v>249</v>
      </c>
      <c r="H187" s="159">
        <f>+'Merluza del sur Artesanal XII'!F137</f>
        <v>13.571427999999999</v>
      </c>
      <c r="I187" s="159">
        <f>+'Merluza del sur Artesanal XII'!G137</f>
        <v>-13.571</v>
      </c>
      <c r="J187" s="159">
        <f>+'Merluza del sur Artesanal XII'!H137</f>
        <v>4.2799999999942884E-4</v>
      </c>
      <c r="K187" s="159">
        <f>+'Merluza del sur Artesanal XII'!I137</f>
        <v>0</v>
      </c>
      <c r="L187" s="159">
        <f>+'Merluza del sur Artesanal XII'!J137</f>
        <v>4.2799999999942884E-4</v>
      </c>
      <c r="M187" s="192">
        <f>+'Merluza del sur Artesanal XII'!K137</f>
        <v>0</v>
      </c>
      <c r="N187" s="193">
        <f>+'Merluza del sur Artesanal XII'!L137</f>
        <v>44251</v>
      </c>
      <c r="O187" s="193">
        <f>+'Resumen Cuota Global'!B$4</f>
        <v>44566</v>
      </c>
      <c r="P187" s="191">
        <v>2021</v>
      </c>
      <c r="Q187" s="191"/>
    </row>
    <row r="188" spans="1:17">
      <c r="A188" s="191" t="s">
        <v>273</v>
      </c>
      <c r="B188" s="191" t="s">
        <v>245</v>
      </c>
      <c r="C188" s="191" t="s">
        <v>274</v>
      </c>
      <c r="D188" s="191" t="str">
        <f>+'Merluza del sur Artesanal XII'!B138</f>
        <v>PUNTA ARENAS</v>
      </c>
      <c r="E188" s="191" t="str">
        <f>+'Merluza del sur Artesanal XII'!D138</f>
        <v>SANTA VALENTINA</v>
      </c>
      <c r="F188" s="191" t="s">
        <v>223</v>
      </c>
      <c r="G188" s="191" t="s">
        <v>249</v>
      </c>
      <c r="H188" s="159">
        <f>+'Merluza del sur Artesanal XII'!F138</f>
        <v>13.571427999999999</v>
      </c>
      <c r="I188" s="159">
        <f>+'Merluza del sur Artesanal XII'!G138</f>
        <v>-13.571</v>
      </c>
      <c r="J188" s="159">
        <f>+'Merluza del sur Artesanal XII'!H138</f>
        <v>4.2799999999942884E-4</v>
      </c>
      <c r="K188" s="159">
        <f>+'Merluza del sur Artesanal XII'!I138</f>
        <v>0</v>
      </c>
      <c r="L188" s="159">
        <f>+'Merluza del sur Artesanal XII'!J138</f>
        <v>4.2799999999942884E-4</v>
      </c>
      <c r="M188" s="192">
        <f>+'Merluza del sur Artesanal XII'!K138</f>
        <v>0</v>
      </c>
      <c r="N188" s="193">
        <f>+'Merluza del sur Artesanal XII'!L138</f>
        <v>44251</v>
      </c>
      <c r="O188" s="193">
        <f>+'Resumen Cuota Global'!B$4</f>
        <v>44566</v>
      </c>
      <c r="P188" s="191">
        <v>2021</v>
      </c>
      <c r="Q188" s="191"/>
    </row>
    <row r="189" spans="1:17">
      <c r="A189" s="191" t="s">
        <v>273</v>
      </c>
      <c r="B189" s="191" t="s">
        <v>245</v>
      </c>
      <c r="C189" s="191" t="s">
        <v>274</v>
      </c>
      <c r="D189" s="191" t="str">
        <f>+'Merluza del sur Artesanal XII'!B139</f>
        <v>PUNTA ARENAS</v>
      </c>
      <c r="E189" s="191" t="str">
        <f>+'Merluza del sur Artesanal XII'!D139</f>
        <v>YOVY</v>
      </c>
      <c r="F189" s="191" t="s">
        <v>223</v>
      </c>
      <c r="G189" s="191" t="s">
        <v>249</v>
      </c>
      <c r="H189" s="159">
        <f>+'Merluza del sur Artesanal XII'!F139</f>
        <v>13.571427999999999</v>
      </c>
      <c r="I189" s="159">
        <f>+'Merluza del sur Artesanal XII'!G139</f>
        <v>-13.571</v>
      </c>
      <c r="J189" s="159">
        <f>+'Merluza del sur Artesanal XII'!H139</f>
        <v>4.2799999999942884E-4</v>
      </c>
      <c r="K189" s="159">
        <f>+'Merluza del sur Artesanal XII'!I139</f>
        <v>0</v>
      </c>
      <c r="L189" s="159">
        <f>+'Merluza del sur Artesanal XII'!J139</f>
        <v>4.2799999999942884E-4</v>
      </c>
      <c r="M189" s="192">
        <f>+'Merluza del sur Artesanal XII'!K139</f>
        <v>0</v>
      </c>
      <c r="N189" s="193">
        <f>+'Merluza del sur Artesanal XII'!L139</f>
        <v>44251</v>
      </c>
      <c r="O189" s="193">
        <f>+'Resumen Cuota Global'!B$4</f>
        <v>44566</v>
      </c>
      <c r="P189" s="191">
        <v>2021</v>
      </c>
      <c r="Q189" s="191"/>
    </row>
    <row r="190" spans="1:17">
      <c r="A190" s="191" t="s">
        <v>273</v>
      </c>
      <c r="B190" s="191" t="s">
        <v>245</v>
      </c>
      <c r="C190" s="191" t="s">
        <v>274</v>
      </c>
      <c r="D190" s="191" t="str">
        <f>+'Merluza del sur Artesanal XII'!B140</f>
        <v>PUNTA ARENAS</v>
      </c>
      <c r="E190" s="191" t="str">
        <f>+'Merluza del sur Artesanal XII'!D140</f>
        <v>CHUKAKU</v>
      </c>
      <c r="F190" s="191" t="s">
        <v>223</v>
      </c>
      <c r="G190" s="191" t="s">
        <v>249</v>
      </c>
      <c r="H190" s="159">
        <f>+'Merluza del sur Artesanal XII'!F140</f>
        <v>13.571427999999999</v>
      </c>
      <c r="I190" s="159">
        <f>+'Merluza del sur Artesanal XII'!G140</f>
        <v>-13.371</v>
      </c>
      <c r="J190" s="159">
        <f>+'Merluza del sur Artesanal XII'!H140</f>
        <v>0.20042799999999872</v>
      </c>
      <c r="K190" s="159">
        <f>+'Merluza del sur Artesanal XII'!I140</f>
        <v>0</v>
      </c>
      <c r="L190" s="159">
        <f>+'Merluza del sur Artesanal XII'!J140</f>
        <v>0.20042799999999872</v>
      </c>
      <c r="M190" s="192">
        <f>+'Merluza del sur Artesanal XII'!K140</f>
        <v>0</v>
      </c>
      <c r="N190" s="193" t="str">
        <f>+'Merluza del sur Artesanal XII'!L140</f>
        <v>-</v>
      </c>
      <c r="O190" s="193">
        <f>+'Resumen Cuota Global'!B$4</f>
        <v>44566</v>
      </c>
      <c r="P190" s="191">
        <v>2021</v>
      </c>
      <c r="Q190" s="191"/>
    </row>
    <row r="191" spans="1:17">
      <c r="A191" s="191" t="s">
        <v>273</v>
      </c>
      <c r="B191" s="191" t="s">
        <v>245</v>
      </c>
      <c r="C191" s="191" t="s">
        <v>274</v>
      </c>
      <c r="D191" s="191" t="s">
        <v>271</v>
      </c>
      <c r="E191" s="191" t="s">
        <v>272</v>
      </c>
      <c r="F191" s="191" t="s">
        <v>223</v>
      </c>
      <c r="G191" s="191" t="s">
        <v>249</v>
      </c>
      <c r="H191" s="159">
        <f>+'Merluza del sur Artesanal XII'!F141</f>
        <v>1709.9999279999977</v>
      </c>
      <c r="I191" s="159">
        <f>+'Merluza del sur Artesanal XII'!G141</f>
        <v>-1704.2539999999974</v>
      </c>
      <c r="J191" s="159">
        <f>+'Merluza del sur Artesanal XII'!H141</f>
        <v>5.7459280000002764</v>
      </c>
      <c r="K191" s="159">
        <f>+'Merluza del sur Artesanal XII'!I141</f>
        <v>2.238</v>
      </c>
      <c r="L191" s="159">
        <f>+'Merluza del sur Artesanal XII'!J141</f>
        <v>3.5079280000002764</v>
      </c>
      <c r="M191" s="192">
        <f>+'Merluza del sur Artesanal XII'!K141</f>
        <v>0.38949322024221195</v>
      </c>
      <c r="N191" s="193" t="str">
        <f>+'Merluza del sur Artesanal XII'!L141</f>
        <v>-</v>
      </c>
      <c r="O191" s="193">
        <f>+'Resumen Cuota Global'!B$4</f>
        <v>44566</v>
      </c>
      <c r="P191" s="191">
        <v>2021</v>
      </c>
      <c r="Q191" s="191"/>
    </row>
    <row r="192" spans="1:17">
      <c r="A192" s="191" t="s">
        <v>363</v>
      </c>
      <c r="B192" s="191" t="s">
        <v>245</v>
      </c>
      <c r="C192" s="191" t="s">
        <v>364</v>
      </c>
      <c r="D192" s="191" t="str">
        <f>+'Merluza del sur Artesanal XI'!B$8</f>
        <v>FLOTA NORTE 1</v>
      </c>
      <c r="E192" s="191" t="str">
        <f>+'Merluza del sur Artesanal XI'!C8</f>
        <v>COOPERATIVA ULTIMA ESPERANZA GALA ROL 4309</v>
      </c>
      <c r="F192" s="191" t="s">
        <v>223</v>
      </c>
      <c r="G192" s="191" t="s">
        <v>249</v>
      </c>
      <c r="H192" s="159">
        <f>+'Merluza del sur Artesanal XI'!F8</f>
        <v>55.708108469000003</v>
      </c>
      <c r="I192" s="159">
        <f>+'Merluza del sur Artesanal XI'!G8</f>
        <v>0</v>
      </c>
      <c r="J192" s="159">
        <f>+'Merluza del sur Artesanal XI'!H8</f>
        <v>55.708108469000003</v>
      </c>
      <c r="K192" s="159">
        <f>+'Merluza del sur Artesanal XI'!I8</f>
        <v>47.906999999999996</v>
      </c>
      <c r="L192" s="159">
        <f>+'Merluza del sur Artesanal XI'!J8</f>
        <v>7.8011084690000061</v>
      </c>
      <c r="M192" s="192">
        <f>+'Merluza del sur Artesanal XI'!K8</f>
        <v>0.85996457816654992</v>
      </c>
      <c r="N192" s="193">
        <f>+'Merluza del sur Artesanal XI'!L8</f>
        <v>0</v>
      </c>
      <c r="O192" s="193">
        <f>+'Resumen Cuota Global'!B$4</f>
        <v>44566</v>
      </c>
      <c r="P192" s="191">
        <v>2021</v>
      </c>
      <c r="Q192" s="191"/>
    </row>
    <row r="193" spans="1:17">
      <c r="A193" s="191" t="s">
        <v>363</v>
      </c>
      <c r="B193" s="191" t="s">
        <v>245</v>
      </c>
      <c r="C193" s="191" t="s">
        <v>364</v>
      </c>
      <c r="D193" s="191" t="str">
        <f>+'Merluza del sur Artesanal XI'!B$8</f>
        <v>FLOTA NORTE 1</v>
      </c>
      <c r="E193" s="191" t="str">
        <f>+'Merluza del sur Artesanal XI'!C9</f>
        <v>COOPESGAL ROL 4370</v>
      </c>
      <c r="F193" s="191" t="s">
        <v>223</v>
      </c>
      <c r="G193" s="191" t="s">
        <v>249</v>
      </c>
      <c r="H193" s="159">
        <f>+'Merluza del sur Artesanal XI'!F9</f>
        <v>34.710055133000004</v>
      </c>
      <c r="I193" s="159">
        <f>+'Merluza del sur Artesanal XI'!G9</f>
        <v>0</v>
      </c>
      <c r="J193" s="159">
        <f>+'Merluza del sur Artesanal XI'!H9</f>
        <v>34.710055133000004</v>
      </c>
      <c r="K193" s="159">
        <f>+'Merluza del sur Artesanal XI'!I9</f>
        <v>34.036000000000001</v>
      </c>
      <c r="L193" s="159">
        <f>+'Merluza del sur Artesanal XI'!J9</f>
        <v>0.67405513300000308</v>
      </c>
      <c r="M193" s="192">
        <f>+'Merluza del sur Artesanal XI'!K9</f>
        <v>0.98058040730799201</v>
      </c>
      <c r="N193" s="193">
        <f>+'Merluza del sur Artesanal XI'!L9</f>
        <v>0</v>
      </c>
      <c r="O193" s="193">
        <f>+'Resumen Cuota Global'!B$4</f>
        <v>44566</v>
      </c>
      <c r="P193" s="191">
        <v>2021</v>
      </c>
      <c r="Q193" s="191"/>
    </row>
    <row r="194" spans="1:17">
      <c r="A194" s="191" t="s">
        <v>363</v>
      </c>
      <c r="B194" s="191" t="s">
        <v>245</v>
      </c>
      <c r="C194" s="191" t="s">
        <v>364</v>
      </c>
      <c r="D194" s="191" t="str">
        <f>+'Merluza del sur Artesanal XI'!B$8</f>
        <v>FLOTA NORTE 1</v>
      </c>
      <c r="E194" s="191" t="str">
        <f>+'Merluza del sur Artesanal XI'!C10</f>
        <v>SIND. PUYUHUAPI RSU 11.02.0048</v>
      </c>
      <c r="F194" s="191" t="s">
        <v>223</v>
      </c>
      <c r="G194" s="191" t="s">
        <v>249</v>
      </c>
      <c r="H194" s="159">
        <f>+'Merluza del sur Artesanal XI'!F10</f>
        <v>55.649450428000002</v>
      </c>
      <c r="I194" s="159">
        <f>+'Merluza del sur Artesanal XI'!G10</f>
        <v>-55.649000000000001</v>
      </c>
      <c r="J194" s="159">
        <f>+'Merluza del sur Artesanal XI'!H10</f>
        <v>4.5042800000061334E-4</v>
      </c>
      <c r="K194" s="159">
        <f>+'Merluza del sur Artesanal XI'!I10</f>
        <v>0</v>
      </c>
      <c r="L194" s="159">
        <f>+'Merluza del sur Artesanal XI'!J10</f>
        <v>4.5042800000061334E-4</v>
      </c>
      <c r="M194" s="192">
        <f>+'Merluza del sur Artesanal XI'!K10</f>
        <v>0</v>
      </c>
      <c r="N194" s="193">
        <f>+'Merluza del sur Artesanal XI'!L10</f>
        <v>44242</v>
      </c>
      <c r="O194" s="193">
        <f>+'Resumen Cuota Global'!B$4</f>
        <v>44566</v>
      </c>
      <c r="P194" s="191">
        <v>2021</v>
      </c>
      <c r="Q194" s="191"/>
    </row>
    <row r="195" spans="1:17">
      <c r="A195" s="191" t="s">
        <v>363</v>
      </c>
      <c r="B195" s="191" t="s">
        <v>245</v>
      </c>
      <c r="C195" s="191" t="s">
        <v>364</v>
      </c>
      <c r="D195" s="191" t="str">
        <f>+'Merluza del sur Artesanal XI'!B$8</f>
        <v>FLOTA NORTE 1</v>
      </c>
      <c r="E195" s="191" t="str">
        <f>+'Merluza del sur Artesanal XI'!C11</f>
        <v>STI PUERTO PUYUHUAPI "LOS DELFINES RSU 11.05.002</v>
      </c>
      <c r="F195" s="191" t="s">
        <v>223</v>
      </c>
      <c r="G195" s="191" t="s">
        <v>249</v>
      </c>
      <c r="H195" s="159">
        <f>+'Merluza del sur Artesanal XI'!F11</f>
        <v>9.2612980460000003</v>
      </c>
      <c r="I195" s="159">
        <f>+'Merluza del sur Artesanal XI'!G11</f>
        <v>0</v>
      </c>
      <c r="J195" s="159">
        <f>+'Merluza del sur Artesanal XI'!H11</f>
        <v>9.2612980460000003</v>
      </c>
      <c r="K195" s="159">
        <f>+'Merluza del sur Artesanal XI'!I11</f>
        <v>9.2609999999999992</v>
      </c>
      <c r="L195" s="159">
        <f>+'Merluza del sur Artesanal XI'!J11</f>
        <v>2.9804600000105097E-4</v>
      </c>
      <c r="M195" s="192">
        <f>+'Merluza del sur Artesanal XI'!K11</f>
        <v>0.99996781811809521</v>
      </c>
      <c r="N195" s="193">
        <f>+'Merluza del sur Artesanal XI'!L11</f>
        <v>44334</v>
      </c>
      <c r="O195" s="193">
        <f>+'Resumen Cuota Global'!B$4</f>
        <v>44566</v>
      </c>
      <c r="P195" s="191">
        <v>2021</v>
      </c>
      <c r="Q195" s="191"/>
    </row>
    <row r="196" spans="1:17">
      <c r="A196" s="191" t="s">
        <v>363</v>
      </c>
      <c r="B196" s="191" t="s">
        <v>245</v>
      </c>
      <c r="C196" s="191" t="s">
        <v>364</v>
      </c>
      <c r="D196" s="191" t="str">
        <f>+'Merluza del sur Artesanal XI'!B$8</f>
        <v>FLOTA NORTE 1</v>
      </c>
      <c r="E196" s="191" t="str">
        <f>+'Merluza del sur Artesanal XI'!C12</f>
        <v>STI CANAL PUYUHUAPI RSU 11.05.0009</v>
      </c>
      <c r="F196" s="191" t="s">
        <v>223</v>
      </c>
      <c r="G196" s="191" t="s">
        <v>249</v>
      </c>
      <c r="H196" s="159">
        <f>+'Merluza del sur Artesanal XI'!F12</f>
        <v>90.911698149999992</v>
      </c>
      <c r="I196" s="159">
        <f>+'Merluza del sur Artesanal XI'!G12</f>
        <v>-87.599000000000004</v>
      </c>
      <c r="J196" s="159">
        <f>+'Merluza del sur Artesanal XI'!H12</f>
        <v>3.3126981499999886</v>
      </c>
      <c r="K196" s="159">
        <f>+'Merluza del sur Artesanal XI'!I12</f>
        <v>1.4830000000000001</v>
      </c>
      <c r="L196" s="159">
        <f>+'Merluza del sur Artesanal XI'!J12</f>
        <v>1.8296981499999885</v>
      </c>
      <c r="M196" s="192">
        <f>+'Merluza del sur Artesanal XI'!K12</f>
        <v>0.44767133401514569</v>
      </c>
      <c r="N196" s="193">
        <f>+'Merluza del sur Artesanal XI'!L12</f>
        <v>0</v>
      </c>
      <c r="O196" s="193">
        <f>+'Resumen Cuota Global'!B$4</f>
        <v>44566</v>
      </c>
      <c r="P196" s="191">
        <v>2021</v>
      </c>
      <c r="Q196" s="191"/>
    </row>
    <row r="197" spans="1:17">
      <c r="A197" s="191" t="s">
        <v>363</v>
      </c>
      <c r="B197" s="191" t="s">
        <v>245</v>
      </c>
      <c r="C197" s="191" t="s">
        <v>364</v>
      </c>
      <c r="D197" s="191" t="str">
        <f>+'Merluza del sur Artesanal XI'!B$8</f>
        <v>FLOTA NORTE 1</v>
      </c>
      <c r="E197" s="191" t="str">
        <f>+'Merluza del sur Artesanal XI'!C13</f>
        <v>STI N° 1 PUERTO PUYUHUAPI RSU 11.02.0022</v>
      </c>
      <c r="F197" s="191" t="s">
        <v>223</v>
      </c>
      <c r="G197" s="191" t="s">
        <v>249</v>
      </c>
      <c r="H197" s="159">
        <f>+'Merluza del sur Artesanal XI'!F13</f>
        <v>61.488576071000004</v>
      </c>
      <c r="I197" s="159">
        <f>+'Merluza del sur Artesanal XI'!G13</f>
        <v>-59.963999999999999</v>
      </c>
      <c r="J197" s="159">
        <f>+'Merluza del sur Artesanal XI'!H13</f>
        <v>1.5245760710000056</v>
      </c>
      <c r="K197" s="159">
        <f>+'Merluza del sur Artesanal XI'!I13</f>
        <v>1.639</v>
      </c>
      <c r="L197" s="159">
        <f>+'Merluza del sur Artesanal XI'!J13</f>
        <v>-0.11442392899999443</v>
      </c>
      <c r="M197" s="192">
        <f>+'Merluza del sur Artesanal XI'!K13</f>
        <v>1.0750529482762647</v>
      </c>
      <c r="N197" s="193">
        <f>+'Merluza del sur Artesanal XI'!L13</f>
        <v>44242</v>
      </c>
      <c r="O197" s="193">
        <f>+'Resumen Cuota Global'!B$4</f>
        <v>44566</v>
      </c>
      <c r="P197" s="191">
        <v>2021</v>
      </c>
      <c r="Q197" s="191"/>
    </row>
    <row r="198" spans="1:17">
      <c r="A198" s="191" t="s">
        <v>363</v>
      </c>
      <c r="B198" s="191" t="s">
        <v>245</v>
      </c>
      <c r="C198" s="191" t="s">
        <v>364</v>
      </c>
      <c r="D198" s="191" t="str">
        <f>+'Merluza del sur Artesanal XI'!B$8</f>
        <v>FLOTA NORTE 1</v>
      </c>
      <c r="E198" s="191" t="str">
        <f>+'Merluza del sur Artesanal XI'!C14</f>
        <v>AG ISLA TOTO RAG 87-11</v>
      </c>
      <c r="F198" s="191" t="s">
        <v>223</v>
      </c>
      <c r="G198" s="191" t="s">
        <v>249</v>
      </c>
      <c r="H198" s="159">
        <f>+'Merluza del sur Artesanal XI'!F14</f>
        <v>31.582709547999997</v>
      </c>
      <c r="I198" s="159">
        <f>+'Merluza del sur Artesanal XI'!G14</f>
        <v>-2.08</v>
      </c>
      <c r="J198" s="159">
        <f>+'Merluza del sur Artesanal XI'!H14</f>
        <v>29.502709547999999</v>
      </c>
      <c r="K198" s="159">
        <f>+'Merluza del sur Artesanal XI'!I14</f>
        <v>35.369999999999997</v>
      </c>
      <c r="L198" s="159">
        <f>+'Merluza del sur Artesanal XI'!J14</f>
        <v>-5.8672904519999989</v>
      </c>
      <c r="M198" s="192">
        <f>+'Merluza del sur Artesanal XI'!K14</f>
        <v>1.1988729354656087</v>
      </c>
      <c r="N198" s="193">
        <f>+'Merluza del sur Artesanal XI'!L14</f>
        <v>0</v>
      </c>
      <c r="O198" s="193">
        <f>+'Resumen Cuota Global'!B$4</f>
        <v>44566</v>
      </c>
      <c r="P198" s="191">
        <v>2021</v>
      </c>
      <c r="Q198" s="191"/>
    </row>
    <row r="199" spans="1:17">
      <c r="A199" s="191" t="s">
        <v>363</v>
      </c>
      <c r="B199" s="191" t="s">
        <v>245</v>
      </c>
      <c r="C199" s="191" t="s">
        <v>364</v>
      </c>
      <c r="D199" s="191" t="str">
        <f>+'Merluza del sur Artesanal XI'!B$8</f>
        <v>FLOTA NORTE 1</v>
      </c>
      <c r="E199" s="191" t="str">
        <f>+'Merluza del sur Artesanal XI'!C15</f>
        <v>STI PUERTO RAUL MARIN BALMACEDA RSU 11.02.0030</v>
      </c>
      <c r="F199" s="191" t="s">
        <v>223</v>
      </c>
      <c r="G199" s="191" t="s">
        <v>249</v>
      </c>
      <c r="H199" s="159">
        <f>+'Merluza del sur Artesanal XI'!F15</f>
        <v>5.6460646840000006</v>
      </c>
      <c r="I199" s="159">
        <f>+'Merluza del sur Artesanal XI'!G15</f>
        <v>-4.1189999999999998</v>
      </c>
      <c r="J199" s="159">
        <f>+'Merluza del sur Artesanal XI'!H15</f>
        <v>1.5270646840000008</v>
      </c>
      <c r="K199" s="159">
        <f>+'Merluza del sur Artesanal XI'!I15</f>
        <v>1.5269999999999999</v>
      </c>
      <c r="L199" s="159">
        <f>+'Merluza del sur Artesanal XI'!J15</f>
        <v>6.4684000000925224E-5</v>
      </c>
      <c r="M199" s="192">
        <f>+'Merluza del sur Artesanal XI'!K15</f>
        <v>0.99995764161094247</v>
      </c>
      <c r="N199" s="193">
        <f>+'Merluza del sur Artesanal XI'!L15</f>
        <v>44280</v>
      </c>
      <c r="O199" s="193">
        <f>+'Resumen Cuota Global'!B$4</f>
        <v>44566</v>
      </c>
      <c r="P199" s="191">
        <v>2021</v>
      </c>
      <c r="Q199" s="191"/>
    </row>
    <row r="200" spans="1:17">
      <c r="A200" s="191" t="s">
        <v>363</v>
      </c>
      <c r="B200" s="191" t="s">
        <v>245</v>
      </c>
      <c r="C200" s="191" t="s">
        <v>364</v>
      </c>
      <c r="D200" s="191" t="str">
        <f>+'Merluza del sur Artesanal XI'!B$8</f>
        <v>FLOTA NORTE 1</v>
      </c>
      <c r="E200" s="191" t="str">
        <f>+'Merluza del sur Artesanal XI'!C16</f>
        <v>COOPEFISH ROL 4452</v>
      </c>
      <c r="F200" s="191" t="s">
        <v>223</v>
      </c>
      <c r="G200" s="191" t="s">
        <v>249</v>
      </c>
      <c r="H200" s="159">
        <f>+'Merluza del sur Artesanal XI'!F16</f>
        <v>2.529005765</v>
      </c>
      <c r="I200" s="159">
        <f>+'Merluza del sur Artesanal XI'!G16</f>
        <v>-0.5</v>
      </c>
      <c r="J200" s="159">
        <f>+'Merluza del sur Artesanal XI'!H16</f>
        <v>2.029005765</v>
      </c>
      <c r="K200" s="159">
        <f>+'Merluza del sur Artesanal XI'!I16</f>
        <v>2.5289999999999999</v>
      </c>
      <c r="L200" s="159">
        <f>+'Merluza del sur Artesanal XI'!J16</f>
        <v>-0.49999423499999995</v>
      </c>
      <c r="M200" s="192">
        <f>+'Merluza del sur Artesanal XI'!K16</f>
        <v>1.2464232697732132</v>
      </c>
      <c r="N200" s="193">
        <f>+'Merluza del sur Artesanal XI'!L16</f>
        <v>0</v>
      </c>
      <c r="O200" s="193">
        <f>+'Resumen Cuota Global'!B$4</f>
        <v>44566</v>
      </c>
      <c r="P200" s="191">
        <v>2021</v>
      </c>
      <c r="Q200" s="191"/>
    </row>
    <row r="201" spans="1:17">
      <c r="A201" s="191" t="s">
        <v>363</v>
      </c>
      <c r="B201" s="191" t="s">
        <v>245</v>
      </c>
      <c r="C201" s="191" t="s">
        <v>364</v>
      </c>
      <c r="D201" s="191" t="str">
        <f>+'Merluza del sur Artesanal XI'!B$8</f>
        <v>FLOTA NORTE 1</v>
      </c>
      <c r="E201" s="191" t="str">
        <f>+'Merluza del sur Artesanal XI'!C17</f>
        <v>SIND. PUYUHUAPI NUEVO HORIZONTE RSU 11.05.0014</v>
      </c>
      <c r="F201" s="191" t="s">
        <v>223</v>
      </c>
      <c r="G201" s="191" t="s">
        <v>249</v>
      </c>
      <c r="H201" s="159">
        <f>+'Merluza del sur Artesanal XI'!F17</f>
        <v>61.968592932999996</v>
      </c>
      <c r="I201" s="159">
        <f>+'Merluza del sur Artesanal XI'!G17</f>
        <v>-61.969000000000001</v>
      </c>
      <c r="J201" s="159">
        <f>+'Merluza del sur Artesanal XI'!H17</f>
        <v>-4.0706700000470164E-4</v>
      </c>
      <c r="K201" s="159">
        <f>+'Merluza del sur Artesanal XI'!I17</f>
        <v>0</v>
      </c>
      <c r="L201" s="159">
        <f>+'Merluza del sur Artesanal XI'!J17</f>
        <v>-4.0706700000470164E-4</v>
      </c>
      <c r="M201" s="192">
        <f>+'Merluza del sur Artesanal XI'!K17</f>
        <v>0</v>
      </c>
      <c r="N201" s="193">
        <f>+'Merluza del sur Artesanal XI'!L17</f>
        <v>44236</v>
      </c>
      <c r="O201" s="193">
        <f>+'Resumen Cuota Global'!B$4</f>
        <v>44566</v>
      </c>
      <c r="P201" s="191">
        <v>2021</v>
      </c>
      <c r="Q201" s="191"/>
    </row>
    <row r="202" spans="1:17">
      <c r="A202" s="191" t="s">
        <v>363</v>
      </c>
      <c r="B202" s="191" t="s">
        <v>245</v>
      </c>
      <c r="C202" s="191" t="s">
        <v>364</v>
      </c>
      <c r="D202" s="191" t="str">
        <f>+'Merluza del sur Artesanal XI'!B$8</f>
        <v>FLOTA NORTE 1</v>
      </c>
      <c r="E202" s="191" t="str">
        <f>+'Merluza del sur Artesanal XI'!C18</f>
        <v>SIND. GALA-ANTONIO RONCHI RSU 11.02.0047</v>
      </c>
      <c r="F202" s="191" t="s">
        <v>223</v>
      </c>
      <c r="G202" s="191" t="s">
        <v>249</v>
      </c>
      <c r="H202" s="159">
        <f>+'Merluza del sur Artesanal XI'!F18</f>
        <v>138.93374729000001</v>
      </c>
      <c r="I202" s="159">
        <f>+'Merluza del sur Artesanal XI'!G18</f>
        <v>0</v>
      </c>
      <c r="J202" s="159">
        <f>+'Merluza del sur Artesanal XI'!H18</f>
        <v>138.93374729000001</v>
      </c>
      <c r="K202" s="159">
        <f>+'Merluza del sur Artesanal XI'!I18</f>
        <v>122.86799999999999</v>
      </c>
      <c r="L202" s="159">
        <f>+'Merluza del sur Artesanal XI'!J18</f>
        <v>16.065747290000019</v>
      </c>
      <c r="M202" s="192">
        <f>+'Merluza del sur Artesanal XI'!K18</f>
        <v>0.88436396769414438</v>
      </c>
      <c r="N202" s="193">
        <f>+'Merluza del sur Artesanal XI'!L18</f>
        <v>0</v>
      </c>
      <c r="O202" s="193">
        <f>+'Resumen Cuota Global'!B$4</f>
        <v>44566</v>
      </c>
      <c r="P202" s="191">
        <v>2021</v>
      </c>
      <c r="Q202" s="191"/>
    </row>
    <row r="203" spans="1:17">
      <c r="A203" s="191" t="s">
        <v>363</v>
      </c>
      <c r="B203" s="191" t="s">
        <v>245</v>
      </c>
      <c r="C203" s="191" t="s">
        <v>364</v>
      </c>
      <c r="D203" s="191" t="str">
        <f>+'Merluza del sur Artesanal XI'!B$8</f>
        <v>FLOTA NORTE 1</v>
      </c>
      <c r="E203" s="191" t="str">
        <f>+'Merluza del sur Artesanal XI'!C19</f>
        <v>SIND. GALA N° 1 RSU 11.02.0024</v>
      </c>
      <c r="F203" s="191" t="s">
        <v>223</v>
      </c>
      <c r="G203" s="191" t="s">
        <v>249</v>
      </c>
      <c r="H203" s="159">
        <f>+'Merluza del sur Artesanal XI'!F19</f>
        <v>185.51228189</v>
      </c>
      <c r="I203" s="159">
        <f>+'Merluza del sur Artesanal XI'!G19</f>
        <v>0</v>
      </c>
      <c r="J203" s="159">
        <f>+'Merluza del sur Artesanal XI'!H19</f>
        <v>185.51228189</v>
      </c>
      <c r="K203" s="159">
        <f>+'Merluza del sur Artesanal XI'!I19</f>
        <v>162.00800000000001</v>
      </c>
      <c r="L203" s="159">
        <f>+'Merluza del sur Artesanal XI'!J19</f>
        <v>23.504281889999987</v>
      </c>
      <c r="M203" s="192">
        <f>+'Merluza del sur Artesanal XI'!K19</f>
        <v>0.87330066963470965</v>
      </c>
      <c r="N203" s="193">
        <f>+'Merluza del sur Artesanal XI'!L19</f>
        <v>0</v>
      </c>
      <c r="O203" s="193">
        <f>+'Resumen Cuota Global'!B$4</f>
        <v>44566</v>
      </c>
      <c r="P203" s="191">
        <v>2021</v>
      </c>
      <c r="Q203" s="191"/>
    </row>
    <row r="204" spans="1:17">
      <c r="A204" s="191" t="s">
        <v>363</v>
      </c>
      <c r="B204" s="191" t="s">
        <v>245</v>
      </c>
      <c r="C204" s="191" t="s">
        <v>364</v>
      </c>
      <c r="D204" s="191" t="str">
        <f>+'Merluza del sur Artesanal XI'!B$8</f>
        <v>FLOTA NORTE 1</v>
      </c>
      <c r="E204" s="191" t="str">
        <f>+'Merluza del sur Artesanal XI'!C20</f>
        <v>SOCIEDAD AMAROMAR LTDA 76.257.407-1</v>
      </c>
      <c r="F204" s="191" t="s">
        <v>223</v>
      </c>
      <c r="G204" s="191" t="s">
        <v>249</v>
      </c>
      <c r="H204" s="159">
        <f>+'Merluza del sur Artesanal XI'!F20</f>
        <v>6.2743440369999997</v>
      </c>
      <c r="I204" s="159">
        <f>+'Merluza del sur Artesanal XI'!G20</f>
        <v>0</v>
      </c>
      <c r="J204" s="159">
        <f>+'Merluza del sur Artesanal XI'!H20</f>
        <v>6.2743440369999997</v>
      </c>
      <c r="K204" s="159">
        <f>+'Merluza del sur Artesanal XI'!I20</f>
        <v>5.0199999999999996</v>
      </c>
      <c r="L204" s="159">
        <f>+'Merluza del sur Artesanal XI'!J20</f>
        <v>1.2543440370000001</v>
      </c>
      <c r="M204" s="192">
        <f>+'Merluza del sur Artesanal XI'!K20</f>
        <v>0.80008363749212752</v>
      </c>
      <c r="N204" s="193">
        <f>+'Merluza del sur Artesanal XI'!L20</f>
        <v>0</v>
      </c>
      <c r="O204" s="193">
        <f>+'Resumen Cuota Global'!B$4</f>
        <v>44566</v>
      </c>
      <c r="P204" s="191">
        <v>2021</v>
      </c>
      <c r="Q204" s="191"/>
    </row>
    <row r="205" spans="1:17">
      <c r="A205" s="191" t="s">
        <v>363</v>
      </c>
      <c r="B205" s="191" t="s">
        <v>245</v>
      </c>
      <c r="C205" s="191" t="s">
        <v>364</v>
      </c>
      <c r="D205" s="191" t="str">
        <f>+'Merluza del sur Artesanal XI'!B$8</f>
        <v>FLOTA NORTE 1</v>
      </c>
      <c r="E205" s="191" t="str">
        <f>+'Merluza del sur Artesanal XI'!C21</f>
        <v>SOCIEDAD DE PESCADORES PUERTO GALA LTDA 76.580.226-1</v>
      </c>
      <c r="F205" s="191" t="s">
        <v>223</v>
      </c>
      <c r="G205" s="191" t="s">
        <v>249</v>
      </c>
      <c r="H205" s="159">
        <f>+'Merluza del sur Artesanal XI'!F21</f>
        <v>5.712424575</v>
      </c>
      <c r="I205" s="159">
        <f>+'Merluza del sur Artesanal XI'!G21</f>
        <v>0</v>
      </c>
      <c r="J205" s="159">
        <f>+'Merluza del sur Artesanal XI'!H21</f>
        <v>5.712424575</v>
      </c>
      <c r="K205" s="159">
        <f>+'Merluza del sur Artesanal XI'!I21</f>
        <v>5.5259999999999998</v>
      </c>
      <c r="L205" s="159">
        <f>+'Merluza del sur Artesanal XI'!J21</f>
        <v>0.1864245750000002</v>
      </c>
      <c r="M205" s="192">
        <f>+'Merluza del sur Artesanal XI'!K21</f>
        <v>0.9673650701987605</v>
      </c>
      <c r="N205" s="193">
        <f>+'Merluza del sur Artesanal XI'!L21</f>
        <v>44559</v>
      </c>
      <c r="O205" s="193">
        <f>+'Resumen Cuota Global'!B$4</f>
        <v>44566</v>
      </c>
      <c r="P205" s="191">
        <v>2021</v>
      </c>
      <c r="Q205" s="191"/>
    </row>
    <row r="206" spans="1:17">
      <c r="A206" s="191" t="s">
        <v>363</v>
      </c>
      <c r="B206" s="191" t="s">
        <v>245</v>
      </c>
      <c r="C206" s="191" t="s">
        <v>364</v>
      </c>
      <c r="D206" s="191" t="str">
        <f>+'Merluza del sur Artesanal XI'!B$8</f>
        <v>FLOTA NORTE 1</v>
      </c>
      <c r="E206" s="191" t="str">
        <f>+'Merluza del sur Artesanal XI'!C22</f>
        <v>SOCIEDAD ALMONACID, ANDRADE E HIJOS LTDA 76.304.988-4</v>
      </c>
      <c r="F206" s="191" t="s">
        <v>223</v>
      </c>
      <c r="G206" s="191" t="s">
        <v>249</v>
      </c>
      <c r="H206" s="159">
        <f>+'Merluza del sur Artesanal XI'!F22</f>
        <v>22.385381940999999</v>
      </c>
      <c r="I206" s="159">
        <f>+'Merluza del sur Artesanal XI'!G22</f>
        <v>-0.14699999999999999</v>
      </c>
      <c r="J206" s="159">
        <f>+'Merluza del sur Artesanal XI'!H22</f>
        <v>22.238381941</v>
      </c>
      <c r="K206" s="159">
        <f>+'Merluza del sur Artesanal XI'!I22</f>
        <v>22.239000000000001</v>
      </c>
      <c r="L206" s="159">
        <f>+'Merluza del sur Artesanal XI'!J22</f>
        <v>-6.1805900000067027E-4</v>
      </c>
      <c r="M206" s="192">
        <f>+'Merluza del sur Artesanal XI'!K22</f>
        <v>1.0000277924446859</v>
      </c>
      <c r="N206" s="193">
        <f>+'Merluza del sur Artesanal XI'!L22</f>
        <v>0</v>
      </c>
      <c r="O206" s="193">
        <f>+'Resumen Cuota Global'!B$4</f>
        <v>44566</v>
      </c>
      <c r="P206" s="191">
        <v>2021</v>
      </c>
      <c r="Q206" s="191"/>
    </row>
    <row r="207" spans="1:17">
      <c r="A207" s="191" t="s">
        <v>363</v>
      </c>
      <c r="B207" s="191" t="s">
        <v>245</v>
      </c>
      <c r="C207" s="191" t="s">
        <v>364</v>
      </c>
      <c r="D207" s="191" t="str">
        <f>+'Merluza del sur Artesanal XI'!B$8</f>
        <v>FLOTA NORTE 1</v>
      </c>
      <c r="E207" s="191" t="str">
        <f>+'Merluza del sur Artesanal XI'!C23</f>
        <v>SOCIEDAS CHAPARRO, ESCOBAR, ZUÑIGA LTDA 76.923.072-6</v>
      </c>
      <c r="F207" s="191" t="s">
        <v>223</v>
      </c>
      <c r="G207" s="191" t="s">
        <v>249</v>
      </c>
      <c r="H207" s="159">
        <f>+'Merluza del sur Artesanal XI'!F23</f>
        <v>11.927900179</v>
      </c>
      <c r="I207" s="159">
        <f>+'Merluza del sur Artesanal XI'!G23</f>
        <v>-0.186</v>
      </c>
      <c r="J207" s="159">
        <f>+'Merluza del sur Artesanal XI'!H23</f>
        <v>11.741900179</v>
      </c>
      <c r="K207" s="159">
        <f>+'Merluza del sur Artesanal XI'!I23</f>
        <v>11.917999999999999</v>
      </c>
      <c r="L207" s="159">
        <f>+'Merluza del sur Artesanal XI'!J23</f>
        <v>-0.17609982099999932</v>
      </c>
      <c r="M207" s="192">
        <f>+'Merluza del sur Artesanal XI'!K23</f>
        <v>1.0149975573216803</v>
      </c>
      <c r="N207" s="193">
        <f>+'Merluza del sur Artesanal XI'!L23</f>
        <v>0</v>
      </c>
      <c r="O207" s="193">
        <f>+'Resumen Cuota Global'!B$4</f>
        <v>44566</v>
      </c>
      <c r="P207" s="191">
        <v>2021</v>
      </c>
      <c r="Q207" s="191"/>
    </row>
    <row r="208" spans="1:17">
      <c r="A208" s="191" t="s">
        <v>363</v>
      </c>
      <c r="B208" s="191" t="s">
        <v>245</v>
      </c>
      <c r="C208" s="191" t="s">
        <v>364</v>
      </c>
      <c r="D208" s="191" t="str">
        <f>+'Merluza del sur Artesanal XI'!B$8</f>
        <v>FLOTA NORTE 1</v>
      </c>
      <c r="E208" s="191" t="str">
        <f>+'Merluza del sur Artesanal XI'!C27</f>
        <v>NO ASOCIADOS FLOTA NORTE 1</v>
      </c>
      <c r="F208" s="191" t="s">
        <v>223</v>
      </c>
      <c r="G208" s="191" t="s">
        <v>249</v>
      </c>
      <c r="H208" s="159">
        <f>+'Merluza del sur Artesanal XI'!F27</f>
        <v>24.912306328</v>
      </c>
      <c r="I208" s="159">
        <f>+'Merluza del sur Artesanal XI'!G27</f>
        <v>0</v>
      </c>
      <c r="J208" s="159">
        <f>+'Merluza del sur Artesanal XI'!H27</f>
        <v>24.912306328</v>
      </c>
      <c r="K208" s="159">
        <f>+'Merluza del sur Artesanal XI'!I27</f>
        <v>25.09</v>
      </c>
      <c r="L208" s="159">
        <f>+'Merluza del sur Artesanal XI'!J27</f>
        <v>-0.17769367200000019</v>
      </c>
      <c r="M208" s="192">
        <f>+'Merluza del sur Artesanal XI'!K27</f>
        <v>1.0071327668205605</v>
      </c>
      <c r="N208" s="193">
        <f>+'Merluza del sur Artesanal XI'!L27</f>
        <v>0</v>
      </c>
      <c r="O208" s="193">
        <f>+'Resumen Cuota Global'!B$4</f>
        <v>44566</v>
      </c>
      <c r="P208" s="191">
        <v>2021</v>
      </c>
      <c r="Q208" s="191"/>
    </row>
    <row r="209" spans="1:17">
      <c r="A209" s="191" t="s">
        <v>363</v>
      </c>
      <c r="B209" s="191" t="s">
        <v>245</v>
      </c>
      <c r="C209" s="191" t="s">
        <v>364</v>
      </c>
      <c r="D209" s="191" t="s">
        <v>369</v>
      </c>
      <c r="E209" s="191" t="s">
        <v>370</v>
      </c>
      <c r="F209" s="191" t="s">
        <v>223</v>
      </c>
      <c r="G209" s="191" t="s">
        <v>249</v>
      </c>
      <c r="H209" s="159">
        <f>+'Merluza del sur Artesanal XI'!F28</f>
        <v>877.20555323699978</v>
      </c>
      <c r="I209" s="159">
        <f>+'Merluza del sur Artesanal XI'!G28</f>
        <v>-294.01799999999997</v>
      </c>
      <c r="J209" s="159">
        <f>+'Merluza del sur Artesanal XI'!H28</f>
        <v>583.18755323699975</v>
      </c>
      <c r="K209" s="159">
        <f>+'Merluza del sur Artesanal XI'!I28</f>
        <v>534.03499999999997</v>
      </c>
      <c r="L209" s="159">
        <f>+'Merluza del sur Artesanal XI'!J28</f>
        <v>49.152553236999779</v>
      </c>
      <c r="M209" s="192">
        <f>+'Merluza del sur Artesanal XI'!K28</f>
        <v>0.91571741721136346</v>
      </c>
      <c r="N209" s="193" t="str">
        <f>+'Merluza del sur Artesanal XI'!L28</f>
        <v>-</v>
      </c>
      <c r="O209" s="193">
        <f>+'Resumen Cuota Global'!B$4</f>
        <v>44566</v>
      </c>
      <c r="P209" s="191">
        <v>2021</v>
      </c>
      <c r="Q209" s="191"/>
    </row>
    <row r="210" spans="1:17">
      <c r="A210" s="191" t="s">
        <v>363</v>
      </c>
      <c r="B210" s="191" t="s">
        <v>245</v>
      </c>
      <c r="C210" s="191" t="s">
        <v>364</v>
      </c>
      <c r="D210" s="191" t="str">
        <f>+'Merluza del sur Artesanal XI'!B$32</f>
        <v>FLOTA NORTE 2</v>
      </c>
      <c r="E210" s="191" t="str">
        <f>+'Merluza del sur Artesanal XI'!C32</f>
        <v>COOPERATIVA PIONEROS DEL MAR DE PTO CISNES "COOPACIS" ROL 4312</v>
      </c>
      <c r="F210" s="191" t="s">
        <v>223</v>
      </c>
      <c r="G210" s="191" t="s">
        <v>249</v>
      </c>
      <c r="H210" s="159">
        <f>+'Merluza del sur Artesanal XI'!F32</f>
        <v>7.7388902629999992</v>
      </c>
      <c r="I210" s="159">
        <f>+'Merluza del sur Artesanal XI'!G32</f>
        <v>0</v>
      </c>
      <c r="J210" s="159">
        <f>+'Merluza del sur Artesanal XI'!H32</f>
        <v>7.7388902629999992</v>
      </c>
      <c r="K210" s="159">
        <f>+'Merluza del sur Artesanal XI'!I32</f>
        <v>5.3609999999999998</v>
      </c>
      <c r="L210" s="159">
        <f>+'Merluza del sur Artesanal XI'!J32</f>
        <v>2.3778902629999994</v>
      </c>
      <c r="M210" s="192">
        <f>+'Merluza del sur Artesanal XI'!K32</f>
        <v>0.69273498109040188</v>
      </c>
      <c r="N210" s="193" t="str">
        <f>+'Merluza del sur Artesanal XI'!L32</f>
        <v>-</v>
      </c>
      <c r="O210" s="193">
        <f>+'Resumen Cuota Global'!B$4</f>
        <v>44566</v>
      </c>
      <c r="P210" s="191">
        <v>2021</v>
      </c>
      <c r="Q210" s="191"/>
    </row>
    <row r="211" spans="1:17">
      <c r="A211" s="191" t="s">
        <v>363</v>
      </c>
      <c r="B211" s="191" t="s">
        <v>245</v>
      </c>
      <c r="C211" s="191" t="s">
        <v>364</v>
      </c>
      <c r="D211" s="191" t="str">
        <f>+'Merluza del sur Artesanal XI'!B$32</f>
        <v>FLOTA NORTE 2</v>
      </c>
      <c r="E211" s="191" t="str">
        <f>+'Merluza del sur Artesanal XI'!C33</f>
        <v>STI N° 1 PUERTO CISNES RSU 11.05.0018</v>
      </c>
      <c r="F211" s="191" t="s">
        <v>223</v>
      </c>
      <c r="G211" s="191" t="s">
        <v>249</v>
      </c>
      <c r="H211" s="159">
        <f>+'Merluza del sur Artesanal XI'!F33</f>
        <v>76.165582103000006</v>
      </c>
      <c r="I211" s="159">
        <f>+'Merluza del sur Artesanal XI'!G33</f>
        <v>-49.161999999999999</v>
      </c>
      <c r="J211" s="159">
        <f>+'Merluza del sur Artesanal XI'!H33</f>
        <v>27.003582103000006</v>
      </c>
      <c r="K211" s="159">
        <f>+'Merluza del sur Artesanal XI'!I33</f>
        <v>24.617000000000001</v>
      </c>
      <c r="L211" s="159">
        <f>+'Merluza del sur Artesanal XI'!J33</f>
        <v>2.3865821030000056</v>
      </c>
      <c r="M211" s="192">
        <f>+'Merluza del sur Artesanal XI'!K33</f>
        <v>0.91161979570351648</v>
      </c>
      <c r="N211" s="193" t="str">
        <f>+'Merluza del sur Artesanal XI'!L33</f>
        <v>-</v>
      </c>
      <c r="O211" s="193">
        <f>+'Resumen Cuota Global'!B$4</f>
        <v>44566</v>
      </c>
      <c r="P211" s="191">
        <v>2021</v>
      </c>
      <c r="Q211" s="191"/>
    </row>
    <row r="212" spans="1:17">
      <c r="A212" s="191" t="s">
        <v>363</v>
      </c>
      <c r="B212" s="191" t="s">
        <v>245</v>
      </c>
      <c r="C212" s="191" t="s">
        <v>364</v>
      </c>
      <c r="D212" s="191" t="str">
        <f>+'Merluza del sur Artesanal XI'!B$32</f>
        <v>FLOTA NORTE 2</v>
      </c>
      <c r="E212" s="191" t="str">
        <f>+'Merluza del sur Artesanal XI'!C34</f>
        <v>STI ELEFANTES RSU 11.05.0022</v>
      </c>
      <c r="F212" s="191" t="s">
        <v>223</v>
      </c>
      <c r="G212" s="191" t="s">
        <v>249</v>
      </c>
      <c r="H212" s="159">
        <f>+'Merluza del sur Artesanal XI'!F34</f>
        <v>59.507153056000007</v>
      </c>
      <c r="I212" s="159">
        <f>+'Merluza del sur Artesanal XI'!G34</f>
        <v>-57.55</v>
      </c>
      <c r="J212" s="159">
        <f>+'Merluza del sur Artesanal XI'!H34</f>
        <v>1.9571530560000099</v>
      </c>
      <c r="K212" s="159">
        <f>+'Merluza del sur Artesanal XI'!I34</f>
        <v>1.2809999999999999</v>
      </c>
      <c r="L212" s="159">
        <f>+'Merluza del sur Artesanal XI'!J34</f>
        <v>0.67615305600000997</v>
      </c>
      <c r="M212" s="192">
        <f>+'Merluza del sur Artesanal XI'!K34</f>
        <v>0.65452213666828996</v>
      </c>
      <c r="N212" s="193" t="str">
        <f>+'Merluza del sur Artesanal XI'!L34</f>
        <v>-</v>
      </c>
      <c r="O212" s="193">
        <f>+'Resumen Cuota Global'!B$4</f>
        <v>44566</v>
      </c>
      <c r="P212" s="191">
        <v>2021</v>
      </c>
      <c r="Q212" s="191"/>
    </row>
    <row r="213" spans="1:17">
      <c r="A213" s="191" t="s">
        <v>363</v>
      </c>
      <c r="B213" s="191" t="s">
        <v>245</v>
      </c>
      <c r="C213" s="191" t="s">
        <v>364</v>
      </c>
      <c r="D213" s="191" t="str">
        <f>+'Merluza del sur Artesanal XI'!B$32</f>
        <v>FLOTA NORTE 2</v>
      </c>
      <c r="E213" s="191" t="str">
        <f>+'Merluza del sur Artesanal XI'!C35</f>
        <v>STI MORALEDA DE PUERTO CISNES RSU 11.05.0015</v>
      </c>
      <c r="F213" s="191" t="s">
        <v>223</v>
      </c>
      <c r="G213" s="191" t="s">
        <v>249</v>
      </c>
      <c r="H213" s="159">
        <f>+'Merluza del sur Artesanal XI'!F35</f>
        <v>106.63447264600001</v>
      </c>
      <c r="I213" s="159">
        <f>+'Merluza del sur Artesanal XI'!G35</f>
        <v>-103.083</v>
      </c>
      <c r="J213" s="159">
        <f>+'Merluza del sur Artesanal XI'!H35</f>
        <v>3.5514726460000077</v>
      </c>
      <c r="K213" s="159">
        <f>+'Merluza del sur Artesanal XI'!I35</f>
        <v>3.556</v>
      </c>
      <c r="L213" s="159">
        <f>+'Merluza del sur Artesanal XI'!J35</f>
        <v>-4.5273539999923784E-3</v>
      </c>
      <c r="M213" s="192">
        <f>+'Merluza del sur Artesanal XI'!K35</f>
        <v>1.001274782168206</v>
      </c>
      <c r="N213" s="193" t="str">
        <f>+'Merluza del sur Artesanal XI'!L35</f>
        <v>-</v>
      </c>
      <c r="O213" s="193">
        <f>+'Resumen Cuota Global'!B$4</f>
        <v>44566</v>
      </c>
      <c r="P213" s="191">
        <v>2021</v>
      </c>
      <c r="Q213" s="191"/>
    </row>
    <row r="214" spans="1:17">
      <c r="A214" s="191" t="s">
        <v>363</v>
      </c>
      <c r="B214" s="191" t="s">
        <v>245</v>
      </c>
      <c r="C214" s="191" t="s">
        <v>364</v>
      </c>
      <c r="D214" s="191" t="str">
        <f>+'Merluza del sur Artesanal XI'!B$32</f>
        <v>FLOTA NORTE 2</v>
      </c>
      <c r="E214" s="191" t="str">
        <f>+'Merluza del sur Artesanal XI'!C36</f>
        <v>SINDICATO CISNES-LA UNION RSU 11.05.0001</v>
      </c>
      <c r="F214" s="191" t="s">
        <v>223</v>
      </c>
      <c r="G214" s="191" t="s">
        <v>249</v>
      </c>
      <c r="H214" s="159">
        <f>+'Merluza del sur Artesanal XI'!F36</f>
        <v>73.036166410999996</v>
      </c>
      <c r="I214" s="159">
        <f>+'Merluza del sur Artesanal XI'!G36</f>
        <v>-69.480999999999995</v>
      </c>
      <c r="J214" s="159">
        <f>+'Merluza del sur Artesanal XI'!H36</f>
        <v>3.5551664110000019</v>
      </c>
      <c r="K214" s="159">
        <f>+'Merluza del sur Artesanal XI'!I36</f>
        <v>0</v>
      </c>
      <c r="L214" s="159">
        <f>+'Merluza del sur Artesanal XI'!J36</f>
        <v>3.5551664110000019</v>
      </c>
      <c r="M214" s="192">
        <f>+'Merluza del sur Artesanal XI'!K36</f>
        <v>0</v>
      </c>
      <c r="N214" s="193" t="str">
        <f>+'Merluza del sur Artesanal XI'!L36</f>
        <v>-</v>
      </c>
      <c r="O214" s="193">
        <f>+'Resumen Cuota Global'!B$4</f>
        <v>44566</v>
      </c>
      <c r="P214" s="191">
        <v>2021</v>
      </c>
      <c r="Q214" s="191"/>
    </row>
    <row r="215" spans="1:17">
      <c r="A215" s="191" t="s">
        <v>363</v>
      </c>
      <c r="B215" s="191" t="s">
        <v>245</v>
      </c>
      <c r="C215" s="191" t="s">
        <v>364</v>
      </c>
      <c r="D215" s="191" t="str">
        <f>+'Merluza del sur Artesanal XI'!B$32</f>
        <v>FLOTA NORTE 2</v>
      </c>
      <c r="E215" s="191" t="str">
        <f>+'Merluza del sur Artesanal XI'!C37</f>
        <v>ST MORALEDA DE PUERTO GAVIOTA RSU 11.05.0006</v>
      </c>
      <c r="F215" s="191" t="s">
        <v>223</v>
      </c>
      <c r="G215" s="191" t="s">
        <v>249</v>
      </c>
      <c r="H215" s="159">
        <f>+'Merluza del sur Artesanal XI'!F37</f>
        <v>87.167310399000002</v>
      </c>
      <c r="I215" s="159">
        <f>+'Merluza del sur Artesanal XI'!G37</f>
        <v>0</v>
      </c>
      <c r="J215" s="159">
        <f>+'Merluza del sur Artesanal XI'!H37</f>
        <v>87.167310399000002</v>
      </c>
      <c r="K215" s="159">
        <f>+'Merluza del sur Artesanal XI'!I37</f>
        <v>68.756</v>
      </c>
      <c r="L215" s="159">
        <f>+'Merluza del sur Artesanal XI'!J37</f>
        <v>18.411310399000001</v>
      </c>
      <c r="M215" s="192">
        <f>+'Merluza del sur Artesanal XI'!K37</f>
        <v>0.78878193769288063</v>
      </c>
      <c r="N215" s="193" t="str">
        <f>+'Merluza del sur Artesanal XI'!L37</f>
        <v>-</v>
      </c>
      <c r="O215" s="193">
        <f>+'Resumen Cuota Global'!B$4</f>
        <v>44566</v>
      </c>
      <c r="P215" s="191">
        <v>2021</v>
      </c>
      <c r="Q215" s="191"/>
    </row>
    <row r="216" spans="1:17">
      <c r="A216" s="191" t="s">
        <v>363</v>
      </c>
      <c r="B216" s="191" t="s">
        <v>245</v>
      </c>
      <c r="C216" s="191" t="s">
        <v>364</v>
      </c>
      <c r="D216" s="191" t="str">
        <f>+'Merluza del sur Artesanal XI'!B$32</f>
        <v>FLOTA NORTE 2</v>
      </c>
      <c r="E216" s="191" t="str">
        <f>+'Merluza del sur Artesanal XI'!C38</f>
        <v>STI AMPARO DE PUERTO GAVIOTA RSU 11.05.0005</v>
      </c>
      <c r="F216" s="191" t="s">
        <v>223</v>
      </c>
      <c r="G216" s="191" t="s">
        <v>249</v>
      </c>
      <c r="H216" s="159">
        <f>+'Merluza del sur Artesanal XI'!F38</f>
        <v>25.585703494000001</v>
      </c>
      <c r="I216" s="159">
        <f>+'Merluza del sur Artesanal XI'!G38</f>
        <v>0</v>
      </c>
      <c r="J216" s="159">
        <f>+'Merluza del sur Artesanal XI'!H38</f>
        <v>25.585703494000001</v>
      </c>
      <c r="K216" s="159">
        <f>+'Merluza del sur Artesanal XI'!I38</f>
        <v>24.012</v>
      </c>
      <c r="L216" s="159">
        <f>+'Merluza del sur Artesanal XI'!J38</f>
        <v>1.5737034940000001</v>
      </c>
      <c r="M216" s="192">
        <f>+'Merluza del sur Artesanal XI'!K38</f>
        <v>0.93849285815537409</v>
      </c>
      <c r="N216" s="193" t="str">
        <f>+'Merluza del sur Artesanal XI'!L38</f>
        <v>-</v>
      </c>
      <c r="O216" s="193">
        <f>+'Resumen Cuota Global'!B$4</f>
        <v>44566</v>
      </c>
      <c r="P216" s="191">
        <v>2021</v>
      </c>
      <c r="Q216" s="191"/>
    </row>
    <row r="217" spans="1:17">
      <c r="A217" s="191" t="s">
        <v>363</v>
      </c>
      <c r="B217" s="191" t="s">
        <v>245</v>
      </c>
      <c r="C217" s="191" t="s">
        <v>364</v>
      </c>
      <c r="D217" s="191" t="str">
        <f>+'Merluza del sur Artesanal XI'!B$32</f>
        <v>FLOTA NORTE 2</v>
      </c>
      <c r="E217" s="191" t="str">
        <f>+'Merluza del sur Artesanal XI'!C39</f>
        <v>STI LITORAL NORTE RSU 11.05.0013</v>
      </c>
      <c r="F217" s="191" t="s">
        <v>223</v>
      </c>
      <c r="G217" s="191" t="s">
        <v>249</v>
      </c>
      <c r="H217" s="159">
        <f>+'Merluza del sur Artesanal XI'!F39</f>
        <v>59.650298513000003</v>
      </c>
      <c r="I217" s="159">
        <f>+'Merluza del sur Artesanal XI'!G39</f>
        <v>-59.65</v>
      </c>
      <c r="J217" s="159">
        <f>+'Merluza del sur Artesanal XI'!H39</f>
        <v>2.9851300000416359E-4</v>
      </c>
      <c r="K217" s="159">
        <f>+'Merluza del sur Artesanal XI'!I39</f>
        <v>0</v>
      </c>
      <c r="L217" s="159">
        <f>+'Merluza del sur Artesanal XI'!J39</f>
        <v>2.9851300000416359E-4</v>
      </c>
      <c r="M217" s="192">
        <f>+'Merluza del sur Artesanal XI'!K39</f>
        <v>0</v>
      </c>
      <c r="N217" s="193">
        <f>+'Merluza del sur Artesanal XI'!L39</f>
        <v>44242</v>
      </c>
      <c r="O217" s="193">
        <f>+'Resumen Cuota Global'!B$4</f>
        <v>44566</v>
      </c>
      <c r="P217" s="191">
        <v>2021</v>
      </c>
      <c r="Q217" s="191"/>
    </row>
    <row r="218" spans="1:17">
      <c r="A218" s="191" t="s">
        <v>363</v>
      </c>
      <c r="B218" s="191" t="s">
        <v>245</v>
      </c>
      <c r="C218" s="191" t="s">
        <v>364</v>
      </c>
      <c r="D218" s="191" t="str">
        <f>+'Merluza del sur Artesanal XI'!B$32</f>
        <v>FLOTA NORTE 2</v>
      </c>
      <c r="E218" s="191" t="str">
        <f>+'Merluza del sur Artesanal XI'!C40</f>
        <v>AG DEMERSAL RAG 85-11</v>
      </c>
      <c r="F218" s="191" t="s">
        <v>223</v>
      </c>
      <c r="G218" s="191" t="s">
        <v>249</v>
      </c>
      <c r="H218" s="159">
        <f>+'Merluza del sur Artesanal XI'!F40</f>
        <v>213.44095202299999</v>
      </c>
      <c r="I218" s="159">
        <f>+'Merluza del sur Artesanal XI'!G40</f>
        <v>-209.21</v>
      </c>
      <c r="J218" s="159">
        <f>+'Merluza del sur Artesanal XI'!H40</f>
        <v>4.2309520229999862</v>
      </c>
      <c r="K218" s="159">
        <f>+'Merluza del sur Artesanal XI'!I40</f>
        <v>2.7040000000000002</v>
      </c>
      <c r="L218" s="159">
        <f>+'Merluza del sur Artesanal XI'!J40</f>
        <v>1.526952022999986</v>
      </c>
      <c r="M218" s="192">
        <f>+'Merluza del sur Artesanal XI'!K40</f>
        <v>0.63909966014757835</v>
      </c>
      <c r="N218" s="193" t="str">
        <f>+'Merluza del sur Artesanal XI'!L40</f>
        <v>-</v>
      </c>
      <c r="O218" s="193">
        <f>+'Resumen Cuota Global'!B$4</f>
        <v>44566</v>
      </c>
      <c r="P218" s="191">
        <v>2021</v>
      </c>
      <c r="Q218" s="191"/>
    </row>
    <row r="219" spans="1:17">
      <c r="A219" s="191" t="s">
        <v>363</v>
      </c>
      <c r="B219" s="191" t="s">
        <v>245</v>
      </c>
      <c r="C219" s="191" t="s">
        <v>364</v>
      </c>
      <c r="D219" s="191" t="str">
        <f>+'Merluza del sur Artesanal XI'!B$32</f>
        <v>FLOTA NORTE 2</v>
      </c>
      <c r="E219" s="191" t="str">
        <f>+'Merluza del sur Artesanal XI'!C41</f>
        <v>STI EL PITICO RSU 11.05.0024</v>
      </c>
      <c r="F219" s="191" t="s">
        <v>223</v>
      </c>
      <c r="G219" s="191" t="s">
        <v>249</v>
      </c>
      <c r="H219" s="159">
        <f>+'Merluza del sur Artesanal XI'!F41</f>
        <v>50.124079369</v>
      </c>
      <c r="I219" s="159">
        <f>+'Merluza del sur Artesanal XI'!G41</f>
        <v>-50.124000000000002</v>
      </c>
      <c r="J219" s="159">
        <f>+'Merluza del sur Artesanal XI'!H41</f>
        <v>7.9368999998052914E-5</v>
      </c>
      <c r="K219" s="159">
        <f>+'Merluza del sur Artesanal XI'!I41</f>
        <v>0</v>
      </c>
      <c r="L219" s="159">
        <f>+'Merluza del sur Artesanal XI'!J41</f>
        <v>7.9368999998052914E-5</v>
      </c>
      <c r="M219" s="192">
        <f>+'Merluza del sur Artesanal XI'!K41</f>
        <v>0</v>
      </c>
      <c r="N219" s="193">
        <f>+'Merluza del sur Artesanal XI'!L41</f>
        <v>44274</v>
      </c>
      <c r="O219" s="193">
        <f>+'Resumen Cuota Global'!B$4</f>
        <v>44566</v>
      </c>
      <c r="P219" s="191">
        <v>2021</v>
      </c>
      <c r="Q219" s="191"/>
    </row>
    <row r="220" spans="1:17">
      <c r="A220" s="191" t="s">
        <v>363</v>
      </c>
      <c r="B220" s="191" t="s">
        <v>245</v>
      </c>
      <c r="C220" s="191" t="s">
        <v>364</v>
      </c>
      <c r="D220" s="191" t="str">
        <f>+'Merluza del sur Artesanal XI'!B$32</f>
        <v>FLOTA NORTE 2</v>
      </c>
      <c r="E220" s="191" t="str">
        <f>+'Merluza del sur Artesanal XI'!C42</f>
        <v>STI FRUTO DE DIOS RSU 11.05.0021</v>
      </c>
      <c r="F220" s="191" t="s">
        <v>223</v>
      </c>
      <c r="G220" s="191" t="s">
        <v>249</v>
      </c>
      <c r="H220" s="159">
        <f>+'Merluza del sur Artesanal XI'!F42</f>
        <v>22.868780103000002</v>
      </c>
      <c r="I220" s="159">
        <f>+'Merluza del sur Artesanal XI'!G42</f>
        <v>-20.012</v>
      </c>
      <c r="J220" s="159">
        <f>+'Merluza del sur Artesanal XI'!H42</f>
        <v>2.856780103000002</v>
      </c>
      <c r="K220" s="159">
        <f>+'Merluza del sur Artesanal XI'!I42</f>
        <v>2.669</v>
      </c>
      <c r="L220" s="159">
        <f>+'Merluza del sur Artesanal XI'!J42</f>
        <v>0.18778010300000192</v>
      </c>
      <c r="M220" s="192">
        <f>+'Merluza del sur Artesanal XI'!K42</f>
        <v>0.93426861843415687</v>
      </c>
      <c r="N220" s="193" t="str">
        <f>+'Merluza del sur Artesanal XI'!L42</f>
        <v>-</v>
      </c>
      <c r="O220" s="193">
        <f>+'Resumen Cuota Global'!B$4</f>
        <v>44566</v>
      </c>
      <c r="P220" s="191">
        <v>2021</v>
      </c>
      <c r="Q220" s="191"/>
    </row>
    <row r="221" spans="1:17">
      <c r="A221" s="191" t="s">
        <v>363</v>
      </c>
      <c r="B221" s="191" t="s">
        <v>245</v>
      </c>
      <c r="C221" s="191" t="s">
        <v>364</v>
      </c>
      <c r="D221" s="191" t="str">
        <f>+'Merluza del sur Artesanal XI'!B$32</f>
        <v>FLOTA NORTE 2</v>
      </c>
      <c r="E221" s="191" t="str">
        <f>+'Merluza del sur Artesanal XI'!C43</f>
        <v>STI SAN PEDRO RSU 11.05.0019</v>
      </c>
      <c r="F221" s="191" t="s">
        <v>223</v>
      </c>
      <c r="G221" s="191" t="s">
        <v>249</v>
      </c>
      <c r="H221" s="159">
        <f>+'Merluza del sur Artesanal XI'!F43</f>
        <v>14.063070905</v>
      </c>
      <c r="I221" s="159">
        <f>+'Merluza del sur Artesanal XI'!G43</f>
        <v>-10.737</v>
      </c>
      <c r="J221" s="159">
        <f>+'Merluza del sur Artesanal XI'!H43</f>
        <v>3.3260709049999999</v>
      </c>
      <c r="K221" s="159">
        <f>+'Merluza del sur Artesanal XI'!I43</f>
        <v>3.3239999999999998</v>
      </c>
      <c r="L221" s="159">
        <f>+'Merluza del sur Artesanal XI'!J43</f>
        <v>2.0709050000000673E-3</v>
      </c>
      <c r="M221" s="192">
        <f>+'Merluza del sur Artesanal XI'!K43</f>
        <v>0.99937737196254994</v>
      </c>
      <c r="N221" s="193" t="str">
        <f>+'Merluza del sur Artesanal XI'!L43</f>
        <v>-</v>
      </c>
      <c r="O221" s="193">
        <f>+'Resumen Cuota Global'!B$4</f>
        <v>44566</v>
      </c>
      <c r="P221" s="191">
        <v>2021</v>
      </c>
      <c r="Q221" s="191"/>
    </row>
    <row r="222" spans="1:17">
      <c r="A222" s="191" t="s">
        <v>363</v>
      </c>
      <c r="B222" s="191" t="s">
        <v>245</v>
      </c>
      <c r="C222" s="191" t="s">
        <v>364</v>
      </c>
      <c r="D222" s="191" t="str">
        <f>+'Merluza del sur Artesanal XI'!B$32</f>
        <v>FLOTA NORTE 2</v>
      </c>
      <c r="E222" s="191" t="str">
        <f>+'Merluza del sur Artesanal XI'!C44</f>
        <v>STI DE LA PESCA ARTESANAL DE PTO GAVIOTA RSU 11.02.0025</v>
      </c>
      <c r="F222" s="191" t="s">
        <v>223</v>
      </c>
      <c r="G222" s="191" t="s">
        <v>249</v>
      </c>
      <c r="H222" s="159">
        <f>+'Merluza del sur Artesanal XI'!F44</f>
        <v>43.368786734000004</v>
      </c>
      <c r="I222" s="159">
        <f>+'Merluza del sur Artesanal XI'!G44</f>
        <v>-36.518000000000001</v>
      </c>
      <c r="J222" s="159">
        <f>+'Merluza del sur Artesanal XI'!H44</f>
        <v>6.8507867340000033</v>
      </c>
      <c r="K222" s="159">
        <f>+'Merluza del sur Artesanal XI'!I44</f>
        <v>5.7590000000000003</v>
      </c>
      <c r="L222" s="159">
        <f>+'Merluza del sur Artesanal XI'!J44</f>
        <v>1.0917867340000029</v>
      </c>
      <c r="M222" s="192">
        <f>+'Merluza del sur Artesanal XI'!K44</f>
        <v>0.84063337885245537</v>
      </c>
      <c r="N222" s="193" t="str">
        <f>+'Merluza del sur Artesanal XI'!L44</f>
        <v>-</v>
      </c>
      <c r="O222" s="193">
        <f>+'Resumen Cuota Global'!B$4</f>
        <v>44566</v>
      </c>
      <c r="P222" s="191">
        <v>2021</v>
      </c>
      <c r="Q222" s="191"/>
    </row>
    <row r="223" spans="1:17">
      <c r="A223" s="191" t="s">
        <v>363</v>
      </c>
      <c r="B223" s="191" t="s">
        <v>245</v>
      </c>
      <c r="C223" s="191" t="s">
        <v>364</v>
      </c>
      <c r="D223" s="191" t="str">
        <f>+'Merluza del sur Artesanal XI'!B$32</f>
        <v>FLOTA NORTE 2</v>
      </c>
      <c r="E223" s="191" t="str">
        <f>+'Merluza del sur Artesanal XI'!C45</f>
        <v>SOCIEDAD MAYORGA Y DIAZ LTDA 76.665.337-5</v>
      </c>
      <c r="F223" s="191" t="s">
        <v>223</v>
      </c>
      <c r="G223" s="191" t="s">
        <v>249</v>
      </c>
      <c r="H223" s="159">
        <f>+'Merluza del sur Artesanal XI'!F45</f>
        <v>4.3016898600000006</v>
      </c>
      <c r="I223" s="159">
        <f>+'Merluza del sur Artesanal XI'!G45</f>
        <v>-4.3019999999999996</v>
      </c>
      <c r="J223" s="159">
        <f>+'Merluza del sur Artesanal XI'!H45</f>
        <v>-3.1013999999895958E-4</v>
      </c>
      <c r="K223" s="159">
        <f>+'Merluza del sur Artesanal XI'!I45</f>
        <v>0</v>
      </c>
      <c r="L223" s="159">
        <f>+'Merluza del sur Artesanal XI'!J45</f>
        <v>-3.1013999999895958E-4</v>
      </c>
      <c r="M223" s="192">
        <f>+'Merluza del sur Artesanal XI'!K45</f>
        <v>0</v>
      </c>
      <c r="N223" s="193">
        <f>+'Merluza del sur Artesanal XI'!L45</f>
        <v>44236</v>
      </c>
      <c r="O223" s="193">
        <f>+'Resumen Cuota Global'!B$4</f>
        <v>44566</v>
      </c>
      <c r="P223" s="191">
        <v>2021</v>
      </c>
      <c r="Q223" s="191"/>
    </row>
    <row r="224" spans="1:17">
      <c r="A224" s="191" t="s">
        <v>363</v>
      </c>
      <c r="B224" s="191" t="s">
        <v>245</v>
      </c>
      <c r="C224" s="191" t="s">
        <v>364</v>
      </c>
      <c r="D224" s="191" t="str">
        <f>+'Merluza del sur Artesanal XI'!B$32</f>
        <v>FLOTA NORTE 2</v>
      </c>
      <c r="E224" s="191" t="str">
        <f>+'Merluza del sur Artesanal XI'!C46</f>
        <v>SOCIEDAD SERV. PESCA CISNES LTDA 76.288.822-K</v>
      </c>
      <c r="F224" s="191" t="s">
        <v>223</v>
      </c>
      <c r="G224" s="191" t="s">
        <v>249</v>
      </c>
      <c r="H224" s="159">
        <f>+'Merluza del sur Artesanal XI'!F46</f>
        <v>11.654165159</v>
      </c>
      <c r="I224" s="159">
        <f>+'Merluza del sur Artesanal XI'!G46</f>
        <v>-11.654</v>
      </c>
      <c r="J224" s="159">
        <f>+'Merluza del sur Artesanal XI'!H46</f>
        <v>1.6515899999980377E-4</v>
      </c>
      <c r="K224" s="159">
        <f>+'Merluza del sur Artesanal XI'!I46</f>
        <v>0</v>
      </c>
      <c r="L224" s="159">
        <f>+'Merluza del sur Artesanal XI'!J46</f>
        <v>1.6515899999980377E-4</v>
      </c>
      <c r="M224" s="192">
        <f>+'Merluza del sur Artesanal XI'!K46</f>
        <v>0</v>
      </c>
      <c r="N224" s="193">
        <f>+'Merluza del sur Artesanal XI'!L46</f>
        <v>44334</v>
      </c>
      <c r="O224" s="193">
        <f>+'Resumen Cuota Global'!B$4</f>
        <v>44566</v>
      </c>
      <c r="P224" s="191">
        <v>2021</v>
      </c>
      <c r="Q224" s="191"/>
    </row>
    <row r="225" spans="1:17">
      <c r="A225" s="191" t="s">
        <v>363</v>
      </c>
      <c r="B225" s="191" t="s">
        <v>245</v>
      </c>
      <c r="C225" s="191" t="s">
        <v>364</v>
      </c>
      <c r="D225" s="191" t="str">
        <f>+'Merluza del sur Artesanal XI'!B$32</f>
        <v>FLOTA NORTE 2</v>
      </c>
      <c r="E225" s="191" t="str">
        <f>+'Merluza del sur Artesanal XI'!C47</f>
        <v>SOCIEDAD AMPARO LTDA 76.747.166-1</v>
      </c>
      <c r="F225" s="191" t="s">
        <v>223</v>
      </c>
      <c r="G225" s="191" t="s">
        <v>249</v>
      </c>
      <c r="H225" s="159">
        <f>+'Merluza del sur Artesanal XI'!F47</f>
        <v>20.460531832000001</v>
      </c>
      <c r="I225" s="159">
        <f>+'Merluza del sur Artesanal XI'!G47</f>
        <v>0</v>
      </c>
      <c r="J225" s="159">
        <f>+'Merluza del sur Artesanal XI'!H47</f>
        <v>20.460531832000001</v>
      </c>
      <c r="K225" s="159">
        <f>+'Merluza del sur Artesanal XI'!I47</f>
        <v>21.338999999999999</v>
      </c>
      <c r="L225" s="159">
        <f>+'Merluza del sur Artesanal XI'!J47</f>
        <v>-0.87846816799999772</v>
      </c>
      <c r="M225" s="192">
        <f>+'Merluza del sur Artesanal XI'!K47</f>
        <v>1.0429347670536151</v>
      </c>
      <c r="N225" s="193" t="str">
        <f>+'Merluza del sur Artesanal XI'!L47</f>
        <v>-</v>
      </c>
      <c r="O225" s="193">
        <f>+'Resumen Cuota Global'!B$4</f>
        <v>44566</v>
      </c>
      <c r="P225" s="191">
        <v>2021</v>
      </c>
      <c r="Q225" s="191"/>
    </row>
    <row r="226" spans="1:17">
      <c r="A226" s="191" t="s">
        <v>363</v>
      </c>
      <c r="B226" s="191" t="s">
        <v>245</v>
      </c>
      <c r="C226" s="191" t="s">
        <v>364</v>
      </c>
      <c r="D226" s="191" t="str">
        <f>+'Merluza del sur Artesanal XI'!B$32</f>
        <v>FLOTA NORTE 2</v>
      </c>
      <c r="E226" s="191" t="str">
        <f>+'Merluza del sur Artesanal XI'!C48</f>
        <v>SOCIEDAD PESCADORES ARTESANALES EL NUEVO PESCADOR LTDA 77.043.809-8</v>
      </c>
      <c r="F226" s="191" t="s">
        <v>223</v>
      </c>
      <c r="G226" s="191" t="s">
        <v>249</v>
      </c>
      <c r="H226" s="159">
        <f>+'Merluza del sur Artesanal XI'!F48</f>
        <v>27.745486327000002</v>
      </c>
      <c r="I226" s="159">
        <f>+'Merluza del sur Artesanal XI'!G48</f>
        <v>-27.745000000000001</v>
      </c>
      <c r="J226" s="159">
        <f>+'Merluza del sur Artesanal XI'!H48</f>
        <v>4.8632700000084128E-4</v>
      </c>
      <c r="K226" s="159">
        <f>+'Merluza del sur Artesanal XI'!I48</f>
        <v>0</v>
      </c>
      <c r="L226" s="159">
        <f>+'Merluza del sur Artesanal XI'!J48</f>
        <v>4.8632700000084128E-4</v>
      </c>
      <c r="M226" s="192">
        <f>+'Merluza del sur Artesanal XI'!K48</f>
        <v>0</v>
      </c>
      <c r="N226" s="193">
        <f>+'Merluza del sur Artesanal XI'!L48</f>
        <v>44236</v>
      </c>
      <c r="O226" s="193">
        <f>+'Resumen Cuota Global'!B$4</f>
        <v>44566</v>
      </c>
      <c r="P226" s="191">
        <v>2021</v>
      </c>
      <c r="Q226" s="191"/>
    </row>
    <row r="227" spans="1:17">
      <c r="A227" s="191" t="s">
        <v>363</v>
      </c>
      <c r="B227" s="191" t="s">
        <v>245</v>
      </c>
      <c r="C227" s="191" t="s">
        <v>364</v>
      </c>
      <c r="D227" s="191" t="str">
        <f>+'Merluza del sur Artesanal XI'!B$32</f>
        <v>FLOTA NORTE 2</v>
      </c>
      <c r="E227" s="191" t="str">
        <f>+'Merluza del sur Artesanal XI'!C49</f>
        <v>SOCIEDAD DE PESCADORES ARTESANALES SOBUMAR DE CISNES LTDA 77.056.576-6</v>
      </c>
      <c r="F227" s="191" t="s">
        <v>223</v>
      </c>
      <c r="G227" s="191" t="s">
        <v>249</v>
      </c>
      <c r="H227" s="159">
        <f>+'Merluza del sur Artesanal XI'!F49</f>
        <v>13.94835091</v>
      </c>
      <c r="I227" s="159">
        <f>+'Merluza del sur Artesanal XI'!G49</f>
        <v>-13.948</v>
      </c>
      <c r="J227" s="159">
        <f>+'Merluza del sur Artesanal XI'!H49</f>
        <v>3.5090999999987105E-4</v>
      </c>
      <c r="K227" s="159">
        <f>+'Merluza del sur Artesanal XI'!I49</f>
        <v>0</v>
      </c>
      <c r="L227" s="159">
        <f>+'Merluza del sur Artesanal XI'!J49</f>
        <v>3.5090999999987105E-4</v>
      </c>
      <c r="M227" s="192">
        <f>+'Merluza del sur Artesanal XI'!K49</f>
        <v>0</v>
      </c>
      <c r="N227" s="193">
        <f>+'Merluza del sur Artesanal XI'!L49</f>
        <v>44230</v>
      </c>
      <c r="O227" s="193">
        <f>+'Resumen Cuota Global'!B$4</f>
        <v>44566</v>
      </c>
      <c r="P227" s="191">
        <v>2021</v>
      </c>
      <c r="Q227" s="191"/>
    </row>
    <row r="228" spans="1:17">
      <c r="A228" s="191" t="s">
        <v>363</v>
      </c>
      <c r="B228" s="191" t="s">
        <v>245</v>
      </c>
      <c r="C228" s="191" t="s">
        <v>364</v>
      </c>
      <c r="D228" s="191" t="str">
        <f>+'Merluza del sur Artesanal XI'!B$32</f>
        <v>FLOTA NORTE 2</v>
      </c>
      <c r="E228" s="191" t="str">
        <f>+'Merluza del sur Artesanal XI'!C50</f>
        <v>SOCIEDAD DE PESCADORES ARTESANALES Y DE TURISMO DEL SUR LTDA 76.909.697-3</v>
      </c>
      <c r="F228" s="191" t="s">
        <v>223</v>
      </c>
      <c r="G228" s="191" t="s">
        <v>249</v>
      </c>
      <c r="H228" s="159">
        <f>+'Merluza del sur Artesanal XI'!F50</f>
        <v>3.8668171099999995</v>
      </c>
      <c r="I228" s="159">
        <f>+'Merluza del sur Artesanal XI'!G50</f>
        <v>0</v>
      </c>
      <c r="J228" s="159">
        <f>+'Merluza del sur Artesanal XI'!H50</f>
        <v>3.8668171099999995</v>
      </c>
      <c r="K228" s="159">
        <f>+'Merluza del sur Artesanal XI'!I50</f>
        <v>1.111</v>
      </c>
      <c r="L228" s="159">
        <f>+'Merluza del sur Artesanal XI'!J50</f>
        <v>2.7558171099999997</v>
      </c>
      <c r="M228" s="192">
        <f>+'Merluza del sur Artesanal XI'!K50</f>
        <v>0.28731640736947089</v>
      </c>
      <c r="N228" s="193" t="str">
        <f>+'Merluza del sur Artesanal XI'!L50</f>
        <v>-</v>
      </c>
      <c r="O228" s="193">
        <f>+'Resumen Cuota Global'!B$4</f>
        <v>44566</v>
      </c>
      <c r="P228" s="191">
        <v>2021</v>
      </c>
      <c r="Q228" s="191"/>
    </row>
    <row r="229" spans="1:17">
      <c r="A229" s="191" t="s">
        <v>363</v>
      </c>
      <c r="B229" s="191" t="s">
        <v>245</v>
      </c>
      <c r="C229" s="191" t="s">
        <v>364</v>
      </c>
      <c r="D229" s="191" t="str">
        <f>+'Merluza del sur Artesanal XI'!B$32</f>
        <v>FLOTA NORTE 2</v>
      </c>
      <c r="E229" s="191" t="str">
        <f>+'Merluza del sur Artesanal XI'!C51</f>
        <v>SOCIEDAD PESCA ARTESANAL EL PESCADOR LTDA 77.058.922-3</v>
      </c>
      <c r="F229" s="191" t="s">
        <v>223</v>
      </c>
      <c r="G229" s="191" t="s">
        <v>249</v>
      </c>
      <c r="H229" s="159">
        <f>+'Merluza del sur Artesanal XI'!F51</f>
        <v>9.9009798940000007</v>
      </c>
      <c r="I229" s="159">
        <f>+'Merluza del sur Artesanal XI'!G51</f>
        <v>-9.9009999999999998</v>
      </c>
      <c r="J229" s="159">
        <f>+'Merluza del sur Artesanal XI'!H51</f>
        <v>-2.0105999999131541E-5</v>
      </c>
      <c r="K229" s="159">
        <f>+'Merluza del sur Artesanal XI'!I51</f>
        <v>0</v>
      </c>
      <c r="L229" s="159">
        <f>+'Merluza del sur Artesanal XI'!J51</f>
        <v>-2.0105999999131541E-5</v>
      </c>
      <c r="M229" s="192">
        <f>+'Merluza del sur Artesanal XI'!K51</f>
        <v>0</v>
      </c>
      <c r="N229" s="193">
        <f>+'Merluza del sur Artesanal XI'!L51</f>
        <v>44230</v>
      </c>
      <c r="O229" s="193">
        <f>+'Resumen Cuota Global'!B$4</f>
        <v>44566</v>
      </c>
      <c r="P229" s="191">
        <v>2021</v>
      </c>
      <c r="Q229" s="191"/>
    </row>
    <row r="230" spans="1:17">
      <c r="A230" s="191" t="s">
        <v>363</v>
      </c>
      <c r="B230" s="191" t="s">
        <v>245</v>
      </c>
      <c r="C230" s="191" t="s">
        <v>364</v>
      </c>
      <c r="D230" s="191" t="str">
        <f>+'Merluza del sur Artesanal XI'!B$32</f>
        <v>FLOTA NORTE 2</v>
      </c>
      <c r="E230" s="191" t="str">
        <f>+'Merluza del sur Artesanal XI'!C52</f>
        <v>NO ASOCIADOS FLOTA NORTE 2</v>
      </c>
      <c r="F230" s="191" t="s">
        <v>223</v>
      </c>
      <c r="G230" s="191" t="s">
        <v>249</v>
      </c>
      <c r="H230" s="159">
        <f>+'Merluza del sur Artesanal XI'!F52</f>
        <v>8.2249446240000008</v>
      </c>
      <c r="I230" s="159">
        <f>+'Merluza del sur Artesanal XI'!G52</f>
        <v>0</v>
      </c>
      <c r="J230" s="159">
        <f>+'Merluza del sur Artesanal XI'!H52</f>
        <v>8.2249446240000008</v>
      </c>
      <c r="K230" s="159">
        <f>+'Merluza del sur Artesanal XI'!I52</f>
        <v>6.6669999999999998</v>
      </c>
      <c r="L230" s="159">
        <f>+'Merluza del sur Artesanal XI'!J52</f>
        <v>1.557944624000001</v>
      </c>
      <c r="M230" s="192">
        <f>+'Merluza del sur Artesanal XI'!K52</f>
        <v>0.81058296496562521</v>
      </c>
      <c r="N230" s="193" t="str">
        <f>+'Merluza del sur Artesanal XI'!L52</f>
        <v>-</v>
      </c>
      <c r="O230" s="193">
        <f>+'Resumen Cuota Global'!B$4</f>
        <v>44566</v>
      </c>
      <c r="P230" s="191">
        <v>2021</v>
      </c>
      <c r="Q230" s="191"/>
    </row>
    <row r="231" spans="1:17">
      <c r="A231" s="191" t="s">
        <v>363</v>
      </c>
      <c r="B231" s="191" t="s">
        <v>245</v>
      </c>
      <c r="C231" s="191" t="s">
        <v>364</v>
      </c>
      <c r="D231" s="191" t="s">
        <v>371</v>
      </c>
      <c r="E231" s="191" t="s">
        <v>372</v>
      </c>
      <c r="F231" s="191" t="s">
        <v>223</v>
      </c>
      <c r="G231" s="191" t="s">
        <v>249</v>
      </c>
      <c r="H231" s="159">
        <f>+'Merluza del sur Artesanal XI'!F53</f>
        <v>939.45421173499983</v>
      </c>
      <c r="I231" s="159">
        <f>+'Merluza del sur Artesanal XI'!G53</f>
        <v>-733.07699999999988</v>
      </c>
      <c r="J231" s="159">
        <f>+'Merluza del sur Artesanal XI'!H53</f>
        <v>206.37721173499995</v>
      </c>
      <c r="K231" s="159">
        <f>+'Merluza del sur Artesanal XI'!I53</f>
        <v>171.15600000000003</v>
      </c>
      <c r="L231" s="159">
        <f>+'Merluza del sur Artesanal XI'!J53</f>
        <v>35.221211734999912</v>
      </c>
      <c r="M231" s="192">
        <f>+'Merluza del sur Artesanal XI'!K53</f>
        <v>0.82933575156434447</v>
      </c>
      <c r="N231" s="193" t="str">
        <f>+'Merluza del sur Artesanal XI'!L53</f>
        <v>-</v>
      </c>
      <c r="O231" s="193">
        <f>+'Resumen Cuota Global'!B$4</f>
        <v>44566</v>
      </c>
      <c r="P231" s="191">
        <v>2021</v>
      </c>
      <c r="Q231" s="191"/>
    </row>
    <row r="232" spans="1:17">
      <c r="A232" s="191" t="s">
        <v>363</v>
      </c>
      <c r="B232" s="191" t="s">
        <v>245</v>
      </c>
      <c r="C232" s="191" t="s">
        <v>364</v>
      </c>
      <c r="D232" s="191" t="str">
        <f>+'Merluza del sur Artesanal XI'!B$57</f>
        <v>FLOTA SUR 1</v>
      </c>
      <c r="E232" s="191" t="str">
        <f>+'Merluza del sur Artesanal XI'!C57</f>
        <v>SIND. CHACABUCO-WALTER MONTIEL RSU 11.02.0041</v>
      </c>
      <c r="F232" s="191" t="s">
        <v>223</v>
      </c>
      <c r="G232" s="191" t="s">
        <v>249</v>
      </c>
      <c r="H232" s="159">
        <f>+'Merluza del sur Artesanal XI'!F57</f>
        <v>40.713455601</v>
      </c>
      <c r="I232" s="159">
        <f>+'Merluza del sur Artesanal XI'!G57</f>
        <v>-40.713000000000001</v>
      </c>
      <c r="J232" s="159">
        <f>+'Merluza del sur Artesanal XI'!H57</f>
        <v>4.5560099999875092E-4</v>
      </c>
      <c r="K232" s="159">
        <f>+'Merluza del sur Artesanal XI'!I57</f>
        <v>0</v>
      </c>
      <c r="L232" s="159">
        <f>+'Merluza del sur Artesanal XI'!J57</f>
        <v>4.5560099999875092E-4</v>
      </c>
      <c r="M232" s="192">
        <f>+'Merluza del sur Artesanal XI'!K57</f>
        <v>0</v>
      </c>
      <c r="N232" s="193">
        <f>+'Merluza del sur Artesanal XI'!L57</f>
        <v>44230</v>
      </c>
      <c r="O232" s="193">
        <f>+'Resumen Cuota Global'!B$4</f>
        <v>44566</v>
      </c>
      <c r="P232" s="191">
        <v>2021</v>
      </c>
      <c r="Q232" s="191"/>
    </row>
    <row r="233" spans="1:17">
      <c r="A233" s="191" t="s">
        <v>363</v>
      </c>
      <c r="B233" s="191" t="s">
        <v>245</v>
      </c>
      <c r="C233" s="191" t="s">
        <v>364</v>
      </c>
      <c r="D233" s="191" t="str">
        <f>+'Merluza del sur Artesanal XI'!B$57</f>
        <v>FLOTA SUR 1</v>
      </c>
      <c r="E233" s="191" t="str">
        <f>+'Merluza del sur Artesanal XI'!C58</f>
        <v>SIN. AYSEN-CANAL COSTA RSU 11.02.0074</v>
      </c>
      <c r="F233" s="191" t="s">
        <v>223</v>
      </c>
      <c r="G233" s="191" t="s">
        <v>249</v>
      </c>
      <c r="H233" s="159">
        <f>+'Merluza del sur Artesanal XI'!F58</f>
        <v>1.526638165</v>
      </c>
      <c r="I233" s="159">
        <f>+'Merluza del sur Artesanal XI'!G58</f>
        <v>0</v>
      </c>
      <c r="J233" s="159">
        <f>+'Merluza del sur Artesanal XI'!H58</f>
        <v>1.526638165</v>
      </c>
      <c r="K233" s="159">
        <f>+'Merluza del sur Artesanal XI'!I58</f>
        <v>0</v>
      </c>
      <c r="L233" s="159">
        <f>+'Merluza del sur Artesanal XI'!J58</f>
        <v>1.526638165</v>
      </c>
      <c r="M233" s="192">
        <f>+'Merluza del sur Artesanal XI'!K58</f>
        <v>0</v>
      </c>
      <c r="N233" s="193" t="str">
        <f>+'Merluza del sur Artesanal XI'!L58</f>
        <v>-</v>
      </c>
      <c r="O233" s="193">
        <f>+'Resumen Cuota Global'!B$4</f>
        <v>44566</v>
      </c>
      <c r="P233" s="191">
        <v>2021</v>
      </c>
      <c r="Q233" s="191"/>
    </row>
    <row r="234" spans="1:17">
      <c r="A234" s="191" t="s">
        <v>363</v>
      </c>
      <c r="B234" s="191" t="s">
        <v>245</v>
      </c>
      <c r="C234" s="191" t="s">
        <v>364</v>
      </c>
      <c r="D234" s="191" t="str">
        <f>+'Merluza del sur Artesanal XI'!B$57</f>
        <v>FLOTA SUR 1</v>
      </c>
      <c r="E234" s="191" t="str">
        <f>+'Merluza del sur Artesanal XI'!C59</f>
        <v>SOCIEDAD PA MAR ADENTRO LTDA 76.292.169-2</v>
      </c>
      <c r="F234" s="191" t="s">
        <v>223</v>
      </c>
      <c r="G234" s="191" t="s">
        <v>249</v>
      </c>
      <c r="H234" s="159">
        <f>+'Merluza del sur Artesanal XI'!F59</f>
        <v>2.4318272029999997</v>
      </c>
      <c r="I234" s="159">
        <f>+'Merluza del sur Artesanal XI'!G59</f>
        <v>0</v>
      </c>
      <c r="J234" s="159">
        <f>+'Merluza del sur Artesanal XI'!H59</f>
        <v>2.4318272029999997</v>
      </c>
      <c r="K234" s="159">
        <f>+'Merluza del sur Artesanal XI'!I59</f>
        <v>2.1911111111111112</v>
      </c>
      <c r="L234" s="159">
        <f>+'Merluza del sur Artesanal XI'!J59</f>
        <v>0.24071609188888843</v>
      </c>
      <c r="M234" s="192">
        <f>+'Merluza del sur Artesanal XI'!K59</f>
        <v>0.90101431072407967</v>
      </c>
      <c r="N234" s="193" t="str">
        <f>+'Merluza del sur Artesanal XI'!L59</f>
        <v>-</v>
      </c>
      <c r="O234" s="193">
        <f>+'Resumen Cuota Global'!B$4</f>
        <v>44566</v>
      </c>
      <c r="P234" s="191">
        <v>2021</v>
      </c>
      <c r="Q234" s="191"/>
    </row>
    <row r="235" spans="1:17">
      <c r="A235" s="191" t="s">
        <v>363</v>
      </c>
      <c r="B235" s="191" t="s">
        <v>245</v>
      </c>
      <c r="C235" s="191" t="s">
        <v>364</v>
      </c>
      <c r="D235" s="191" t="str">
        <f>+'Merluza del sur Artesanal XI'!B$57</f>
        <v>FLOTA SUR 1</v>
      </c>
      <c r="E235" s="191" t="str">
        <f>+'Merluza del sur Artesanal XI'!C60</f>
        <v>SERVICIO EVENECER LTDA 76.304.204-9</v>
      </c>
      <c r="F235" s="191" t="s">
        <v>223</v>
      </c>
      <c r="G235" s="191" t="s">
        <v>249</v>
      </c>
      <c r="H235" s="159">
        <f>+'Merluza del sur Artesanal XI'!F60</f>
        <v>2.5820996890000001</v>
      </c>
      <c r="I235" s="159">
        <f>+'Merluza del sur Artesanal XI'!G60</f>
        <v>0</v>
      </c>
      <c r="J235" s="159">
        <f>+'Merluza del sur Artesanal XI'!H60</f>
        <v>2.5820996890000001</v>
      </c>
      <c r="K235" s="159">
        <f>+'Merluza del sur Artesanal XI'!I60</f>
        <v>1.454</v>
      </c>
      <c r="L235" s="159">
        <f>+'Merluza del sur Artesanal XI'!J60</f>
        <v>1.1280996890000001</v>
      </c>
      <c r="M235" s="192">
        <f>+'Merluza del sur Artesanal XI'!K60</f>
        <v>0.56310761594301861</v>
      </c>
      <c r="N235" s="193" t="str">
        <f>+'Merluza del sur Artesanal XI'!L60</f>
        <v>-</v>
      </c>
      <c r="O235" s="193">
        <f>+'Resumen Cuota Global'!B$4</f>
        <v>44566</v>
      </c>
      <c r="P235" s="191">
        <v>2021</v>
      </c>
      <c r="Q235" s="191"/>
    </row>
    <row r="236" spans="1:17">
      <c r="A236" s="191" t="s">
        <v>363</v>
      </c>
      <c r="B236" s="191" t="s">
        <v>245</v>
      </c>
      <c r="C236" s="191" t="s">
        <v>364</v>
      </c>
      <c r="D236" s="191" t="str">
        <f>+'Merluza del sur Artesanal XI'!B$57</f>
        <v>FLOTA SUR 1</v>
      </c>
      <c r="E236" s="191" t="str">
        <f>+'Merluza del sur Artesanal XI'!C61</f>
        <v>SOCIEDAD SUSANA LTDA 76.290.196-K</v>
      </c>
      <c r="F236" s="191" t="s">
        <v>223</v>
      </c>
      <c r="G236" s="191" t="s">
        <v>249</v>
      </c>
      <c r="H236" s="159">
        <f>+'Merluza del sur Artesanal XI'!F61</f>
        <v>7.7016095519999999</v>
      </c>
      <c r="I236" s="159">
        <f>+'Merluza del sur Artesanal XI'!G61</f>
        <v>-7.702</v>
      </c>
      <c r="J236" s="159">
        <f>+'Merluza del sur Artesanal XI'!H61</f>
        <v>-3.9044800000009872E-4</v>
      </c>
      <c r="K236" s="159">
        <f>+'Merluza del sur Artesanal XI'!I61</f>
        <v>0</v>
      </c>
      <c r="L236" s="159">
        <f>+'Merluza del sur Artesanal XI'!J61</f>
        <v>-3.9044800000009872E-4</v>
      </c>
      <c r="M236" s="192">
        <f>+'Merluza del sur Artesanal XI'!K61</f>
        <v>0</v>
      </c>
      <c r="N236" s="193">
        <f>+'Merluza del sur Artesanal XI'!L61</f>
        <v>44236</v>
      </c>
      <c r="O236" s="193">
        <f>+'Resumen Cuota Global'!B$4</f>
        <v>44566</v>
      </c>
      <c r="P236" s="191">
        <v>2021</v>
      </c>
      <c r="Q236" s="191"/>
    </row>
    <row r="237" spans="1:17">
      <c r="A237" s="191" t="s">
        <v>363</v>
      </c>
      <c r="B237" s="191" t="s">
        <v>245</v>
      </c>
      <c r="C237" s="191" t="s">
        <v>364</v>
      </c>
      <c r="D237" s="191" t="str">
        <f>+'Merluza del sur Artesanal XI'!B$57</f>
        <v>FLOTA SUR 1</v>
      </c>
      <c r="E237" s="191" t="str">
        <f>+'Merluza del sur Artesanal XI'!C62</f>
        <v>SOCIEDAD MAYORGA Y MAYORGA LTDA 76.469.761-8</v>
      </c>
      <c r="F237" s="191" t="s">
        <v>223</v>
      </c>
      <c r="G237" s="191" t="s">
        <v>249</v>
      </c>
      <c r="H237" s="159">
        <f>+'Merluza del sur Artesanal XI'!F62</f>
        <v>9.34689002</v>
      </c>
      <c r="I237" s="159">
        <f>+'Merluza del sur Artesanal XI'!G62</f>
        <v>-9.3470000000000013</v>
      </c>
      <c r="J237" s="159">
        <f>+'Merluza del sur Artesanal XI'!H62</f>
        <v>-1.0998000000128627E-4</v>
      </c>
      <c r="K237" s="159">
        <f>+'Merluza del sur Artesanal XI'!I62</f>
        <v>0</v>
      </c>
      <c r="L237" s="159">
        <f>+'Merluza del sur Artesanal XI'!J62</f>
        <v>-1.0998000000128627E-4</v>
      </c>
      <c r="M237" s="192">
        <f>+'Merluza del sur Artesanal XI'!K62</f>
        <v>0</v>
      </c>
      <c r="N237" s="193">
        <f>+'Merluza del sur Artesanal XI'!L62</f>
        <v>44334</v>
      </c>
      <c r="O237" s="193">
        <f>+'Resumen Cuota Global'!B$4</f>
        <v>44566</v>
      </c>
      <c r="P237" s="191">
        <v>2021</v>
      </c>
      <c r="Q237" s="191"/>
    </row>
    <row r="238" spans="1:17">
      <c r="A238" s="191" t="s">
        <v>363</v>
      </c>
      <c r="B238" s="191" t="s">
        <v>245</v>
      </c>
      <c r="C238" s="191" t="s">
        <v>364</v>
      </c>
      <c r="D238" s="191" t="str">
        <f>+'Merluza del sur Artesanal XI'!B$57</f>
        <v>FLOTA SUR 1</v>
      </c>
      <c r="E238" s="191" t="str">
        <f>+'Merluza del sur Artesanal XI'!C63</f>
        <v>SOCIEDAD PESCA ARTESANAL BLANCO Y NEGRO LTDA 76.298.763-5</v>
      </c>
      <c r="F238" s="191" t="s">
        <v>223</v>
      </c>
      <c r="G238" s="191" t="s">
        <v>249</v>
      </c>
      <c r="H238" s="159">
        <f>+'Merluza del sur Artesanal XI'!F63</f>
        <v>9.395002161999999</v>
      </c>
      <c r="I238" s="159">
        <f>+'Merluza del sur Artesanal XI'!G63</f>
        <v>-9.3949999999999996</v>
      </c>
      <c r="J238" s="159">
        <f>+'Merluza del sur Artesanal XI'!H63</f>
        <v>2.1619999994726413E-6</v>
      </c>
      <c r="K238" s="159">
        <f>+'Merluza del sur Artesanal XI'!I63</f>
        <v>0</v>
      </c>
      <c r="L238" s="159">
        <f>+'Merluza del sur Artesanal XI'!J63</f>
        <v>2.1619999994726413E-6</v>
      </c>
      <c r="M238" s="192">
        <f>+'Merluza del sur Artesanal XI'!K63</f>
        <v>0</v>
      </c>
      <c r="N238" s="193">
        <f>+'Merluza del sur Artesanal XI'!L63</f>
        <v>44224</v>
      </c>
      <c r="O238" s="193">
        <f>+'Resumen Cuota Global'!B$4</f>
        <v>44566</v>
      </c>
      <c r="P238" s="191">
        <v>2021</v>
      </c>
      <c r="Q238" s="191"/>
    </row>
    <row r="239" spans="1:17">
      <c r="A239" s="191" t="s">
        <v>363</v>
      </c>
      <c r="B239" s="191" t="s">
        <v>245</v>
      </c>
      <c r="C239" s="191" t="s">
        <v>364</v>
      </c>
      <c r="D239" s="191" t="str">
        <f>+'Merluza del sur Artesanal XI'!B$57</f>
        <v>FLOTA SUR 1</v>
      </c>
      <c r="E239" s="191" t="str">
        <f>+'Merluza del sur Artesanal XI'!C64</f>
        <v>BAHIA MAR RSU 11.02.0106</v>
      </c>
      <c r="F239" s="191" t="s">
        <v>223</v>
      </c>
      <c r="G239" s="191" t="s">
        <v>249</v>
      </c>
      <c r="H239" s="159">
        <f>+'Merluza del sur Artesanal XI'!F64</f>
        <v>5.2712588500000006</v>
      </c>
      <c r="I239" s="159">
        <f>+'Merluza del sur Artesanal XI'!G64</f>
        <v>0</v>
      </c>
      <c r="J239" s="159">
        <f>+'Merluza del sur Artesanal XI'!H64</f>
        <v>5.2712588500000006</v>
      </c>
      <c r="K239" s="159">
        <f>+'Merluza del sur Artesanal XI'!I64</f>
        <v>2.222</v>
      </c>
      <c r="L239" s="159">
        <f>+'Merluza del sur Artesanal XI'!J64</f>
        <v>3.0492588500000006</v>
      </c>
      <c r="M239" s="192">
        <f>+'Merluza del sur Artesanal XI'!K64</f>
        <v>0.42153118699530373</v>
      </c>
      <c r="N239" s="193">
        <f>+'Merluza del sur Artesanal XI'!L64</f>
        <v>0</v>
      </c>
      <c r="O239" s="193">
        <f>+'Resumen Cuota Global'!B$4</f>
        <v>44566</v>
      </c>
      <c r="P239" s="191">
        <v>2021</v>
      </c>
      <c r="Q239" s="191"/>
    </row>
    <row r="240" spans="1:17">
      <c r="A240" s="191" t="s">
        <v>363</v>
      </c>
      <c r="B240" s="191" t="s">
        <v>245</v>
      </c>
      <c r="C240" s="191" t="s">
        <v>364</v>
      </c>
      <c r="D240" s="191" t="str">
        <f>+'Merluza del sur Artesanal XI'!B$57</f>
        <v>FLOTA SUR 1</v>
      </c>
      <c r="E240" s="191" t="str">
        <f>+'Merluza del sur Artesanal XI'!C65</f>
        <v>COOPENAY ROL 4650</v>
      </c>
      <c r="F240" s="191" t="s">
        <v>223</v>
      </c>
      <c r="G240" s="191" t="s">
        <v>249</v>
      </c>
      <c r="H240" s="159">
        <f>+'Merluza del sur Artesanal XI'!F65</f>
        <v>17.792216506999999</v>
      </c>
      <c r="I240" s="159">
        <f>+'Merluza del sur Artesanal XI'!G65</f>
        <v>-17.792000000000002</v>
      </c>
      <c r="J240" s="159">
        <f>+'Merluza del sur Artesanal XI'!H65</f>
        <v>2.1650699999753442E-4</v>
      </c>
      <c r="K240" s="159">
        <f>+'Merluza del sur Artesanal XI'!I65</f>
        <v>0</v>
      </c>
      <c r="L240" s="159">
        <f>+'Merluza del sur Artesanal XI'!J65</f>
        <v>2.1650699999753442E-4</v>
      </c>
      <c r="M240" s="192">
        <f>+'Merluza del sur Artesanal XI'!K65</f>
        <v>0</v>
      </c>
      <c r="N240" s="193">
        <f>+'Merluza del sur Artesanal XI'!L65</f>
        <v>44274</v>
      </c>
      <c r="O240" s="193">
        <f>+'Resumen Cuota Global'!B$4</f>
        <v>44566</v>
      </c>
      <c r="P240" s="191">
        <v>2021</v>
      </c>
      <c r="Q240" s="191"/>
    </row>
    <row r="241" spans="1:17">
      <c r="A241" s="191" t="s">
        <v>363</v>
      </c>
      <c r="B241" s="191" t="s">
        <v>245</v>
      </c>
      <c r="C241" s="191" t="s">
        <v>364</v>
      </c>
      <c r="D241" s="191" t="str">
        <f>+'Merluza del sur Artesanal XI'!B$57</f>
        <v>FLOTA SUR 1</v>
      </c>
      <c r="E241" s="191" t="str">
        <f>+'Merluza del sur Artesanal XI'!C66</f>
        <v>PESC. ART. AYSEN RSU 11.02.0021</v>
      </c>
      <c r="F241" s="191" t="s">
        <v>223</v>
      </c>
      <c r="G241" s="191" t="s">
        <v>249</v>
      </c>
      <c r="H241" s="159">
        <f>+'Merluza del sur Artesanal XI'!F66</f>
        <v>6.03723601</v>
      </c>
      <c r="I241" s="159">
        <f>+'Merluza del sur Artesanal XI'!G66</f>
        <v>0</v>
      </c>
      <c r="J241" s="159">
        <f>+'Merluza del sur Artesanal XI'!H66</f>
        <v>6.03723601</v>
      </c>
      <c r="K241" s="159">
        <f>+'Merluza del sur Artesanal XI'!I66</f>
        <v>4.7060000000000004</v>
      </c>
      <c r="L241" s="159">
        <f>+'Merluza del sur Artesanal XI'!J66</f>
        <v>1.3312360099999996</v>
      </c>
      <c r="M241" s="192">
        <f>+'Merluza del sur Artesanal XI'!K66</f>
        <v>0.77949578121594765</v>
      </c>
      <c r="N241" s="193">
        <f>+'Merluza del sur Artesanal XI'!L66</f>
        <v>0</v>
      </c>
      <c r="O241" s="193">
        <f>+'Resumen Cuota Global'!B$4</f>
        <v>44566</v>
      </c>
      <c r="P241" s="191">
        <v>2021</v>
      </c>
      <c r="Q241" s="191"/>
    </row>
    <row r="242" spans="1:17">
      <c r="A242" s="191" t="s">
        <v>363</v>
      </c>
      <c r="B242" s="191" t="s">
        <v>245</v>
      </c>
      <c r="C242" s="191" t="s">
        <v>364</v>
      </c>
      <c r="D242" s="191" t="str">
        <f>+'Merluza del sur Artesanal XI'!B$57</f>
        <v>FLOTA SUR 1</v>
      </c>
      <c r="E242" s="191" t="str">
        <f>+'Merluza del sur Artesanal XI'!C67</f>
        <v>STI ESTUARIO DE AYSEN RSU 11.02.0099</v>
      </c>
      <c r="F242" s="191" t="s">
        <v>223</v>
      </c>
      <c r="G242" s="191" t="s">
        <v>249</v>
      </c>
      <c r="H242" s="159">
        <f>+'Merluza del sur Artesanal XI'!F67</f>
        <v>44.801668964000001</v>
      </c>
      <c r="I242" s="159">
        <f>+'Merluza del sur Artesanal XI'!G67</f>
        <v>-44.802</v>
      </c>
      <c r="J242" s="159">
        <f>+'Merluza del sur Artesanal XI'!H67</f>
        <v>-3.3103599999861899E-4</v>
      </c>
      <c r="K242" s="159">
        <f>+'Merluza del sur Artesanal XI'!I67</f>
        <v>0</v>
      </c>
      <c r="L242" s="159">
        <f>+'Merluza del sur Artesanal XI'!J67</f>
        <v>-3.3103599999861899E-4</v>
      </c>
      <c r="M242" s="192">
        <f>+'Merluza del sur Artesanal XI'!K67</f>
        <v>0</v>
      </c>
      <c r="N242" s="193">
        <f>+'Merluza del sur Artesanal XI'!L67</f>
        <v>44224</v>
      </c>
      <c r="O242" s="193">
        <f>+'Resumen Cuota Global'!B$4</f>
        <v>44566</v>
      </c>
      <c r="P242" s="191">
        <v>2021</v>
      </c>
      <c r="Q242" s="191"/>
    </row>
    <row r="243" spans="1:17">
      <c r="A243" s="191" t="s">
        <v>363</v>
      </c>
      <c r="B243" s="191" t="s">
        <v>245</v>
      </c>
      <c r="C243" s="191" t="s">
        <v>364</v>
      </c>
      <c r="D243" s="191" t="str">
        <f>+'Merluza del sur Artesanal XI'!B$57</f>
        <v>FLOTA SUR 1</v>
      </c>
      <c r="E243" s="191" t="str">
        <f>+'Merluza del sur Artesanal XI'!C68</f>
        <v>SIND. AYSEN-LOS CHONOS RSU 11.02.0070</v>
      </c>
      <c r="F243" s="191" t="s">
        <v>223</v>
      </c>
      <c r="G243" s="191" t="s">
        <v>249</v>
      </c>
      <c r="H243" s="159">
        <f>+'Merluza del sur Artesanal XI'!F68</f>
        <v>34.361668522999999</v>
      </c>
      <c r="I243" s="159">
        <f>+'Merluza del sur Artesanal XI'!G68</f>
        <v>-34.362000000000002</v>
      </c>
      <c r="J243" s="159">
        <f>+'Merluza del sur Artesanal XI'!H68</f>
        <v>-3.3147700000313307E-4</v>
      </c>
      <c r="K243" s="159">
        <f>+'Merluza del sur Artesanal XI'!I68</f>
        <v>0</v>
      </c>
      <c r="L243" s="159">
        <f>+'Merluza del sur Artesanal XI'!J68</f>
        <v>-3.3147700000313307E-4</v>
      </c>
      <c r="M243" s="192">
        <f>+'Merluza del sur Artesanal XI'!K68</f>
        <v>0</v>
      </c>
      <c r="N243" s="193">
        <f>+'Merluza del sur Artesanal XI'!L68</f>
        <v>44230</v>
      </c>
      <c r="O243" s="193">
        <f>+'Resumen Cuota Global'!B$4</f>
        <v>44566</v>
      </c>
      <c r="P243" s="191">
        <v>2021</v>
      </c>
      <c r="Q243" s="191"/>
    </row>
    <row r="244" spans="1:17">
      <c r="A244" s="191" t="s">
        <v>363</v>
      </c>
      <c r="B244" s="191" t="s">
        <v>245</v>
      </c>
      <c r="C244" s="191" t="s">
        <v>364</v>
      </c>
      <c r="D244" s="191" t="str">
        <f>+'Merluza del sur Artesanal XI'!B$57</f>
        <v>FLOTA SUR 1</v>
      </c>
      <c r="E244" s="191" t="str">
        <f>+'Merluza del sur Artesanal XI'!C69</f>
        <v>STI PESCADORES ARTESANALES ULTIMA ESPERANZA RSU 11.02.0065</v>
      </c>
      <c r="F244" s="191" t="s">
        <v>223</v>
      </c>
      <c r="G244" s="191" t="s">
        <v>249</v>
      </c>
      <c r="H244" s="159">
        <f>+'Merluza del sur Artesanal XI'!F69</f>
        <v>31.406138062</v>
      </c>
      <c r="I244" s="159">
        <f>+'Merluza del sur Artesanal XI'!G69</f>
        <v>-29.423999999999999</v>
      </c>
      <c r="J244" s="159">
        <f>+'Merluza del sur Artesanal XI'!H69</f>
        <v>1.9821380620000006</v>
      </c>
      <c r="K244" s="159">
        <f>+'Merluza del sur Artesanal XI'!I69</f>
        <v>2.222</v>
      </c>
      <c r="L244" s="159">
        <f>+'Merluza del sur Artesanal XI'!J69</f>
        <v>-0.23986193799999933</v>
      </c>
      <c r="M244" s="192">
        <f>+'Merluza del sur Artesanal XI'!K69</f>
        <v>1.1210117209282464</v>
      </c>
      <c r="N244" s="193" t="str">
        <f>+'Merluza del sur Artesanal XI'!L69</f>
        <v>-</v>
      </c>
      <c r="O244" s="193">
        <f>+'Resumen Cuota Global'!B$4</f>
        <v>44566</v>
      </c>
      <c r="P244" s="191">
        <v>2021</v>
      </c>
      <c r="Q244" s="191"/>
    </row>
    <row r="245" spans="1:17">
      <c r="A245" s="191" t="s">
        <v>363</v>
      </c>
      <c r="B245" s="191" t="s">
        <v>245</v>
      </c>
      <c r="C245" s="191" t="s">
        <v>364</v>
      </c>
      <c r="D245" s="191" t="str">
        <f>+'Merluza del sur Artesanal XI'!B$57</f>
        <v>FLOTA SUR 1</v>
      </c>
      <c r="E245" s="191" t="str">
        <f>+'Merluza del sur Artesanal XI'!C70</f>
        <v>SIND. AYSEN-ESFUERZO DEL MAR RSU 11.02.0100</v>
      </c>
      <c r="F245" s="191" t="s">
        <v>223</v>
      </c>
      <c r="G245" s="191" t="s">
        <v>249</v>
      </c>
      <c r="H245" s="159">
        <f>+'Merluza del sur Artesanal XI'!F70</f>
        <v>40.143409747999996</v>
      </c>
      <c r="I245" s="159">
        <f>+'Merluza del sur Artesanal XI'!G70</f>
        <v>-34.835000000000001</v>
      </c>
      <c r="J245" s="159">
        <f>+'Merluza del sur Artesanal XI'!H70</f>
        <v>5.3084097479999954</v>
      </c>
      <c r="K245" s="159">
        <f>+'Merluza del sur Artesanal XI'!I70</f>
        <v>1.671</v>
      </c>
      <c r="L245" s="159">
        <f>+'Merluza del sur Artesanal XI'!J70</f>
        <v>3.6374097479999952</v>
      </c>
      <c r="M245" s="192">
        <f>+'Merluza del sur Artesanal XI'!K70</f>
        <v>0.31478353769310452</v>
      </c>
      <c r="N245" s="193" t="str">
        <f>+'Merluza del sur Artesanal XI'!L70</f>
        <v>-</v>
      </c>
      <c r="O245" s="193">
        <f>+'Resumen Cuota Global'!B$4</f>
        <v>44566</v>
      </c>
      <c r="P245" s="191">
        <v>2021</v>
      </c>
      <c r="Q245" s="191"/>
    </row>
    <row r="246" spans="1:17">
      <c r="A246" s="191" t="s">
        <v>363</v>
      </c>
      <c r="B246" s="191" t="s">
        <v>245</v>
      </c>
      <c r="C246" s="191" t="s">
        <v>364</v>
      </c>
      <c r="D246" s="191" t="str">
        <f>+'Merluza del sur Artesanal XI'!B$57</f>
        <v>FLOTA SUR 1</v>
      </c>
      <c r="E246" s="191" t="str">
        <f>+'Merluza del sur Artesanal XI'!C71</f>
        <v>STI BAHIA CHACABUCO RSU 11.02.0084</v>
      </c>
      <c r="F246" s="191" t="s">
        <v>223</v>
      </c>
      <c r="G246" s="191" t="s">
        <v>249</v>
      </c>
      <c r="H246" s="159">
        <f>+'Merluza del sur Artesanal XI'!F71</f>
        <v>46.045461383999999</v>
      </c>
      <c r="I246" s="159">
        <f>+'Merluza del sur Artesanal XI'!G71</f>
        <v>-46.045000000000002</v>
      </c>
      <c r="J246" s="159">
        <f>+'Merluza del sur Artesanal XI'!H71</f>
        <v>4.6138399999762214E-4</v>
      </c>
      <c r="K246" s="159">
        <f>+'Merluza del sur Artesanal XI'!I71</f>
        <v>0</v>
      </c>
      <c r="L246" s="159">
        <f>+'Merluza del sur Artesanal XI'!J71</f>
        <v>4.6138399999762214E-4</v>
      </c>
      <c r="M246" s="192">
        <f>+'Merluza del sur Artesanal XI'!K71</f>
        <v>0</v>
      </c>
      <c r="N246" s="193">
        <f>+'Merluza del sur Artesanal XI'!L71</f>
        <v>44230</v>
      </c>
      <c r="O246" s="193">
        <f>+'Resumen Cuota Global'!B$4</f>
        <v>44566</v>
      </c>
      <c r="P246" s="191">
        <v>2021</v>
      </c>
      <c r="Q246" s="191"/>
    </row>
    <row r="247" spans="1:17">
      <c r="A247" s="191" t="s">
        <v>363</v>
      </c>
      <c r="B247" s="191" t="s">
        <v>245</v>
      </c>
      <c r="C247" s="191" t="s">
        <v>364</v>
      </c>
      <c r="D247" s="191" t="str">
        <f>+'Merluza del sur Artesanal XI'!B$57</f>
        <v>FLOTA SUR 1</v>
      </c>
      <c r="E247" s="191" t="str">
        <f>+'Merluza del sur Artesanal XI'!C72</f>
        <v>STI PESCADORES ARTESANALES PLAYAS BLANCAS RSU 11.02.0075</v>
      </c>
      <c r="F247" s="191" t="s">
        <v>223</v>
      </c>
      <c r="G247" s="191" t="s">
        <v>249</v>
      </c>
      <c r="H247" s="159">
        <f>+'Merluza del sur Artesanal XI'!F72</f>
        <v>86.335822429999993</v>
      </c>
      <c r="I247" s="159">
        <f>+'Merluza del sur Artesanal XI'!G72</f>
        <v>-86.335999999999999</v>
      </c>
      <c r="J247" s="159">
        <f>+'Merluza del sur Artesanal XI'!H72</f>
        <v>-1.7757000000528933E-4</v>
      </c>
      <c r="K247" s="159">
        <f>+'Merluza del sur Artesanal XI'!I72</f>
        <v>0</v>
      </c>
      <c r="L247" s="159">
        <f>+'Merluza del sur Artesanal XI'!J72</f>
        <v>-1.7757000000528933E-4</v>
      </c>
      <c r="M247" s="192">
        <f>+'Merluza del sur Artesanal XI'!K72</f>
        <v>0</v>
      </c>
      <c r="N247" s="193">
        <f>+'Merluza del sur Artesanal XI'!L72</f>
        <v>44230</v>
      </c>
      <c r="O247" s="193">
        <f>+'Resumen Cuota Global'!B$4</f>
        <v>44566</v>
      </c>
      <c r="P247" s="191">
        <v>2021</v>
      </c>
      <c r="Q247" s="191"/>
    </row>
    <row r="248" spans="1:17">
      <c r="A248" s="191" t="s">
        <v>363</v>
      </c>
      <c r="B248" s="191" t="s">
        <v>245</v>
      </c>
      <c r="C248" s="191" t="s">
        <v>364</v>
      </c>
      <c r="D248" s="191" t="str">
        <f>+'Merluza del sur Artesanal XI'!B$57</f>
        <v>FLOTA SUR 1</v>
      </c>
      <c r="E248" s="191" t="str">
        <f>+'Merluza del sur Artesanal XI'!C73</f>
        <v>STI PESCADORES ARTESANALES LIBERTAD DEL MAR RSU 11.02.0073</v>
      </c>
      <c r="F248" s="191" t="s">
        <v>223</v>
      </c>
      <c r="G248" s="191" t="s">
        <v>249</v>
      </c>
      <c r="H248" s="159">
        <f>+'Merluza del sur Artesanal XI'!F73</f>
        <v>83.029174019999999</v>
      </c>
      <c r="I248" s="159">
        <f>+'Merluza del sur Artesanal XI'!G73</f>
        <v>-83.028999999999996</v>
      </c>
      <c r="J248" s="159">
        <f>+'Merluza del sur Artesanal XI'!H73</f>
        <v>1.7402000000288353E-4</v>
      </c>
      <c r="K248" s="159">
        <f>+'Merluza del sur Artesanal XI'!I73</f>
        <v>0</v>
      </c>
      <c r="L248" s="159">
        <f>+'Merluza del sur Artesanal XI'!J73</f>
        <v>1.7402000000288353E-4</v>
      </c>
      <c r="M248" s="192">
        <f>+'Merluza del sur Artesanal XI'!K73</f>
        <v>0</v>
      </c>
      <c r="N248" s="193">
        <f>+'Merluza del sur Artesanal XI'!L73</f>
        <v>44246</v>
      </c>
      <c r="O248" s="193">
        <f>+'Resumen Cuota Global'!B$4</f>
        <v>44566</v>
      </c>
      <c r="P248" s="191">
        <v>2021</v>
      </c>
      <c r="Q248" s="191"/>
    </row>
    <row r="249" spans="1:17">
      <c r="A249" s="191" t="s">
        <v>363</v>
      </c>
      <c r="B249" s="191" t="s">
        <v>245</v>
      </c>
      <c r="C249" s="191" t="s">
        <v>364</v>
      </c>
      <c r="D249" s="191" t="str">
        <f>+'Merluza del sur Artesanal XI'!B$57</f>
        <v>FLOTA SUR 1</v>
      </c>
      <c r="E249" s="191" t="str">
        <f>+'Merluza del sur Artesanal XI'!C74</f>
        <v>STI PESCADORES ARTESANALES LITORAL  SUR RSU 11.02.0043</v>
      </c>
      <c r="F249" s="191" t="s">
        <v>223</v>
      </c>
      <c r="G249" s="191" t="s">
        <v>249</v>
      </c>
      <c r="H249" s="159">
        <f>+'Merluza del sur Artesanal XI'!F74</f>
        <v>46.491267004000001</v>
      </c>
      <c r="I249" s="159">
        <f>+'Merluza del sur Artesanal XI'!G74</f>
        <v>-46.491</v>
      </c>
      <c r="J249" s="159">
        <f>+'Merluza del sur Artesanal XI'!H74</f>
        <v>2.6700400000123636E-4</v>
      </c>
      <c r="K249" s="159">
        <f>+'Merluza del sur Artesanal XI'!I74</f>
        <v>0</v>
      </c>
      <c r="L249" s="159">
        <f>+'Merluza del sur Artesanal XI'!J74</f>
        <v>2.6700400000123636E-4</v>
      </c>
      <c r="M249" s="192">
        <f>+'Merluza del sur Artesanal XI'!K74</f>
        <v>0</v>
      </c>
      <c r="N249" s="193">
        <f>+'Merluza del sur Artesanal XI'!L74</f>
        <v>44246</v>
      </c>
      <c r="O249" s="193">
        <f>+'Resumen Cuota Global'!B$4</f>
        <v>44566</v>
      </c>
      <c r="P249" s="191">
        <v>2021</v>
      </c>
      <c r="Q249" s="191"/>
    </row>
    <row r="250" spans="1:17">
      <c r="A250" s="191" t="s">
        <v>363</v>
      </c>
      <c r="B250" s="191" t="s">
        <v>245</v>
      </c>
      <c r="C250" s="191" t="s">
        <v>364</v>
      </c>
      <c r="D250" s="191" t="str">
        <f>+'Merluza del sur Artesanal XI'!B$57</f>
        <v>FLOTA SUR 1</v>
      </c>
      <c r="E250" s="191" t="str">
        <f>+'Merluza del sur Artesanal XI'!C75</f>
        <v>STI MARES AUSTRALES N° 3 PTO AYSE RSU 11.02.0044</v>
      </c>
      <c r="F250" s="191" t="s">
        <v>223</v>
      </c>
      <c r="G250" s="191" t="s">
        <v>249</v>
      </c>
      <c r="H250" s="159">
        <f>+'Merluza del sur Artesanal XI'!F75</f>
        <v>53.116762803</v>
      </c>
      <c r="I250" s="159">
        <f>+'Merluza del sur Artesanal XI'!G75</f>
        <v>-51.451000000000001</v>
      </c>
      <c r="J250" s="159">
        <f>+'Merluza del sur Artesanal XI'!H75</f>
        <v>1.6657628029999998</v>
      </c>
      <c r="K250" s="159">
        <f>+'Merluza del sur Artesanal XI'!I75</f>
        <v>1.7509999999999999</v>
      </c>
      <c r="L250" s="159">
        <f>+'Merluza del sur Artesanal XI'!J75</f>
        <v>-8.5237197000000098E-2</v>
      </c>
      <c r="M250" s="192">
        <f>+'Merluza del sur Artesanal XI'!K75</f>
        <v>1.0511700686595293</v>
      </c>
      <c r="N250" s="193">
        <f>+'Merluza del sur Artesanal XI'!L75</f>
        <v>44405</v>
      </c>
      <c r="O250" s="193">
        <f>+'Resumen Cuota Global'!B$4</f>
        <v>44566</v>
      </c>
      <c r="P250" s="191">
        <v>2021</v>
      </c>
      <c r="Q250" s="191"/>
    </row>
    <row r="251" spans="1:17">
      <c r="A251" s="191" t="s">
        <v>363</v>
      </c>
      <c r="B251" s="191" t="s">
        <v>245</v>
      </c>
      <c r="C251" s="191" t="s">
        <v>364</v>
      </c>
      <c r="D251" s="191" t="str">
        <f>+'Merluza del sur Artesanal XI'!B$57</f>
        <v>FLOTA SUR 1</v>
      </c>
      <c r="E251" s="191" t="str">
        <f>+'Merluza del sur Artesanal XI'!C76</f>
        <v>STI RIO AYSEN RSU 11.02.0110</v>
      </c>
      <c r="F251" s="191" t="s">
        <v>223</v>
      </c>
      <c r="G251" s="191" t="s">
        <v>249</v>
      </c>
      <c r="H251" s="159">
        <f>+'Merluza del sur Artesanal XI'!F76</f>
        <v>62.948418533000009</v>
      </c>
      <c r="I251" s="159">
        <f>+'Merluza del sur Artesanal XI'!G76</f>
        <v>-62.948</v>
      </c>
      <c r="J251" s="159">
        <f>+'Merluza del sur Artesanal XI'!H76</f>
        <v>4.185330000083809E-4</v>
      </c>
      <c r="K251" s="159">
        <f>+'Merluza del sur Artesanal XI'!I76</f>
        <v>0</v>
      </c>
      <c r="L251" s="159">
        <f>+'Merluza del sur Artesanal XI'!J76</f>
        <v>4.185330000083809E-4</v>
      </c>
      <c r="M251" s="192">
        <f>+'Merluza del sur Artesanal XI'!K76</f>
        <v>0</v>
      </c>
      <c r="N251" s="193">
        <f>+'Merluza del sur Artesanal XI'!L76</f>
        <v>44236</v>
      </c>
      <c r="O251" s="193">
        <f>+'Resumen Cuota Global'!B$4</f>
        <v>44566</v>
      </c>
      <c r="P251" s="191">
        <v>2021</v>
      </c>
      <c r="Q251" s="191"/>
    </row>
    <row r="252" spans="1:17">
      <c r="A252" s="191" t="s">
        <v>363</v>
      </c>
      <c r="B252" s="191" t="s">
        <v>245</v>
      </c>
      <c r="C252" s="191" t="s">
        <v>364</v>
      </c>
      <c r="D252" s="191" t="str">
        <f>+'Merluza del sur Artesanal XI'!B$57</f>
        <v>FLOTA SUR 1</v>
      </c>
      <c r="E252" s="191" t="str">
        <f>+'Merluza del sur Artesanal XI'!C77</f>
        <v>AG AYSEN RAG 833-1981</v>
      </c>
      <c r="F252" s="191" t="s">
        <v>223</v>
      </c>
      <c r="G252" s="191" t="s">
        <v>249</v>
      </c>
      <c r="H252" s="159">
        <f>+'Merluza del sur Artesanal XI'!F77</f>
        <v>63.373898783000001</v>
      </c>
      <c r="I252" s="159">
        <f>+'Merluza del sur Artesanal XI'!G77</f>
        <v>-41.164999999999999</v>
      </c>
      <c r="J252" s="159">
        <f>+'Merluza del sur Artesanal XI'!H77</f>
        <v>22.208898783000002</v>
      </c>
      <c r="K252" s="159">
        <f>+'Merluza del sur Artesanal XI'!I77</f>
        <v>18.632999999999999</v>
      </c>
      <c r="L252" s="159">
        <f>+'Merluza del sur Artesanal XI'!J77</f>
        <v>3.5758987830000031</v>
      </c>
      <c r="M252" s="192">
        <f>+'Merluza del sur Artesanal XI'!K77</f>
        <v>0.83898801926472799</v>
      </c>
      <c r="N252" s="193" t="str">
        <f>+'Merluza del sur Artesanal XI'!L77</f>
        <v>-</v>
      </c>
      <c r="O252" s="193">
        <f>+'Resumen Cuota Global'!B$4</f>
        <v>44566</v>
      </c>
      <c r="P252" s="191">
        <v>2021</v>
      </c>
      <c r="Q252" s="191"/>
    </row>
    <row r="253" spans="1:17">
      <c r="A253" s="191" t="s">
        <v>363</v>
      </c>
      <c r="B253" s="191" t="s">
        <v>245</v>
      </c>
      <c r="C253" s="191" t="s">
        <v>364</v>
      </c>
      <c r="D253" s="191" t="str">
        <f>+'Merluza del sur Artesanal XI'!B$57</f>
        <v>FLOTA SUR 1</v>
      </c>
      <c r="E253" s="191" t="str">
        <f>+'Merluza del sur Artesanal XI'!C78</f>
        <v>SOCIEDAD DE PESCADORES ARTESANALES LTDA 76.458.859-2</v>
      </c>
      <c r="F253" s="191" t="s">
        <v>223</v>
      </c>
      <c r="G253" s="191" t="s">
        <v>249</v>
      </c>
      <c r="H253" s="159">
        <f>+'Merluza del sur Artesanal XI'!F78</f>
        <v>18.833683206</v>
      </c>
      <c r="I253" s="159">
        <f>+'Merluza del sur Artesanal XI'!G78</f>
        <v>-18.834</v>
      </c>
      <c r="J253" s="159">
        <f>+'Merluza del sur Artesanal XI'!H78</f>
        <v>-3.1679399999973157E-4</v>
      </c>
      <c r="K253" s="159">
        <f>+'Merluza del sur Artesanal XI'!I78</f>
        <v>0</v>
      </c>
      <c r="L253" s="159">
        <f>+'Merluza del sur Artesanal XI'!J78</f>
        <v>-3.1679399999973157E-4</v>
      </c>
      <c r="M253" s="192">
        <f>+'Merluza del sur Artesanal XI'!K78</f>
        <v>0</v>
      </c>
      <c r="N253" s="193">
        <f>+'Merluza del sur Artesanal XI'!L78</f>
        <v>44236</v>
      </c>
      <c r="O253" s="193">
        <f>+'Resumen Cuota Global'!B$4</f>
        <v>44566</v>
      </c>
      <c r="P253" s="191">
        <v>2021</v>
      </c>
      <c r="Q253" s="191"/>
    </row>
    <row r="254" spans="1:17">
      <c r="A254" s="191" t="s">
        <v>363</v>
      </c>
      <c r="B254" s="191" t="s">
        <v>245</v>
      </c>
      <c r="C254" s="191" t="s">
        <v>364</v>
      </c>
      <c r="D254" s="191" t="str">
        <f>+'Merluza del sur Artesanal XI'!B$57</f>
        <v>FLOTA SUR 1</v>
      </c>
      <c r="E254" s="191" t="str">
        <f>+'Merluza del sur Artesanal XI'!C79</f>
        <v>SIND. AYSEN-B.M PESC. ARTES. RSU 11.02.0028</v>
      </c>
      <c r="F254" s="191" t="s">
        <v>223</v>
      </c>
      <c r="G254" s="191" t="s">
        <v>249</v>
      </c>
      <c r="H254" s="159">
        <f>+'Merluza del sur Artesanal XI'!F79</f>
        <v>117.750770657</v>
      </c>
      <c r="I254" s="159">
        <f>+'Merluza del sur Artesanal XI'!G79</f>
        <v>-117.751</v>
      </c>
      <c r="J254" s="159">
        <f>+'Merluza del sur Artesanal XI'!H79</f>
        <v>-2.2934300000088115E-4</v>
      </c>
      <c r="K254" s="159">
        <f>+'Merluza del sur Artesanal XI'!I79</f>
        <v>0</v>
      </c>
      <c r="L254" s="159">
        <f>+'Merluza del sur Artesanal XI'!J79</f>
        <v>-2.2934300000088115E-4</v>
      </c>
      <c r="M254" s="192">
        <f>+'Merluza del sur Artesanal XI'!K79</f>
        <v>0</v>
      </c>
      <c r="N254" s="193">
        <f>+'Merluza del sur Artesanal XI'!L79</f>
        <v>44236</v>
      </c>
      <c r="O254" s="193">
        <f>+'Resumen Cuota Global'!B$4</f>
        <v>44566</v>
      </c>
      <c r="P254" s="191">
        <v>2021</v>
      </c>
      <c r="Q254" s="191"/>
    </row>
    <row r="255" spans="1:17">
      <c r="A255" s="191" t="s">
        <v>363</v>
      </c>
      <c r="B255" s="191" t="s">
        <v>245</v>
      </c>
      <c r="C255" s="191" t="s">
        <v>364</v>
      </c>
      <c r="D255" s="191" t="str">
        <f>+'Merluza del sur Artesanal XI'!B$57</f>
        <v>FLOTA SUR 1</v>
      </c>
      <c r="E255" s="191" t="str">
        <f>+'Merluza del sur Artesanal XI'!C80</f>
        <v>SIND. AYSEN-LOS ETERNOS NAVEGANTES RSU 11.02.0126</v>
      </c>
      <c r="F255" s="191" t="s">
        <v>223</v>
      </c>
      <c r="G255" s="191" t="s">
        <v>249</v>
      </c>
      <c r="H255" s="159">
        <f>+'Merluza del sur Artesanal XI'!F80</f>
        <v>95.025425299999995</v>
      </c>
      <c r="I255" s="159">
        <f>+'Merluza del sur Artesanal XI'!G80</f>
        <v>-90.861999999999995</v>
      </c>
      <c r="J255" s="159">
        <f>+'Merluza del sur Artesanal XI'!H80</f>
        <v>4.1634253000000001</v>
      </c>
      <c r="K255" s="159">
        <f>+'Merluza del sur Artesanal XI'!I80</f>
        <v>1.7633333333333334</v>
      </c>
      <c r="L255" s="159">
        <f>+'Merluza del sur Artesanal XI'!J80</f>
        <v>2.4000919666666665</v>
      </c>
      <c r="M255" s="192">
        <f>+'Merluza del sur Artesanal XI'!K80</f>
        <v>0.42352947543776837</v>
      </c>
      <c r="N255" s="193" t="str">
        <f>+'Merluza del sur Artesanal XI'!L80</f>
        <v>-</v>
      </c>
      <c r="O255" s="193">
        <f>+'Resumen Cuota Global'!B$4</f>
        <v>44566</v>
      </c>
      <c r="P255" s="191">
        <v>2021</v>
      </c>
      <c r="Q255" s="191"/>
    </row>
    <row r="256" spans="1:17">
      <c r="A256" s="191" t="s">
        <v>363</v>
      </c>
      <c r="B256" s="191" t="s">
        <v>245</v>
      </c>
      <c r="C256" s="191" t="s">
        <v>364</v>
      </c>
      <c r="D256" s="191" t="str">
        <f>+'Merluza del sur Artesanal XI'!B$57</f>
        <v>FLOTA SUR 1</v>
      </c>
      <c r="E256" s="191" t="str">
        <f>+'Merluza del sur Artesanal XI'!C81</f>
        <v>COOPERATIVA DE PESCADORES PILCOSTA ROL 4759</v>
      </c>
      <c r="F256" s="191" t="s">
        <v>223</v>
      </c>
      <c r="G256" s="191" t="s">
        <v>249</v>
      </c>
      <c r="H256" s="159">
        <f>+'Merluza del sur Artesanal XI'!F81</f>
        <v>12.704032509999999</v>
      </c>
      <c r="I256" s="159">
        <f>+'Merluza del sur Artesanal XI'!G81</f>
        <v>0</v>
      </c>
      <c r="J256" s="159">
        <f>+'Merluza del sur Artesanal XI'!H81</f>
        <v>12.704032509999999</v>
      </c>
      <c r="K256" s="159">
        <f>+'Merluza del sur Artesanal XI'!I81</f>
        <v>7.4640000000000004</v>
      </c>
      <c r="L256" s="159">
        <f>+'Merluza del sur Artesanal XI'!J81</f>
        <v>5.2400325099999989</v>
      </c>
      <c r="M256" s="192">
        <f>+'Merluza del sur Artesanal XI'!K81</f>
        <v>0.58752998263541134</v>
      </c>
      <c r="N256" s="193" t="str">
        <f>+'Merluza del sur Artesanal XI'!L81</f>
        <v>-</v>
      </c>
      <c r="O256" s="193">
        <f>+'Resumen Cuota Global'!B$4</f>
        <v>44566</v>
      </c>
      <c r="P256" s="191">
        <v>2021</v>
      </c>
      <c r="Q256" s="191"/>
    </row>
    <row r="257" spans="1:17">
      <c r="A257" s="191" t="s">
        <v>363</v>
      </c>
      <c r="B257" s="191" t="s">
        <v>245</v>
      </c>
      <c r="C257" s="191" t="s">
        <v>364</v>
      </c>
      <c r="D257" s="191" t="str">
        <f>+'Merluza del sur Artesanal XI'!B$57</f>
        <v>FLOTA SUR 1</v>
      </c>
      <c r="E257" s="191" t="str">
        <f>+'Merluza del sur Artesanal XI'!C82</f>
        <v>TURISMO SUR AYSEN LTDA 76.518.703-6</v>
      </c>
      <c r="F257" s="191" t="s">
        <v>223</v>
      </c>
      <c r="G257" s="191" t="s">
        <v>249</v>
      </c>
      <c r="H257" s="159">
        <f>+'Merluza del sur Artesanal XI'!F82</f>
        <v>23.250262125999999</v>
      </c>
      <c r="I257" s="159">
        <f>+'Merluza del sur Artesanal XI'!G82</f>
        <v>-23.25</v>
      </c>
      <c r="J257" s="159">
        <f>+'Merluza del sur Artesanal XI'!H82</f>
        <v>2.6212599999908548E-4</v>
      </c>
      <c r="K257" s="159">
        <f>+'Merluza del sur Artesanal XI'!I82</f>
        <v>0</v>
      </c>
      <c r="L257" s="159">
        <f>+'Merluza del sur Artesanal XI'!J82</f>
        <v>2.6212599999908548E-4</v>
      </c>
      <c r="M257" s="192">
        <f>+'Merluza del sur Artesanal XI'!K82</f>
        <v>0</v>
      </c>
      <c r="N257" s="193">
        <f>+'Merluza del sur Artesanal XI'!L82</f>
        <v>44242</v>
      </c>
      <c r="O257" s="193">
        <f>+'Resumen Cuota Global'!B$4</f>
        <v>44566</v>
      </c>
      <c r="P257" s="191">
        <v>2021</v>
      </c>
      <c r="Q257" s="191"/>
    </row>
    <row r="258" spans="1:17">
      <c r="A258" s="191" t="s">
        <v>363</v>
      </c>
      <c r="B258" s="191" t="s">
        <v>245</v>
      </c>
      <c r="C258" s="191" t="s">
        <v>364</v>
      </c>
      <c r="D258" s="191" t="str">
        <f>+'Merluza del sur Artesanal XI'!B$57</f>
        <v>FLOTA SUR 1</v>
      </c>
      <c r="E258" s="191" t="str">
        <f>+'Merluza del sur Artesanal XI'!C83</f>
        <v>SOCIEDAD MININEA LTDA. 76.210.264-1</v>
      </c>
      <c r="F258" s="191" t="s">
        <v>223</v>
      </c>
      <c r="G258" s="191" t="s">
        <v>249</v>
      </c>
      <c r="H258" s="159">
        <f>+'Merluza del sur Artesanal XI'!F83</f>
        <v>21.175503959999997</v>
      </c>
      <c r="I258" s="159">
        <f>+'Merluza del sur Artesanal XI'!G83</f>
        <v>-21.175999999999998</v>
      </c>
      <c r="J258" s="159">
        <f>+'Merluza del sur Artesanal XI'!H83</f>
        <v>-4.9604000000158521E-4</v>
      </c>
      <c r="K258" s="159">
        <f>+'Merluza del sur Artesanal XI'!I83</f>
        <v>0</v>
      </c>
      <c r="L258" s="159">
        <f>+'Merluza del sur Artesanal XI'!J83</f>
        <v>-4.9604000000158521E-4</v>
      </c>
      <c r="M258" s="192">
        <f>+'Merluza del sur Artesanal XI'!K83</f>
        <v>0</v>
      </c>
      <c r="N258" s="193">
        <f>+'Merluza del sur Artesanal XI'!L83</f>
        <v>44242</v>
      </c>
      <c r="O258" s="193">
        <f>+'Resumen Cuota Global'!B$4</f>
        <v>44566</v>
      </c>
      <c r="P258" s="191">
        <v>2021</v>
      </c>
      <c r="Q258" s="191"/>
    </row>
    <row r="259" spans="1:17">
      <c r="A259" s="191" t="s">
        <v>363</v>
      </c>
      <c r="B259" s="191" t="s">
        <v>245</v>
      </c>
      <c r="C259" s="191" t="s">
        <v>364</v>
      </c>
      <c r="D259" s="191" t="str">
        <f>+'Merluza del sur Artesanal XI'!B$57</f>
        <v>FLOTA SUR 1</v>
      </c>
      <c r="E259" s="191" t="str">
        <f>+'Merluza del sur Artesanal XI'!C84</f>
        <v>SOCIEDAD ARCHIPIELAGO DE LOS CHONOS 76.287.241-2</v>
      </c>
      <c r="F259" s="191" t="s">
        <v>223</v>
      </c>
      <c r="G259" s="191" t="s">
        <v>249</v>
      </c>
      <c r="H259" s="159">
        <f>+'Merluza del sur Artesanal XI'!F84</f>
        <v>5.1158505449999998</v>
      </c>
      <c r="I259" s="159">
        <f>+'Merluza del sur Artesanal XI'!G84</f>
        <v>-5.1159999999999997</v>
      </c>
      <c r="J259" s="159">
        <f>+'Merluza del sur Artesanal XI'!H84</f>
        <v>-1.4945499999985401E-4</v>
      </c>
      <c r="K259" s="159">
        <f>+'Merluza del sur Artesanal XI'!I84</f>
        <v>0</v>
      </c>
      <c r="L259" s="159">
        <f>+'Merluza del sur Artesanal XI'!J84</f>
        <v>-1.4945499999985401E-4</v>
      </c>
      <c r="M259" s="192">
        <f>+'Merluza del sur Artesanal XI'!K84</f>
        <v>0</v>
      </c>
      <c r="N259" s="193">
        <f>+'Merluza del sur Artesanal XI'!L84</f>
        <v>44224</v>
      </c>
      <c r="O259" s="193">
        <f>+'Resumen Cuota Global'!B$4</f>
        <v>44566</v>
      </c>
      <c r="P259" s="191">
        <v>2021</v>
      </c>
      <c r="Q259" s="191"/>
    </row>
    <row r="260" spans="1:17">
      <c r="A260" s="191" t="s">
        <v>363</v>
      </c>
      <c r="B260" s="191" t="s">
        <v>245</v>
      </c>
      <c r="C260" s="191" t="s">
        <v>364</v>
      </c>
      <c r="D260" s="191" t="str">
        <f>+'Merluza del sur Artesanal XI'!B$57</f>
        <v>FLOTA SUR 1</v>
      </c>
      <c r="E260" s="191" t="str">
        <f>+'Merluza del sur Artesanal XI'!C85</f>
        <v>SOCIEDAD HUIQUEN Y POBLETE LTDA 76.726.181-0</v>
      </c>
      <c r="F260" s="191" t="s">
        <v>223</v>
      </c>
      <c r="G260" s="191" t="s">
        <v>249</v>
      </c>
      <c r="H260" s="159">
        <f>+'Merluza del sur Artesanal XI'!F85</f>
        <v>6.7089124700000005</v>
      </c>
      <c r="I260" s="159">
        <f>+'Merluza del sur Artesanal XI'!G85</f>
        <v>0</v>
      </c>
      <c r="J260" s="159">
        <f>+'Merluza del sur Artesanal XI'!H85</f>
        <v>6.7089124700000005</v>
      </c>
      <c r="K260" s="159">
        <f>+'Merluza del sur Artesanal XI'!I85</f>
        <v>6.7089999999999996</v>
      </c>
      <c r="L260" s="159">
        <f>+'Merluza del sur Artesanal XI'!J85</f>
        <v>-8.7529999999169661E-5</v>
      </c>
      <c r="M260" s="192">
        <f>+'Merluza del sur Artesanal XI'!K85</f>
        <v>1.0000130468239659</v>
      </c>
      <c r="N260" s="193" t="str">
        <f>+'Merluza del sur Artesanal XI'!L85</f>
        <v>-</v>
      </c>
      <c r="O260" s="193">
        <f>+'Resumen Cuota Global'!B$4</f>
        <v>44566</v>
      </c>
      <c r="P260" s="191">
        <v>2021</v>
      </c>
      <c r="Q260" s="191"/>
    </row>
    <row r="261" spans="1:17">
      <c r="A261" s="191" t="s">
        <v>363</v>
      </c>
      <c r="B261" s="191" t="s">
        <v>245</v>
      </c>
      <c r="C261" s="191" t="s">
        <v>364</v>
      </c>
      <c r="D261" s="191" t="str">
        <f>+'Merluza del sur Artesanal XI'!B$57</f>
        <v>FLOTA SUR 1</v>
      </c>
      <c r="E261" s="191" t="str">
        <f>+'Merluza del sur Artesanal XI'!C86</f>
        <v>SOCIEDAD ANALUZ LTDA 76.726.561-1</v>
      </c>
      <c r="F261" s="191" t="s">
        <v>223</v>
      </c>
      <c r="G261" s="191" t="s">
        <v>249</v>
      </c>
      <c r="H261" s="159">
        <f>+'Merluza del sur Artesanal XI'!F86</f>
        <v>15.86934258</v>
      </c>
      <c r="I261" s="159">
        <f>+'Merluza del sur Artesanal XI'!G86</f>
        <v>-14.465999999999999</v>
      </c>
      <c r="J261" s="159">
        <f>+'Merluza del sur Artesanal XI'!H86</f>
        <v>1.4033425800000003</v>
      </c>
      <c r="K261" s="159">
        <f>+'Merluza del sur Artesanal XI'!I86</f>
        <v>1.4059999999999999</v>
      </c>
      <c r="L261" s="159">
        <f>+'Merluza del sur Artesanal XI'!J86</f>
        <v>-2.6574199999995773E-3</v>
      </c>
      <c r="M261" s="192">
        <f>+'Merluza del sur Artesanal XI'!K86</f>
        <v>1.0018936359787498</v>
      </c>
      <c r="N261" s="193" t="str">
        <f>+'Merluza del sur Artesanal XI'!L86</f>
        <v>-</v>
      </c>
      <c r="O261" s="193">
        <f>+'Resumen Cuota Global'!B$4</f>
        <v>44566</v>
      </c>
      <c r="P261" s="191">
        <v>2021</v>
      </c>
      <c r="Q261" s="191"/>
    </row>
    <row r="262" spans="1:17">
      <c r="A262" s="191" t="s">
        <v>363</v>
      </c>
      <c r="B262" s="191" t="s">
        <v>245</v>
      </c>
      <c r="C262" s="191" t="s">
        <v>364</v>
      </c>
      <c r="D262" s="191" t="str">
        <f>+'Merluza del sur Artesanal XI'!B$57</f>
        <v>FLOTA SUR 1</v>
      </c>
      <c r="E262" s="191" t="str">
        <f>+'Merluza del sur Artesanal XI'!C87</f>
        <v>SOCIEDAD OCAMPOS Y URIBE LTDA 76.779.789-3</v>
      </c>
      <c r="F262" s="191" t="s">
        <v>223</v>
      </c>
      <c r="G262" s="191" t="s">
        <v>249</v>
      </c>
      <c r="H262" s="159">
        <f>+'Merluza del sur Artesanal XI'!F87</f>
        <v>3.649027577</v>
      </c>
      <c r="I262" s="159">
        <f>+'Merluza del sur Artesanal XI'!G87</f>
        <v>-3.649</v>
      </c>
      <c r="J262" s="159">
        <f>+'Merluza del sur Artesanal XI'!H87</f>
        <v>2.7577000000000851E-5</v>
      </c>
      <c r="K262" s="159">
        <f>+'Merluza del sur Artesanal XI'!I87</f>
        <v>0</v>
      </c>
      <c r="L262" s="159">
        <f>+'Merluza del sur Artesanal XI'!J87</f>
        <v>2.7577000000000851E-5</v>
      </c>
      <c r="M262" s="192">
        <f>+'Merluza del sur Artesanal XI'!K87</f>
        <v>0</v>
      </c>
      <c r="N262" s="193">
        <f>+'Merluza del sur Artesanal XI'!L87</f>
        <v>44230</v>
      </c>
      <c r="O262" s="193">
        <f>+'Resumen Cuota Global'!B$4</f>
        <v>44566</v>
      </c>
      <c r="P262" s="191">
        <v>2021</v>
      </c>
      <c r="Q262" s="191"/>
    </row>
    <row r="263" spans="1:17">
      <c r="A263" s="191" t="s">
        <v>363</v>
      </c>
      <c r="B263" s="191" t="s">
        <v>245</v>
      </c>
      <c r="C263" s="191" t="s">
        <v>364</v>
      </c>
      <c r="D263" s="191" t="str">
        <f>+'Merluza del sur Artesanal XI'!B$57</f>
        <v>FLOTA SUR 1</v>
      </c>
      <c r="E263" s="191" t="str">
        <f>+'Merluza del sur Artesanal XI'!C88</f>
        <v>SOCIEDAD PUINAO Y MONTIEL LTDA 76.874.454-8</v>
      </c>
      <c r="F263" s="191" t="s">
        <v>223</v>
      </c>
      <c r="G263" s="191" t="s">
        <v>249</v>
      </c>
      <c r="H263" s="159">
        <f>+'Merluza del sur Artesanal XI'!F88</f>
        <v>6.5061096099999993</v>
      </c>
      <c r="I263" s="159">
        <f>+'Merluza del sur Artesanal XI'!G88</f>
        <v>0</v>
      </c>
      <c r="J263" s="159">
        <f>+'Merluza del sur Artesanal XI'!H88</f>
        <v>6.5061096099999993</v>
      </c>
      <c r="K263" s="159">
        <f>+'Merluza del sur Artesanal XI'!I88</f>
        <v>6.5066666666666659</v>
      </c>
      <c r="L263" s="159">
        <f>+'Merluza del sur Artesanal XI'!J88</f>
        <v>-5.5705666666661102E-4</v>
      </c>
      <c r="M263" s="192">
        <f>+'Merluza del sur Artesanal XI'!K88</f>
        <v>1.0000856205474635</v>
      </c>
      <c r="N263" s="193" t="str">
        <f>+'Merluza del sur Artesanal XI'!L88</f>
        <v>-</v>
      </c>
      <c r="O263" s="193">
        <f>+'Resumen Cuota Global'!B$4</f>
        <v>44566</v>
      </c>
      <c r="P263" s="191">
        <v>2021</v>
      </c>
      <c r="Q263" s="191"/>
    </row>
    <row r="264" spans="1:17">
      <c r="A264" s="191" t="s">
        <v>363</v>
      </c>
      <c r="B264" s="191" t="s">
        <v>245</v>
      </c>
      <c r="C264" s="191" t="s">
        <v>364</v>
      </c>
      <c r="D264" s="191" t="str">
        <f>+'Merluza del sur Artesanal XI'!B$57</f>
        <v>FLOTA SUR 1</v>
      </c>
      <c r="E264" s="191" t="str">
        <f>+'Merluza del sur Artesanal XI'!C89</f>
        <v>SOCIEDAD SUBIABRE E HIJOS LTDA 76.295.623-3</v>
      </c>
      <c r="F264" s="191" t="s">
        <v>223</v>
      </c>
      <c r="G264" s="191" t="s">
        <v>249</v>
      </c>
      <c r="H264" s="159">
        <f>+'Merluza del sur Artesanal XI'!F89</f>
        <v>4.3140053060000003</v>
      </c>
      <c r="I264" s="159">
        <f>+'Merluza del sur Artesanal XI'!G89</f>
        <v>-4.3140000000000001</v>
      </c>
      <c r="J264" s="159">
        <f>+'Merluza del sur Artesanal XI'!H89</f>
        <v>5.3060000002602692E-6</v>
      </c>
      <c r="K264" s="159">
        <f>+'Merluza del sur Artesanal XI'!I89</f>
        <v>0</v>
      </c>
      <c r="L264" s="159">
        <f>+'Merluza del sur Artesanal XI'!J89</f>
        <v>5.3060000002602692E-6</v>
      </c>
      <c r="M264" s="192">
        <f>+'Merluza del sur Artesanal XI'!K89</f>
        <v>0</v>
      </c>
      <c r="N264" s="193">
        <f>+'Merluza del sur Artesanal XI'!L89</f>
        <v>44230</v>
      </c>
      <c r="O264" s="193">
        <f>+'Resumen Cuota Global'!B$4</f>
        <v>44566</v>
      </c>
      <c r="P264" s="191">
        <v>2021</v>
      </c>
      <c r="Q264" s="191"/>
    </row>
    <row r="265" spans="1:17">
      <c r="A265" s="191" t="s">
        <v>363</v>
      </c>
      <c r="B265" s="191" t="s">
        <v>245</v>
      </c>
      <c r="C265" s="191" t="s">
        <v>364</v>
      </c>
      <c r="D265" s="191" t="str">
        <f>+'Merluza del sur Artesanal XI'!B$57</f>
        <v>FLOTA SUR 1</v>
      </c>
      <c r="E265" s="191" t="str">
        <f>+'Merluza del sur Artesanal XI'!C90</f>
        <v>SOCIEDAD CONTRERAS ANDRADE LTDA 76.994.615-2</v>
      </c>
      <c r="F265" s="191" t="s">
        <v>223</v>
      </c>
      <c r="G265" s="191" t="s">
        <v>249</v>
      </c>
      <c r="H265" s="159">
        <f>+'Merluza del sur Artesanal XI'!F90</f>
        <v>6.7331789329999996</v>
      </c>
      <c r="I265" s="159">
        <f>+'Merluza del sur Artesanal XI'!G90</f>
        <v>-6.7329999999999997</v>
      </c>
      <c r="J265" s="159">
        <f>+'Merluza del sur Artesanal XI'!H90</f>
        <v>1.7893299999993673E-4</v>
      </c>
      <c r="K265" s="159">
        <f>+'Merluza del sur Artesanal XI'!I90</f>
        <v>0</v>
      </c>
      <c r="L265" s="159">
        <f>+'Merluza del sur Artesanal XI'!J90</f>
        <v>1.7893299999993673E-4</v>
      </c>
      <c r="M265" s="192">
        <f>+'Merluza del sur Artesanal XI'!K90</f>
        <v>0</v>
      </c>
      <c r="N265" s="193">
        <f>+'Merluza del sur Artesanal XI'!L90</f>
        <v>44230</v>
      </c>
      <c r="O265" s="193">
        <f>+'Resumen Cuota Global'!B$4</f>
        <v>44566</v>
      </c>
      <c r="P265" s="191">
        <v>2021</v>
      </c>
      <c r="Q265" s="191"/>
    </row>
    <row r="266" spans="1:17">
      <c r="A266" s="191" t="s">
        <v>363</v>
      </c>
      <c r="B266" s="191" t="s">
        <v>245</v>
      </c>
      <c r="C266" s="191" t="s">
        <v>364</v>
      </c>
      <c r="D266" s="191" t="str">
        <f>+'Merluza del sur Artesanal XI'!B$57</f>
        <v>FLOTA SUR 1</v>
      </c>
      <c r="E266" s="191" t="str">
        <f>+'Merluza del sur Artesanal XI'!C91</f>
        <v>SOCIEDAD DE PESCADORES ARTESANALES ALBATRO LTDA 76.971.959-8</v>
      </c>
      <c r="F266" s="191" t="s">
        <v>223</v>
      </c>
      <c r="G266" s="191" t="s">
        <v>249</v>
      </c>
      <c r="H266" s="159">
        <f>+'Merluza del sur Artesanal XI'!F91</f>
        <v>14.074766446</v>
      </c>
      <c r="I266" s="159">
        <f>+'Merluza del sur Artesanal XI'!G91</f>
        <v>-14.074999999999999</v>
      </c>
      <c r="J266" s="159">
        <f>+'Merluza del sur Artesanal XI'!H91</f>
        <v>-2.3355399999935855E-4</v>
      </c>
      <c r="K266" s="159">
        <f>+'Merluza del sur Artesanal XI'!I91</f>
        <v>0</v>
      </c>
      <c r="L266" s="159">
        <f>+'Merluza del sur Artesanal XI'!J91</f>
        <v>-2.3355399999935855E-4</v>
      </c>
      <c r="M266" s="192">
        <f>+'Merluza del sur Artesanal XI'!K91</f>
        <v>0</v>
      </c>
      <c r="N266" s="193">
        <f>+'Merluza del sur Artesanal XI'!L91</f>
        <v>44230</v>
      </c>
      <c r="O266" s="193">
        <f>+'Resumen Cuota Global'!B$4</f>
        <v>44566</v>
      </c>
      <c r="P266" s="191">
        <v>2021</v>
      </c>
      <c r="Q266" s="191"/>
    </row>
    <row r="267" spans="1:17">
      <c r="A267" s="191" t="s">
        <v>363</v>
      </c>
      <c r="B267" s="191" t="s">
        <v>245</v>
      </c>
      <c r="C267" s="191" t="s">
        <v>364</v>
      </c>
      <c r="D267" s="191" t="str">
        <f>+'Merluza del sur Artesanal XI'!B$57</f>
        <v>FLOTA SUR 1</v>
      </c>
      <c r="E267" s="191" t="str">
        <f>+'Merluza del sur Artesanal XI'!C92</f>
        <v>SOCIEDAD DE PESCADORES ARTESANALES PAILLAMAN Y ASOCIADOS 76.977.671-0</v>
      </c>
      <c r="F267" s="191" t="s">
        <v>223</v>
      </c>
      <c r="G267" s="191" t="s">
        <v>249</v>
      </c>
      <c r="H267" s="159">
        <f>+'Merluza del sur Artesanal XI'!F92</f>
        <v>4.7306941760000001</v>
      </c>
      <c r="I267" s="159">
        <f>+'Merluza del sur Artesanal XI'!G92</f>
        <v>-4.7309999999999999</v>
      </c>
      <c r="J267" s="159">
        <f>+'Merluza del sur Artesanal XI'!H92</f>
        <v>-3.0582399999978804E-4</v>
      </c>
      <c r="K267" s="159">
        <f>+'Merluza del sur Artesanal XI'!I92</f>
        <v>0</v>
      </c>
      <c r="L267" s="159">
        <f>+'Merluza del sur Artesanal XI'!J92</f>
        <v>-3.0582399999978804E-4</v>
      </c>
      <c r="M267" s="192">
        <f>+'Merluza del sur Artesanal XI'!K92</f>
        <v>0</v>
      </c>
      <c r="N267" s="193">
        <f>+'Merluza del sur Artesanal XI'!L92</f>
        <v>44224</v>
      </c>
      <c r="O267" s="193">
        <f>+'Resumen Cuota Global'!B$4</f>
        <v>44566</v>
      </c>
      <c r="P267" s="191">
        <v>2021</v>
      </c>
      <c r="Q267" s="191"/>
    </row>
    <row r="268" spans="1:17">
      <c r="A268" s="191" t="s">
        <v>363</v>
      </c>
      <c r="B268" s="191" t="s">
        <v>245</v>
      </c>
      <c r="C268" s="191" t="s">
        <v>364</v>
      </c>
      <c r="D268" s="191" t="str">
        <f>+'Merluza del sur Artesanal XI'!B$57</f>
        <v>FLOTA SUR 1</v>
      </c>
      <c r="E268" s="191" t="str">
        <f>+'Merluza del sur Artesanal XI'!C93</f>
        <v>SOCIEDAD PESQUERA ANDRADE Y ASOCIADOS 76.960.705-6</v>
      </c>
      <c r="F268" s="191" t="s">
        <v>223</v>
      </c>
      <c r="G268" s="191" t="s">
        <v>249</v>
      </c>
      <c r="H268" s="159">
        <f>+'Merluza del sur Artesanal XI'!F93</f>
        <v>11.167622388</v>
      </c>
      <c r="I268" s="159">
        <f>+'Merluza del sur Artesanal XI'!G93</f>
        <v>-11.167999999999999</v>
      </c>
      <c r="J268" s="159">
        <f>+'Merluza del sur Artesanal XI'!H93</f>
        <v>-3.7761199999941653E-4</v>
      </c>
      <c r="K268" s="159">
        <f>+'Merluza del sur Artesanal XI'!I93</f>
        <v>0</v>
      </c>
      <c r="L268" s="159">
        <f>+'Merluza del sur Artesanal XI'!J93</f>
        <v>-3.7761199999941653E-4</v>
      </c>
      <c r="M268" s="192">
        <f>+'Merluza del sur Artesanal XI'!K93</f>
        <v>0</v>
      </c>
      <c r="N268" s="193">
        <f>+'Merluza del sur Artesanal XI'!L93</f>
        <v>44224</v>
      </c>
      <c r="O268" s="193">
        <f>+'Resumen Cuota Global'!B$4</f>
        <v>44566</v>
      </c>
      <c r="P268" s="191">
        <v>2021</v>
      </c>
      <c r="Q268" s="191"/>
    </row>
    <row r="269" spans="1:17">
      <c r="A269" s="191" t="s">
        <v>363</v>
      </c>
      <c r="B269" s="191" t="s">
        <v>245</v>
      </c>
      <c r="C269" s="191" t="s">
        <v>364</v>
      </c>
      <c r="D269" s="191" t="str">
        <f>+'Merluza del sur Artesanal XI'!B$57</f>
        <v>FLOTA SUR 1</v>
      </c>
      <c r="E269" s="191" t="str">
        <f>+'Merluza del sur Artesanal XI'!C97</f>
        <v>NO ASOCIADOS FLOTA SUR 1</v>
      </c>
      <c r="F269" s="191" t="s">
        <v>223</v>
      </c>
      <c r="G269" s="191" t="s">
        <v>249</v>
      </c>
      <c r="H269" s="159">
        <f>+'Merluza del sur Artesanal XI'!F97</f>
        <v>3.093134343</v>
      </c>
      <c r="I269" s="159">
        <f>+'Merluza del sur Artesanal XI'!G97</f>
        <v>0</v>
      </c>
      <c r="J269" s="159">
        <f>+'Merluza del sur Artesanal XI'!H97</f>
        <v>3.093134343</v>
      </c>
      <c r="K269" s="159">
        <f>+'Merluza del sur Artesanal XI'!I97</f>
        <v>3.0933333333333302</v>
      </c>
      <c r="L269" s="159">
        <f>+'Merluza del sur Artesanal XI'!J97</f>
        <v>-1.9899033333015126E-4</v>
      </c>
      <c r="M269" s="192">
        <f>+'Merluza del sur Artesanal XI'!K97</f>
        <v>1.0000643329100078</v>
      </c>
      <c r="N269" s="193">
        <f>+'Merluza del sur Artesanal XI'!L97</f>
        <v>44242</v>
      </c>
      <c r="O269" s="193">
        <f>+'Resumen Cuota Global'!B$4</f>
        <v>44566</v>
      </c>
      <c r="P269" s="191">
        <v>2021</v>
      </c>
      <c r="Q269" s="191"/>
    </row>
    <row r="270" spans="1:17">
      <c r="A270" s="191" t="s">
        <v>363</v>
      </c>
      <c r="B270" s="191" t="s">
        <v>245</v>
      </c>
      <c r="C270" s="191" t="s">
        <v>364</v>
      </c>
      <c r="D270" s="191" t="s">
        <v>373</v>
      </c>
      <c r="E270" s="191" t="s">
        <v>374</v>
      </c>
      <c r="F270" s="191" t="s">
        <v>223</v>
      </c>
      <c r="G270" s="191" t="s">
        <v>249</v>
      </c>
      <c r="H270" s="159">
        <f>+'Merluza del sur Artesanal XI'!F98</f>
        <v>1091.1907593079995</v>
      </c>
      <c r="I270" s="159">
        <f>+'Merluza del sur Artesanal XI'!G98</f>
        <v>-1007.5989999999998</v>
      </c>
      <c r="J270" s="159">
        <f>+'Merluza del sur Artesanal XI'!H98</f>
        <v>83.591759308000007</v>
      </c>
      <c r="K270" s="159">
        <f>+'Merluza del sur Artesanal XI'!I98</f>
        <v>61.792444444444442</v>
      </c>
      <c r="L270" s="159">
        <f>+'Merluza del sur Artesanal XI'!J98</f>
        <v>21.799314863555566</v>
      </c>
      <c r="M270" s="192">
        <f>+'Merluza del sur Artesanal XI'!K98</f>
        <v>0.73921693903780183</v>
      </c>
      <c r="N270" s="193" t="str">
        <f>+'Merluza del sur Artesanal XI'!L98</f>
        <v>-</v>
      </c>
      <c r="O270" s="193">
        <f>+'Resumen Cuota Global'!B$4</f>
        <v>44566</v>
      </c>
      <c r="P270" s="191">
        <v>2021</v>
      </c>
      <c r="Q270" s="191"/>
    </row>
    <row r="271" spans="1:17">
      <c r="A271" s="191" t="s">
        <v>363</v>
      </c>
      <c r="B271" s="191" t="s">
        <v>245</v>
      </c>
      <c r="C271" s="191" t="s">
        <v>364</v>
      </c>
      <c r="D271" s="191" t="str">
        <f>+'Merluza del sur Artesanal XI'!B$102</f>
        <v>FLOTA SUR 2</v>
      </c>
      <c r="E271" s="191" t="str">
        <f>+'Merluza del sur Artesanal XI'!C102</f>
        <v>SINDICATO AGUIRRE-ARCHIPIELAGO DEL SUR RSU 11.02.0069</v>
      </c>
      <c r="F271" s="191" t="s">
        <v>223</v>
      </c>
      <c r="G271" s="191" t="s">
        <v>249</v>
      </c>
      <c r="H271" s="159">
        <f>+'Merluza del sur Artesanal XI'!F102</f>
        <v>77.311726336000007</v>
      </c>
      <c r="I271" s="159">
        <f>+'Merluza del sur Artesanal XI'!G102</f>
        <v>-75.784999999999997</v>
      </c>
      <c r="J271" s="159">
        <f>+'Merluza del sur Artesanal XI'!H102</f>
        <v>1.5267263360000101</v>
      </c>
      <c r="K271" s="159">
        <f>+'Merluza del sur Artesanal XI'!I102</f>
        <v>1.5266666666666668</v>
      </c>
      <c r="L271" s="159">
        <f>+'Merluza del sur Artesanal XI'!J102</f>
        <v>5.9669333343226327E-5</v>
      </c>
      <c r="M271" s="192">
        <f>+'Merluza del sur Artesanal XI'!K102</f>
        <v>0.99996091681139165</v>
      </c>
      <c r="N271" s="193">
        <f>+'Merluza del sur Artesanal XI'!L102</f>
        <v>44251</v>
      </c>
      <c r="O271" s="193">
        <f>+'Resumen Cuota Global'!B$4</f>
        <v>44566</v>
      </c>
      <c r="P271" s="191">
        <v>2021</v>
      </c>
      <c r="Q271" s="191"/>
    </row>
    <row r="272" spans="1:17">
      <c r="A272" s="191" t="s">
        <v>363</v>
      </c>
      <c r="B272" s="191" t="s">
        <v>245</v>
      </c>
      <c r="C272" s="191" t="s">
        <v>364</v>
      </c>
      <c r="D272" s="191" t="str">
        <f>+'Merluza del sur Artesanal XI'!B$102</f>
        <v>FLOTA SUR 2</v>
      </c>
      <c r="E272" s="191" t="str">
        <f>+'Merluza del sur Artesanal XI'!C103</f>
        <v>COOPESUR ROL 4410</v>
      </c>
      <c r="F272" s="191" t="s">
        <v>223</v>
      </c>
      <c r="G272" s="191" t="s">
        <v>249</v>
      </c>
      <c r="H272" s="159">
        <f>+'Merluza del sur Artesanal XI'!F103</f>
        <v>34.64547606</v>
      </c>
      <c r="I272" s="159">
        <f>+'Merluza del sur Artesanal XI'!G103</f>
        <v>-34.643999999999998</v>
      </c>
      <c r="J272" s="159">
        <f>+'Merluza del sur Artesanal XI'!H103</f>
        <v>1.4760600000016666E-3</v>
      </c>
      <c r="K272" s="159">
        <f>+'Merluza del sur Artesanal XI'!I103</f>
        <v>0</v>
      </c>
      <c r="L272" s="159">
        <f>+'Merluza del sur Artesanal XI'!J103</f>
        <v>1.4760600000016666E-3</v>
      </c>
      <c r="M272" s="192">
        <f>+'Merluza del sur Artesanal XI'!K103</f>
        <v>0</v>
      </c>
      <c r="N272" s="193">
        <f>+'Merluza del sur Artesanal XI'!L103</f>
        <v>44285</v>
      </c>
      <c r="O272" s="193">
        <f>+'Resumen Cuota Global'!B$4</f>
        <v>44566</v>
      </c>
      <c r="P272" s="191">
        <v>2021</v>
      </c>
      <c r="Q272" s="191"/>
    </row>
    <row r="273" spans="1:17">
      <c r="A273" s="191" t="s">
        <v>363</v>
      </c>
      <c r="B273" s="191" t="s">
        <v>245</v>
      </c>
      <c r="C273" s="191" t="s">
        <v>364</v>
      </c>
      <c r="D273" s="191" t="str">
        <f>+'Merluza del sur Artesanal XI'!B$102</f>
        <v>FLOTA SUR 2</v>
      </c>
      <c r="E273" s="191" t="str">
        <f>+'Merluza del sur Artesanal XI'!C104</f>
        <v>CODEMAIH ROL 4313</v>
      </c>
      <c r="F273" s="191" t="s">
        <v>223</v>
      </c>
      <c r="G273" s="191" t="s">
        <v>249</v>
      </c>
      <c r="H273" s="159">
        <f>+'Merluza del sur Artesanal XI'!F104</f>
        <v>26.034529742</v>
      </c>
      <c r="I273" s="159">
        <f>+'Merluza del sur Artesanal XI'!G104</f>
        <v>-26.035</v>
      </c>
      <c r="J273" s="159">
        <f>+'Merluza del sur Artesanal XI'!H104</f>
        <v>-4.7025800000000118E-4</v>
      </c>
      <c r="K273" s="159">
        <f>+'Merluza del sur Artesanal XI'!I104</f>
        <v>0</v>
      </c>
      <c r="L273" s="159">
        <f>+'Merluza del sur Artesanal XI'!J104</f>
        <v>-4.7025800000000118E-4</v>
      </c>
      <c r="M273" s="192">
        <f>+'Merluza del sur Artesanal XI'!K104</f>
        <v>0</v>
      </c>
      <c r="N273" s="193">
        <f>+'Merluza del sur Artesanal XI'!L104</f>
        <v>44236</v>
      </c>
      <c r="O273" s="193">
        <f>+'Resumen Cuota Global'!B$4</f>
        <v>44566</v>
      </c>
      <c r="P273" s="191">
        <v>2021</v>
      </c>
      <c r="Q273" s="191"/>
    </row>
    <row r="274" spans="1:17">
      <c r="A274" s="191" t="s">
        <v>363</v>
      </c>
      <c r="B274" s="191" t="s">
        <v>245</v>
      </c>
      <c r="C274" s="191" t="s">
        <v>364</v>
      </c>
      <c r="D274" s="191" t="str">
        <f>+'Merluza del sur Artesanal XI'!B$102</f>
        <v>FLOTA SUR 2</v>
      </c>
      <c r="E274" s="191" t="str">
        <f>+'Merluza del sur Artesanal XI'!C105</f>
        <v>SINDICATO AGUIRRE-MORALEDA RSU 11.02.0051</v>
      </c>
      <c r="F274" s="191" t="s">
        <v>223</v>
      </c>
      <c r="G274" s="191" t="s">
        <v>249</v>
      </c>
      <c r="H274" s="159">
        <f>+'Merluza del sur Artesanal XI'!F105</f>
        <v>48.246390880999996</v>
      </c>
      <c r="I274" s="159">
        <f>+'Merluza del sur Artesanal XI'!G105</f>
        <v>-48.244999999999997</v>
      </c>
      <c r="J274" s="159">
        <f>+'Merluza del sur Artesanal XI'!H105</f>
        <v>1.3908809999989558E-3</v>
      </c>
      <c r="K274" s="159">
        <f>+'Merluza del sur Artesanal XI'!I105</f>
        <v>0</v>
      </c>
      <c r="L274" s="159">
        <f>+'Merluza del sur Artesanal XI'!J105</f>
        <v>1.3908809999989558E-3</v>
      </c>
      <c r="M274" s="192">
        <f>+'Merluza del sur Artesanal XI'!K105</f>
        <v>0</v>
      </c>
      <c r="N274" s="193">
        <f>+'Merluza del sur Artesanal XI'!L105</f>
        <v>44236</v>
      </c>
      <c r="O274" s="193">
        <f>+'Resumen Cuota Global'!B$4</f>
        <v>44566</v>
      </c>
      <c r="P274" s="191">
        <v>2021</v>
      </c>
      <c r="Q274" s="191"/>
    </row>
    <row r="275" spans="1:17">
      <c r="A275" s="191" t="s">
        <v>363</v>
      </c>
      <c r="B275" s="191" t="s">
        <v>245</v>
      </c>
      <c r="C275" s="191" t="s">
        <v>364</v>
      </c>
      <c r="D275" s="191" t="str">
        <f>+'Merluza del sur Artesanal XI'!B$102</f>
        <v>FLOTA SUR 2</v>
      </c>
      <c r="E275" s="191" t="str">
        <f>+'Merluza del sur Artesanal XI'!C106</f>
        <v>STI NUEVO AMANECER RSU 11.02.0082</v>
      </c>
      <c r="F275" s="191" t="s">
        <v>223</v>
      </c>
      <c r="G275" s="191" t="s">
        <v>249</v>
      </c>
      <c r="H275" s="159">
        <f>+'Merluza del sur Artesanal XI'!F106</f>
        <v>20.818337240999998</v>
      </c>
      <c r="I275" s="159">
        <f>+'Merluza del sur Artesanal XI'!G106</f>
        <v>-20.619</v>
      </c>
      <c r="J275" s="159">
        <f>+'Merluza del sur Artesanal XI'!H106</f>
        <v>0.1993372409999985</v>
      </c>
      <c r="K275" s="159">
        <f>+'Merluza del sur Artesanal XI'!I106</f>
        <v>0.2</v>
      </c>
      <c r="L275" s="159">
        <f>+'Merluza del sur Artesanal XI'!J106</f>
        <v>-6.6275900000151156E-4</v>
      </c>
      <c r="M275" s="192">
        <f>+'Merluza del sur Artesanal XI'!K106</f>
        <v>1.0033248127478673</v>
      </c>
      <c r="N275" s="193" t="str">
        <f>+'Merluza del sur Artesanal XI'!L106</f>
        <v>-</v>
      </c>
      <c r="O275" s="193">
        <f>+'Resumen Cuota Global'!B$4</f>
        <v>44566</v>
      </c>
      <c r="P275" s="191">
        <v>2021</v>
      </c>
      <c r="Q275" s="191"/>
    </row>
    <row r="276" spans="1:17">
      <c r="A276" s="191" t="s">
        <v>363</v>
      </c>
      <c r="B276" s="191" t="s">
        <v>245</v>
      </c>
      <c r="C276" s="191" t="s">
        <v>364</v>
      </c>
      <c r="D276" s="191" t="str">
        <f>+'Merluza del sur Artesanal XI'!B$102</f>
        <v>FLOTA SUR 2</v>
      </c>
      <c r="E276" s="191" t="str">
        <f>+'Merluza del sur Artesanal XI'!C107</f>
        <v>SINDICATO AGUIRRE-AGUAS CLARAS RSU 11.02.0066</v>
      </c>
      <c r="F276" s="191" t="s">
        <v>223</v>
      </c>
      <c r="G276" s="191" t="s">
        <v>249</v>
      </c>
      <c r="H276" s="159">
        <f>+'Merluza del sur Artesanal XI'!F107</f>
        <v>34.606061373000003</v>
      </c>
      <c r="I276" s="159">
        <f>+'Merluza del sur Artesanal XI'!G107</f>
        <v>-34.606000000000002</v>
      </c>
      <c r="J276" s="159">
        <f>+'Merluza del sur Artesanal XI'!H107</f>
        <v>6.1373000001196942E-5</v>
      </c>
      <c r="K276" s="159">
        <f>+'Merluza del sur Artesanal XI'!I107</f>
        <v>0</v>
      </c>
      <c r="L276" s="159">
        <f>+'Merluza del sur Artesanal XI'!J107</f>
        <v>6.1373000001196942E-5</v>
      </c>
      <c r="M276" s="192">
        <f>+'Merluza del sur Artesanal XI'!K107</f>
        <v>0</v>
      </c>
      <c r="N276" s="193">
        <f>+'Merluza del sur Artesanal XI'!L107</f>
        <v>44236</v>
      </c>
      <c r="O276" s="193">
        <f>+'Resumen Cuota Global'!B$4</f>
        <v>44566</v>
      </c>
      <c r="P276" s="191">
        <v>2021</v>
      </c>
      <c r="Q276" s="191"/>
    </row>
    <row r="277" spans="1:17">
      <c r="A277" s="191" t="s">
        <v>363</v>
      </c>
      <c r="B277" s="191" t="s">
        <v>245</v>
      </c>
      <c r="C277" s="191" t="s">
        <v>364</v>
      </c>
      <c r="D277" s="191" t="str">
        <f>+'Merluza del sur Artesanal XI'!B$102</f>
        <v>FLOTA SUR 2</v>
      </c>
      <c r="E277" s="191" t="str">
        <f>+'Merluza del sur Artesanal XI'!C108</f>
        <v>SINDICATO AGUIRRE-MARES DEL SUR RSU 11.02.0042</v>
      </c>
      <c r="F277" s="191" t="s">
        <v>223</v>
      </c>
      <c r="G277" s="191" t="s">
        <v>249</v>
      </c>
      <c r="H277" s="159">
        <f>+'Merluza del sur Artesanal XI'!F108</f>
        <v>38.729312518</v>
      </c>
      <c r="I277" s="159">
        <f>+'Merluza del sur Artesanal XI'!G108</f>
        <v>-36.94</v>
      </c>
      <c r="J277" s="159">
        <f>+'Merluza del sur Artesanal XI'!H108</f>
        <v>1.7893125180000027</v>
      </c>
      <c r="K277" s="159">
        <f>+'Merluza del sur Artesanal XI'!I108</f>
        <v>1.788888888888889</v>
      </c>
      <c r="L277" s="159">
        <f>+'Merluza del sur Artesanal XI'!J108</f>
        <v>4.2362911111371027E-4</v>
      </c>
      <c r="M277" s="192">
        <f>+'Merluza del sur Artesanal XI'!K108</f>
        <v>0.99976324476196743</v>
      </c>
      <c r="N277" s="193">
        <f>+'Merluza del sur Artesanal XI'!L108</f>
        <v>44334</v>
      </c>
      <c r="O277" s="193">
        <f>+'Resumen Cuota Global'!B$4</f>
        <v>44566</v>
      </c>
      <c r="P277" s="191">
        <v>2021</v>
      </c>
      <c r="Q277" s="191"/>
    </row>
    <row r="278" spans="1:17">
      <c r="A278" s="191" t="s">
        <v>363</v>
      </c>
      <c r="B278" s="191" t="s">
        <v>245</v>
      </c>
      <c r="C278" s="191" t="s">
        <v>364</v>
      </c>
      <c r="D278" s="191" t="str">
        <f>+'Merluza del sur Artesanal XI'!B$102</f>
        <v>FLOTA SUR 2</v>
      </c>
      <c r="E278" s="191" t="str">
        <f>+'Merluza del sur Artesanal XI'!C109</f>
        <v>COOPERATIVA DE PUERTO AGUIRRE COPEAGU ROL 4257</v>
      </c>
      <c r="F278" s="191" t="s">
        <v>223</v>
      </c>
      <c r="G278" s="191" t="s">
        <v>249</v>
      </c>
      <c r="H278" s="159">
        <f>+'Merluza del sur Artesanal XI'!F109</f>
        <v>100.248553223</v>
      </c>
      <c r="I278" s="159">
        <f>+'Merluza del sur Artesanal XI'!G109</f>
        <v>-70.135000000000005</v>
      </c>
      <c r="J278" s="159">
        <f>+'Merluza del sur Artesanal XI'!H109</f>
        <v>30.113553222999997</v>
      </c>
      <c r="K278" s="159">
        <f>+'Merluza del sur Artesanal XI'!I109</f>
        <v>24.678000000000001</v>
      </c>
      <c r="L278" s="159">
        <f>+'Merluza del sur Artesanal XI'!J109</f>
        <v>5.4355532229999959</v>
      </c>
      <c r="M278" s="192">
        <f>+'Merluza del sur Artesanal XI'!K109</f>
        <v>0.81949811160615704</v>
      </c>
      <c r="N278" s="193" t="str">
        <f>+'Merluza del sur Artesanal XI'!L109</f>
        <v>-</v>
      </c>
      <c r="O278" s="193">
        <f>+'Resumen Cuota Global'!B$4</f>
        <v>44566</v>
      </c>
      <c r="P278" s="191">
        <v>2021</v>
      </c>
      <c r="Q278" s="191"/>
    </row>
    <row r="279" spans="1:17">
      <c r="A279" s="191" t="s">
        <v>363</v>
      </c>
      <c r="B279" s="191" t="s">
        <v>245</v>
      </c>
      <c r="C279" s="191" t="s">
        <v>364</v>
      </c>
      <c r="D279" s="191" t="str">
        <f>+'Merluza del sur Artesanal XI'!B$102</f>
        <v>FLOTA SUR 2</v>
      </c>
      <c r="E279" s="191" t="str">
        <f>+'Merluza del sur Artesanal XI'!C110</f>
        <v>SINDICATO ANDRADE-ISLAS HUICHAS N°3 RSU 11.02.0034</v>
      </c>
      <c r="F279" s="191" t="s">
        <v>223</v>
      </c>
      <c r="G279" s="191" t="s">
        <v>249</v>
      </c>
      <c r="H279" s="159">
        <f>+'Merluza del sur Artesanal XI'!F110</f>
        <v>50.184830058999999</v>
      </c>
      <c r="I279" s="159">
        <f>+'Merluza del sur Artesanal XI'!G110</f>
        <v>-49.384</v>
      </c>
      <c r="J279" s="159">
        <f>+'Merluza del sur Artesanal XI'!H110</f>
        <v>0.80083005899999904</v>
      </c>
      <c r="K279" s="159">
        <f>+'Merluza del sur Artesanal XI'!I110</f>
        <v>0.4</v>
      </c>
      <c r="L279" s="159">
        <f>+'Merluza del sur Artesanal XI'!J110</f>
        <v>0.40083005899999902</v>
      </c>
      <c r="M279" s="192">
        <f>+'Merluza del sur Artesanal XI'!K110</f>
        <v>0.49948175084671803</v>
      </c>
      <c r="N279" s="193" t="str">
        <f>+'Merluza del sur Artesanal XI'!L110</f>
        <v>-</v>
      </c>
      <c r="O279" s="193">
        <f>+'Resumen Cuota Global'!B$4</f>
        <v>44566</v>
      </c>
      <c r="P279" s="191">
        <v>2021</v>
      </c>
      <c r="Q279" s="191"/>
    </row>
    <row r="280" spans="1:17">
      <c r="A280" s="191" t="s">
        <v>363</v>
      </c>
      <c r="B280" s="191" t="s">
        <v>245</v>
      </c>
      <c r="C280" s="191" t="s">
        <v>364</v>
      </c>
      <c r="D280" s="191" t="str">
        <f>+'Merluza del sur Artesanal XI'!B$102</f>
        <v>FLOTA SUR 2</v>
      </c>
      <c r="E280" s="191" t="str">
        <f>+'Merluza del sur Artesanal XI'!C111</f>
        <v>STI DE LA PESCA ARTESANAL DE LA CALETA ANDRADE RSU 11.02.0029</v>
      </c>
      <c r="F280" s="191" t="s">
        <v>223</v>
      </c>
      <c r="G280" s="191" t="s">
        <v>249</v>
      </c>
      <c r="H280" s="159">
        <f>+'Merluza del sur Artesanal XI'!F111</f>
        <v>121.854132244</v>
      </c>
      <c r="I280" s="159">
        <f>+'Merluza del sur Artesanal XI'!G111</f>
        <v>-121.854</v>
      </c>
      <c r="J280" s="159">
        <f>+'Merluza del sur Artesanal XI'!H111</f>
        <v>1.3224399999955949E-4</v>
      </c>
      <c r="K280" s="159">
        <f>+'Merluza del sur Artesanal XI'!I111</f>
        <v>0</v>
      </c>
      <c r="L280" s="159">
        <f>+'Merluza del sur Artesanal XI'!J111</f>
        <v>1.3224399999955949E-4</v>
      </c>
      <c r="M280" s="192">
        <f>+'Merluza del sur Artesanal XI'!K111</f>
        <v>0</v>
      </c>
      <c r="N280" s="193">
        <f>+'Merluza del sur Artesanal XI'!L111</f>
        <v>44236</v>
      </c>
      <c r="O280" s="193">
        <f>+'Resumen Cuota Global'!B$4</f>
        <v>44566</v>
      </c>
      <c r="P280" s="191">
        <v>2021</v>
      </c>
      <c r="Q280" s="191"/>
    </row>
    <row r="281" spans="1:17">
      <c r="A281" s="191" t="s">
        <v>363</v>
      </c>
      <c r="B281" s="191" t="s">
        <v>245</v>
      </c>
      <c r="C281" s="191" t="s">
        <v>364</v>
      </c>
      <c r="D281" s="191" t="str">
        <f>+'Merluza del sur Artesanal XI'!B$102</f>
        <v>FLOTA SUR 2</v>
      </c>
      <c r="E281" s="191" t="str">
        <f>+'Merluza del sur Artesanal XI'!C112</f>
        <v>HEREDEROS DEL ARTE RSU 11.02.0122</v>
      </c>
      <c r="F281" s="191" t="s">
        <v>223</v>
      </c>
      <c r="G281" s="191" t="s">
        <v>249</v>
      </c>
      <c r="H281" s="159">
        <f>+'Merluza del sur Artesanal XI'!F112</f>
        <v>65.993564715000005</v>
      </c>
      <c r="I281" s="159">
        <f>+'Merluza del sur Artesanal XI'!G112</f>
        <v>-65.994</v>
      </c>
      <c r="J281" s="159">
        <f>+'Merluza del sur Artesanal XI'!H112</f>
        <v>-4.352849999946784E-4</v>
      </c>
      <c r="K281" s="159">
        <f>+'Merluza del sur Artesanal XI'!I112</f>
        <v>0</v>
      </c>
      <c r="L281" s="159">
        <f>+'Merluza del sur Artesanal XI'!J112</f>
        <v>-4.352849999946784E-4</v>
      </c>
      <c r="M281" s="192">
        <f>+'Merluza del sur Artesanal XI'!K112</f>
        <v>0</v>
      </c>
      <c r="N281" s="193">
        <f>+'Merluza del sur Artesanal XI'!L112</f>
        <v>44230</v>
      </c>
      <c r="O281" s="193">
        <f>+'Resumen Cuota Global'!B$4</f>
        <v>44566</v>
      </c>
      <c r="P281" s="191">
        <v>2021</v>
      </c>
      <c r="Q281" s="191"/>
    </row>
    <row r="282" spans="1:17">
      <c r="A282" s="191" t="s">
        <v>363</v>
      </c>
      <c r="B282" s="191" t="s">
        <v>245</v>
      </c>
      <c r="C282" s="191" t="s">
        <v>364</v>
      </c>
      <c r="D282" s="191" t="str">
        <f>+'Merluza del sur Artesanal XI'!B$102</f>
        <v>FLOTA SUR 2</v>
      </c>
      <c r="E282" s="191" t="str">
        <f>+'Merluza del sur Artesanal XI'!C113</f>
        <v>SINDICATO AGUIRRE-NUEVAVENTURA RSU 11.02.0077</v>
      </c>
      <c r="F282" s="191" t="s">
        <v>223</v>
      </c>
      <c r="G282" s="191" t="s">
        <v>249</v>
      </c>
      <c r="H282" s="159">
        <f>+'Merluza del sur Artesanal XI'!F113</f>
        <v>35.774443289000004</v>
      </c>
      <c r="I282" s="159">
        <f>+'Merluza del sur Artesanal XI'!G113</f>
        <v>-34.247</v>
      </c>
      <c r="J282" s="159">
        <f>+'Merluza del sur Artesanal XI'!H113</f>
        <v>1.5274432890000043</v>
      </c>
      <c r="K282" s="159">
        <f>+'Merluza del sur Artesanal XI'!I113</f>
        <v>0</v>
      </c>
      <c r="L282" s="159">
        <f>+'Merluza del sur Artesanal XI'!J113</f>
        <v>1.5274432890000043</v>
      </c>
      <c r="M282" s="192">
        <f>+'Merluza del sur Artesanal XI'!K113</f>
        <v>0</v>
      </c>
      <c r="N282" s="193" t="str">
        <f>+'Merluza del sur Artesanal XI'!L113</f>
        <v>-</v>
      </c>
      <c r="O282" s="193">
        <f>+'Resumen Cuota Global'!B$4</f>
        <v>44566</v>
      </c>
      <c r="P282" s="191">
        <v>2021</v>
      </c>
      <c r="Q282" s="191"/>
    </row>
    <row r="283" spans="1:17">
      <c r="A283" s="191" t="s">
        <v>363</v>
      </c>
      <c r="B283" s="191" t="s">
        <v>245</v>
      </c>
      <c r="C283" s="191" t="s">
        <v>364</v>
      </c>
      <c r="D283" s="191" t="str">
        <f>+'Merluza del sur Artesanal XI'!B$102</f>
        <v>FLOTA SUR 2</v>
      </c>
      <c r="E283" s="191" t="str">
        <f>+'Merluza del sur Artesanal XI'!C114</f>
        <v>SINDICATO ANDRADE-FRANCISCO ANDRADE RSU 11.02.0054</v>
      </c>
      <c r="F283" s="191" t="s">
        <v>223</v>
      </c>
      <c r="G283" s="191" t="s">
        <v>249</v>
      </c>
      <c r="H283" s="159">
        <f>+'Merluza del sur Artesanal XI'!F114</f>
        <v>32.898234369000001</v>
      </c>
      <c r="I283" s="159">
        <f>+'Merluza del sur Artesanal XI'!G114</f>
        <v>-32.898000000000003</v>
      </c>
      <c r="J283" s="159">
        <f>+'Merluza del sur Artesanal XI'!H114</f>
        <v>2.3436899999751404E-4</v>
      </c>
      <c r="K283" s="159">
        <f>+'Merluza del sur Artesanal XI'!I114</f>
        <v>0</v>
      </c>
      <c r="L283" s="159">
        <f>+'Merluza del sur Artesanal XI'!J114</f>
        <v>2.3436899999751404E-4</v>
      </c>
      <c r="M283" s="192">
        <f>+'Merluza del sur Artesanal XI'!K114</f>
        <v>0</v>
      </c>
      <c r="N283" s="193">
        <f>+'Merluza del sur Artesanal XI'!L114</f>
        <v>44242</v>
      </c>
      <c r="O283" s="193">
        <f>+'Resumen Cuota Global'!B$4</f>
        <v>44566</v>
      </c>
      <c r="P283" s="191">
        <v>2021</v>
      </c>
      <c r="Q283" s="191"/>
    </row>
    <row r="284" spans="1:17">
      <c r="A284" s="191" t="s">
        <v>363</v>
      </c>
      <c r="B284" s="191" t="s">
        <v>245</v>
      </c>
      <c r="C284" s="191" t="s">
        <v>364</v>
      </c>
      <c r="D284" s="191" t="str">
        <f>+'Merluza del sur Artesanal XI'!B$102</f>
        <v>FLOTA SUR 2</v>
      </c>
      <c r="E284" s="191" t="str">
        <f>+'Merluza del sur Artesanal XI'!C115</f>
        <v>STI ISLA HUICHAS N°1 RSU 11.02.0019</v>
      </c>
      <c r="F284" s="191" t="s">
        <v>223</v>
      </c>
      <c r="G284" s="191" t="s">
        <v>249</v>
      </c>
      <c r="H284" s="159">
        <f>+'Merluza del sur Artesanal XI'!F115</f>
        <v>90.024843271999998</v>
      </c>
      <c r="I284" s="159">
        <f>+'Merluza del sur Artesanal XI'!G115</f>
        <v>-90.025000000000006</v>
      </c>
      <c r="J284" s="159">
        <f>+'Merluza del sur Artesanal XI'!H115</f>
        <v>-1.5672800000743337E-4</v>
      </c>
      <c r="K284" s="159">
        <f>+'Merluza del sur Artesanal XI'!I115</f>
        <v>0</v>
      </c>
      <c r="L284" s="159">
        <f>+'Merluza del sur Artesanal XI'!J115</f>
        <v>-1.5672800000743337E-4</v>
      </c>
      <c r="M284" s="192">
        <f>+'Merluza del sur Artesanal XI'!K115</f>
        <v>0</v>
      </c>
      <c r="N284" s="193">
        <f>+'Merluza del sur Artesanal XI'!L115</f>
        <v>44242</v>
      </c>
      <c r="O284" s="193">
        <f>+'Resumen Cuota Global'!B$4</f>
        <v>44566</v>
      </c>
      <c r="P284" s="191">
        <v>2021</v>
      </c>
      <c r="Q284" s="191"/>
    </row>
    <row r="285" spans="1:17">
      <c r="A285" s="191" t="s">
        <v>363</v>
      </c>
      <c r="B285" s="191" t="s">
        <v>245</v>
      </c>
      <c r="C285" s="191" t="s">
        <v>364</v>
      </c>
      <c r="D285" s="191" t="str">
        <f>+'Merluza del sur Artesanal XI'!B$102</f>
        <v>FLOTA SUR 2</v>
      </c>
      <c r="E285" s="191" t="str">
        <f>+'Merluza del sur Artesanal XI'!C116</f>
        <v>STI PROA AL FUTURO RSU 11.02.0147</v>
      </c>
      <c r="F285" s="191" t="s">
        <v>223</v>
      </c>
      <c r="G285" s="191" t="s">
        <v>249</v>
      </c>
      <c r="H285" s="159">
        <f>+'Merluza del sur Artesanal XI'!F116</f>
        <v>57.226154375</v>
      </c>
      <c r="I285" s="159">
        <f>+'Merluza del sur Artesanal XI'!G116</f>
        <v>-57.225999999999999</v>
      </c>
      <c r="J285" s="159">
        <f>+'Merluza del sur Artesanal XI'!H116</f>
        <v>1.543750000010391E-4</v>
      </c>
      <c r="K285" s="159">
        <f>+'Merluza del sur Artesanal XI'!I116</f>
        <v>0</v>
      </c>
      <c r="L285" s="159">
        <f>+'Merluza del sur Artesanal XI'!J116</f>
        <v>1.543750000010391E-4</v>
      </c>
      <c r="M285" s="192">
        <f>+'Merluza del sur Artesanal XI'!K116</f>
        <v>0</v>
      </c>
      <c r="N285" s="193">
        <f>+'Merluza del sur Artesanal XI'!L116</f>
        <v>44285</v>
      </c>
      <c r="O285" s="193">
        <f>+'Resumen Cuota Global'!B$4</f>
        <v>44566</v>
      </c>
      <c r="P285" s="191">
        <v>2021</v>
      </c>
      <c r="Q285" s="191"/>
    </row>
    <row r="286" spans="1:17">
      <c r="A286" s="191" t="s">
        <v>363</v>
      </c>
      <c r="B286" s="191" t="s">
        <v>245</v>
      </c>
      <c r="C286" s="191" t="s">
        <v>364</v>
      </c>
      <c r="D286" s="191" t="str">
        <f>+'Merluza del sur Artesanal XI'!B$102</f>
        <v>FLOTA SUR 2</v>
      </c>
      <c r="E286" s="191" t="str">
        <f>+'Merluza del sur Artesanal XI'!C117</f>
        <v>SOC. PESQ. ART. LEVIÑANCO HERMANOS LTDA 76.133.677-0</v>
      </c>
      <c r="F286" s="191" t="s">
        <v>223</v>
      </c>
      <c r="G286" s="191" t="s">
        <v>249</v>
      </c>
      <c r="H286" s="159">
        <f>+'Merluza del sur Artesanal XI'!F117</f>
        <v>2.5485008379999998</v>
      </c>
      <c r="I286" s="159">
        <f>+'Merluza del sur Artesanal XI'!G117</f>
        <v>-2.5489999999999999</v>
      </c>
      <c r="J286" s="159">
        <f>+'Merluza del sur Artesanal XI'!H117</f>
        <v>-4.9916200000010846E-4</v>
      </c>
      <c r="K286" s="159">
        <f>+'Merluza del sur Artesanal XI'!I117</f>
        <v>0</v>
      </c>
      <c r="L286" s="159">
        <f>+'Merluza del sur Artesanal XI'!J117</f>
        <v>-4.9916200000010846E-4</v>
      </c>
      <c r="M286" s="192">
        <f>+'Merluza del sur Artesanal XI'!K117</f>
        <v>0</v>
      </c>
      <c r="N286" s="193">
        <f>+'Merluza del sur Artesanal XI'!L117</f>
        <v>44230</v>
      </c>
      <c r="O286" s="193">
        <f>+'Resumen Cuota Global'!B$4</f>
        <v>44566</v>
      </c>
      <c r="P286" s="191">
        <v>2021</v>
      </c>
      <c r="Q286" s="191"/>
    </row>
    <row r="287" spans="1:17">
      <c r="A287" s="191" t="s">
        <v>363</v>
      </c>
      <c r="B287" s="191" t="s">
        <v>245</v>
      </c>
      <c r="C287" s="191" t="s">
        <v>364</v>
      </c>
      <c r="D287" s="191" t="str">
        <f>+'Merluza del sur Artesanal XI'!B$102</f>
        <v>FLOTA SUR 2</v>
      </c>
      <c r="E287" s="191" t="str">
        <f>+'Merluza del sur Artesanal XI'!C118</f>
        <v>SOCIEDAD DE PESCADORES ARTESANALES ESPERANZA LTDA 77.069.179-6</v>
      </c>
      <c r="F287" s="191" t="s">
        <v>223</v>
      </c>
      <c r="G287" s="191" t="s">
        <v>249</v>
      </c>
      <c r="H287" s="159">
        <f>+'Merluza del sur Artesanal XI'!F118</f>
        <v>5.3919637460000001</v>
      </c>
      <c r="I287" s="159">
        <f>+'Merluza del sur Artesanal XI'!G118</f>
        <v>-5.3920000000000003</v>
      </c>
      <c r="J287" s="159">
        <f>+'Merluza del sur Artesanal XI'!H118</f>
        <v>-3.6254000000290887E-5</v>
      </c>
      <c r="K287" s="159">
        <f>+'Merluza del sur Artesanal XI'!I118</f>
        <v>0</v>
      </c>
      <c r="L287" s="159">
        <f>+'Merluza del sur Artesanal XI'!J118</f>
        <v>-3.6254000000290887E-5</v>
      </c>
      <c r="M287" s="192">
        <f>+'Merluza del sur Artesanal XI'!K118</f>
        <v>0</v>
      </c>
      <c r="N287" s="193">
        <f>+'Merluza del sur Artesanal XI'!L118</f>
        <v>44236</v>
      </c>
      <c r="O287" s="193">
        <f>+'Resumen Cuota Global'!B$4</f>
        <v>44566</v>
      </c>
      <c r="P287" s="191">
        <v>2021</v>
      </c>
      <c r="Q287" s="191"/>
    </row>
    <row r="288" spans="1:17">
      <c r="A288" s="191" t="s">
        <v>363</v>
      </c>
      <c r="B288" s="191" t="s">
        <v>245</v>
      </c>
      <c r="C288" s="191" t="s">
        <v>364</v>
      </c>
      <c r="D288" s="191" t="str">
        <f>+'Merluza del sur Artesanal XI'!B$102</f>
        <v>FLOTA SUR 2</v>
      </c>
      <c r="E288" s="191" t="str">
        <f>+'Merluza del sur Artesanal XI'!C120</f>
        <v>NO ASOCIADOS FLOTA SUR 2</v>
      </c>
      <c r="F288" s="191" t="s">
        <v>223</v>
      </c>
      <c r="G288" s="191" t="s">
        <v>249</v>
      </c>
      <c r="H288" s="159">
        <f>+'Merluza del sur Artesanal XI'!F120</f>
        <v>5.0337375529999999</v>
      </c>
      <c r="I288" s="159">
        <f>+'Merluza del sur Artesanal XI'!G120</f>
        <v>0</v>
      </c>
      <c r="J288" s="159">
        <f>+'Merluza del sur Artesanal XI'!H120</f>
        <v>5.0337375529999999</v>
      </c>
      <c r="K288" s="159">
        <f>+'Merluza del sur Artesanal XI'!I120</f>
        <v>4.8777777777777773</v>
      </c>
      <c r="L288" s="159">
        <f>+'Merluza del sur Artesanal XI'!J120</f>
        <v>0.1559597752222226</v>
      </c>
      <c r="M288" s="192">
        <f>+'Merluza del sur Artesanal XI'!K120</f>
        <v>0.96901710238562722</v>
      </c>
      <c r="N288" s="193" t="str">
        <f>+'Merluza del sur Artesanal XI'!L120</f>
        <v>-</v>
      </c>
      <c r="O288" s="193">
        <f>+'Resumen Cuota Global'!B$4</f>
        <v>44566</v>
      </c>
      <c r="P288" s="191">
        <v>2021</v>
      </c>
      <c r="Q288" s="191"/>
    </row>
    <row r="289" spans="1:17">
      <c r="A289" s="191" t="s">
        <v>363</v>
      </c>
      <c r="B289" s="191" t="s">
        <v>245</v>
      </c>
      <c r="C289" s="191" t="s">
        <v>364</v>
      </c>
      <c r="D289" s="191" t="s">
        <v>375</v>
      </c>
      <c r="E289" s="191" t="s">
        <v>376</v>
      </c>
      <c r="F289" s="191" t="s">
        <v>223</v>
      </c>
      <c r="G289" s="191" t="s">
        <v>249</v>
      </c>
      <c r="H289" s="159">
        <f>+'Merluza del sur Artesanal XI'!F121</f>
        <v>849.14958467300005</v>
      </c>
      <c r="I289" s="159">
        <f>+'Merluza del sur Artesanal XI'!G121</f>
        <v>-806.57800000000009</v>
      </c>
      <c r="J289" s="159">
        <f>+'Merluza del sur Artesanal XI'!H121</f>
        <v>42.571584672999961</v>
      </c>
      <c r="K289" s="159">
        <f>+'Merluza del sur Artesanal XI'!I121</f>
        <v>35.050222222222224</v>
      </c>
      <c r="L289" s="159">
        <f>+'Merluza del sur Artesanal XI'!J121</f>
        <v>7.5213624507777368</v>
      </c>
      <c r="M289" s="192">
        <f>+'Merluza del sur Artesanal XI'!K121</f>
        <v>0.82332434865766257</v>
      </c>
      <c r="N289" s="193" t="str">
        <f>+'Merluza del sur Artesanal XI'!L121</f>
        <v>-</v>
      </c>
      <c r="O289" s="193">
        <f>+'Resumen Cuota Global'!B$4</f>
        <v>44566</v>
      </c>
      <c r="P289" s="191">
        <v>2021</v>
      </c>
      <c r="Q289" s="191"/>
    </row>
    <row r="290" spans="1:17">
      <c r="A290" s="191" t="s">
        <v>363</v>
      </c>
      <c r="B290" s="191" t="s">
        <v>245</v>
      </c>
      <c r="C290" s="191" t="s">
        <v>364</v>
      </c>
      <c r="D290" s="191" t="s">
        <v>271</v>
      </c>
      <c r="E290" s="191" t="s">
        <v>272</v>
      </c>
      <c r="F290" s="191" t="s">
        <v>223</v>
      </c>
      <c r="G290" s="191" t="s">
        <v>249</v>
      </c>
      <c r="H290" s="159">
        <f>+'Resumen Cuota Global'!D8</f>
        <v>3757.0001089529992</v>
      </c>
      <c r="I290" s="159">
        <f>+'Resumen Cuota Global'!E8</f>
        <v>-2841.2719999999995</v>
      </c>
      <c r="J290" s="159">
        <f>+'Resumen Cuota Global'!F8</f>
        <v>915.72810895299972</v>
      </c>
      <c r="K290" s="159">
        <f>+'Resumen Cuota Global'!G8</f>
        <v>802.0336666666667</v>
      </c>
      <c r="L290" s="159">
        <f>+'Resumen Cuota Global'!H8</f>
        <v>113.69444228633301</v>
      </c>
      <c r="M290" s="192">
        <f>+'Resumen Cuota Global'!I8</f>
        <v>0.8758425768798056</v>
      </c>
      <c r="N290" s="193" t="s">
        <v>31</v>
      </c>
      <c r="O290" s="193">
        <f>+'Resumen Cuota Global'!B$4</f>
        <v>44566</v>
      </c>
      <c r="P290" s="191">
        <v>2021</v>
      </c>
      <c r="Q290" s="1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I12"/>
  <sheetViews>
    <sheetView workbookViewId="0">
      <selection activeCell="D9" sqref="D9"/>
    </sheetView>
  </sheetViews>
  <sheetFormatPr baseColWidth="10" defaultRowHeight="15"/>
  <cols>
    <col min="3" max="3" width="23.140625" style="150" customWidth="1"/>
    <col min="4" max="4" width="11.42578125" style="150"/>
    <col min="9" max="9" width="10.85546875" customWidth="1"/>
  </cols>
  <sheetData>
    <row r="1" spans="2:9" ht="15.75" thickBot="1"/>
    <row r="2" spans="2:9" ht="18.75">
      <c r="B2" s="240" t="s">
        <v>451</v>
      </c>
      <c r="C2" s="241"/>
      <c r="D2" s="241"/>
      <c r="E2" s="241"/>
      <c r="F2" s="241"/>
      <c r="G2" s="241"/>
      <c r="H2" s="241"/>
      <c r="I2" s="242"/>
    </row>
    <row r="3" spans="2:9" ht="19.5" thickBot="1">
      <c r="B3" s="243">
        <f>+'Resumen Cuota Global'!B4</f>
        <v>44566</v>
      </c>
      <c r="C3" s="244"/>
      <c r="D3" s="244"/>
      <c r="E3" s="244"/>
      <c r="F3" s="244"/>
      <c r="G3" s="244"/>
      <c r="H3" s="244"/>
      <c r="I3" s="245"/>
    </row>
    <row r="4" spans="2:9">
      <c r="B4" s="229" t="s">
        <v>43</v>
      </c>
      <c r="C4" s="229"/>
      <c r="D4" s="229"/>
      <c r="E4" s="229"/>
      <c r="F4" s="229"/>
      <c r="G4" s="229"/>
      <c r="H4" s="229"/>
      <c r="I4" s="229"/>
    </row>
    <row r="8" spans="2:9" ht="30">
      <c r="B8" s="209" t="s">
        <v>449</v>
      </c>
      <c r="C8" s="209" t="s">
        <v>452</v>
      </c>
      <c r="D8" s="209" t="s">
        <v>413</v>
      </c>
      <c r="E8" s="209" t="s">
        <v>35</v>
      </c>
      <c r="F8" s="209" t="s">
        <v>5</v>
      </c>
      <c r="G8" s="209" t="s">
        <v>6</v>
      </c>
      <c r="H8" s="209" t="s">
        <v>186</v>
      </c>
      <c r="I8" s="209" t="s">
        <v>28</v>
      </c>
    </row>
    <row r="9" spans="2:9">
      <c r="B9" s="129" t="s">
        <v>450</v>
      </c>
      <c r="C9" s="129" t="s">
        <v>453</v>
      </c>
      <c r="D9" s="129">
        <v>218494</v>
      </c>
      <c r="E9" s="129">
        <v>188.88800000000001</v>
      </c>
      <c r="F9" s="129"/>
      <c r="G9" s="129">
        <f>+E9-F9</f>
        <v>188.88800000000001</v>
      </c>
      <c r="H9" s="211">
        <f>+F9/E9</f>
        <v>0</v>
      </c>
      <c r="I9" s="129" t="s">
        <v>31</v>
      </c>
    </row>
    <row r="10" spans="2:9" s="150" customFormat="1">
      <c r="B10" s="129" t="s">
        <v>454</v>
      </c>
      <c r="C10" s="129" t="s">
        <v>455</v>
      </c>
      <c r="D10" s="129" t="s">
        <v>31</v>
      </c>
      <c r="E10" s="129">
        <v>-188.88800000000001</v>
      </c>
      <c r="F10" s="129"/>
      <c r="G10" s="213">
        <f t="shared" ref="G10" si="0">+E10-F10</f>
        <v>-188.88800000000001</v>
      </c>
      <c r="H10" s="211">
        <f t="shared" ref="H10" si="1">+F10/E10</f>
        <v>0</v>
      </c>
      <c r="I10" s="213" t="s">
        <v>31</v>
      </c>
    </row>
    <row r="11" spans="2:9" s="212" customFormat="1">
      <c r="B11" s="213" t="s">
        <v>456</v>
      </c>
      <c r="C11" s="213" t="s">
        <v>453</v>
      </c>
      <c r="D11" s="213">
        <v>218490</v>
      </c>
      <c r="E11" s="213">
        <v>49.887999999999998</v>
      </c>
      <c r="F11" s="213"/>
      <c r="G11" s="213">
        <f>+E11-F11</f>
        <v>49.887999999999998</v>
      </c>
      <c r="H11" s="211">
        <f>+F11/E11</f>
        <v>0</v>
      </c>
      <c r="I11" s="213" t="s">
        <v>31</v>
      </c>
    </row>
    <row r="12" spans="2:9">
      <c r="B12" s="246" t="s">
        <v>40</v>
      </c>
      <c r="C12" s="247"/>
      <c r="D12" s="248"/>
      <c r="E12" s="210">
        <f>SUM(E9:E11)</f>
        <v>49.887999999999998</v>
      </c>
      <c r="F12" s="210">
        <f>SUM(F9:F11)</f>
        <v>0</v>
      </c>
      <c r="G12" s="210">
        <f>+E12-F12</f>
        <v>49.887999999999998</v>
      </c>
      <c r="H12" s="214">
        <f>+F12/E12</f>
        <v>0</v>
      </c>
      <c r="I12" s="213" t="s">
        <v>31</v>
      </c>
    </row>
  </sheetData>
  <mergeCells count="4">
    <mergeCell ref="B4:I4"/>
    <mergeCell ref="B2:I2"/>
    <mergeCell ref="B3:I3"/>
    <mergeCell ref="B12:D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P26"/>
  <sheetViews>
    <sheetView topLeftCell="A4" zoomScale="110" zoomScaleNormal="110" workbookViewId="0">
      <selection activeCell="G25" sqref="G25"/>
    </sheetView>
  </sheetViews>
  <sheetFormatPr baseColWidth="10" defaultRowHeight="15"/>
  <cols>
    <col min="1" max="1" width="3.7109375" customWidth="1"/>
    <col min="2" max="2" width="13.28515625" bestFit="1" customWidth="1"/>
    <col min="3" max="3" width="11.5703125" customWidth="1"/>
    <col min="4" max="4" width="9" customWidth="1"/>
    <col min="5" max="5" width="13.42578125" customWidth="1"/>
    <col min="6" max="6" width="9" customWidth="1"/>
  </cols>
  <sheetData>
    <row r="1" spans="2:16" ht="15.75" thickBot="1">
      <c r="C1" s="89"/>
    </row>
    <row r="2" spans="2:16" ht="18.75">
      <c r="B2" s="251" t="s">
        <v>396</v>
      </c>
      <c r="C2" s="252"/>
      <c r="D2" s="252"/>
      <c r="E2" s="252"/>
      <c r="F2" s="252"/>
      <c r="G2" s="252"/>
      <c r="H2" s="252"/>
      <c r="I2" s="252"/>
      <c r="J2" s="253"/>
      <c r="K2" s="111"/>
      <c r="L2" s="111"/>
      <c r="M2" s="111"/>
    </row>
    <row r="3" spans="2:16" ht="19.5" thickBot="1">
      <c r="B3" s="254">
        <f>+'Resumen Cuota Global'!B4</f>
        <v>44566</v>
      </c>
      <c r="C3" s="255"/>
      <c r="D3" s="255"/>
      <c r="E3" s="255"/>
      <c r="F3" s="255"/>
      <c r="G3" s="255"/>
      <c r="H3" s="255"/>
      <c r="I3" s="255"/>
      <c r="J3" s="256"/>
      <c r="K3" s="111"/>
      <c r="L3" s="111"/>
      <c r="M3" s="111"/>
    </row>
    <row r="4" spans="2:16" ht="15.75">
      <c r="B4" s="257" t="s">
        <v>43</v>
      </c>
      <c r="C4" s="257"/>
      <c r="D4" s="257"/>
      <c r="E4" s="257"/>
      <c r="F4" s="257"/>
      <c r="G4" s="257"/>
      <c r="H4" s="257"/>
      <c r="I4" s="257"/>
      <c r="J4" s="257"/>
      <c r="K4" s="112"/>
      <c r="L4" s="112"/>
      <c r="M4" s="112"/>
    </row>
    <row r="5" spans="2:16" s="13" customFormat="1" ht="15.75">
      <c r="B5" s="250" t="s">
        <v>202</v>
      </c>
      <c r="C5" s="250"/>
      <c r="D5" s="250"/>
      <c r="E5" s="55"/>
      <c r="F5" s="55"/>
      <c r="G5" s="55"/>
      <c r="H5" s="55"/>
      <c r="I5" s="55"/>
      <c r="J5" s="55"/>
      <c r="K5" s="55"/>
      <c r="L5" s="55"/>
      <c r="M5" s="55"/>
    </row>
    <row r="6" spans="2:16" s="13" customFormat="1" ht="15.75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2:16" ht="30">
      <c r="B7" s="56" t="s">
        <v>184</v>
      </c>
      <c r="C7" s="56" t="s">
        <v>185</v>
      </c>
      <c r="D7" s="56" t="s">
        <v>35</v>
      </c>
      <c r="E7" s="56" t="s">
        <v>3</v>
      </c>
      <c r="F7" s="56" t="s">
        <v>4</v>
      </c>
      <c r="G7" s="56" t="s">
        <v>5</v>
      </c>
      <c r="H7" s="56" t="s">
        <v>6</v>
      </c>
      <c r="I7" s="56" t="s">
        <v>186</v>
      </c>
      <c r="J7" s="56" t="s">
        <v>28</v>
      </c>
    </row>
    <row r="8" spans="2:16">
      <c r="B8" s="31" t="s">
        <v>187</v>
      </c>
      <c r="C8" s="31" t="s">
        <v>37</v>
      </c>
      <c r="D8" s="61">
        <v>241.559</v>
      </c>
      <c r="E8" s="61">
        <v>-128</v>
      </c>
      <c r="F8" s="61">
        <f>+D8+E8</f>
        <v>113.559</v>
      </c>
      <c r="G8" s="215">
        <v>103.245</v>
      </c>
      <c r="H8" s="61">
        <f>+F8-G8</f>
        <v>10.313999999999993</v>
      </c>
      <c r="I8" s="57">
        <f>+G8/F8</f>
        <v>0.90917496631706873</v>
      </c>
      <c r="J8" s="32" t="s">
        <v>31</v>
      </c>
      <c r="P8" s="89"/>
    </row>
    <row r="9" spans="2:16">
      <c r="B9" s="31" t="s">
        <v>188</v>
      </c>
      <c r="C9" s="31" t="s">
        <v>37</v>
      </c>
      <c r="D9" s="61">
        <v>623.55999999999995</v>
      </c>
      <c r="E9" s="87">
        <f>-380-46</f>
        <v>-426</v>
      </c>
      <c r="F9" s="61">
        <f t="shared" ref="F9:F22" si="0">+D9+E9</f>
        <v>197.55999999999995</v>
      </c>
      <c r="G9" s="215">
        <v>172.065</v>
      </c>
      <c r="H9" s="61">
        <f t="shared" ref="H9:H22" si="1">+F9-G9</f>
        <v>25.494999999999948</v>
      </c>
      <c r="I9" s="57">
        <f t="shared" ref="I9:I22" si="2">+G9/F9</f>
        <v>0.87095059728690039</v>
      </c>
      <c r="J9" s="32" t="s">
        <v>31</v>
      </c>
      <c r="P9" s="89"/>
    </row>
    <row r="10" spans="2:16">
      <c r="B10" s="31" t="s">
        <v>189</v>
      </c>
      <c r="C10" s="31" t="s">
        <v>37</v>
      </c>
      <c r="D10" s="61">
        <v>221.59</v>
      </c>
      <c r="E10" s="61"/>
      <c r="F10" s="61">
        <f t="shared" si="0"/>
        <v>221.59</v>
      </c>
      <c r="G10" s="215">
        <v>216.25899999999999</v>
      </c>
      <c r="H10" s="61">
        <f t="shared" si="1"/>
        <v>5.3310000000000173</v>
      </c>
      <c r="I10" s="57">
        <f t="shared" si="2"/>
        <v>0.97594205514689281</v>
      </c>
      <c r="J10" s="32" t="s">
        <v>31</v>
      </c>
      <c r="P10" s="89"/>
    </row>
    <row r="11" spans="2:16">
      <c r="B11" s="31" t="s">
        <v>190</v>
      </c>
      <c r="C11" s="31" t="s">
        <v>37</v>
      </c>
      <c r="D11" s="61">
        <v>35.137</v>
      </c>
      <c r="E11" s="61">
        <v>-20.46</v>
      </c>
      <c r="F11" s="61">
        <f t="shared" si="0"/>
        <v>14.677</v>
      </c>
      <c r="G11" s="215">
        <v>16.46</v>
      </c>
      <c r="H11" s="61">
        <f t="shared" si="1"/>
        <v>-1.7830000000000013</v>
      </c>
      <c r="I11" s="57">
        <f t="shared" si="2"/>
        <v>1.1214825918103155</v>
      </c>
      <c r="J11" s="32" t="s">
        <v>31</v>
      </c>
      <c r="P11" s="89"/>
    </row>
    <row r="12" spans="2:16">
      <c r="B12" s="31" t="s">
        <v>191</v>
      </c>
      <c r="C12" s="31" t="s">
        <v>37</v>
      </c>
      <c r="D12" s="61">
        <v>230.08699999999999</v>
      </c>
      <c r="E12" s="61"/>
      <c r="F12" s="61">
        <f t="shared" si="0"/>
        <v>230.08699999999999</v>
      </c>
      <c r="G12" s="215">
        <v>194.679</v>
      </c>
      <c r="H12" s="61">
        <f t="shared" si="1"/>
        <v>35.407999999999987</v>
      </c>
      <c r="I12" s="57">
        <f t="shared" si="2"/>
        <v>0.84611038433288288</v>
      </c>
      <c r="J12" s="32" t="s">
        <v>31</v>
      </c>
      <c r="P12" s="89"/>
    </row>
    <row r="13" spans="2:16">
      <c r="B13" s="31" t="s">
        <v>192</v>
      </c>
      <c r="C13" s="31" t="s">
        <v>37</v>
      </c>
      <c r="D13" s="61">
        <v>574.75599999999997</v>
      </c>
      <c r="E13" s="61"/>
      <c r="F13" s="61">
        <f t="shared" si="0"/>
        <v>574.75599999999997</v>
      </c>
      <c r="G13" s="215">
        <v>576.38900000000001</v>
      </c>
      <c r="H13" s="61">
        <f t="shared" si="1"/>
        <v>-1.6330000000000382</v>
      </c>
      <c r="I13" s="57">
        <f t="shared" si="2"/>
        <v>1.0028412056594451</v>
      </c>
      <c r="J13" s="32" t="s">
        <v>31</v>
      </c>
      <c r="P13" s="89"/>
    </row>
    <row r="14" spans="2:16">
      <c r="B14" s="31" t="s">
        <v>193</v>
      </c>
      <c r="C14" s="31" t="s">
        <v>37</v>
      </c>
      <c r="D14" s="61">
        <v>208.63800000000001</v>
      </c>
      <c r="E14" s="61"/>
      <c r="F14" s="61">
        <f t="shared" si="0"/>
        <v>208.63800000000001</v>
      </c>
      <c r="G14" s="215">
        <v>184.066</v>
      </c>
      <c r="H14" s="61">
        <f t="shared" si="1"/>
        <v>24.572000000000003</v>
      </c>
      <c r="I14" s="57">
        <f t="shared" si="2"/>
        <v>0.88222663177369409</v>
      </c>
      <c r="J14" s="32" t="s">
        <v>31</v>
      </c>
      <c r="P14" s="89"/>
    </row>
    <row r="15" spans="2:16">
      <c r="B15" s="31" t="s">
        <v>194</v>
      </c>
      <c r="C15" s="31" t="s">
        <v>37</v>
      </c>
      <c r="D15" s="61">
        <v>171.07900000000001</v>
      </c>
      <c r="E15" s="61">
        <f>-120.333-22.222</f>
        <v>-142.55500000000001</v>
      </c>
      <c r="F15" s="61">
        <f t="shared" si="0"/>
        <v>28.524000000000001</v>
      </c>
      <c r="G15" s="215">
        <v>24.829000000000001</v>
      </c>
      <c r="H15" s="61">
        <f t="shared" si="1"/>
        <v>3.6950000000000003</v>
      </c>
      <c r="I15" s="57">
        <f t="shared" si="2"/>
        <v>0.87045996353947552</v>
      </c>
      <c r="J15" s="32" t="s">
        <v>31</v>
      </c>
      <c r="P15" s="89"/>
    </row>
    <row r="16" spans="2:16">
      <c r="B16" s="31" t="s">
        <v>195</v>
      </c>
      <c r="C16" s="31" t="s">
        <v>37</v>
      </c>
      <c r="D16" s="61">
        <v>1935.5050000000001</v>
      </c>
      <c r="E16" s="61"/>
      <c r="F16" s="61">
        <f t="shared" si="0"/>
        <v>1935.5050000000001</v>
      </c>
      <c r="G16" s="215">
        <v>1907.421</v>
      </c>
      <c r="H16" s="61">
        <f t="shared" si="1"/>
        <v>28.08400000000006</v>
      </c>
      <c r="I16" s="57">
        <f t="shared" si="2"/>
        <v>0.98549009173316526</v>
      </c>
      <c r="J16" s="32" t="s">
        <v>31</v>
      </c>
      <c r="P16" s="107"/>
    </row>
    <row r="17" spans="2:16">
      <c r="B17" s="31" t="s">
        <v>196</v>
      </c>
      <c r="C17" s="31" t="s">
        <v>37</v>
      </c>
      <c r="D17" s="61">
        <v>115.419</v>
      </c>
      <c r="E17" s="61">
        <f>-84.308-9.3</f>
        <v>-93.608000000000004</v>
      </c>
      <c r="F17" s="61">
        <f t="shared" si="0"/>
        <v>21.810999999999993</v>
      </c>
      <c r="G17" s="215">
        <v>21.783000000000001</v>
      </c>
      <c r="H17" s="61">
        <f t="shared" si="1"/>
        <v>2.7999999999991587E-2</v>
      </c>
      <c r="I17" s="57">
        <f t="shared" si="2"/>
        <v>0.99871624409701565</v>
      </c>
      <c r="J17" s="32" t="s">
        <v>31</v>
      </c>
      <c r="P17" s="89"/>
    </row>
    <row r="18" spans="2:16">
      <c r="B18" s="31" t="s">
        <v>197</v>
      </c>
      <c r="C18" s="31" t="s">
        <v>37</v>
      </c>
      <c r="D18" s="61">
        <v>510.529</v>
      </c>
      <c r="E18" s="61">
        <v>-406.52199999999999</v>
      </c>
      <c r="F18" s="61">
        <f t="shared" si="0"/>
        <v>104.00700000000001</v>
      </c>
      <c r="G18" s="215">
        <v>91.962999999999994</v>
      </c>
      <c r="H18" s="61">
        <f t="shared" si="1"/>
        <v>12.044000000000011</v>
      </c>
      <c r="I18" s="57">
        <f t="shared" si="2"/>
        <v>0.88420010191621712</v>
      </c>
      <c r="J18" s="32" t="s">
        <v>31</v>
      </c>
      <c r="P18" s="89"/>
    </row>
    <row r="19" spans="2:16">
      <c r="B19" s="31" t="s">
        <v>198</v>
      </c>
      <c r="C19" s="31" t="s">
        <v>37</v>
      </c>
      <c r="D19" s="61">
        <v>398.78899999999999</v>
      </c>
      <c r="E19" s="61">
        <v>-342.62200000000001</v>
      </c>
      <c r="F19" s="61">
        <f t="shared" si="0"/>
        <v>56.166999999999973</v>
      </c>
      <c r="G19" s="215">
        <v>59.664000000000001</v>
      </c>
      <c r="H19" s="61">
        <f t="shared" si="1"/>
        <v>-3.4970000000000283</v>
      </c>
      <c r="I19" s="57">
        <f t="shared" si="2"/>
        <v>1.0622607580963916</v>
      </c>
      <c r="J19" s="32" t="s">
        <v>31</v>
      </c>
      <c r="P19" s="89"/>
    </row>
    <row r="20" spans="2:16">
      <c r="B20" s="31" t="s">
        <v>199</v>
      </c>
      <c r="C20" s="31" t="s">
        <v>37</v>
      </c>
      <c r="D20" s="61">
        <v>528.53</v>
      </c>
      <c r="E20" s="61">
        <f>-100-317</f>
        <v>-417</v>
      </c>
      <c r="F20" s="61">
        <f t="shared" si="0"/>
        <v>111.52999999999997</v>
      </c>
      <c r="G20" s="215">
        <v>112.46</v>
      </c>
      <c r="H20" s="61">
        <f t="shared" si="1"/>
        <v>-0.93000000000002103</v>
      </c>
      <c r="I20" s="57">
        <f t="shared" si="2"/>
        <v>1.0083385636151709</v>
      </c>
      <c r="J20" s="32" t="s">
        <v>31</v>
      </c>
      <c r="P20" s="89"/>
    </row>
    <row r="21" spans="2:16">
      <c r="B21" s="31" t="s">
        <v>200</v>
      </c>
      <c r="C21" s="31" t="s">
        <v>37</v>
      </c>
      <c r="D21" s="61">
        <v>336.678</v>
      </c>
      <c r="E21" s="61">
        <f>-96.667-11.389-188.888+188.888-139-49.888</f>
        <v>-296.94400000000002</v>
      </c>
      <c r="F21" s="61">
        <f t="shared" si="0"/>
        <v>39.73399999999998</v>
      </c>
      <c r="G21" s="215">
        <v>45.884999999999998</v>
      </c>
      <c r="H21" s="61">
        <f t="shared" si="1"/>
        <v>-6.1510000000000176</v>
      </c>
      <c r="I21" s="57">
        <f t="shared" si="2"/>
        <v>1.1548044495897725</v>
      </c>
      <c r="J21" s="120">
        <v>44560</v>
      </c>
      <c r="P21" s="89"/>
    </row>
    <row r="22" spans="2:16">
      <c r="B22" s="31" t="s">
        <v>201</v>
      </c>
      <c r="C22" s="31" t="s">
        <v>37</v>
      </c>
      <c r="D22" s="61">
        <v>32.143999999999998</v>
      </c>
      <c r="E22" s="61"/>
      <c r="F22" s="61">
        <f t="shared" si="0"/>
        <v>32.143999999999998</v>
      </c>
      <c r="G22" s="215">
        <v>45.866999999999997</v>
      </c>
      <c r="H22" s="61">
        <f t="shared" si="1"/>
        <v>-13.722999999999999</v>
      </c>
      <c r="I22" s="57">
        <f t="shared" si="2"/>
        <v>1.4269225983076157</v>
      </c>
      <c r="J22" s="120">
        <v>44217</v>
      </c>
      <c r="P22" s="89"/>
    </row>
    <row r="23" spans="2:16">
      <c r="B23" s="249" t="s">
        <v>40</v>
      </c>
      <c r="C23" s="249"/>
      <c r="D23" s="62">
        <f>SUM(D8:D22)</f>
        <v>6164</v>
      </c>
      <c r="E23" s="62">
        <f>SUM(E8:E22)</f>
        <v>-2273.7110000000002</v>
      </c>
      <c r="F23" s="62">
        <f>+D23+E23</f>
        <v>3890.2889999999998</v>
      </c>
      <c r="G23" s="62">
        <f>SUM(G8:G22)</f>
        <v>3773.0350000000008</v>
      </c>
      <c r="H23" s="62">
        <f>+F23-G23</f>
        <v>117.253999999999</v>
      </c>
      <c r="I23" s="59">
        <f>+G23/F23</f>
        <v>0.96985982275352833</v>
      </c>
      <c r="J23" s="60" t="s">
        <v>31</v>
      </c>
    </row>
    <row r="26" spans="2:16">
      <c r="B26" s="66"/>
      <c r="C26" s="66"/>
    </row>
  </sheetData>
  <mergeCells count="5">
    <mergeCell ref="B23:C23"/>
    <mergeCell ref="B5:D5"/>
    <mergeCell ref="B2:J2"/>
    <mergeCell ref="B3:J3"/>
    <mergeCell ref="B4:J4"/>
  </mergeCells>
  <conditionalFormatting sqref="E8:E22">
    <cfRule type="cellIs" dxfId="12" priority="5" operator="lessThan">
      <formula>0</formula>
    </cfRule>
  </conditionalFormatting>
  <conditionalFormatting sqref="I8:I22">
    <cfRule type="cellIs" dxfId="11" priority="4" operator="greaterThan">
      <formula>0.9</formula>
    </cfRule>
  </conditionalFormatting>
  <conditionalFormatting sqref="H8:H22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H18"/>
  <sheetViews>
    <sheetView workbookViewId="0">
      <selection activeCell="E18" sqref="E18"/>
    </sheetView>
  </sheetViews>
  <sheetFormatPr baseColWidth="10" defaultRowHeight="15"/>
  <cols>
    <col min="3" max="3" width="14.42578125" customWidth="1"/>
  </cols>
  <sheetData>
    <row r="1" spans="2:8" ht="15.75" thickBot="1"/>
    <row r="2" spans="2:8">
      <c r="B2" s="259" t="s">
        <v>445</v>
      </c>
      <c r="C2" s="260"/>
      <c r="D2" s="260"/>
      <c r="E2" s="260"/>
      <c r="F2" s="260"/>
      <c r="G2" s="260"/>
      <c r="H2" s="261"/>
    </row>
    <row r="3" spans="2:8">
      <c r="B3" s="262"/>
      <c r="C3" s="263"/>
      <c r="D3" s="263"/>
      <c r="E3" s="263"/>
      <c r="F3" s="263"/>
      <c r="G3" s="263"/>
      <c r="H3" s="264"/>
    </row>
    <row r="4" spans="2:8" s="89" customFormat="1">
      <c r="B4" s="268">
        <f>+'Resumen Cuota Global'!B4</f>
        <v>44566</v>
      </c>
      <c r="C4" s="269"/>
      <c r="D4" s="269"/>
      <c r="E4" s="269"/>
      <c r="F4" s="269"/>
      <c r="G4" s="269"/>
      <c r="H4" s="270"/>
    </row>
    <row r="5" spans="2:8" s="89" customFormat="1" ht="15.75" thickBot="1">
      <c r="B5" s="265" t="s">
        <v>43</v>
      </c>
      <c r="C5" s="266"/>
      <c r="D5" s="266"/>
      <c r="E5" s="266"/>
      <c r="F5" s="266"/>
      <c r="G5" s="266"/>
      <c r="H5" s="267"/>
    </row>
    <row r="6" spans="2:8">
      <c r="B6" s="271" t="s">
        <v>447</v>
      </c>
      <c r="C6" s="271"/>
      <c r="D6" s="271"/>
      <c r="E6" s="271"/>
      <c r="F6" s="271"/>
      <c r="G6" s="271"/>
      <c r="H6" s="271"/>
    </row>
    <row r="7" spans="2:8" s="89" customFormat="1"/>
    <row r="8" spans="2:8" ht="45">
      <c r="B8" s="131" t="s">
        <v>33</v>
      </c>
      <c r="C8" s="131" t="s">
        <v>411</v>
      </c>
      <c r="D8" s="131" t="s">
        <v>414</v>
      </c>
      <c r="E8" s="131" t="s">
        <v>415</v>
      </c>
      <c r="F8" s="131" t="s">
        <v>6</v>
      </c>
      <c r="G8" s="131" t="s">
        <v>27</v>
      </c>
      <c r="H8" s="131" t="s">
        <v>50</v>
      </c>
    </row>
    <row r="9" spans="2:8">
      <c r="B9" s="258" t="s">
        <v>9</v>
      </c>
      <c r="C9" s="132" t="s">
        <v>188</v>
      </c>
      <c r="D9" s="133">
        <v>34.203000000000003</v>
      </c>
      <c r="E9" s="149">
        <v>34.408999999999999</v>
      </c>
      <c r="F9" s="96">
        <f>+D9-E9</f>
        <v>-0.20599999999999596</v>
      </c>
      <c r="G9" s="46">
        <f>+E9/D9</f>
        <v>1.0060228634915065</v>
      </c>
      <c r="H9" s="125">
        <v>44329</v>
      </c>
    </row>
    <row r="10" spans="2:8">
      <c r="B10" s="258"/>
      <c r="C10" s="132" t="s">
        <v>189</v>
      </c>
      <c r="D10" s="133">
        <v>2.0409999999999684</v>
      </c>
      <c r="E10" s="149">
        <v>2.387</v>
      </c>
      <c r="F10" s="96">
        <f t="shared" ref="F10:F17" si="0">+D10-E10</f>
        <v>-0.34600000000003162</v>
      </c>
      <c r="G10" s="46">
        <f>+E10/D10</f>
        <v>1.1695247427731685</v>
      </c>
      <c r="H10" s="125">
        <v>44306</v>
      </c>
    </row>
    <row r="11" spans="2:8">
      <c r="B11" s="258"/>
      <c r="C11" s="132" t="s">
        <v>190</v>
      </c>
      <c r="D11" s="133">
        <v>1.3999999999998458E-2</v>
      </c>
      <c r="E11" s="149"/>
      <c r="F11" s="96">
        <f t="shared" si="0"/>
        <v>1.3999999999998458E-2</v>
      </c>
      <c r="G11" s="46">
        <f>+E11/D11</f>
        <v>0</v>
      </c>
      <c r="H11" s="129" t="s">
        <v>31</v>
      </c>
    </row>
    <row r="12" spans="2:8">
      <c r="B12" s="258"/>
      <c r="C12" s="132" t="s">
        <v>192</v>
      </c>
      <c r="D12" s="133">
        <v>44.492999999999995</v>
      </c>
      <c r="E12" s="149">
        <v>71.563999999999993</v>
      </c>
      <c r="F12" s="96">
        <f t="shared" si="0"/>
        <v>-27.070999999999998</v>
      </c>
      <c r="G12" s="46">
        <f>+E12/D12</f>
        <v>1.6084327871800059</v>
      </c>
      <c r="H12" s="125">
        <v>44297</v>
      </c>
    </row>
    <row r="13" spans="2:8">
      <c r="B13" s="258"/>
      <c r="C13" s="132" t="s">
        <v>193</v>
      </c>
      <c r="D13" s="133">
        <v>36.653999999999996</v>
      </c>
      <c r="E13" s="149">
        <v>32.181000000000004</v>
      </c>
      <c r="F13" s="96">
        <f t="shared" si="0"/>
        <v>4.4729999999999919</v>
      </c>
      <c r="G13" s="46">
        <f t="shared" ref="G13:G17" si="1">+E13/D13</f>
        <v>0.87796693403175663</v>
      </c>
      <c r="H13" s="125">
        <v>44329</v>
      </c>
    </row>
    <row r="14" spans="2:8">
      <c r="B14" s="258"/>
      <c r="C14" s="132" t="s">
        <v>195</v>
      </c>
      <c r="D14" s="133">
        <v>322.779</v>
      </c>
      <c r="E14" s="149">
        <v>255.172</v>
      </c>
      <c r="F14" s="96">
        <f t="shared" si="0"/>
        <v>67.606999999999999</v>
      </c>
      <c r="G14" s="46">
        <f t="shared" si="1"/>
        <v>0.79054709259276468</v>
      </c>
      <c r="H14" s="129" t="s">
        <v>31</v>
      </c>
    </row>
    <row r="15" spans="2:8">
      <c r="B15" s="258"/>
      <c r="C15" s="132" t="s">
        <v>197</v>
      </c>
      <c r="D15" s="133">
        <v>27.015999999999963</v>
      </c>
      <c r="E15" s="149">
        <v>23.132999999999999</v>
      </c>
      <c r="F15" s="96">
        <f t="shared" si="0"/>
        <v>3.8829999999999636</v>
      </c>
      <c r="G15" s="46">
        <f t="shared" si="1"/>
        <v>0.85627035830619003</v>
      </c>
      <c r="H15" s="125">
        <v>44329</v>
      </c>
    </row>
    <row r="16" spans="2:8">
      <c r="B16" s="258"/>
      <c r="C16" s="132" t="s">
        <v>199</v>
      </c>
      <c r="D16" s="133">
        <v>16.051999999999992</v>
      </c>
      <c r="E16" s="149">
        <v>3.7389999999999999</v>
      </c>
      <c r="F16" s="96">
        <f t="shared" si="0"/>
        <v>12.312999999999992</v>
      </c>
      <c r="G16" s="46">
        <f t="shared" si="1"/>
        <v>0.23293047595315236</v>
      </c>
      <c r="H16" s="125">
        <v>44329</v>
      </c>
    </row>
    <row r="17" spans="2:8">
      <c r="B17" s="258"/>
      <c r="C17" s="132" t="s">
        <v>200</v>
      </c>
      <c r="D17" s="133">
        <v>4.1000000000003922E-2</v>
      </c>
      <c r="E17" s="149">
        <v>0.77700000000000002</v>
      </c>
      <c r="F17" s="96">
        <f t="shared" si="0"/>
        <v>-0.7359999999999961</v>
      </c>
      <c r="G17" s="46">
        <f t="shared" si="1"/>
        <v>18.951219512193308</v>
      </c>
      <c r="H17" s="125">
        <v>44297</v>
      </c>
    </row>
    <row r="18" spans="2:8">
      <c r="E18">
        <f>SUM(E9:E17)</f>
        <v>423.36199999999991</v>
      </c>
    </row>
  </sheetData>
  <mergeCells count="5">
    <mergeCell ref="B9:B17"/>
    <mergeCell ref="B2:H3"/>
    <mergeCell ref="B5:H5"/>
    <mergeCell ref="B4:H4"/>
    <mergeCell ref="B6:H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B1:O121"/>
  <sheetViews>
    <sheetView zoomScale="90" zoomScaleNormal="90" workbookViewId="0">
      <selection activeCell="I8" sqref="I8:I27"/>
    </sheetView>
  </sheetViews>
  <sheetFormatPr baseColWidth="10" defaultRowHeight="15"/>
  <cols>
    <col min="1" max="1" width="3" customWidth="1"/>
    <col min="2" max="2" width="14" bestFit="1" customWidth="1"/>
    <col min="3" max="3" width="64.5703125" style="13" customWidth="1"/>
    <col min="4" max="4" width="7.5703125" customWidth="1"/>
    <col min="5" max="5" width="13.28515625" style="89" hidden="1" customWidth="1"/>
    <col min="6" max="6" width="14.140625" customWidth="1"/>
    <col min="7" max="7" width="12.140625" bestFit="1" customWidth="1"/>
    <col min="8" max="8" width="13.140625" bestFit="1" customWidth="1"/>
    <col min="9" max="9" width="10.28515625" customWidth="1"/>
    <col min="10" max="10" width="9.7109375" customWidth="1"/>
    <col min="11" max="11" width="12.42578125" bestFit="1" customWidth="1"/>
    <col min="12" max="12" width="11.28515625" style="119" bestFit="1" customWidth="1"/>
  </cols>
  <sheetData>
    <row r="1" spans="2:15" ht="15.75" thickBot="1"/>
    <row r="2" spans="2:15" ht="18.75">
      <c r="B2" s="251" t="s">
        <v>399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2:15" ht="19.5" thickBot="1">
      <c r="B3" s="254">
        <f>+'Resumen Cuota Global'!B4</f>
        <v>44566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2:15" ht="15.75">
      <c r="B4" s="257" t="s">
        <v>43</v>
      </c>
      <c r="C4" s="257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2:15" ht="15.75">
      <c r="B5" s="250" t="s">
        <v>202</v>
      </c>
      <c r="C5" s="250"/>
      <c r="D5" s="250"/>
      <c r="E5" s="250"/>
      <c r="F5" s="250"/>
      <c r="G5" s="55"/>
      <c r="H5" s="55"/>
      <c r="I5" s="55"/>
      <c r="J5" s="55"/>
      <c r="K5" s="55"/>
      <c r="L5" s="55"/>
      <c r="M5" s="55"/>
      <c r="N5" s="55"/>
      <c r="O5" s="55"/>
    </row>
    <row r="6" spans="2:15" ht="15.75">
      <c r="B6" s="54"/>
      <c r="C6" s="54"/>
      <c r="D6" s="55"/>
      <c r="E6" s="110">
        <v>3757</v>
      </c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30">
      <c r="B7" s="56" t="s">
        <v>184</v>
      </c>
      <c r="C7" s="56" t="s">
        <v>203</v>
      </c>
      <c r="D7" s="56" t="s">
        <v>185</v>
      </c>
      <c r="E7" s="109" t="s">
        <v>385</v>
      </c>
      <c r="F7" s="56" t="s">
        <v>35</v>
      </c>
      <c r="G7" s="56" t="s">
        <v>3</v>
      </c>
      <c r="H7" s="56" t="s">
        <v>4</v>
      </c>
      <c r="I7" s="56" t="s">
        <v>5</v>
      </c>
      <c r="J7" s="56" t="s">
        <v>6</v>
      </c>
      <c r="K7" s="56" t="s">
        <v>186</v>
      </c>
      <c r="L7" s="113" t="s">
        <v>28</v>
      </c>
      <c r="M7" s="13"/>
      <c r="N7" s="13"/>
      <c r="O7" s="13"/>
    </row>
    <row r="8" spans="2:15" ht="15" customHeight="1">
      <c r="B8" s="272" t="s">
        <v>365</v>
      </c>
      <c r="C8" s="30" t="s">
        <v>276</v>
      </c>
      <c r="D8" s="71" t="s">
        <v>37</v>
      </c>
      <c r="E8" s="90">
        <v>1.4827817E-2</v>
      </c>
      <c r="F8" s="96">
        <f>+E8*E$6</f>
        <v>55.708108469000003</v>
      </c>
      <c r="G8" s="71"/>
      <c r="H8" s="96">
        <f>+F8+G8</f>
        <v>55.708108469000003</v>
      </c>
      <c r="I8" s="207">
        <v>47.906999999999996</v>
      </c>
      <c r="J8" s="96">
        <f>+H8-I8</f>
        <v>7.8011084690000061</v>
      </c>
      <c r="K8" s="46">
        <f>+I8/H8</f>
        <v>0.85996457816654992</v>
      </c>
      <c r="L8" s="127"/>
    </row>
    <row r="9" spans="2:15">
      <c r="B9" s="272"/>
      <c r="C9" s="30" t="s">
        <v>277</v>
      </c>
      <c r="D9" s="71" t="s">
        <v>37</v>
      </c>
      <c r="E9" s="90">
        <v>9.2387690000000008E-3</v>
      </c>
      <c r="F9" s="96">
        <f>+E9*E$6</f>
        <v>34.710055133000004</v>
      </c>
      <c r="G9" s="71"/>
      <c r="H9" s="96">
        <f t="shared" ref="H9:H27" si="0">+F9+G9</f>
        <v>34.710055133000004</v>
      </c>
      <c r="I9" s="207">
        <v>34.036000000000001</v>
      </c>
      <c r="J9" s="96">
        <f t="shared" ref="J9:J27" si="1">+H9-I9</f>
        <v>0.67405513300000308</v>
      </c>
      <c r="K9" s="46">
        <f t="shared" ref="K9:K27" si="2">+I9/H9</f>
        <v>0.98058040730799201</v>
      </c>
      <c r="L9" s="126"/>
    </row>
    <row r="10" spans="2:15">
      <c r="B10" s="272"/>
      <c r="C10" s="30" t="s">
        <v>278</v>
      </c>
      <c r="D10" s="71" t="s">
        <v>37</v>
      </c>
      <c r="E10" s="90">
        <v>1.4812204000000001E-2</v>
      </c>
      <c r="F10" s="96">
        <f t="shared" ref="F10:F27" si="3">+E10*E$6</f>
        <v>55.649450428000002</v>
      </c>
      <c r="G10" s="71">
        <v>-55.649000000000001</v>
      </c>
      <c r="H10" s="96">
        <f t="shared" si="0"/>
        <v>4.5042800000061334E-4</v>
      </c>
      <c r="I10" s="207">
        <v>0</v>
      </c>
      <c r="J10" s="96">
        <f t="shared" si="1"/>
        <v>4.5042800000061334E-4</v>
      </c>
      <c r="K10" s="46">
        <f t="shared" si="2"/>
        <v>0</v>
      </c>
      <c r="L10" s="125">
        <v>44242</v>
      </c>
    </row>
    <row r="11" spans="2:15">
      <c r="B11" s="272"/>
      <c r="C11" s="30" t="s">
        <v>279</v>
      </c>
      <c r="D11" s="71" t="s">
        <v>37</v>
      </c>
      <c r="E11" s="90">
        <v>2.4650779999999999E-3</v>
      </c>
      <c r="F11" s="96">
        <f t="shared" si="3"/>
        <v>9.2612980460000003</v>
      </c>
      <c r="G11" s="71"/>
      <c r="H11" s="96">
        <f t="shared" si="0"/>
        <v>9.2612980460000003</v>
      </c>
      <c r="I11" s="207">
        <v>9.2609999999999992</v>
      </c>
      <c r="J11" s="96">
        <f t="shared" si="1"/>
        <v>2.9804600000105097E-4</v>
      </c>
      <c r="K11" s="46">
        <f t="shared" si="2"/>
        <v>0.99996781811809521</v>
      </c>
      <c r="L11" s="125">
        <v>44334</v>
      </c>
    </row>
    <row r="12" spans="2:15">
      <c r="B12" s="272"/>
      <c r="C12" s="30" t="s">
        <v>386</v>
      </c>
      <c r="D12" s="71" t="s">
        <v>37</v>
      </c>
      <c r="E12" s="90">
        <v>2.4197949999999999E-2</v>
      </c>
      <c r="F12" s="96">
        <f t="shared" si="3"/>
        <v>90.911698149999992</v>
      </c>
      <c r="G12" s="71">
        <v>-87.599000000000004</v>
      </c>
      <c r="H12" s="96">
        <f t="shared" si="0"/>
        <v>3.3126981499999886</v>
      </c>
      <c r="I12" s="207">
        <v>1.4830000000000001</v>
      </c>
      <c r="J12" s="96">
        <f t="shared" si="1"/>
        <v>1.8296981499999885</v>
      </c>
      <c r="K12" s="46">
        <f t="shared" si="2"/>
        <v>0.44767133401514569</v>
      </c>
      <c r="L12" s="125"/>
    </row>
    <row r="13" spans="2:15">
      <c r="B13" s="272"/>
      <c r="C13" s="30" t="s">
        <v>280</v>
      </c>
      <c r="D13" s="71" t="s">
        <v>37</v>
      </c>
      <c r="E13" s="90">
        <v>1.6366403000000002E-2</v>
      </c>
      <c r="F13" s="96">
        <f t="shared" si="3"/>
        <v>61.488576071000004</v>
      </c>
      <c r="G13" s="71">
        <v>-59.963999999999999</v>
      </c>
      <c r="H13" s="96">
        <f t="shared" si="0"/>
        <v>1.5245760710000056</v>
      </c>
      <c r="I13" s="207">
        <v>1.639</v>
      </c>
      <c r="J13" s="96">
        <f t="shared" si="1"/>
        <v>-0.11442392899999443</v>
      </c>
      <c r="K13" s="46">
        <f t="shared" si="2"/>
        <v>1.0750529482762647</v>
      </c>
      <c r="L13" s="151">
        <v>44242</v>
      </c>
    </row>
    <row r="14" spans="2:15">
      <c r="B14" s="272"/>
      <c r="C14" s="30" t="s">
        <v>281</v>
      </c>
      <c r="D14" s="71" t="s">
        <v>37</v>
      </c>
      <c r="E14" s="90">
        <v>8.4063639999999995E-3</v>
      </c>
      <c r="F14" s="96">
        <f t="shared" si="3"/>
        <v>31.582709547999997</v>
      </c>
      <c r="G14" s="137">
        <f>-1.644-0.436</f>
        <v>-2.08</v>
      </c>
      <c r="H14" s="96">
        <f t="shared" si="0"/>
        <v>29.502709547999999</v>
      </c>
      <c r="I14" s="207">
        <v>35.369999999999997</v>
      </c>
      <c r="J14" s="96">
        <f t="shared" si="1"/>
        <v>-5.8672904519999989</v>
      </c>
      <c r="K14" s="46">
        <f t="shared" si="2"/>
        <v>1.1988729354656087</v>
      </c>
      <c r="L14" s="125"/>
    </row>
    <row r="15" spans="2:15">
      <c r="B15" s="272"/>
      <c r="C15" s="30" t="s">
        <v>282</v>
      </c>
      <c r="D15" s="71" t="s">
        <v>37</v>
      </c>
      <c r="E15" s="90">
        <v>1.5028120000000001E-3</v>
      </c>
      <c r="F15" s="96">
        <f t="shared" si="3"/>
        <v>5.6460646840000006</v>
      </c>
      <c r="G15" s="71">
        <v>-4.1189999999999998</v>
      </c>
      <c r="H15" s="96">
        <f t="shared" si="0"/>
        <v>1.5270646840000008</v>
      </c>
      <c r="I15" s="207">
        <v>1.5269999999999999</v>
      </c>
      <c r="J15" s="96">
        <f t="shared" si="1"/>
        <v>6.4684000000925224E-5</v>
      </c>
      <c r="K15" s="46">
        <f t="shared" si="2"/>
        <v>0.99995764161094247</v>
      </c>
      <c r="L15" s="127">
        <v>44280</v>
      </c>
    </row>
    <row r="16" spans="2:15">
      <c r="B16" s="272"/>
      <c r="C16" s="30" t="s">
        <v>283</v>
      </c>
      <c r="D16" s="71" t="s">
        <v>37</v>
      </c>
      <c r="E16" s="90">
        <v>6.7314499999999999E-4</v>
      </c>
      <c r="F16" s="96">
        <f t="shared" si="3"/>
        <v>2.529005765</v>
      </c>
      <c r="G16" s="71">
        <v>-0.5</v>
      </c>
      <c r="H16" s="96">
        <f t="shared" si="0"/>
        <v>2.029005765</v>
      </c>
      <c r="I16" s="207">
        <v>2.5289999999999999</v>
      </c>
      <c r="J16" s="96">
        <f t="shared" si="1"/>
        <v>-0.49999423499999995</v>
      </c>
      <c r="K16" s="46">
        <f t="shared" si="2"/>
        <v>1.2464232697732132</v>
      </c>
      <c r="L16" s="125"/>
    </row>
    <row r="17" spans="2:12">
      <c r="B17" s="272"/>
      <c r="C17" s="30" t="s">
        <v>284</v>
      </c>
      <c r="D17" s="71" t="s">
        <v>37</v>
      </c>
      <c r="E17" s="90">
        <v>1.6494168999999999E-2</v>
      </c>
      <c r="F17" s="96">
        <f t="shared" si="3"/>
        <v>61.968592932999996</v>
      </c>
      <c r="G17" s="71">
        <v>-61.969000000000001</v>
      </c>
      <c r="H17" s="96">
        <f t="shared" si="0"/>
        <v>-4.0706700000470164E-4</v>
      </c>
      <c r="I17" s="207">
        <v>0</v>
      </c>
      <c r="J17" s="96">
        <f t="shared" si="1"/>
        <v>-4.0706700000470164E-4</v>
      </c>
      <c r="K17" s="46">
        <f t="shared" si="2"/>
        <v>0</v>
      </c>
      <c r="L17" s="125">
        <v>44236</v>
      </c>
    </row>
    <row r="18" spans="2:12">
      <c r="B18" s="272"/>
      <c r="C18" s="30" t="s">
        <v>285</v>
      </c>
      <c r="D18" s="71" t="s">
        <v>37</v>
      </c>
      <c r="E18" s="90">
        <v>3.6979970000000001E-2</v>
      </c>
      <c r="F18" s="96">
        <f t="shared" si="3"/>
        <v>138.93374729000001</v>
      </c>
      <c r="G18" s="71"/>
      <c r="H18" s="96">
        <f t="shared" si="0"/>
        <v>138.93374729000001</v>
      </c>
      <c r="I18" s="207">
        <v>122.86799999999999</v>
      </c>
      <c r="J18" s="96">
        <f t="shared" si="1"/>
        <v>16.065747290000019</v>
      </c>
      <c r="K18" s="46">
        <f t="shared" si="2"/>
        <v>0.88436396769414438</v>
      </c>
      <c r="L18" s="129"/>
    </row>
    <row r="19" spans="2:12">
      <c r="B19" s="272"/>
      <c r="C19" s="30" t="s">
        <v>286</v>
      </c>
      <c r="D19" s="71" t="s">
        <v>37</v>
      </c>
      <c r="E19" s="90">
        <v>4.9377770000000001E-2</v>
      </c>
      <c r="F19" s="96">
        <f t="shared" si="3"/>
        <v>185.51228189</v>
      </c>
      <c r="G19" s="71"/>
      <c r="H19" s="96">
        <f t="shared" si="0"/>
        <v>185.51228189</v>
      </c>
      <c r="I19" s="207">
        <v>162.00800000000001</v>
      </c>
      <c r="J19" s="96">
        <f t="shared" si="1"/>
        <v>23.504281889999987</v>
      </c>
      <c r="K19" s="46">
        <f t="shared" si="2"/>
        <v>0.87330066963470965</v>
      </c>
      <c r="L19" s="129"/>
    </row>
    <row r="20" spans="2:12">
      <c r="B20" s="272"/>
      <c r="C20" s="30" t="s">
        <v>387</v>
      </c>
      <c r="D20" s="71" t="s">
        <v>37</v>
      </c>
      <c r="E20" s="90">
        <v>1.6700409999999999E-3</v>
      </c>
      <c r="F20" s="96">
        <f t="shared" si="3"/>
        <v>6.2743440369999997</v>
      </c>
      <c r="G20" s="71"/>
      <c r="H20" s="96">
        <f t="shared" si="0"/>
        <v>6.2743440369999997</v>
      </c>
      <c r="I20" s="207">
        <v>5.0199999999999996</v>
      </c>
      <c r="J20" s="96">
        <f t="shared" si="1"/>
        <v>1.2543440370000001</v>
      </c>
      <c r="K20" s="46">
        <f t="shared" si="2"/>
        <v>0.80008363749212752</v>
      </c>
      <c r="L20" s="129"/>
    </row>
    <row r="21" spans="2:12">
      <c r="B21" s="272"/>
      <c r="C21" s="30" t="s">
        <v>287</v>
      </c>
      <c r="D21" s="71" t="s">
        <v>37</v>
      </c>
      <c r="E21" s="90">
        <v>1.5204750000000001E-3</v>
      </c>
      <c r="F21" s="96">
        <f t="shared" si="3"/>
        <v>5.712424575</v>
      </c>
      <c r="G21" s="71"/>
      <c r="H21" s="96">
        <f t="shared" si="0"/>
        <v>5.712424575</v>
      </c>
      <c r="I21" s="207">
        <v>5.5259999999999998</v>
      </c>
      <c r="J21" s="96">
        <f t="shared" si="1"/>
        <v>0.1864245750000002</v>
      </c>
      <c r="K21" s="46">
        <f t="shared" si="2"/>
        <v>0.9673650701987605</v>
      </c>
      <c r="L21" s="125">
        <v>44559</v>
      </c>
    </row>
    <row r="22" spans="2:12">
      <c r="B22" s="272"/>
      <c r="C22" s="30" t="s">
        <v>288</v>
      </c>
      <c r="D22" s="71" t="s">
        <v>37</v>
      </c>
      <c r="E22" s="90">
        <v>5.9583129999999998E-3</v>
      </c>
      <c r="F22" s="96">
        <f t="shared" si="3"/>
        <v>22.385381940999999</v>
      </c>
      <c r="G22" s="71">
        <v>-0.14699999999999999</v>
      </c>
      <c r="H22" s="96">
        <f t="shared" si="0"/>
        <v>22.238381941</v>
      </c>
      <c r="I22" s="207">
        <v>22.239000000000001</v>
      </c>
      <c r="J22" s="96">
        <f t="shared" si="1"/>
        <v>-6.1805900000067027E-4</v>
      </c>
      <c r="K22" s="46">
        <f t="shared" si="2"/>
        <v>1.0000277924446859</v>
      </c>
      <c r="L22" s="129"/>
    </row>
    <row r="23" spans="2:12">
      <c r="B23" s="272"/>
      <c r="C23" s="30" t="s">
        <v>289</v>
      </c>
      <c r="D23" s="71" t="s">
        <v>37</v>
      </c>
      <c r="E23" s="90">
        <v>3.1748470000000002E-3</v>
      </c>
      <c r="F23" s="96">
        <f t="shared" si="3"/>
        <v>11.927900179</v>
      </c>
      <c r="G23" s="71">
        <v>-0.186</v>
      </c>
      <c r="H23" s="96">
        <f t="shared" si="0"/>
        <v>11.741900179</v>
      </c>
      <c r="I23" s="207">
        <v>11.917999999999999</v>
      </c>
      <c r="J23" s="96">
        <f t="shared" si="1"/>
        <v>-0.17609982099999932</v>
      </c>
      <c r="K23" s="46">
        <f t="shared" si="2"/>
        <v>1.0149975573216803</v>
      </c>
      <c r="L23" s="125"/>
    </row>
    <row r="24" spans="2:12" s="89" customFormat="1">
      <c r="B24" s="272"/>
      <c r="C24" s="30" t="s">
        <v>388</v>
      </c>
      <c r="D24" s="90" t="s">
        <v>37</v>
      </c>
      <c r="E24" s="90">
        <v>1.3118692E-2</v>
      </c>
      <c r="F24" s="96">
        <f t="shared" si="3"/>
        <v>49.286925843999995</v>
      </c>
      <c r="G24" s="90"/>
      <c r="H24" s="96">
        <f t="shared" si="0"/>
        <v>49.286925843999995</v>
      </c>
      <c r="I24" s="207">
        <v>45.613999999999997</v>
      </c>
      <c r="J24" s="96">
        <f t="shared" si="1"/>
        <v>3.6729258439999981</v>
      </c>
      <c r="K24" s="46">
        <f t="shared" si="2"/>
        <v>0.92547869884144685</v>
      </c>
      <c r="L24" s="125"/>
    </row>
    <row r="25" spans="2:12" s="89" customFormat="1">
      <c r="B25" s="272"/>
      <c r="C25" s="30" t="s">
        <v>389</v>
      </c>
      <c r="D25" s="90" t="s">
        <v>37</v>
      </c>
      <c r="E25" s="90">
        <v>4.2898449999999996E-3</v>
      </c>
      <c r="F25" s="96">
        <f t="shared" si="3"/>
        <v>16.116947664999998</v>
      </c>
      <c r="G25" s="90">
        <v>-16.117000000000001</v>
      </c>
      <c r="H25" s="96">
        <f t="shared" si="0"/>
        <v>-5.2335000003012055E-5</v>
      </c>
      <c r="I25" s="207">
        <v>0</v>
      </c>
      <c r="J25" s="96">
        <f t="shared" si="1"/>
        <v>-5.2335000003012055E-5</v>
      </c>
      <c r="K25" s="46">
        <f t="shared" si="2"/>
        <v>0</v>
      </c>
      <c r="L25" s="125">
        <v>44236</v>
      </c>
    </row>
    <row r="26" spans="2:12" s="89" customFormat="1">
      <c r="B26" s="272"/>
      <c r="C26" s="30" t="s">
        <v>390</v>
      </c>
      <c r="D26" s="90" t="s">
        <v>37</v>
      </c>
      <c r="E26" s="90">
        <v>1.7800730000000001E-3</v>
      </c>
      <c r="F26" s="96">
        <f t="shared" si="3"/>
        <v>6.6877342610000001</v>
      </c>
      <c r="G26" s="90">
        <v>-5.6879999999999997</v>
      </c>
      <c r="H26" s="96">
        <f t="shared" si="0"/>
        <v>0.9997342610000004</v>
      </c>
      <c r="I26" s="207">
        <v>0</v>
      </c>
      <c r="J26" s="96">
        <f t="shared" si="1"/>
        <v>0.9997342610000004</v>
      </c>
      <c r="K26" s="46">
        <f t="shared" si="2"/>
        <v>0</v>
      </c>
      <c r="L26" s="125">
        <v>44559</v>
      </c>
    </row>
    <row r="27" spans="2:12">
      <c r="B27" s="272"/>
      <c r="C27" s="30" t="s">
        <v>309</v>
      </c>
      <c r="D27" s="71" t="s">
        <v>37</v>
      </c>
      <c r="E27" s="90">
        <v>6.630904E-3</v>
      </c>
      <c r="F27" s="96">
        <f t="shared" si="3"/>
        <v>24.912306328</v>
      </c>
      <c r="G27" s="71"/>
      <c r="H27" s="96">
        <f t="shared" si="0"/>
        <v>24.912306328</v>
      </c>
      <c r="I27" s="207">
        <v>25.09</v>
      </c>
      <c r="J27" s="96">
        <f t="shared" si="1"/>
        <v>-0.17769367200000019</v>
      </c>
      <c r="K27" s="46">
        <f t="shared" si="2"/>
        <v>1.0071327668205605</v>
      </c>
      <c r="L27" s="129"/>
    </row>
    <row r="28" spans="2:12" s="74" customFormat="1">
      <c r="B28" s="272"/>
      <c r="C28" s="73" t="s">
        <v>40</v>
      </c>
      <c r="D28" s="58" t="s">
        <v>37</v>
      </c>
      <c r="E28" s="58">
        <f>SUM(E8:E27)</f>
        <v>0.23348564099999999</v>
      </c>
      <c r="F28" s="106">
        <f>SUM(F8:F27)</f>
        <v>877.20555323699978</v>
      </c>
      <c r="G28" s="58">
        <f>SUM(G8:G27)</f>
        <v>-294.01799999999997</v>
      </c>
      <c r="H28" s="106">
        <f>+F28+G28</f>
        <v>583.18755323699975</v>
      </c>
      <c r="I28" s="106">
        <f>SUM(I8:I27)</f>
        <v>534.03499999999997</v>
      </c>
      <c r="J28" s="106">
        <f>+H28-I28</f>
        <v>49.152553236999779</v>
      </c>
      <c r="K28" s="59">
        <f>+I28/H28</f>
        <v>0.91571741721136346</v>
      </c>
      <c r="L28" s="118" t="s">
        <v>31</v>
      </c>
    </row>
    <row r="30" spans="2:12" s="70" customFormat="1">
      <c r="E30" s="89"/>
      <c r="L30" s="119"/>
    </row>
    <row r="31" spans="2:12" ht="30">
      <c r="B31" s="56" t="s">
        <v>184</v>
      </c>
      <c r="C31" s="56" t="s">
        <v>203</v>
      </c>
      <c r="D31" s="56" t="s">
        <v>185</v>
      </c>
      <c r="E31" s="108" t="s">
        <v>385</v>
      </c>
      <c r="F31" s="56" t="s">
        <v>35</v>
      </c>
      <c r="G31" s="56" t="s">
        <v>3</v>
      </c>
      <c r="H31" s="56" t="s">
        <v>4</v>
      </c>
      <c r="I31" s="56" t="s">
        <v>5</v>
      </c>
      <c r="J31" s="56" t="s">
        <v>6</v>
      </c>
      <c r="K31" s="56" t="s">
        <v>186</v>
      </c>
      <c r="L31" s="113" t="s">
        <v>28</v>
      </c>
    </row>
    <row r="32" spans="2:12" ht="15" customHeight="1">
      <c r="B32" s="272" t="s">
        <v>366</v>
      </c>
      <c r="C32" s="30" t="s">
        <v>290</v>
      </c>
      <c r="D32" s="71" t="s">
        <v>37</v>
      </c>
      <c r="E32" s="90">
        <v>2.0598589999999998E-3</v>
      </c>
      <c r="F32" s="96">
        <f>+E32*E$6</f>
        <v>7.7388902629999992</v>
      </c>
      <c r="G32" s="71"/>
      <c r="H32" s="96">
        <f>+F32+G32</f>
        <v>7.7388902629999992</v>
      </c>
      <c r="I32" s="207">
        <v>5.3609999999999998</v>
      </c>
      <c r="J32" s="96">
        <f>+H32-I32</f>
        <v>2.3778902629999994</v>
      </c>
      <c r="K32" s="46">
        <f>+I32/H32</f>
        <v>0.69273498109040188</v>
      </c>
      <c r="L32" s="126" t="s">
        <v>31</v>
      </c>
    </row>
    <row r="33" spans="2:12">
      <c r="B33" s="272"/>
      <c r="C33" s="30" t="s">
        <v>291</v>
      </c>
      <c r="D33" s="71" t="s">
        <v>37</v>
      </c>
      <c r="E33" s="90">
        <v>2.0272979E-2</v>
      </c>
      <c r="F33" s="96">
        <f t="shared" ref="F33:F52" si="4">+E33*E$6</f>
        <v>76.165582103000006</v>
      </c>
      <c r="G33" s="71">
        <v>-49.161999999999999</v>
      </c>
      <c r="H33" s="96">
        <f t="shared" ref="H33:H52" si="5">+F33+G33</f>
        <v>27.003582103000006</v>
      </c>
      <c r="I33" s="207">
        <v>24.617000000000001</v>
      </c>
      <c r="J33" s="96">
        <f t="shared" ref="J33:J52" si="6">+H33-I33</f>
        <v>2.3865821030000056</v>
      </c>
      <c r="K33" s="46">
        <f t="shared" ref="K33:K52" si="7">+I33/H33</f>
        <v>0.91161979570351648</v>
      </c>
      <c r="L33" s="126" t="s">
        <v>31</v>
      </c>
    </row>
    <row r="34" spans="2:12">
      <c r="B34" s="272"/>
      <c r="C34" s="30" t="s">
        <v>292</v>
      </c>
      <c r="D34" s="71" t="s">
        <v>37</v>
      </c>
      <c r="E34" s="90">
        <v>1.5839008000000002E-2</v>
      </c>
      <c r="F34" s="96">
        <f t="shared" si="4"/>
        <v>59.507153056000007</v>
      </c>
      <c r="G34" s="71">
        <v>-57.55</v>
      </c>
      <c r="H34" s="96">
        <f t="shared" si="5"/>
        <v>1.9571530560000099</v>
      </c>
      <c r="I34" s="207">
        <v>1.2809999999999999</v>
      </c>
      <c r="J34" s="96">
        <f t="shared" si="6"/>
        <v>0.67615305600000997</v>
      </c>
      <c r="K34" s="46">
        <f t="shared" si="7"/>
        <v>0.65452213666828996</v>
      </c>
      <c r="L34" s="126" t="s">
        <v>31</v>
      </c>
    </row>
    <row r="35" spans="2:12">
      <c r="B35" s="272"/>
      <c r="C35" s="30" t="s">
        <v>293</v>
      </c>
      <c r="D35" s="71" t="s">
        <v>37</v>
      </c>
      <c r="E35" s="90">
        <v>2.8382878E-2</v>
      </c>
      <c r="F35" s="96">
        <f t="shared" si="4"/>
        <v>106.63447264600001</v>
      </c>
      <c r="G35" s="71">
        <v>-103.083</v>
      </c>
      <c r="H35" s="96">
        <f t="shared" si="5"/>
        <v>3.5514726460000077</v>
      </c>
      <c r="I35" s="207">
        <v>3.556</v>
      </c>
      <c r="J35" s="96">
        <f t="shared" si="6"/>
        <v>-4.5273539999923784E-3</v>
      </c>
      <c r="K35" s="46">
        <f t="shared" si="7"/>
        <v>1.001274782168206</v>
      </c>
      <c r="L35" s="127" t="s">
        <v>31</v>
      </c>
    </row>
    <row r="36" spans="2:12">
      <c r="B36" s="272"/>
      <c r="C36" s="30" t="s">
        <v>294</v>
      </c>
      <c r="D36" s="71" t="s">
        <v>37</v>
      </c>
      <c r="E36" s="90">
        <v>1.9440023000000001E-2</v>
      </c>
      <c r="F36" s="96">
        <f t="shared" si="4"/>
        <v>73.036166410999996</v>
      </c>
      <c r="G36" s="71">
        <v>-69.480999999999995</v>
      </c>
      <c r="H36" s="96">
        <f t="shared" si="5"/>
        <v>3.5551664110000019</v>
      </c>
      <c r="I36" s="207">
        <v>0</v>
      </c>
      <c r="J36" s="96">
        <f t="shared" si="6"/>
        <v>3.5551664110000019</v>
      </c>
      <c r="K36" s="46">
        <f t="shared" si="7"/>
        <v>0</v>
      </c>
      <c r="L36" s="125" t="s">
        <v>31</v>
      </c>
    </row>
    <row r="37" spans="2:12">
      <c r="B37" s="272"/>
      <c r="C37" s="30" t="s">
        <v>295</v>
      </c>
      <c r="D37" s="71" t="s">
        <v>37</v>
      </c>
      <c r="E37" s="90">
        <v>2.3201307000000001E-2</v>
      </c>
      <c r="F37" s="96">
        <f t="shared" si="4"/>
        <v>87.167310399000002</v>
      </c>
      <c r="G37" s="71"/>
      <c r="H37" s="96">
        <f t="shared" si="5"/>
        <v>87.167310399000002</v>
      </c>
      <c r="I37" s="207">
        <v>68.756</v>
      </c>
      <c r="J37" s="96">
        <f t="shared" si="6"/>
        <v>18.411310399000001</v>
      </c>
      <c r="K37" s="46">
        <f t="shared" si="7"/>
        <v>0.78878193769288063</v>
      </c>
      <c r="L37" s="129" t="s">
        <v>31</v>
      </c>
    </row>
    <row r="38" spans="2:12">
      <c r="B38" s="272"/>
      <c r="C38" s="30" t="s">
        <v>296</v>
      </c>
      <c r="D38" s="71" t="s">
        <v>37</v>
      </c>
      <c r="E38" s="90">
        <v>6.8101419999999999E-3</v>
      </c>
      <c r="F38" s="96">
        <f t="shared" si="4"/>
        <v>25.585703494000001</v>
      </c>
      <c r="G38" s="71"/>
      <c r="H38" s="96">
        <f t="shared" si="5"/>
        <v>25.585703494000001</v>
      </c>
      <c r="I38" s="207">
        <v>24.012</v>
      </c>
      <c r="J38" s="96">
        <f t="shared" si="6"/>
        <v>1.5737034940000001</v>
      </c>
      <c r="K38" s="46">
        <f t="shared" si="7"/>
        <v>0.93849285815537409</v>
      </c>
      <c r="L38" s="129" t="s">
        <v>31</v>
      </c>
    </row>
    <row r="39" spans="2:12">
      <c r="B39" s="272"/>
      <c r="C39" s="30" t="s">
        <v>382</v>
      </c>
      <c r="D39" s="71" t="s">
        <v>37</v>
      </c>
      <c r="E39" s="90">
        <v>1.5877109E-2</v>
      </c>
      <c r="F39" s="96">
        <f t="shared" si="4"/>
        <v>59.650298513000003</v>
      </c>
      <c r="G39" s="71">
        <v>-59.65</v>
      </c>
      <c r="H39" s="96">
        <f t="shared" si="5"/>
        <v>2.9851300000416359E-4</v>
      </c>
      <c r="I39" s="207">
        <v>0</v>
      </c>
      <c r="J39" s="96">
        <f t="shared" si="6"/>
        <v>2.9851300000416359E-4</v>
      </c>
      <c r="K39" s="46">
        <f t="shared" si="7"/>
        <v>0</v>
      </c>
      <c r="L39" s="125">
        <v>44242</v>
      </c>
    </row>
    <row r="40" spans="2:12">
      <c r="B40" s="272"/>
      <c r="C40" s="30" t="s">
        <v>297</v>
      </c>
      <c r="D40" s="71" t="s">
        <v>37</v>
      </c>
      <c r="E40" s="90">
        <v>5.6811539000000001E-2</v>
      </c>
      <c r="F40" s="96">
        <f t="shared" si="4"/>
        <v>213.44095202299999</v>
      </c>
      <c r="G40" s="71">
        <v>-209.21</v>
      </c>
      <c r="H40" s="96">
        <f t="shared" si="5"/>
        <v>4.2309520229999862</v>
      </c>
      <c r="I40" s="207">
        <v>2.7040000000000002</v>
      </c>
      <c r="J40" s="96">
        <f t="shared" si="6"/>
        <v>1.526952022999986</v>
      </c>
      <c r="K40" s="46">
        <f t="shared" si="7"/>
        <v>0.63909966014757835</v>
      </c>
      <c r="L40" s="125" t="s">
        <v>31</v>
      </c>
    </row>
    <row r="41" spans="2:12">
      <c r="B41" s="272"/>
      <c r="C41" s="30" t="s">
        <v>298</v>
      </c>
      <c r="D41" s="71" t="s">
        <v>37</v>
      </c>
      <c r="E41" s="90">
        <v>1.3341517000000001E-2</v>
      </c>
      <c r="F41" s="96">
        <f t="shared" si="4"/>
        <v>50.124079369</v>
      </c>
      <c r="G41" s="71">
        <f>-0.156-49.968</f>
        <v>-50.124000000000002</v>
      </c>
      <c r="H41" s="96">
        <f t="shared" si="5"/>
        <v>7.9368999998052914E-5</v>
      </c>
      <c r="I41" s="207">
        <v>0</v>
      </c>
      <c r="J41" s="96">
        <f t="shared" si="6"/>
        <v>7.9368999998052914E-5</v>
      </c>
      <c r="K41" s="46">
        <f t="shared" si="7"/>
        <v>0</v>
      </c>
      <c r="L41" s="125">
        <v>44274</v>
      </c>
    </row>
    <row r="42" spans="2:12">
      <c r="B42" s="272"/>
      <c r="C42" s="30" t="s">
        <v>299</v>
      </c>
      <c r="D42" s="71" t="s">
        <v>37</v>
      </c>
      <c r="E42" s="90">
        <v>6.0869790000000002E-3</v>
      </c>
      <c r="F42" s="96">
        <f t="shared" si="4"/>
        <v>22.868780103000002</v>
      </c>
      <c r="G42" s="71">
        <v>-20.012</v>
      </c>
      <c r="H42" s="96">
        <f t="shared" si="5"/>
        <v>2.856780103000002</v>
      </c>
      <c r="I42" s="207">
        <v>2.669</v>
      </c>
      <c r="J42" s="96">
        <f t="shared" si="6"/>
        <v>0.18778010300000192</v>
      </c>
      <c r="K42" s="46">
        <f t="shared" si="7"/>
        <v>0.93426861843415687</v>
      </c>
      <c r="L42" s="129" t="s">
        <v>31</v>
      </c>
    </row>
    <row r="43" spans="2:12">
      <c r="B43" s="272"/>
      <c r="C43" s="30" t="s">
        <v>300</v>
      </c>
      <c r="D43" s="71" t="s">
        <v>37</v>
      </c>
      <c r="E43" s="90">
        <v>3.7431650000000001E-3</v>
      </c>
      <c r="F43" s="96">
        <f t="shared" si="4"/>
        <v>14.063070905</v>
      </c>
      <c r="G43" s="71">
        <v>-10.737</v>
      </c>
      <c r="H43" s="96">
        <f t="shared" si="5"/>
        <v>3.3260709049999999</v>
      </c>
      <c r="I43" s="207">
        <v>3.3239999999999998</v>
      </c>
      <c r="J43" s="96">
        <f t="shared" si="6"/>
        <v>2.0709050000000673E-3</v>
      </c>
      <c r="K43" s="46">
        <f t="shared" si="7"/>
        <v>0.99937737196254994</v>
      </c>
      <c r="L43" s="125" t="s">
        <v>31</v>
      </c>
    </row>
    <row r="44" spans="2:12">
      <c r="B44" s="272"/>
      <c r="C44" s="30" t="s">
        <v>301</v>
      </c>
      <c r="D44" s="71" t="s">
        <v>37</v>
      </c>
      <c r="E44" s="90">
        <v>1.1543462000000001E-2</v>
      </c>
      <c r="F44" s="96">
        <f t="shared" si="4"/>
        <v>43.368786734000004</v>
      </c>
      <c r="G44" s="71">
        <v>-36.518000000000001</v>
      </c>
      <c r="H44" s="96">
        <f t="shared" si="5"/>
        <v>6.8507867340000033</v>
      </c>
      <c r="I44" s="207">
        <v>5.7590000000000003</v>
      </c>
      <c r="J44" s="96">
        <f t="shared" si="6"/>
        <v>1.0917867340000029</v>
      </c>
      <c r="K44" s="46">
        <f t="shared" si="7"/>
        <v>0.84063337885245537</v>
      </c>
      <c r="L44" s="129" t="s">
        <v>31</v>
      </c>
    </row>
    <row r="45" spans="2:12">
      <c r="B45" s="272"/>
      <c r="C45" s="30" t="s">
        <v>381</v>
      </c>
      <c r="D45" s="71" t="s">
        <v>37</v>
      </c>
      <c r="E45" s="90">
        <v>1.1449800000000001E-3</v>
      </c>
      <c r="F45" s="96">
        <f t="shared" si="4"/>
        <v>4.3016898600000006</v>
      </c>
      <c r="G45" s="71">
        <v>-4.3019999999999996</v>
      </c>
      <c r="H45" s="96">
        <f t="shared" si="5"/>
        <v>-3.1013999999895958E-4</v>
      </c>
      <c r="I45" s="207">
        <v>0</v>
      </c>
      <c r="J45" s="96">
        <f t="shared" si="6"/>
        <v>-3.1013999999895958E-4</v>
      </c>
      <c r="K45" s="46">
        <f t="shared" si="7"/>
        <v>0</v>
      </c>
      <c r="L45" s="127">
        <v>44236</v>
      </c>
    </row>
    <row r="46" spans="2:12">
      <c r="B46" s="272"/>
      <c r="C46" s="30" t="s">
        <v>302</v>
      </c>
      <c r="D46" s="71" t="s">
        <v>37</v>
      </c>
      <c r="E46" s="90">
        <v>3.1019870000000001E-3</v>
      </c>
      <c r="F46" s="96">
        <f t="shared" si="4"/>
        <v>11.654165159</v>
      </c>
      <c r="G46" s="71">
        <f>-5.245-6.409</f>
        <v>-11.654</v>
      </c>
      <c r="H46" s="96">
        <f t="shared" si="5"/>
        <v>1.6515899999980377E-4</v>
      </c>
      <c r="I46" s="207">
        <v>0</v>
      </c>
      <c r="J46" s="96">
        <f t="shared" si="6"/>
        <v>1.6515899999980377E-4</v>
      </c>
      <c r="K46" s="46">
        <f t="shared" si="7"/>
        <v>0</v>
      </c>
      <c r="L46" s="127">
        <v>44334</v>
      </c>
    </row>
    <row r="47" spans="2:12">
      <c r="B47" s="272"/>
      <c r="C47" s="30" t="s">
        <v>303</v>
      </c>
      <c r="D47" s="71" t="s">
        <v>37</v>
      </c>
      <c r="E47" s="90">
        <v>5.4459759999999999E-3</v>
      </c>
      <c r="F47" s="96">
        <f t="shared" si="4"/>
        <v>20.460531832000001</v>
      </c>
      <c r="G47" s="71"/>
      <c r="H47" s="96">
        <f t="shared" si="5"/>
        <v>20.460531832000001</v>
      </c>
      <c r="I47" s="207">
        <v>21.338999999999999</v>
      </c>
      <c r="J47" s="96">
        <f t="shared" si="6"/>
        <v>-0.87846816799999772</v>
      </c>
      <c r="K47" s="46">
        <f t="shared" si="7"/>
        <v>1.0429347670536151</v>
      </c>
      <c r="L47" s="126" t="s">
        <v>31</v>
      </c>
    </row>
    <row r="48" spans="2:12">
      <c r="B48" s="272"/>
      <c r="C48" s="30" t="s">
        <v>304</v>
      </c>
      <c r="D48" s="71" t="s">
        <v>37</v>
      </c>
      <c r="E48" s="90">
        <v>7.3850110000000004E-3</v>
      </c>
      <c r="F48" s="96">
        <f t="shared" si="4"/>
        <v>27.745486327000002</v>
      </c>
      <c r="G48" s="71">
        <v>-27.745000000000001</v>
      </c>
      <c r="H48" s="96">
        <f t="shared" si="5"/>
        <v>4.8632700000084128E-4</v>
      </c>
      <c r="I48" s="207">
        <v>0</v>
      </c>
      <c r="J48" s="96">
        <f t="shared" si="6"/>
        <v>4.8632700000084128E-4</v>
      </c>
      <c r="K48" s="46">
        <f t="shared" si="7"/>
        <v>0</v>
      </c>
      <c r="L48" s="127">
        <v>44236</v>
      </c>
    </row>
    <row r="49" spans="2:12">
      <c r="B49" s="272"/>
      <c r="C49" s="30" t="s">
        <v>305</v>
      </c>
      <c r="D49" s="71" t="s">
        <v>37</v>
      </c>
      <c r="E49" s="90">
        <v>3.7126300000000002E-3</v>
      </c>
      <c r="F49" s="96">
        <f t="shared" si="4"/>
        <v>13.94835091</v>
      </c>
      <c r="G49" s="71">
        <v>-13.948</v>
      </c>
      <c r="H49" s="96">
        <f t="shared" si="5"/>
        <v>3.5090999999987105E-4</v>
      </c>
      <c r="I49" s="207">
        <v>0</v>
      </c>
      <c r="J49" s="96">
        <f t="shared" si="6"/>
        <v>3.5090999999987105E-4</v>
      </c>
      <c r="K49" s="46">
        <f t="shared" si="7"/>
        <v>0</v>
      </c>
      <c r="L49" s="127">
        <v>44230</v>
      </c>
    </row>
    <row r="50" spans="2:12">
      <c r="B50" s="272"/>
      <c r="C50" s="124" t="s">
        <v>306</v>
      </c>
      <c r="D50" s="71" t="s">
        <v>37</v>
      </c>
      <c r="E50" s="90">
        <v>1.0292299999999999E-3</v>
      </c>
      <c r="F50" s="96">
        <f t="shared" si="4"/>
        <v>3.8668171099999995</v>
      </c>
      <c r="G50" s="71"/>
      <c r="H50" s="96">
        <f t="shared" si="5"/>
        <v>3.8668171099999995</v>
      </c>
      <c r="I50" s="207">
        <v>1.111</v>
      </c>
      <c r="J50" s="96">
        <f t="shared" si="6"/>
        <v>2.7558171099999997</v>
      </c>
      <c r="K50" s="46">
        <f t="shared" si="7"/>
        <v>0.28731640736947089</v>
      </c>
      <c r="L50" s="126" t="s">
        <v>31</v>
      </c>
    </row>
    <row r="51" spans="2:12">
      <c r="B51" s="272"/>
      <c r="C51" s="30" t="s">
        <v>307</v>
      </c>
      <c r="D51" s="71" t="s">
        <v>37</v>
      </c>
      <c r="E51" s="90">
        <v>2.6353420000000002E-3</v>
      </c>
      <c r="F51" s="96">
        <f t="shared" si="4"/>
        <v>9.9009798940000007</v>
      </c>
      <c r="G51" s="71">
        <v>-9.9009999999999998</v>
      </c>
      <c r="H51" s="96">
        <f t="shared" si="5"/>
        <v>-2.0105999999131541E-5</v>
      </c>
      <c r="I51" s="207">
        <v>0</v>
      </c>
      <c r="J51" s="96">
        <f t="shared" si="6"/>
        <v>-2.0105999999131541E-5</v>
      </c>
      <c r="K51" s="46">
        <f t="shared" si="7"/>
        <v>0</v>
      </c>
      <c r="L51" s="127">
        <v>44230</v>
      </c>
    </row>
    <row r="52" spans="2:12">
      <c r="B52" s="272"/>
      <c r="C52" s="30" t="s">
        <v>308</v>
      </c>
      <c r="D52" s="71" t="s">
        <v>37</v>
      </c>
      <c r="E52" s="90">
        <v>2.1892320000000002E-3</v>
      </c>
      <c r="F52" s="96">
        <f t="shared" si="4"/>
        <v>8.2249446240000008</v>
      </c>
      <c r="G52" s="71"/>
      <c r="H52" s="96">
        <f t="shared" si="5"/>
        <v>8.2249446240000008</v>
      </c>
      <c r="I52" s="207">
        <v>6.6669999999999998</v>
      </c>
      <c r="J52" s="96">
        <f t="shared" si="6"/>
        <v>1.557944624000001</v>
      </c>
      <c r="K52" s="46">
        <f t="shared" si="7"/>
        <v>0.81058296496562521</v>
      </c>
      <c r="L52" s="129" t="s">
        <v>31</v>
      </c>
    </row>
    <row r="53" spans="2:12" s="74" customFormat="1">
      <c r="B53" s="272"/>
      <c r="C53" s="73" t="s">
        <v>40</v>
      </c>
      <c r="D53" s="58" t="s">
        <v>37</v>
      </c>
      <c r="E53" s="58">
        <f>SUM(E32:E52)</f>
        <v>0.25005435499999995</v>
      </c>
      <c r="F53" s="106">
        <f>SUM(F32:F52)</f>
        <v>939.45421173499983</v>
      </c>
      <c r="G53" s="58">
        <f>SUM(G32:G52)</f>
        <v>-733.07699999999988</v>
      </c>
      <c r="H53" s="106">
        <f>+F53+G53</f>
        <v>206.37721173499995</v>
      </c>
      <c r="I53" s="106">
        <f>SUM(I32:I52)</f>
        <v>171.15600000000003</v>
      </c>
      <c r="J53" s="58">
        <f t="shared" ref="J53" si="8">+H53-I53</f>
        <v>35.221211734999912</v>
      </c>
      <c r="K53" s="59">
        <f>+I53/H53</f>
        <v>0.82933575156434447</v>
      </c>
      <c r="L53" s="118" t="s">
        <v>31</v>
      </c>
    </row>
    <row r="55" spans="2:12" s="70" customFormat="1">
      <c r="E55" s="89"/>
      <c r="L55" s="119"/>
    </row>
    <row r="56" spans="2:12" ht="30">
      <c r="B56" s="56" t="s">
        <v>184</v>
      </c>
      <c r="C56" s="56" t="s">
        <v>203</v>
      </c>
      <c r="D56" s="56" t="s">
        <v>185</v>
      </c>
      <c r="E56" s="108" t="s">
        <v>385</v>
      </c>
      <c r="F56" s="56" t="s">
        <v>35</v>
      </c>
      <c r="G56" s="56" t="s">
        <v>3</v>
      </c>
      <c r="H56" s="56" t="s">
        <v>4</v>
      </c>
      <c r="I56" s="56" t="s">
        <v>5</v>
      </c>
      <c r="J56" s="56" t="s">
        <v>6</v>
      </c>
      <c r="K56" s="56" t="s">
        <v>186</v>
      </c>
      <c r="L56" s="113" t="s">
        <v>28</v>
      </c>
    </row>
    <row r="57" spans="2:12">
      <c r="B57" s="272" t="s">
        <v>367</v>
      </c>
      <c r="C57" s="30" t="s">
        <v>310</v>
      </c>
      <c r="D57" s="71" t="s">
        <v>37</v>
      </c>
      <c r="E57" s="90">
        <v>1.0836693E-2</v>
      </c>
      <c r="F57" s="96">
        <f>+E57*E$6</f>
        <v>40.713455601</v>
      </c>
      <c r="G57" s="71">
        <v>-40.713000000000001</v>
      </c>
      <c r="H57" s="96">
        <f>+F57+G57</f>
        <v>4.5560099999875092E-4</v>
      </c>
      <c r="I57" s="207">
        <v>0</v>
      </c>
      <c r="J57" s="96">
        <f>+H57-I57</f>
        <v>4.5560099999875092E-4</v>
      </c>
      <c r="K57" s="46">
        <f>+I57/H57</f>
        <v>0</v>
      </c>
      <c r="L57" s="140">
        <v>44230</v>
      </c>
    </row>
    <row r="58" spans="2:12">
      <c r="B58" s="272"/>
      <c r="C58" s="30" t="s">
        <v>311</v>
      </c>
      <c r="D58" s="71" t="s">
        <v>37</v>
      </c>
      <c r="E58" s="90">
        <v>4.0634500000000001E-4</v>
      </c>
      <c r="F58" s="96">
        <f t="shared" ref="F58:F97" si="9">+E58*E$6</f>
        <v>1.526638165</v>
      </c>
      <c r="G58" s="71"/>
      <c r="H58" s="96">
        <f t="shared" ref="H58:H97" si="10">+F58+G58</f>
        <v>1.526638165</v>
      </c>
      <c r="I58" s="207">
        <v>0</v>
      </c>
      <c r="J58" s="96">
        <f t="shared" ref="J58:J97" si="11">+H58-I58</f>
        <v>1.526638165</v>
      </c>
      <c r="K58" s="46">
        <f t="shared" ref="K58:K96" si="12">+I58/H58</f>
        <v>0</v>
      </c>
      <c r="L58" s="141" t="s">
        <v>31</v>
      </c>
    </row>
    <row r="59" spans="2:12">
      <c r="B59" s="272"/>
      <c r="C59" s="30" t="s">
        <v>312</v>
      </c>
      <c r="D59" s="71" t="s">
        <v>37</v>
      </c>
      <c r="E59" s="90">
        <v>6.4727899999999995E-4</v>
      </c>
      <c r="F59" s="96">
        <f t="shared" si="9"/>
        <v>2.4318272029999997</v>
      </c>
      <c r="G59" s="71"/>
      <c r="H59" s="96">
        <f t="shared" si="10"/>
        <v>2.4318272029999997</v>
      </c>
      <c r="I59" s="207">
        <v>2.1911111111111112</v>
      </c>
      <c r="J59" s="96">
        <f t="shared" si="11"/>
        <v>0.24071609188888843</v>
      </c>
      <c r="K59" s="46">
        <f t="shared" si="12"/>
        <v>0.90101431072407967</v>
      </c>
      <c r="L59" s="127" t="s">
        <v>31</v>
      </c>
    </row>
    <row r="60" spans="2:12">
      <c r="B60" s="272"/>
      <c r="C60" s="30" t="s">
        <v>313</v>
      </c>
      <c r="D60" s="71" t="s">
        <v>37</v>
      </c>
      <c r="E60" s="90">
        <v>6.8727700000000003E-4</v>
      </c>
      <c r="F60" s="96">
        <f t="shared" si="9"/>
        <v>2.5820996890000001</v>
      </c>
      <c r="G60" s="71"/>
      <c r="H60" s="96">
        <f t="shared" si="10"/>
        <v>2.5820996890000001</v>
      </c>
      <c r="I60" s="207">
        <v>1.454</v>
      </c>
      <c r="J60" s="96">
        <f t="shared" si="11"/>
        <v>1.1280996890000001</v>
      </c>
      <c r="K60" s="46">
        <f t="shared" si="12"/>
        <v>0.56310761594301861</v>
      </c>
      <c r="L60" s="140" t="s">
        <v>31</v>
      </c>
    </row>
    <row r="61" spans="2:12">
      <c r="B61" s="272"/>
      <c r="C61" s="30" t="s">
        <v>314</v>
      </c>
      <c r="D61" s="71" t="s">
        <v>37</v>
      </c>
      <c r="E61" s="90">
        <v>2.049936E-3</v>
      </c>
      <c r="F61" s="96">
        <f t="shared" si="9"/>
        <v>7.7016095519999999</v>
      </c>
      <c r="G61" s="71">
        <v>-7.702</v>
      </c>
      <c r="H61" s="96">
        <f t="shared" si="10"/>
        <v>-3.9044800000009872E-4</v>
      </c>
      <c r="I61" s="207">
        <v>0</v>
      </c>
      <c r="J61" s="96">
        <f t="shared" si="11"/>
        <v>-3.9044800000009872E-4</v>
      </c>
      <c r="K61" s="46">
        <f t="shared" si="12"/>
        <v>0</v>
      </c>
      <c r="L61" s="127">
        <v>44236</v>
      </c>
    </row>
    <row r="62" spans="2:12">
      <c r="B62" s="272"/>
      <c r="C62" s="30" t="s">
        <v>380</v>
      </c>
      <c r="D62" s="71" t="s">
        <v>37</v>
      </c>
      <c r="E62" s="90">
        <v>2.4878600000000002E-3</v>
      </c>
      <c r="F62" s="96">
        <f t="shared" si="9"/>
        <v>9.34689002</v>
      </c>
      <c r="G62" s="137">
        <f>-8.236-1.111</f>
        <v>-9.3470000000000013</v>
      </c>
      <c r="H62" s="96">
        <f t="shared" si="10"/>
        <v>-1.0998000000128627E-4</v>
      </c>
      <c r="I62" s="207">
        <v>0</v>
      </c>
      <c r="J62" s="96">
        <f t="shared" si="11"/>
        <v>-1.0998000000128627E-4</v>
      </c>
      <c r="K62" s="46">
        <f t="shared" si="12"/>
        <v>0</v>
      </c>
      <c r="L62" s="140">
        <v>44334</v>
      </c>
    </row>
    <row r="63" spans="2:12">
      <c r="B63" s="272"/>
      <c r="C63" s="30" t="s">
        <v>315</v>
      </c>
      <c r="D63" s="71" t="s">
        <v>37</v>
      </c>
      <c r="E63" s="90">
        <v>2.5006659999999999E-3</v>
      </c>
      <c r="F63" s="96">
        <f t="shared" si="9"/>
        <v>9.395002161999999</v>
      </c>
      <c r="G63" s="137">
        <v>-9.3949999999999996</v>
      </c>
      <c r="H63" s="96">
        <f t="shared" si="10"/>
        <v>2.1619999994726413E-6</v>
      </c>
      <c r="I63" s="207">
        <v>0</v>
      </c>
      <c r="J63" s="96">
        <f t="shared" si="11"/>
        <v>2.1619999994726413E-6</v>
      </c>
      <c r="K63" s="46">
        <f t="shared" si="12"/>
        <v>0</v>
      </c>
      <c r="L63" s="140">
        <v>44224</v>
      </c>
    </row>
    <row r="64" spans="2:12">
      <c r="B64" s="272"/>
      <c r="C64" s="30" t="s">
        <v>316</v>
      </c>
      <c r="D64" s="71" t="s">
        <v>37</v>
      </c>
      <c r="E64" s="90">
        <v>1.4030500000000001E-3</v>
      </c>
      <c r="F64" s="96">
        <f t="shared" si="9"/>
        <v>5.2712588500000006</v>
      </c>
      <c r="G64" s="71"/>
      <c r="H64" s="96">
        <f t="shared" si="10"/>
        <v>5.2712588500000006</v>
      </c>
      <c r="I64" s="207">
        <v>2.222</v>
      </c>
      <c r="J64" s="96">
        <f t="shared" si="11"/>
        <v>3.0492588500000006</v>
      </c>
      <c r="K64" s="46">
        <f t="shared" si="12"/>
        <v>0.42153118699530373</v>
      </c>
      <c r="L64" s="127"/>
    </row>
    <row r="65" spans="2:12">
      <c r="B65" s="272"/>
      <c r="C65" s="30" t="s">
        <v>384</v>
      </c>
      <c r="D65" s="71" t="s">
        <v>37</v>
      </c>
      <c r="E65" s="90">
        <v>4.7357509999999998E-3</v>
      </c>
      <c r="F65" s="96">
        <f t="shared" si="9"/>
        <v>17.792216506999999</v>
      </c>
      <c r="G65" s="71">
        <v>-17.792000000000002</v>
      </c>
      <c r="H65" s="96">
        <f t="shared" si="10"/>
        <v>2.1650699999753442E-4</v>
      </c>
      <c r="I65" s="207">
        <v>0</v>
      </c>
      <c r="J65" s="96">
        <f t="shared" si="11"/>
        <v>2.1650699999753442E-4</v>
      </c>
      <c r="K65" s="46">
        <f t="shared" si="12"/>
        <v>0</v>
      </c>
      <c r="L65" s="128">
        <v>44274</v>
      </c>
    </row>
    <row r="66" spans="2:12">
      <c r="B66" s="272"/>
      <c r="C66" s="30" t="s">
        <v>317</v>
      </c>
      <c r="D66" s="71" t="s">
        <v>37</v>
      </c>
      <c r="E66" s="90">
        <v>1.6069299999999999E-3</v>
      </c>
      <c r="F66" s="96">
        <f t="shared" si="9"/>
        <v>6.03723601</v>
      </c>
      <c r="G66" s="71"/>
      <c r="H66" s="96">
        <f t="shared" si="10"/>
        <v>6.03723601</v>
      </c>
      <c r="I66" s="207">
        <v>4.7060000000000004</v>
      </c>
      <c r="J66" s="96">
        <f t="shared" si="11"/>
        <v>1.3312360099999996</v>
      </c>
      <c r="K66" s="46">
        <f t="shared" si="12"/>
        <v>0.77949578121594765</v>
      </c>
      <c r="L66" s="90"/>
    </row>
    <row r="67" spans="2:12">
      <c r="B67" s="272"/>
      <c r="C67" s="30" t="s">
        <v>318</v>
      </c>
      <c r="D67" s="71" t="s">
        <v>37</v>
      </c>
      <c r="E67" s="90">
        <v>1.1924852E-2</v>
      </c>
      <c r="F67" s="96">
        <f t="shared" si="9"/>
        <v>44.801668964000001</v>
      </c>
      <c r="G67" s="137">
        <v>-44.802</v>
      </c>
      <c r="H67" s="96">
        <f t="shared" si="10"/>
        <v>-3.3103599999861899E-4</v>
      </c>
      <c r="I67" s="207">
        <v>0</v>
      </c>
      <c r="J67" s="96">
        <f t="shared" si="11"/>
        <v>-3.3103599999861899E-4</v>
      </c>
      <c r="K67" s="46">
        <f t="shared" si="12"/>
        <v>0</v>
      </c>
      <c r="L67" s="128">
        <v>44224</v>
      </c>
    </row>
    <row r="68" spans="2:12">
      <c r="B68" s="272"/>
      <c r="C68" s="30" t="s">
        <v>319</v>
      </c>
      <c r="D68" s="71" t="s">
        <v>37</v>
      </c>
      <c r="E68" s="90">
        <v>9.1460389999999999E-3</v>
      </c>
      <c r="F68" s="96">
        <f t="shared" si="9"/>
        <v>34.361668522999999</v>
      </c>
      <c r="G68" s="71">
        <v>-34.362000000000002</v>
      </c>
      <c r="H68" s="96">
        <f t="shared" si="10"/>
        <v>-3.3147700000313307E-4</v>
      </c>
      <c r="I68" s="207">
        <v>0</v>
      </c>
      <c r="J68" s="96">
        <f t="shared" si="11"/>
        <v>-3.3147700000313307E-4</v>
      </c>
      <c r="K68" s="46">
        <f t="shared" si="12"/>
        <v>0</v>
      </c>
      <c r="L68" s="128">
        <v>44230</v>
      </c>
    </row>
    <row r="69" spans="2:12">
      <c r="B69" s="272"/>
      <c r="C69" s="30" t="s">
        <v>320</v>
      </c>
      <c r="D69" s="71" t="s">
        <v>37</v>
      </c>
      <c r="E69" s="90">
        <v>8.359366E-3</v>
      </c>
      <c r="F69" s="96">
        <f t="shared" si="9"/>
        <v>31.406138062</v>
      </c>
      <c r="G69" s="71">
        <v>-29.423999999999999</v>
      </c>
      <c r="H69" s="96">
        <f t="shared" si="10"/>
        <v>1.9821380620000006</v>
      </c>
      <c r="I69" s="207">
        <v>2.222</v>
      </c>
      <c r="J69" s="96">
        <f t="shared" si="11"/>
        <v>-0.23986193799999933</v>
      </c>
      <c r="K69" s="46">
        <f t="shared" si="12"/>
        <v>1.1210117209282464</v>
      </c>
      <c r="L69" s="128" t="s">
        <v>31</v>
      </c>
    </row>
    <row r="70" spans="2:12">
      <c r="B70" s="272"/>
      <c r="C70" s="30" t="s">
        <v>321</v>
      </c>
      <c r="D70" s="71" t="s">
        <v>37</v>
      </c>
      <c r="E70" s="90">
        <v>1.0684964E-2</v>
      </c>
      <c r="F70" s="96">
        <f t="shared" si="9"/>
        <v>40.143409747999996</v>
      </c>
      <c r="G70" s="137">
        <v>-34.835000000000001</v>
      </c>
      <c r="H70" s="96">
        <f t="shared" si="10"/>
        <v>5.3084097479999954</v>
      </c>
      <c r="I70" s="207">
        <v>1.671</v>
      </c>
      <c r="J70" s="96">
        <f t="shared" si="11"/>
        <v>3.6374097479999952</v>
      </c>
      <c r="K70" s="46">
        <f t="shared" si="12"/>
        <v>0.31478353769310452</v>
      </c>
      <c r="L70" s="90" t="s">
        <v>31</v>
      </c>
    </row>
    <row r="71" spans="2:12">
      <c r="B71" s="272"/>
      <c r="C71" s="30" t="s">
        <v>322</v>
      </c>
      <c r="D71" s="71" t="s">
        <v>37</v>
      </c>
      <c r="E71" s="90">
        <v>1.2255912000000001E-2</v>
      </c>
      <c r="F71" s="96">
        <f t="shared" si="9"/>
        <v>46.045461383999999</v>
      </c>
      <c r="G71" s="71">
        <v>-46.045000000000002</v>
      </c>
      <c r="H71" s="96">
        <f t="shared" si="10"/>
        <v>4.6138399999762214E-4</v>
      </c>
      <c r="I71" s="207">
        <v>0</v>
      </c>
      <c r="J71" s="96">
        <f t="shared" si="11"/>
        <v>4.6138399999762214E-4</v>
      </c>
      <c r="K71" s="46">
        <f t="shared" si="12"/>
        <v>0</v>
      </c>
      <c r="L71" s="128">
        <v>44230</v>
      </c>
    </row>
    <row r="72" spans="2:12">
      <c r="B72" s="272"/>
      <c r="C72" s="30" t="s">
        <v>323</v>
      </c>
      <c r="D72" s="71" t="s">
        <v>37</v>
      </c>
      <c r="E72" s="90">
        <v>2.2979989999999999E-2</v>
      </c>
      <c r="F72" s="96">
        <f t="shared" si="9"/>
        <v>86.335822429999993</v>
      </c>
      <c r="G72" s="71">
        <v>-86.335999999999999</v>
      </c>
      <c r="H72" s="96">
        <f t="shared" si="10"/>
        <v>-1.7757000000528933E-4</v>
      </c>
      <c r="I72" s="207">
        <v>0</v>
      </c>
      <c r="J72" s="96">
        <f t="shared" si="11"/>
        <v>-1.7757000000528933E-4</v>
      </c>
      <c r="K72" s="46">
        <f t="shared" si="12"/>
        <v>0</v>
      </c>
      <c r="L72" s="128">
        <v>44230</v>
      </c>
    </row>
    <row r="73" spans="2:12">
      <c r="B73" s="272"/>
      <c r="C73" s="30" t="s">
        <v>324</v>
      </c>
      <c r="D73" s="71" t="s">
        <v>37</v>
      </c>
      <c r="E73" s="90">
        <v>2.2099859999999999E-2</v>
      </c>
      <c r="F73" s="96">
        <f t="shared" si="9"/>
        <v>83.029174019999999</v>
      </c>
      <c r="G73" s="71">
        <v>-83.028999999999996</v>
      </c>
      <c r="H73" s="96">
        <f t="shared" si="10"/>
        <v>1.7402000000288353E-4</v>
      </c>
      <c r="I73" s="207">
        <v>0</v>
      </c>
      <c r="J73" s="96">
        <f t="shared" si="11"/>
        <v>1.7402000000288353E-4</v>
      </c>
      <c r="K73" s="46">
        <f t="shared" si="12"/>
        <v>0</v>
      </c>
      <c r="L73" s="128">
        <v>44246</v>
      </c>
    </row>
    <row r="74" spans="2:12">
      <c r="B74" s="272"/>
      <c r="C74" s="30" t="s">
        <v>325</v>
      </c>
      <c r="D74" s="71" t="s">
        <v>37</v>
      </c>
      <c r="E74" s="90">
        <v>1.2374572E-2</v>
      </c>
      <c r="F74" s="96">
        <f t="shared" si="9"/>
        <v>46.491267004000001</v>
      </c>
      <c r="G74" s="71">
        <v>-46.491</v>
      </c>
      <c r="H74" s="96">
        <f t="shared" si="10"/>
        <v>2.6700400000123636E-4</v>
      </c>
      <c r="I74" s="207">
        <v>0</v>
      </c>
      <c r="J74" s="96">
        <f t="shared" si="11"/>
        <v>2.6700400000123636E-4</v>
      </c>
      <c r="K74" s="46">
        <f t="shared" si="12"/>
        <v>0</v>
      </c>
      <c r="L74" s="128">
        <v>44246</v>
      </c>
    </row>
    <row r="75" spans="2:12">
      <c r="B75" s="272"/>
      <c r="C75" s="30" t="s">
        <v>326</v>
      </c>
      <c r="D75" s="71" t="s">
        <v>37</v>
      </c>
      <c r="E75" s="90">
        <v>1.4138079E-2</v>
      </c>
      <c r="F75" s="96">
        <f t="shared" si="9"/>
        <v>53.116762803</v>
      </c>
      <c r="G75" s="71">
        <v>-51.451000000000001</v>
      </c>
      <c r="H75" s="96">
        <f t="shared" si="10"/>
        <v>1.6657628029999998</v>
      </c>
      <c r="I75" s="207">
        <v>1.7509999999999999</v>
      </c>
      <c r="J75" s="96">
        <f t="shared" si="11"/>
        <v>-8.5237197000000098E-2</v>
      </c>
      <c r="K75" s="46">
        <f t="shared" si="12"/>
        <v>1.0511700686595293</v>
      </c>
      <c r="L75" s="140">
        <v>44405</v>
      </c>
    </row>
    <row r="76" spans="2:12">
      <c r="B76" s="272"/>
      <c r="C76" s="30" t="s">
        <v>327</v>
      </c>
      <c r="D76" s="71" t="s">
        <v>37</v>
      </c>
      <c r="E76" s="90">
        <v>1.6754969000000001E-2</v>
      </c>
      <c r="F76" s="96">
        <f t="shared" si="9"/>
        <v>62.948418533000009</v>
      </c>
      <c r="G76" s="71">
        <v>-62.948</v>
      </c>
      <c r="H76" s="96">
        <f t="shared" si="10"/>
        <v>4.185330000083809E-4</v>
      </c>
      <c r="I76" s="207">
        <v>0</v>
      </c>
      <c r="J76" s="96">
        <f t="shared" si="11"/>
        <v>4.185330000083809E-4</v>
      </c>
      <c r="K76" s="46">
        <f t="shared" si="12"/>
        <v>0</v>
      </c>
      <c r="L76" s="127">
        <v>44236</v>
      </c>
    </row>
    <row r="77" spans="2:12">
      <c r="B77" s="272"/>
      <c r="C77" s="30" t="s">
        <v>328</v>
      </c>
      <c r="D77" s="71" t="s">
        <v>37</v>
      </c>
      <c r="E77" s="90">
        <v>1.6868219E-2</v>
      </c>
      <c r="F77" s="96">
        <f t="shared" si="9"/>
        <v>63.373898783000001</v>
      </c>
      <c r="G77" s="71">
        <v>-41.164999999999999</v>
      </c>
      <c r="H77" s="96">
        <f t="shared" si="10"/>
        <v>22.208898783000002</v>
      </c>
      <c r="I77" s="207">
        <v>18.632999999999999</v>
      </c>
      <c r="J77" s="96">
        <f t="shared" si="11"/>
        <v>3.5758987830000031</v>
      </c>
      <c r="K77" s="46">
        <f t="shared" si="12"/>
        <v>0.83898801926472799</v>
      </c>
      <c r="L77" s="141" t="s">
        <v>31</v>
      </c>
    </row>
    <row r="78" spans="2:12">
      <c r="B78" s="272"/>
      <c r="C78" s="30" t="s">
        <v>329</v>
      </c>
      <c r="D78" s="71" t="s">
        <v>37</v>
      </c>
      <c r="E78" s="90">
        <v>5.0129579999999997E-3</v>
      </c>
      <c r="F78" s="96">
        <f t="shared" si="9"/>
        <v>18.833683206</v>
      </c>
      <c r="G78" s="71">
        <v>-18.834</v>
      </c>
      <c r="H78" s="96">
        <f t="shared" si="10"/>
        <v>-3.1679399999973157E-4</v>
      </c>
      <c r="I78" s="207">
        <v>0</v>
      </c>
      <c r="J78" s="96">
        <f t="shared" si="11"/>
        <v>-3.1679399999973157E-4</v>
      </c>
      <c r="K78" s="46">
        <f t="shared" si="12"/>
        <v>0</v>
      </c>
      <c r="L78" s="127">
        <v>44236</v>
      </c>
    </row>
    <row r="79" spans="2:12">
      <c r="B79" s="272"/>
      <c r="C79" s="30" t="s">
        <v>330</v>
      </c>
      <c r="D79" s="71" t="s">
        <v>37</v>
      </c>
      <c r="E79" s="90">
        <v>3.1341701E-2</v>
      </c>
      <c r="F79" s="96">
        <f t="shared" si="9"/>
        <v>117.750770657</v>
      </c>
      <c r="G79" s="71">
        <v>-117.751</v>
      </c>
      <c r="H79" s="96">
        <f t="shared" si="10"/>
        <v>-2.2934300000088115E-4</v>
      </c>
      <c r="I79" s="207">
        <v>0</v>
      </c>
      <c r="J79" s="96">
        <f t="shared" si="11"/>
        <v>-2.2934300000088115E-4</v>
      </c>
      <c r="K79" s="46">
        <f t="shared" si="12"/>
        <v>0</v>
      </c>
      <c r="L79" s="127">
        <v>44236</v>
      </c>
    </row>
    <row r="80" spans="2:12">
      <c r="B80" s="272"/>
      <c r="C80" s="30" t="s">
        <v>331</v>
      </c>
      <c r="D80" s="90" t="s">
        <v>37</v>
      </c>
      <c r="E80" s="90">
        <v>2.52929E-2</v>
      </c>
      <c r="F80" s="96">
        <f t="shared" si="9"/>
        <v>95.025425299999995</v>
      </c>
      <c r="G80" s="71">
        <v>-90.861999999999995</v>
      </c>
      <c r="H80" s="96">
        <f t="shared" si="10"/>
        <v>4.1634253000000001</v>
      </c>
      <c r="I80" s="207">
        <v>1.7633333333333334</v>
      </c>
      <c r="J80" s="96">
        <f t="shared" si="11"/>
        <v>2.4000919666666665</v>
      </c>
      <c r="K80" s="46">
        <f t="shared" si="12"/>
        <v>0.42352947543776837</v>
      </c>
      <c r="L80" s="141" t="s">
        <v>31</v>
      </c>
    </row>
    <row r="81" spans="2:12">
      <c r="B81" s="272"/>
      <c r="C81" s="30" t="s">
        <v>332</v>
      </c>
      <c r="D81" s="71" t="s">
        <v>37</v>
      </c>
      <c r="E81" s="90">
        <v>3.3814299999999999E-3</v>
      </c>
      <c r="F81" s="96">
        <f t="shared" si="9"/>
        <v>12.704032509999999</v>
      </c>
      <c r="G81" s="71"/>
      <c r="H81" s="96">
        <f t="shared" si="10"/>
        <v>12.704032509999999</v>
      </c>
      <c r="I81" s="207">
        <v>7.4640000000000004</v>
      </c>
      <c r="J81" s="96">
        <f t="shared" si="11"/>
        <v>5.2400325099999989</v>
      </c>
      <c r="K81" s="46">
        <f t="shared" si="12"/>
        <v>0.58752998263541134</v>
      </c>
      <c r="L81" s="141" t="s">
        <v>31</v>
      </c>
    </row>
    <row r="82" spans="2:12">
      <c r="B82" s="272"/>
      <c r="C82" s="30" t="s">
        <v>333</v>
      </c>
      <c r="D82" s="71" t="s">
        <v>37</v>
      </c>
      <c r="E82" s="90">
        <v>6.1885179999999996E-3</v>
      </c>
      <c r="F82" s="96">
        <f t="shared" si="9"/>
        <v>23.250262125999999</v>
      </c>
      <c r="G82" s="71">
        <v>-23.25</v>
      </c>
      <c r="H82" s="96">
        <f t="shared" si="10"/>
        <v>2.6212599999908548E-4</v>
      </c>
      <c r="I82" s="207">
        <v>0</v>
      </c>
      <c r="J82" s="96">
        <f t="shared" si="11"/>
        <v>2.6212599999908548E-4</v>
      </c>
      <c r="K82" s="46">
        <f t="shared" si="12"/>
        <v>0</v>
      </c>
      <c r="L82" s="128">
        <v>44242</v>
      </c>
    </row>
    <row r="83" spans="2:12">
      <c r="B83" s="272"/>
      <c r="C83" s="30" t="s">
        <v>334</v>
      </c>
      <c r="D83" s="71" t="s">
        <v>37</v>
      </c>
      <c r="E83" s="90">
        <v>5.6362799999999996E-3</v>
      </c>
      <c r="F83" s="96">
        <f t="shared" si="9"/>
        <v>21.175503959999997</v>
      </c>
      <c r="G83" s="71">
        <v>-21.175999999999998</v>
      </c>
      <c r="H83" s="96">
        <f t="shared" si="10"/>
        <v>-4.9604000000158521E-4</v>
      </c>
      <c r="I83" s="207">
        <v>0</v>
      </c>
      <c r="J83" s="96">
        <f t="shared" si="11"/>
        <v>-4.9604000000158521E-4</v>
      </c>
      <c r="K83" s="46">
        <f t="shared" si="12"/>
        <v>0</v>
      </c>
      <c r="L83" s="125">
        <v>44242</v>
      </c>
    </row>
    <row r="84" spans="2:12">
      <c r="B84" s="272"/>
      <c r="C84" s="30" t="s">
        <v>335</v>
      </c>
      <c r="D84" s="71" t="s">
        <v>37</v>
      </c>
      <c r="E84" s="90">
        <v>1.3616850000000001E-3</v>
      </c>
      <c r="F84" s="96">
        <f t="shared" si="9"/>
        <v>5.1158505449999998</v>
      </c>
      <c r="G84" s="137">
        <v>-5.1159999999999997</v>
      </c>
      <c r="H84" s="96">
        <f t="shared" si="10"/>
        <v>-1.4945499999985401E-4</v>
      </c>
      <c r="I84" s="207">
        <v>0</v>
      </c>
      <c r="J84" s="96">
        <f t="shared" si="11"/>
        <v>-1.4945499999985401E-4</v>
      </c>
      <c r="K84" s="46">
        <f t="shared" si="12"/>
        <v>0</v>
      </c>
      <c r="L84" s="140">
        <v>44224</v>
      </c>
    </row>
    <row r="85" spans="2:12">
      <c r="B85" s="272"/>
      <c r="C85" s="30" t="s">
        <v>336</v>
      </c>
      <c r="D85" s="71" t="s">
        <v>37</v>
      </c>
      <c r="E85" s="90">
        <v>1.78571E-3</v>
      </c>
      <c r="F85" s="96">
        <f t="shared" si="9"/>
        <v>6.7089124700000005</v>
      </c>
      <c r="G85" s="71"/>
      <c r="H85" s="96">
        <f t="shared" si="10"/>
        <v>6.7089124700000005</v>
      </c>
      <c r="I85" s="207">
        <v>6.7089999999999996</v>
      </c>
      <c r="J85" s="96">
        <f t="shared" si="11"/>
        <v>-8.7529999999169661E-5</v>
      </c>
      <c r="K85" s="46">
        <f t="shared" si="12"/>
        <v>1.0000130468239659</v>
      </c>
      <c r="L85" s="141" t="s">
        <v>31</v>
      </c>
    </row>
    <row r="86" spans="2:12">
      <c r="B86" s="272"/>
      <c r="C86" s="30" t="s">
        <v>337</v>
      </c>
      <c r="D86" s="71" t="s">
        <v>37</v>
      </c>
      <c r="E86" s="90">
        <v>4.2239399999999998E-3</v>
      </c>
      <c r="F86" s="96">
        <f t="shared" si="9"/>
        <v>15.86934258</v>
      </c>
      <c r="G86" s="71">
        <v>-14.465999999999999</v>
      </c>
      <c r="H86" s="96">
        <f t="shared" si="10"/>
        <v>1.4033425800000003</v>
      </c>
      <c r="I86" s="207">
        <v>1.4059999999999999</v>
      </c>
      <c r="J86" s="96">
        <f t="shared" si="11"/>
        <v>-2.6574199999995773E-3</v>
      </c>
      <c r="K86" s="46">
        <f t="shared" si="12"/>
        <v>1.0018936359787498</v>
      </c>
      <c r="L86" s="141" t="s">
        <v>31</v>
      </c>
    </row>
    <row r="87" spans="2:12">
      <c r="B87" s="272"/>
      <c r="C87" s="30" t="s">
        <v>338</v>
      </c>
      <c r="D87" s="71" t="s">
        <v>37</v>
      </c>
      <c r="E87" s="90">
        <v>9.7126099999999996E-4</v>
      </c>
      <c r="F87" s="96">
        <f t="shared" si="9"/>
        <v>3.649027577</v>
      </c>
      <c r="G87" s="71">
        <v>-3.649</v>
      </c>
      <c r="H87" s="96">
        <f t="shared" si="10"/>
        <v>2.7577000000000851E-5</v>
      </c>
      <c r="I87" s="207">
        <v>0</v>
      </c>
      <c r="J87" s="96">
        <f t="shared" si="11"/>
        <v>2.7577000000000851E-5</v>
      </c>
      <c r="K87" s="46">
        <f t="shared" si="12"/>
        <v>0</v>
      </c>
      <c r="L87" s="140">
        <v>44230</v>
      </c>
    </row>
    <row r="88" spans="2:12">
      <c r="B88" s="272"/>
      <c r="C88" s="30" t="s">
        <v>339</v>
      </c>
      <c r="D88" s="71" t="s">
        <v>37</v>
      </c>
      <c r="E88" s="90">
        <v>1.7317299999999999E-3</v>
      </c>
      <c r="F88" s="96">
        <f t="shared" si="9"/>
        <v>6.5061096099999993</v>
      </c>
      <c r="G88" s="71"/>
      <c r="H88" s="96">
        <f t="shared" si="10"/>
        <v>6.5061096099999993</v>
      </c>
      <c r="I88" s="207">
        <v>6.5066666666666659</v>
      </c>
      <c r="J88" s="96">
        <f t="shared" si="11"/>
        <v>-5.5705666666661102E-4</v>
      </c>
      <c r="K88" s="46">
        <f t="shared" si="12"/>
        <v>1.0000856205474635</v>
      </c>
      <c r="L88" s="140" t="s">
        <v>31</v>
      </c>
    </row>
    <row r="89" spans="2:12">
      <c r="B89" s="272"/>
      <c r="C89" s="30" t="s">
        <v>340</v>
      </c>
      <c r="D89" s="71" t="s">
        <v>37</v>
      </c>
      <c r="E89" s="90">
        <v>1.1482580000000001E-3</v>
      </c>
      <c r="F89" s="96">
        <f t="shared" si="9"/>
        <v>4.3140053060000003</v>
      </c>
      <c r="G89" s="71">
        <v>-4.3140000000000001</v>
      </c>
      <c r="H89" s="96">
        <f t="shared" si="10"/>
        <v>5.3060000002602692E-6</v>
      </c>
      <c r="I89" s="207">
        <v>0</v>
      </c>
      <c r="J89" s="96">
        <f t="shared" si="11"/>
        <v>5.3060000002602692E-6</v>
      </c>
      <c r="K89" s="46">
        <f t="shared" si="12"/>
        <v>0</v>
      </c>
      <c r="L89" s="140">
        <v>44230</v>
      </c>
    </row>
    <row r="90" spans="2:12">
      <c r="B90" s="272"/>
      <c r="C90" s="30" t="s">
        <v>341</v>
      </c>
      <c r="D90" s="71" t="s">
        <v>37</v>
      </c>
      <c r="E90" s="90">
        <v>1.7921689999999999E-3</v>
      </c>
      <c r="F90" s="96">
        <f t="shared" si="9"/>
        <v>6.7331789329999996</v>
      </c>
      <c r="G90" s="71">
        <v>-6.7329999999999997</v>
      </c>
      <c r="H90" s="96">
        <f t="shared" si="10"/>
        <v>1.7893299999993673E-4</v>
      </c>
      <c r="I90" s="207">
        <v>0</v>
      </c>
      <c r="J90" s="96">
        <f t="shared" si="11"/>
        <v>1.7893299999993673E-4</v>
      </c>
      <c r="K90" s="46">
        <f t="shared" si="12"/>
        <v>0</v>
      </c>
      <c r="L90" s="140">
        <v>44230</v>
      </c>
    </row>
    <row r="91" spans="2:12">
      <c r="B91" s="272"/>
      <c r="C91" s="30" t="s">
        <v>342</v>
      </c>
      <c r="D91" s="71" t="s">
        <v>37</v>
      </c>
      <c r="E91" s="90">
        <v>3.746278E-3</v>
      </c>
      <c r="F91" s="96">
        <f t="shared" si="9"/>
        <v>14.074766446</v>
      </c>
      <c r="G91" s="71">
        <v>-14.074999999999999</v>
      </c>
      <c r="H91" s="96">
        <f t="shared" si="10"/>
        <v>-2.3355399999935855E-4</v>
      </c>
      <c r="I91" s="207">
        <v>0</v>
      </c>
      <c r="J91" s="96">
        <f t="shared" si="11"/>
        <v>-2.3355399999935855E-4</v>
      </c>
      <c r="K91" s="46">
        <f t="shared" si="12"/>
        <v>0</v>
      </c>
      <c r="L91" s="140">
        <v>44230</v>
      </c>
    </row>
    <row r="92" spans="2:12">
      <c r="B92" s="272"/>
      <c r="C92" s="30" t="s">
        <v>343</v>
      </c>
      <c r="D92" s="71" t="s">
        <v>37</v>
      </c>
      <c r="E92" s="90">
        <v>1.259168E-3</v>
      </c>
      <c r="F92" s="96">
        <f t="shared" si="9"/>
        <v>4.7306941760000001</v>
      </c>
      <c r="G92" s="137">
        <v>-4.7309999999999999</v>
      </c>
      <c r="H92" s="96">
        <f t="shared" si="10"/>
        <v>-3.0582399999978804E-4</v>
      </c>
      <c r="I92" s="207">
        <v>0</v>
      </c>
      <c r="J92" s="96">
        <f t="shared" si="11"/>
        <v>-3.0582399999978804E-4</v>
      </c>
      <c r="K92" s="46">
        <f t="shared" si="12"/>
        <v>0</v>
      </c>
      <c r="L92" s="140">
        <v>44224</v>
      </c>
    </row>
    <row r="93" spans="2:12">
      <c r="B93" s="272"/>
      <c r="C93" s="30" t="s">
        <v>344</v>
      </c>
      <c r="D93" s="71" t="s">
        <v>37</v>
      </c>
      <c r="E93" s="90">
        <v>2.9724840000000001E-3</v>
      </c>
      <c r="F93" s="96">
        <f t="shared" si="9"/>
        <v>11.167622388</v>
      </c>
      <c r="G93" s="137">
        <v>-11.167999999999999</v>
      </c>
      <c r="H93" s="96">
        <f t="shared" si="10"/>
        <v>-3.7761199999941653E-4</v>
      </c>
      <c r="I93" s="207">
        <v>0</v>
      </c>
      <c r="J93" s="96">
        <f t="shared" si="11"/>
        <v>-3.7761199999941653E-4</v>
      </c>
      <c r="K93" s="46">
        <f t="shared" si="12"/>
        <v>0</v>
      </c>
      <c r="L93" s="140">
        <v>44224</v>
      </c>
    </row>
    <row r="94" spans="2:12" s="89" customFormat="1">
      <c r="B94" s="272"/>
      <c r="C94" s="30" t="s">
        <v>391</v>
      </c>
      <c r="D94" s="90" t="s">
        <v>37</v>
      </c>
      <c r="E94" s="90">
        <v>7.5275400000000001E-4</v>
      </c>
      <c r="F94" s="96">
        <f t="shared" si="9"/>
        <v>2.8280967779999999</v>
      </c>
      <c r="G94" s="90">
        <v>-2.8279999999999998</v>
      </c>
      <c r="H94" s="96">
        <f t="shared" si="10"/>
        <v>9.6778000000075082E-5</v>
      </c>
      <c r="I94" s="207">
        <v>0</v>
      </c>
      <c r="J94" s="96">
        <f t="shared" si="11"/>
        <v>9.6778000000075082E-5</v>
      </c>
      <c r="K94" s="46">
        <f t="shared" si="12"/>
        <v>0</v>
      </c>
      <c r="L94" s="140">
        <v>44274</v>
      </c>
    </row>
    <row r="95" spans="2:12" s="89" customFormat="1">
      <c r="B95" s="272"/>
      <c r="C95" s="30" t="s">
        <v>392</v>
      </c>
      <c r="D95" s="90" t="s">
        <v>37</v>
      </c>
      <c r="E95" s="90">
        <v>3.2615539999999998E-3</v>
      </c>
      <c r="F95" s="96">
        <f t="shared" si="9"/>
        <v>12.253658377999999</v>
      </c>
      <c r="G95" s="90">
        <v>-12.254</v>
      </c>
      <c r="H95" s="96">
        <f t="shared" si="10"/>
        <v>-3.4162200000054099E-4</v>
      </c>
      <c r="I95" s="207">
        <v>0</v>
      </c>
      <c r="J95" s="96">
        <f t="shared" si="11"/>
        <v>-3.4162200000054099E-4</v>
      </c>
      <c r="K95" s="46">
        <f t="shared" si="12"/>
        <v>0</v>
      </c>
      <c r="L95" s="140">
        <v>44230</v>
      </c>
    </row>
    <row r="96" spans="2:12" s="89" customFormat="1">
      <c r="B96" s="272"/>
      <c r="C96" s="30" t="s">
        <v>393</v>
      </c>
      <c r="D96" s="90" t="s">
        <v>37</v>
      </c>
      <c r="E96" s="90">
        <v>2.8093580000000001E-3</v>
      </c>
      <c r="F96" s="96">
        <f t="shared" si="9"/>
        <v>10.554758006</v>
      </c>
      <c r="G96" s="90">
        <v>-10.555</v>
      </c>
      <c r="H96" s="96">
        <f t="shared" si="10"/>
        <v>-2.4199399999957905E-4</v>
      </c>
      <c r="I96" s="207">
        <v>0</v>
      </c>
      <c r="J96" s="96">
        <f t="shared" si="11"/>
        <v>-2.4199399999957905E-4</v>
      </c>
      <c r="K96" s="46">
        <f t="shared" si="12"/>
        <v>0</v>
      </c>
      <c r="L96" s="127">
        <v>44236</v>
      </c>
    </row>
    <row r="97" spans="2:12">
      <c r="B97" s="272"/>
      <c r="C97" s="30" t="s">
        <v>345</v>
      </c>
      <c r="D97" s="71" t="s">
        <v>37</v>
      </c>
      <c r="E97" s="90">
        <v>8.2329899999999999E-4</v>
      </c>
      <c r="F97" s="96">
        <f t="shared" si="9"/>
        <v>3.093134343</v>
      </c>
      <c r="G97" s="71"/>
      <c r="H97" s="96">
        <f t="shared" si="10"/>
        <v>3.093134343</v>
      </c>
      <c r="I97" s="207">
        <v>3.0933333333333302</v>
      </c>
      <c r="J97" s="96">
        <f t="shared" si="11"/>
        <v>-1.9899033333015126E-4</v>
      </c>
      <c r="K97" s="46">
        <f>+I97/H97</f>
        <v>1.0000643329100078</v>
      </c>
      <c r="L97" s="128">
        <v>44242</v>
      </c>
    </row>
    <row r="98" spans="2:12">
      <c r="B98" s="272"/>
      <c r="C98" s="73" t="s">
        <v>40</v>
      </c>
      <c r="D98" s="58" t="s">
        <v>37</v>
      </c>
      <c r="E98" s="58">
        <f>SUM(E57:E97)</f>
        <v>0.29044204399999995</v>
      </c>
      <c r="F98" s="106">
        <f>SUM(F57:F97)</f>
        <v>1091.1907593079995</v>
      </c>
      <c r="G98" s="58">
        <f>SUM(G57:G97)</f>
        <v>-1007.5989999999998</v>
      </c>
      <c r="H98" s="106">
        <f>SUM(H57:H97)</f>
        <v>83.591759308000007</v>
      </c>
      <c r="I98" s="106">
        <f>SUM(I57:I97)</f>
        <v>61.792444444444442</v>
      </c>
      <c r="J98" s="106">
        <f>+H98-I98</f>
        <v>21.799314863555566</v>
      </c>
      <c r="K98" s="59">
        <f>+I98/H98</f>
        <v>0.73921693903780183</v>
      </c>
      <c r="L98" s="118" t="s">
        <v>31</v>
      </c>
    </row>
    <row r="100" spans="2:12" s="70" customFormat="1">
      <c r="E100" s="89"/>
      <c r="L100" s="119"/>
    </row>
    <row r="101" spans="2:12" ht="30">
      <c r="B101" s="56" t="s">
        <v>184</v>
      </c>
      <c r="C101" s="56" t="s">
        <v>203</v>
      </c>
      <c r="D101" s="56" t="s">
        <v>185</v>
      </c>
      <c r="E101" s="108" t="s">
        <v>385</v>
      </c>
      <c r="F101" s="56" t="s">
        <v>35</v>
      </c>
      <c r="G101" s="56" t="s">
        <v>3</v>
      </c>
      <c r="H101" s="56" t="s">
        <v>4</v>
      </c>
      <c r="I101" s="56" t="s">
        <v>5</v>
      </c>
      <c r="J101" s="56" t="s">
        <v>6</v>
      </c>
      <c r="K101" s="56" t="s">
        <v>186</v>
      </c>
      <c r="L101" s="113" t="s">
        <v>28</v>
      </c>
    </row>
    <row r="102" spans="2:12">
      <c r="B102" s="272" t="s">
        <v>368</v>
      </c>
      <c r="C102" s="30" t="s">
        <v>346</v>
      </c>
      <c r="D102" s="71" t="s">
        <v>37</v>
      </c>
      <c r="E102" s="90">
        <v>2.0578048000000002E-2</v>
      </c>
      <c r="F102" s="96">
        <f>+E102*E$6</f>
        <v>77.311726336000007</v>
      </c>
      <c r="G102" s="71">
        <v>-75.784999999999997</v>
      </c>
      <c r="H102" s="96">
        <f>+F102+G102</f>
        <v>1.5267263360000101</v>
      </c>
      <c r="I102" s="207">
        <v>1.5266666666666668</v>
      </c>
      <c r="J102" s="96">
        <f>+H102-I102</f>
        <v>5.9669333343226327E-5</v>
      </c>
      <c r="K102" s="46">
        <f>+I102/H102</f>
        <v>0.99996091681139165</v>
      </c>
      <c r="L102" s="140">
        <v>44251</v>
      </c>
    </row>
    <row r="103" spans="2:12">
      <c r="B103" s="272"/>
      <c r="C103" s="30" t="s">
        <v>347</v>
      </c>
      <c r="D103" s="71" t="s">
        <v>37</v>
      </c>
      <c r="E103" s="90">
        <v>9.2215800000000001E-3</v>
      </c>
      <c r="F103" s="96">
        <f t="shared" ref="F103:F120" si="13">+E103*E$6</f>
        <v>34.64547606</v>
      </c>
      <c r="G103" s="71">
        <v>-34.643999999999998</v>
      </c>
      <c r="H103" s="96">
        <f t="shared" ref="H103:H120" si="14">+F103+G103</f>
        <v>1.4760600000016666E-3</v>
      </c>
      <c r="I103" s="207">
        <v>0</v>
      </c>
      <c r="J103" s="96">
        <f t="shared" ref="J103:J120" si="15">+H103-I103</f>
        <v>1.4760600000016666E-3</v>
      </c>
      <c r="K103" s="46">
        <f t="shared" ref="K103:K120" si="16">+I103/H103</f>
        <v>0</v>
      </c>
      <c r="L103" s="151">
        <v>44285</v>
      </c>
    </row>
    <row r="104" spans="2:12">
      <c r="B104" s="272"/>
      <c r="C104" s="30" t="s">
        <v>383</v>
      </c>
      <c r="D104" s="71" t="s">
        <v>37</v>
      </c>
      <c r="E104" s="90">
        <v>6.9296059999999996E-3</v>
      </c>
      <c r="F104" s="96">
        <f t="shared" si="13"/>
        <v>26.034529742</v>
      </c>
      <c r="G104" s="71">
        <v>-26.035</v>
      </c>
      <c r="H104" s="96">
        <f t="shared" si="14"/>
        <v>-4.7025800000000118E-4</v>
      </c>
      <c r="I104" s="207">
        <v>0</v>
      </c>
      <c r="J104" s="96">
        <f t="shared" si="15"/>
        <v>-4.7025800000000118E-4</v>
      </c>
      <c r="K104" s="46">
        <f t="shared" si="16"/>
        <v>0</v>
      </c>
      <c r="L104" s="127">
        <v>44236</v>
      </c>
    </row>
    <row r="105" spans="2:12">
      <c r="B105" s="272"/>
      <c r="C105" s="30" t="s">
        <v>348</v>
      </c>
      <c r="D105" s="71" t="s">
        <v>37</v>
      </c>
      <c r="E105" s="90">
        <v>1.2841732999999999E-2</v>
      </c>
      <c r="F105" s="96">
        <f t="shared" si="13"/>
        <v>48.246390880999996</v>
      </c>
      <c r="G105" s="71">
        <v>-48.244999999999997</v>
      </c>
      <c r="H105" s="96">
        <f t="shared" si="14"/>
        <v>1.3908809999989558E-3</v>
      </c>
      <c r="I105" s="207">
        <v>0</v>
      </c>
      <c r="J105" s="96">
        <f t="shared" si="15"/>
        <v>1.3908809999989558E-3</v>
      </c>
      <c r="K105" s="46">
        <f t="shared" si="16"/>
        <v>0</v>
      </c>
      <c r="L105" s="127">
        <v>44236</v>
      </c>
    </row>
    <row r="106" spans="2:12">
      <c r="B106" s="272"/>
      <c r="C106" s="30" t="s">
        <v>349</v>
      </c>
      <c r="D106" s="71" t="s">
        <v>37</v>
      </c>
      <c r="E106" s="90">
        <v>5.5412129999999997E-3</v>
      </c>
      <c r="F106" s="96">
        <f t="shared" si="13"/>
        <v>20.818337240999998</v>
      </c>
      <c r="G106" s="71">
        <v>-20.619</v>
      </c>
      <c r="H106" s="96">
        <f t="shared" si="14"/>
        <v>0.1993372409999985</v>
      </c>
      <c r="I106" s="207">
        <v>0.2</v>
      </c>
      <c r="J106" s="96">
        <f t="shared" si="15"/>
        <v>-6.6275900000151156E-4</v>
      </c>
      <c r="K106" s="46">
        <f t="shared" si="16"/>
        <v>1.0033248127478673</v>
      </c>
      <c r="L106" s="140" t="s">
        <v>31</v>
      </c>
    </row>
    <row r="107" spans="2:12">
      <c r="B107" s="272"/>
      <c r="C107" s="30" t="s">
        <v>350</v>
      </c>
      <c r="D107" s="71" t="s">
        <v>37</v>
      </c>
      <c r="E107" s="90">
        <v>9.2110890000000004E-3</v>
      </c>
      <c r="F107" s="96">
        <f t="shared" si="13"/>
        <v>34.606061373000003</v>
      </c>
      <c r="G107" s="71">
        <v>-34.606000000000002</v>
      </c>
      <c r="H107" s="96">
        <f t="shared" si="14"/>
        <v>6.1373000001196942E-5</v>
      </c>
      <c r="I107" s="207">
        <v>0</v>
      </c>
      <c r="J107" s="96">
        <f t="shared" si="15"/>
        <v>6.1373000001196942E-5</v>
      </c>
      <c r="K107" s="46">
        <f t="shared" si="16"/>
        <v>0</v>
      </c>
      <c r="L107" s="127">
        <v>44236</v>
      </c>
    </row>
    <row r="108" spans="2:12">
      <c r="B108" s="272"/>
      <c r="C108" s="30" t="s">
        <v>351</v>
      </c>
      <c r="D108" s="71" t="s">
        <v>37</v>
      </c>
      <c r="E108" s="90">
        <v>1.0308573999999999E-2</v>
      </c>
      <c r="F108" s="96">
        <f t="shared" si="13"/>
        <v>38.729312518</v>
      </c>
      <c r="G108" s="71">
        <v>-36.94</v>
      </c>
      <c r="H108" s="96">
        <f t="shared" si="14"/>
        <v>1.7893125180000027</v>
      </c>
      <c r="I108" s="207">
        <v>1.788888888888889</v>
      </c>
      <c r="J108" s="96">
        <f t="shared" si="15"/>
        <v>4.2362911111371027E-4</v>
      </c>
      <c r="K108" s="46">
        <f t="shared" si="16"/>
        <v>0.99976324476196743</v>
      </c>
      <c r="L108" s="140">
        <v>44334</v>
      </c>
    </row>
    <row r="109" spans="2:12">
      <c r="B109" s="272"/>
      <c r="C109" s="30" t="s">
        <v>409</v>
      </c>
      <c r="D109" s="71" t="s">
        <v>37</v>
      </c>
      <c r="E109" s="90">
        <v>2.6683139000000002E-2</v>
      </c>
      <c r="F109" s="96">
        <f t="shared" si="13"/>
        <v>100.248553223</v>
      </c>
      <c r="G109" s="71">
        <f>-64.659-5.476</f>
        <v>-70.135000000000005</v>
      </c>
      <c r="H109" s="96">
        <f t="shared" si="14"/>
        <v>30.113553222999997</v>
      </c>
      <c r="I109" s="207">
        <v>24.678000000000001</v>
      </c>
      <c r="J109" s="96">
        <f t="shared" si="15"/>
        <v>5.4355532229999959</v>
      </c>
      <c r="K109" s="46">
        <f t="shared" si="16"/>
        <v>0.81949811160615704</v>
      </c>
      <c r="L109" s="151" t="s">
        <v>31</v>
      </c>
    </row>
    <row r="110" spans="2:12">
      <c r="B110" s="272"/>
      <c r="C110" s="30" t="s">
        <v>352</v>
      </c>
      <c r="D110" s="71" t="s">
        <v>37</v>
      </c>
      <c r="E110" s="90">
        <v>1.3357687E-2</v>
      </c>
      <c r="F110" s="96">
        <f t="shared" si="13"/>
        <v>50.184830058999999</v>
      </c>
      <c r="G110" s="71">
        <v>-49.384</v>
      </c>
      <c r="H110" s="96">
        <f t="shared" si="14"/>
        <v>0.80083005899999904</v>
      </c>
      <c r="I110" s="207">
        <v>0.4</v>
      </c>
      <c r="J110" s="96">
        <f t="shared" si="15"/>
        <v>0.40083005899999902</v>
      </c>
      <c r="K110" s="46">
        <f t="shared" si="16"/>
        <v>0.49948175084671803</v>
      </c>
      <c r="L110" s="151" t="s">
        <v>31</v>
      </c>
    </row>
    <row r="111" spans="2:12">
      <c r="B111" s="272"/>
      <c r="C111" s="30" t="s">
        <v>353</v>
      </c>
      <c r="D111" s="71" t="s">
        <v>37</v>
      </c>
      <c r="E111" s="90">
        <v>3.2433891999999999E-2</v>
      </c>
      <c r="F111" s="96">
        <f t="shared" si="13"/>
        <v>121.854132244</v>
      </c>
      <c r="G111" s="71">
        <v>-121.854</v>
      </c>
      <c r="H111" s="96">
        <f t="shared" si="14"/>
        <v>1.3224399999955949E-4</v>
      </c>
      <c r="I111" s="207">
        <v>0</v>
      </c>
      <c r="J111" s="96">
        <f t="shared" si="15"/>
        <v>1.3224399999955949E-4</v>
      </c>
      <c r="K111" s="46">
        <f t="shared" si="16"/>
        <v>0</v>
      </c>
      <c r="L111" s="127">
        <v>44236</v>
      </c>
    </row>
    <row r="112" spans="2:12">
      <c r="B112" s="272"/>
      <c r="C112" s="30" t="s">
        <v>354</v>
      </c>
      <c r="D112" s="71" t="s">
        <v>37</v>
      </c>
      <c r="E112" s="90">
        <v>1.7565495E-2</v>
      </c>
      <c r="F112" s="96">
        <f t="shared" si="13"/>
        <v>65.993564715000005</v>
      </c>
      <c r="G112" s="71">
        <v>-65.994</v>
      </c>
      <c r="H112" s="96">
        <f t="shared" si="14"/>
        <v>-4.352849999946784E-4</v>
      </c>
      <c r="I112" s="207">
        <v>0</v>
      </c>
      <c r="J112" s="96">
        <f t="shared" si="15"/>
        <v>-4.352849999946784E-4</v>
      </c>
      <c r="K112" s="46">
        <f t="shared" si="16"/>
        <v>0</v>
      </c>
      <c r="L112" s="140">
        <v>44230</v>
      </c>
    </row>
    <row r="113" spans="2:12">
      <c r="B113" s="272"/>
      <c r="C113" s="30" t="s">
        <v>355</v>
      </c>
      <c r="D113" s="71" t="s">
        <v>37</v>
      </c>
      <c r="E113" s="90">
        <v>9.5220770000000003E-3</v>
      </c>
      <c r="F113" s="96">
        <f t="shared" si="13"/>
        <v>35.774443289000004</v>
      </c>
      <c r="G113" s="71">
        <v>-34.247</v>
      </c>
      <c r="H113" s="96">
        <f t="shared" si="14"/>
        <v>1.5274432890000043</v>
      </c>
      <c r="I113" s="207">
        <v>0</v>
      </c>
      <c r="J113" s="96">
        <f t="shared" si="15"/>
        <v>1.5274432890000043</v>
      </c>
      <c r="K113" s="46">
        <f t="shared" si="16"/>
        <v>0</v>
      </c>
      <c r="L113" s="140" t="s">
        <v>31</v>
      </c>
    </row>
    <row r="114" spans="2:12">
      <c r="B114" s="272"/>
      <c r="C114" s="30" t="s">
        <v>356</v>
      </c>
      <c r="D114" s="71" t="s">
        <v>37</v>
      </c>
      <c r="E114" s="90">
        <v>8.7565170000000001E-3</v>
      </c>
      <c r="F114" s="96">
        <f t="shared" si="13"/>
        <v>32.898234369000001</v>
      </c>
      <c r="G114" s="71">
        <v>-32.898000000000003</v>
      </c>
      <c r="H114" s="96">
        <f t="shared" si="14"/>
        <v>2.3436899999751404E-4</v>
      </c>
      <c r="I114" s="207">
        <v>0</v>
      </c>
      <c r="J114" s="96">
        <f t="shared" si="15"/>
        <v>2.3436899999751404E-4</v>
      </c>
      <c r="K114" s="46">
        <f t="shared" si="16"/>
        <v>0</v>
      </c>
      <c r="L114" s="125">
        <v>44242</v>
      </c>
    </row>
    <row r="115" spans="2:12">
      <c r="B115" s="272"/>
      <c r="C115" s="30" t="s">
        <v>357</v>
      </c>
      <c r="D115" s="71" t="s">
        <v>37</v>
      </c>
      <c r="E115" s="90">
        <v>2.3961896E-2</v>
      </c>
      <c r="F115" s="96">
        <f t="shared" si="13"/>
        <v>90.024843271999998</v>
      </c>
      <c r="G115" s="71">
        <v>-90.025000000000006</v>
      </c>
      <c r="H115" s="96">
        <f t="shared" si="14"/>
        <v>-1.5672800000743337E-4</v>
      </c>
      <c r="I115" s="207">
        <v>0</v>
      </c>
      <c r="J115" s="96">
        <f t="shared" si="15"/>
        <v>-1.5672800000743337E-4</v>
      </c>
      <c r="K115" s="46">
        <f t="shared" si="16"/>
        <v>0</v>
      </c>
      <c r="L115" s="125">
        <v>44242</v>
      </c>
    </row>
    <row r="116" spans="2:12">
      <c r="B116" s="272"/>
      <c r="C116" s="30" t="s">
        <v>358</v>
      </c>
      <c r="D116" s="71" t="s">
        <v>37</v>
      </c>
      <c r="E116" s="90">
        <v>1.5231875000000001E-2</v>
      </c>
      <c r="F116" s="105">
        <f t="shared" si="13"/>
        <v>57.226154375</v>
      </c>
      <c r="G116" s="71">
        <v>-57.225999999999999</v>
      </c>
      <c r="H116" s="96">
        <f t="shared" si="14"/>
        <v>1.543750000010391E-4</v>
      </c>
      <c r="I116" s="207">
        <v>0</v>
      </c>
      <c r="J116" s="96">
        <f t="shared" si="15"/>
        <v>1.543750000010391E-4</v>
      </c>
      <c r="K116" s="46">
        <f t="shared" si="16"/>
        <v>0</v>
      </c>
      <c r="L116" s="140">
        <v>44285</v>
      </c>
    </row>
    <row r="117" spans="2:12">
      <c r="B117" s="272"/>
      <c r="C117" s="30" t="s">
        <v>359</v>
      </c>
      <c r="D117" s="71" t="s">
        <v>37</v>
      </c>
      <c r="E117" s="90">
        <v>6.7833399999999995E-4</v>
      </c>
      <c r="F117" s="96">
        <f t="shared" si="13"/>
        <v>2.5485008379999998</v>
      </c>
      <c r="G117" s="137">
        <v>-2.5489999999999999</v>
      </c>
      <c r="H117" s="96">
        <f t="shared" si="14"/>
        <v>-4.9916200000010846E-4</v>
      </c>
      <c r="I117" s="207">
        <v>0</v>
      </c>
      <c r="J117" s="96">
        <f t="shared" si="15"/>
        <v>-4.9916200000010846E-4</v>
      </c>
      <c r="K117" s="46">
        <f t="shared" si="16"/>
        <v>0</v>
      </c>
      <c r="L117" s="140">
        <v>44230</v>
      </c>
    </row>
    <row r="118" spans="2:12">
      <c r="B118" s="272"/>
      <c r="C118" s="30" t="s">
        <v>360</v>
      </c>
      <c r="D118" s="71" t="s">
        <v>37</v>
      </c>
      <c r="E118" s="90">
        <v>1.4351780000000001E-3</v>
      </c>
      <c r="F118" s="96">
        <f t="shared" si="13"/>
        <v>5.3919637460000001</v>
      </c>
      <c r="G118" s="71">
        <v>-5.3920000000000003</v>
      </c>
      <c r="H118" s="96">
        <f t="shared" si="14"/>
        <v>-3.6254000000290887E-5</v>
      </c>
      <c r="I118" s="207">
        <v>0</v>
      </c>
      <c r="J118" s="96">
        <f t="shared" si="15"/>
        <v>-3.6254000000290887E-5</v>
      </c>
      <c r="K118" s="46">
        <f t="shared" si="16"/>
        <v>0</v>
      </c>
      <c r="L118" s="127">
        <v>44236</v>
      </c>
    </row>
    <row r="119" spans="2:12" s="89" customFormat="1">
      <c r="B119" s="272"/>
      <c r="C119" s="30" t="s">
        <v>394</v>
      </c>
      <c r="D119" s="90" t="s">
        <v>37</v>
      </c>
      <c r="E119" s="90">
        <v>4.2022700000000001E-4</v>
      </c>
      <c r="F119" s="96">
        <f t="shared" si="13"/>
        <v>1.5787928390000001</v>
      </c>
      <c r="G119" s="90"/>
      <c r="H119" s="96">
        <f t="shared" si="14"/>
        <v>1.5787928390000001</v>
      </c>
      <c r="I119" s="207">
        <v>1.578888888888889</v>
      </c>
      <c r="J119" s="96">
        <f t="shared" si="15"/>
        <v>-9.6049888888893875E-5</v>
      </c>
      <c r="K119" s="46">
        <f t="shared" si="16"/>
        <v>1.0000608375503841</v>
      </c>
      <c r="L119" s="125">
        <v>44334</v>
      </c>
    </row>
    <row r="120" spans="2:12">
      <c r="B120" s="272"/>
      <c r="C120" s="30" t="s">
        <v>361</v>
      </c>
      <c r="D120" s="71" t="s">
        <v>37</v>
      </c>
      <c r="E120" s="90">
        <v>1.3398290000000001E-3</v>
      </c>
      <c r="F120" s="96">
        <f t="shared" si="13"/>
        <v>5.0337375529999999</v>
      </c>
      <c r="G120" s="71"/>
      <c r="H120" s="96">
        <f t="shared" si="14"/>
        <v>5.0337375529999999</v>
      </c>
      <c r="I120" s="207">
        <v>4.8777777777777773</v>
      </c>
      <c r="J120" s="96">
        <f t="shared" si="15"/>
        <v>0.1559597752222226</v>
      </c>
      <c r="K120" s="46">
        <f t="shared" si="16"/>
        <v>0.96901710238562722</v>
      </c>
      <c r="L120" s="125" t="s">
        <v>31</v>
      </c>
    </row>
    <row r="121" spans="2:12" s="74" customFormat="1">
      <c r="B121" s="272"/>
      <c r="C121" s="73" t="s">
        <v>40</v>
      </c>
      <c r="D121" s="58" t="s">
        <v>37</v>
      </c>
      <c r="E121" s="58">
        <f>SUM(E102:E120)</f>
        <v>0.226017989</v>
      </c>
      <c r="F121" s="58">
        <f>SUM(F102:F120)</f>
        <v>849.14958467300005</v>
      </c>
      <c r="G121" s="58">
        <f>SUM(G102:G120)</f>
        <v>-806.57800000000009</v>
      </c>
      <c r="H121" s="58">
        <f>+F121+G121</f>
        <v>42.571584672999961</v>
      </c>
      <c r="I121" s="106">
        <f>SUM(I102:I120)</f>
        <v>35.050222222222224</v>
      </c>
      <c r="J121" s="58">
        <f>+H121-I121</f>
        <v>7.5213624507777368</v>
      </c>
      <c r="K121" s="59">
        <f>+I121/H121</f>
        <v>0.82332434865766257</v>
      </c>
      <c r="L121" s="118" t="s">
        <v>31</v>
      </c>
    </row>
  </sheetData>
  <mergeCells count="8">
    <mergeCell ref="B32:B53"/>
    <mergeCell ref="B57:B98"/>
    <mergeCell ref="B102:B121"/>
    <mergeCell ref="B8:B28"/>
    <mergeCell ref="B2:O2"/>
    <mergeCell ref="B3:O3"/>
    <mergeCell ref="B4:O4"/>
    <mergeCell ref="B5:F5"/>
  </mergeCells>
  <conditionalFormatting sqref="G1:G1048576">
    <cfRule type="cellIs" dxfId="9" priority="15" operator="lessThan">
      <formula>0</formula>
    </cfRule>
  </conditionalFormatting>
  <conditionalFormatting sqref="J57:J97">
    <cfRule type="cellIs" dxfId="8" priority="14" operator="lessThan">
      <formula>0</formula>
    </cfRule>
  </conditionalFormatting>
  <conditionalFormatting sqref="K57:K97">
    <cfRule type="cellIs" dxfId="7" priority="13" operator="greaterThan">
      <formula>1</formula>
    </cfRule>
  </conditionalFormatting>
  <conditionalFormatting sqref="K102:K121">
    <cfRule type="cellIs" dxfId="6" priority="6" operator="greaterThan">
      <formula>0.8</formula>
    </cfRule>
  </conditionalFormatting>
  <conditionalFormatting sqref="K57:K98">
    <cfRule type="cellIs" dxfId="5" priority="5" operator="greaterThan">
      <formula>0.8</formula>
    </cfRule>
  </conditionalFormatting>
  <conditionalFormatting sqref="K32:K53">
    <cfRule type="cellIs" dxfId="4" priority="4" operator="greaterThan">
      <formula>0.8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B1:I38"/>
  <sheetViews>
    <sheetView topLeftCell="B10" workbookViewId="0">
      <selection activeCell="F38" sqref="F9:F38"/>
    </sheetView>
  </sheetViews>
  <sheetFormatPr baseColWidth="10" defaultRowHeight="15"/>
  <cols>
    <col min="4" max="4" width="63.85546875" customWidth="1"/>
    <col min="5" max="5" width="11.5703125" style="139"/>
  </cols>
  <sheetData>
    <row r="1" spans="2:9" s="89" customFormat="1" ht="15.75" thickBot="1">
      <c r="E1" s="139"/>
    </row>
    <row r="2" spans="2:9">
      <c r="B2" s="259" t="s">
        <v>445</v>
      </c>
      <c r="C2" s="260"/>
      <c r="D2" s="260"/>
      <c r="E2" s="260"/>
      <c r="F2" s="260"/>
      <c r="G2" s="260"/>
      <c r="H2" s="260"/>
      <c r="I2" s="261"/>
    </row>
    <row r="3" spans="2:9">
      <c r="B3" s="262"/>
      <c r="C3" s="263"/>
      <c r="D3" s="263"/>
      <c r="E3" s="263"/>
      <c r="F3" s="263"/>
      <c r="G3" s="263"/>
      <c r="H3" s="263"/>
      <c r="I3" s="264"/>
    </row>
    <row r="4" spans="2:9">
      <c r="B4" s="268">
        <f>+'Resumen Cuota Global'!B4</f>
        <v>44566</v>
      </c>
      <c r="C4" s="269"/>
      <c r="D4" s="269"/>
      <c r="E4" s="269"/>
      <c r="F4" s="269"/>
      <c r="G4" s="269"/>
      <c r="H4" s="269"/>
      <c r="I4" s="270"/>
    </row>
    <row r="5" spans="2:9" ht="15.75" thickBot="1">
      <c r="B5" s="265" t="s">
        <v>43</v>
      </c>
      <c r="C5" s="276"/>
      <c r="D5" s="276"/>
      <c r="E5" s="276"/>
      <c r="F5" s="276"/>
      <c r="G5" s="276"/>
      <c r="H5" s="276"/>
      <c r="I5" s="277"/>
    </row>
    <row r="6" spans="2:9" s="89" customFormat="1">
      <c r="B6" s="278" t="s">
        <v>447</v>
      </c>
      <c r="C6" s="278"/>
      <c r="D6" s="278"/>
      <c r="E6" s="278"/>
      <c r="F6" s="278"/>
      <c r="G6" s="278"/>
      <c r="H6" s="278"/>
      <c r="I6" s="278"/>
    </row>
    <row r="7" spans="2:9" s="72" customFormat="1">
      <c r="B7" s="134"/>
      <c r="C7" s="135"/>
      <c r="D7" s="135"/>
      <c r="E7" s="135"/>
      <c r="F7" s="135"/>
      <c r="G7" s="135"/>
      <c r="H7" s="135"/>
    </row>
    <row r="8" spans="2:9" ht="45">
      <c r="B8" s="131" t="s">
        <v>33</v>
      </c>
      <c r="C8" s="131" t="s">
        <v>410</v>
      </c>
      <c r="D8" s="131" t="s">
        <v>411</v>
      </c>
      <c r="E8" s="136" t="s">
        <v>414</v>
      </c>
      <c r="F8" s="131" t="s">
        <v>415</v>
      </c>
      <c r="G8" s="131" t="s">
        <v>6</v>
      </c>
      <c r="H8" s="131" t="s">
        <v>27</v>
      </c>
      <c r="I8" s="131" t="s">
        <v>50</v>
      </c>
    </row>
    <row r="9" spans="2:9">
      <c r="B9" s="275"/>
      <c r="C9" s="258" t="s">
        <v>365</v>
      </c>
      <c r="D9" s="90" t="s">
        <v>416</v>
      </c>
      <c r="E9" s="133">
        <v>1.4128888888888795</v>
      </c>
      <c r="F9" s="90"/>
      <c r="G9" s="96">
        <f t="shared" ref="G9:G36" si="0">+E9-F9</f>
        <v>1.4128888888888795</v>
      </c>
      <c r="H9" s="46">
        <f>+F9/E9</f>
        <v>0</v>
      </c>
      <c r="I9" s="125" t="s">
        <v>31</v>
      </c>
    </row>
    <row r="10" spans="2:9">
      <c r="B10" s="275"/>
      <c r="C10" s="258"/>
      <c r="D10" s="90" t="s">
        <v>417</v>
      </c>
      <c r="E10" s="133">
        <v>3.7361111111111427</v>
      </c>
      <c r="F10" s="90">
        <v>3.7330000000000001</v>
      </c>
      <c r="G10" s="96">
        <f t="shared" si="0"/>
        <v>3.1111111111425949E-3</v>
      </c>
      <c r="H10" s="46">
        <f>+F10/E10</f>
        <v>0.99916728624534479</v>
      </c>
      <c r="I10" s="125" t="s">
        <v>31</v>
      </c>
    </row>
    <row r="11" spans="2:9">
      <c r="B11" s="275"/>
      <c r="C11" s="258"/>
      <c r="D11" s="90" t="s">
        <v>418</v>
      </c>
      <c r="E11" s="133">
        <v>8.4385555555555527</v>
      </c>
      <c r="F11" s="90">
        <v>8.4390000000000001</v>
      </c>
      <c r="G11" s="96">
        <f t="shared" si="0"/>
        <v>-4.4444444444735609E-4</v>
      </c>
      <c r="H11" s="46">
        <f t="shared" ref="H11:H38" si="1">+F11/E11</f>
        <v>1.0000526683081625</v>
      </c>
      <c r="I11" s="125">
        <v>44328</v>
      </c>
    </row>
    <row r="12" spans="2:9">
      <c r="B12" s="275"/>
      <c r="C12" s="258"/>
      <c r="D12" s="90" t="s">
        <v>419</v>
      </c>
      <c r="E12" s="133">
        <v>0.17788888888888899</v>
      </c>
      <c r="F12" s="90"/>
      <c r="G12" s="96">
        <f t="shared" si="0"/>
        <v>0.17788888888888899</v>
      </c>
      <c r="H12" s="46">
        <f t="shared" si="1"/>
        <v>0</v>
      </c>
      <c r="I12" s="125" t="s">
        <v>31</v>
      </c>
    </row>
    <row r="13" spans="2:9">
      <c r="B13" s="275"/>
      <c r="C13" s="258"/>
      <c r="D13" s="90" t="s">
        <v>446</v>
      </c>
      <c r="E13" s="133">
        <v>0.29011111111111187</v>
      </c>
      <c r="F13" s="90"/>
      <c r="G13" s="96">
        <f t="shared" si="0"/>
        <v>0.29011111111111187</v>
      </c>
      <c r="H13" s="46">
        <f t="shared" si="1"/>
        <v>0</v>
      </c>
      <c r="I13" s="125" t="s">
        <v>31</v>
      </c>
    </row>
    <row r="14" spans="2:9">
      <c r="B14" s="275"/>
      <c r="C14" s="258"/>
      <c r="D14" s="90" t="s">
        <v>420</v>
      </c>
      <c r="E14" s="133">
        <v>7.6000000000000512E-2</v>
      </c>
      <c r="F14" s="90"/>
      <c r="G14" s="96">
        <f t="shared" si="0"/>
        <v>7.6000000000000512E-2</v>
      </c>
      <c r="H14" s="46">
        <f t="shared" si="1"/>
        <v>0</v>
      </c>
      <c r="I14" s="125" t="s">
        <v>31</v>
      </c>
    </row>
    <row r="15" spans="2:9">
      <c r="B15" s="275"/>
      <c r="C15" s="258"/>
      <c r="D15" s="90" t="s">
        <v>421</v>
      </c>
      <c r="E15" s="133">
        <v>1.9534444444444432</v>
      </c>
      <c r="F15" s="90">
        <v>1.806</v>
      </c>
      <c r="G15" s="96">
        <f t="shared" si="0"/>
        <v>0.14744444444444316</v>
      </c>
      <c r="H15" s="46">
        <f t="shared" si="1"/>
        <v>0.92452078948865313</v>
      </c>
      <c r="I15" s="125" t="s">
        <v>31</v>
      </c>
    </row>
    <row r="16" spans="2:9">
      <c r="B16" s="275"/>
      <c r="C16" s="258" t="s">
        <v>366</v>
      </c>
      <c r="D16" s="90" t="s">
        <v>422</v>
      </c>
      <c r="E16" s="133">
        <v>0.12300000000000466</v>
      </c>
      <c r="F16" s="90"/>
      <c r="G16" s="96">
        <f t="shared" si="0"/>
        <v>0.12300000000000466</v>
      </c>
      <c r="H16" s="46">
        <f t="shared" si="1"/>
        <v>0</v>
      </c>
      <c r="I16" s="125" t="s">
        <v>31</v>
      </c>
    </row>
    <row r="17" spans="2:9">
      <c r="B17" s="275"/>
      <c r="C17" s="258"/>
      <c r="D17" s="90" t="s">
        <v>423</v>
      </c>
      <c r="E17" s="133">
        <v>0.26855555555556521</v>
      </c>
      <c r="F17" s="90"/>
      <c r="G17" s="96">
        <f t="shared" si="0"/>
        <v>0.26855555555556521</v>
      </c>
      <c r="H17" s="46">
        <f t="shared" si="1"/>
        <v>0</v>
      </c>
      <c r="I17" s="125" t="s">
        <v>31</v>
      </c>
    </row>
    <row r="18" spans="2:9">
      <c r="B18" s="275"/>
      <c r="C18" s="258"/>
      <c r="D18" s="90" t="s">
        <v>424</v>
      </c>
      <c r="E18" s="133">
        <v>2.3582222222222242</v>
      </c>
      <c r="F18" s="90">
        <v>2.2000000000000002</v>
      </c>
      <c r="G18" s="96">
        <f t="shared" si="0"/>
        <v>0.15822222222222404</v>
      </c>
      <c r="H18" s="46">
        <f t="shared" si="1"/>
        <v>0.93290614398793748</v>
      </c>
      <c r="I18" s="125" t="s">
        <v>31</v>
      </c>
    </row>
    <row r="19" spans="2:9">
      <c r="B19" s="275"/>
      <c r="C19" s="258"/>
      <c r="D19" s="90" t="s">
        <v>425</v>
      </c>
      <c r="E19" s="133">
        <v>0.34199999999999875</v>
      </c>
      <c r="F19" s="90"/>
      <c r="G19" s="96">
        <f t="shared" si="0"/>
        <v>0.34199999999999875</v>
      </c>
      <c r="H19" s="46">
        <f t="shared" si="1"/>
        <v>0</v>
      </c>
      <c r="I19" s="125" t="s">
        <v>31</v>
      </c>
    </row>
    <row r="20" spans="2:9">
      <c r="B20" s="275"/>
      <c r="C20" s="258"/>
      <c r="D20" s="90" t="s">
        <v>426</v>
      </c>
      <c r="E20" s="133">
        <v>1.6000000000000014E-2</v>
      </c>
      <c r="F20" s="90"/>
      <c r="G20" s="96">
        <f t="shared" si="0"/>
        <v>1.6000000000000014E-2</v>
      </c>
      <c r="H20" s="46">
        <f t="shared" si="1"/>
        <v>0</v>
      </c>
      <c r="I20" s="125" t="s">
        <v>31</v>
      </c>
    </row>
    <row r="21" spans="2:9" ht="14.45" customHeight="1">
      <c r="B21" s="275"/>
      <c r="C21" s="258"/>
      <c r="D21" s="90" t="s">
        <v>427</v>
      </c>
      <c r="E21" s="133">
        <v>0.23422222222222056</v>
      </c>
      <c r="F21" s="90">
        <v>0.23400000000000001</v>
      </c>
      <c r="G21" s="96">
        <f t="shared" si="0"/>
        <v>2.2222222222054167E-4</v>
      </c>
      <c r="H21" s="46">
        <f t="shared" si="1"/>
        <v>0.99905123339659163</v>
      </c>
      <c r="I21" s="125">
        <v>44334</v>
      </c>
    </row>
    <row r="22" spans="2:9">
      <c r="B22" s="275"/>
      <c r="C22" s="258"/>
      <c r="D22" s="90" t="s">
        <v>428</v>
      </c>
      <c r="E22" s="133">
        <v>3.5909999999999975</v>
      </c>
      <c r="F22" s="90">
        <v>1.5329999999999999</v>
      </c>
      <c r="G22" s="96">
        <f t="shared" si="0"/>
        <v>2.0579999999999976</v>
      </c>
      <c r="H22" s="46">
        <f t="shared" si="1"/>
        <v>0.42690058479532189</v>
      </c>
      <c r="I22" s="125" t="s">
        <v>31</v>
      </c>
    </row>
    <row r="23" spans="2:9">
      <c r="B23" s="275"/>
      <c r="C23" s="258"/>
      <c r="D23" s="90" t="s">
        <v>429</v>
      </c>
      <c r="E23" s="133">
        <v>0.1726666666666663</v>
      </c>
      <c r="F23" s="90">
        <v>0.192</v>
      </c>
      <c r="G23" s="96">
        <f t="shared" si="0"/>
        <v>-1.9333333333333702E-2</v>
      </c>
      <c r="H23" s="46">
        <f t="shared" si="1"/>
        <v>1.1119691119691144</v>
      </c>
      <c r="I23" s="125">
        <v>44328</v>
      </c>
    </row>
    <row r="24" spans="2:9">
      <c r="B24" s="275"/>
      <c r="C24" s="258"/>
      <c r="D24" s="90" t="s">
        <v>430</v>
      </c>
      <c r="E24" s="133">
        <v>1.4078888888888894</v>
      </c>
      <c r="F24" s="90"/>
      <c r="G24" s="96">
        <f t="shared" si="0"/>
        <v>1.4078888888888894</v>
      </c>
      <c r="H24" s="46">
        <f t="shared" si="1"/>
        <v>0</v>
      </c>
      <c r="I24" s="125" t="s">
        <v>31</v>
      </c>
    </row>
    <row r="25" spans="2:9">
      <c r="B25" s="275"/>
      <c r="C25" s="258" t="s">
        <v>367</v>
      </c>
      <c r="D25" s="90" t="s">
        <v>431</v>
      </c>
      <c r="E25" s="133">
        <v>1.3839999999999999</v>
      </c>
      <c r="F25" s="90"/>
      <c r="G25" s="96">
        <f t="shared" si="0"/>
        <v>1.3839999999999999</v>
      </c>
      <c r="H25" s="46">
        <f t="shared" si="1"/>
        <v>0</v>
      </c>
      <c r="I25" s="125" t="s">
        <v>31</v>
      </c>
    </row>
    <row r="26" spans="2:9">
      <c r="B26" s="275"/>
      <c r="C26" s="258"/>
      <c r="D26" s="90" t="s">
        <v>432</v>
      </c>
      <c r="E26" s="133">
        <v>0.36288888888888859</v>
      </c>
      <c r="F26" s="90"/>
      <c r="G26" s="96">
        <f t="shared" si="0"/>
        <v>0.36288888888888859</v>
      </c>
      <c r="H26" s="46">
        <f t="shared" si="1"/>
        <v>0</v>
      </c>
      <c r="I26" s="125" t="s">
        <v>31</v>
      </c>
    </row>
    <row r="27" spans="2:9">
      <c r="B27" s="275"/>
      <c r="C27" s="258"/>
      <c r="D27" s="90" t="s">
        <v>433</v>
      </c>
      <c r="E27" s="133">
        <v>1.0666666666667268E-2</v>
      </c>
      <c r="F27" s="90"/>
      <c r="G27" s="96">
        <f t="shared" si="0"/>
        <v>1.0666666666667268E-2</v>
      </c>
      <c r="H27" s="46">
        <f t="shared" si="1"/>
        <v>0</v>
      </c>
      <c r="I27" s="125" t="s">
        <v>31</v>
      </c>
    </row>
    <row r="28" spans="2:9">
      <c r="B28" s="275"/>
      <c r="C28" s="258"/>
      <c r="D28" s="90" t="s">
        <v>434</v>
      </c>
      <c r="E28" s="133">
        <v>1.4343333333333295</v>
      </c>
      <c r="F28" s="90"/>
      <c r="G28" s="96">
        <f t="shared" si="0"/>
        <v>1.4343333333333295</v>
      </c>
      <c r="H28" s="46">
        <f t="shared" si="1"/>
        <v>0</v>
      </c>
      <c r="I28" s="125" t="s">
        <v>31</v>
      </c>
    </row>
    <row r="29" spans="2:9">
      <c r="B29" s="275"/>
      <c r="C29" s="258"/>
      <c r="D29" s="90" t="s">
        <v>435</v>
      </c>
      <c r="E29" s="133">
        <v>1.8646666666666647</v>
      </c>
      <c r="F29" s="90">
        <v>1.2929999999999999</v>
      </c>
      <c r="G29" s="96">
        <f t="shared" si="0"/>
        <v>0.57166666666666477</v>
      </c>
      <c r="H29" s="46">
        <f t="shared" si="1"/>
        <v>0.6934215230604226</v>
      </c>
      <c r="I29" s="125" t="s">
        <v>31</v>
      </c>
    </row>
    <row r="30" spans="2:9">
      <c r="B30" s="275"/>
      <c r="C30" s="258"/>
      <c r="D30" s="90" t="s">
        <v>436</v>
      </c>
      <c r="E30" s="133">
        <v>3.166900000000012</v>
      </c>
      <c r="F30" s="90"/>
      <c r="G30" s="96">
        <f t="shared" si="0"/>
        <v>3.166900000000012</v>
      </c>
      <c r="H30" s="46">
        <f t="shared" si="1"/>
        <v>0</v>
      </c>
      <c r="I30" s="125" t="s">
        <v>31</v>
      </c>
    </row>
    <row r="31" spans="2:9">
      <c r="B31" s="275"/>
      <c r="C31" s="258"/>
      <c r="D31" s="90" t="s">
        <v>437</v>
      </c>
      <c r="E31" s="133">
        <v>0.13133333333333397</v>
      </c>
      <c r="F31" s="90"/>
      <c r="G31" s="96">
        <f t="shared" si="0"/>
        <v>0.13133333333333397</v>
      </c>
      <c r="H31" s="46">
        <f t="shared" si="1"/>
        <v>0</v>
      </c>
      <c r="I31" s="125" t="s">
        <v>31</v>
      </c>
    </row>
    <row r="32" spans="2:9">
      <c r="B32" s="275"/>
      <c r="C32" s="258"/>
      <c r="D32" s="90" t="s">
        <v>438</v>
      </c>
      <c r="E32" s="133">
        <v>2.3985555555555558</v>
      </c>
      <c r="F32" s="90">
        <v>2.399</v>
      </c>
      <c r="G32" s="96">
        <f t="shared" si="0"/>
        <v>-4.4444444444424747E-4</v>
      </c>
      <c r="H32" s="46">
        <f t="shared" si="1"/>
        <v>1.0001852967063509</v>
      </c>
      <c r="I32" s="125">
        <v>44328</v>
      </c>
    </row>
    <row r="33" spans="2:9">
      <c r="B33" s="275"/>
      <c r="C33" s="258"/>
      <c r="D33" s="90" t="s">
        <v>439</v>
      </c>
      <c r="E33" s="133">
        <v>8.7777777777777177E-2</v>
      </c>
      <c r="F33" s="90"/>
      <c r="G33" s="96">
        <f t="shared" si="0"/>
        <v>8.7777777777777177E-2</v>
      </c>
      <c r="H33" s="46">
        <f t="shared" si="1"/>
        <v>0</v>
      </c>
      <c r="I33" s="125" t="s">
        <v>31</v>
      </c>
    </row>
    <row r="34" spans="2:9">
      <c r="B34" s="275"/>
      <c r="C34" s="274" t="s">
        <v>368</v>
      </c>
      <c r="D34" s="90" t="s">
        <v>440</v>
      </c>
      <c r="E34" s="133">
        <v>9.9119889147112339E-3</v>
      </c>
      <c r="F34" s="90"/>
      <c r="G34" s="96">
        <f t="shared" si="0"/>
        <v>9.9119889147112339E-3</v>
      </c>
      <c r="H34" s="46">
        <f t="shared" si="1"/>
        <v>0</v>
      </c>
      <c r="I34" s="125" t="s">
        <v>31</v>
      </c>
    </row>
    <row r="35" spans="2:9">
      <c r="B35" s="275"/>
      <c r="C35" s="274"/>
      <c r="D35" s="90" t="s">
        <v>441</v>
      </c>
      <c r="E35" s="133">
        <v>2.0000000000024443E-3</v>
      </c>
      <c r="F35" s="90"/>
      <c r="G35" s="96">
        <f t="shared" si="0"/>
        <v>2.0000000000024443E-3</v>
      </c>
      <c r="H35" s="46">
        <f t="shared" si="1"/>
        <v>0</v>
      </c>
      <c r="I35" s="125" t="s">
        <v>31</v>
      </c>
    </row>
    <row r="36" spans="2:9">
      <c r="B36" s="275"/>
      <c r="C36" s="274"/>
      <c r="D36" s="138" t="s">
        <v>442</v>
      </c>
      <c r="E36" s="133">
        <v>0.34804393700800063</v>
      </c>
      <c r="F36" s="90"/>
      <c r="G36" s="96">
        <f t="shared" si="0"/>
        <v>0.34804393700800063</v>
      </c>
      <c r="H36" s="46">
        <f t="shared" si="1"/>
        <v>0</v>
      </c>
      <c r="I36" s="125" t="s">
        <v>31</v>
      </c>
    </row>
    <row r="37" spans="2:9">
      <c r="B37" s="275"/>
      <c r="C37" s="274"/>
      <c r="D37" s="138" t="s">
        <v>443</v>
      </c>
      <c r="E37" s="129">
        <v>1.3850000000000016</v>
      </c>
      <c r="F37" s="90">
        <v>1.61</v>
      </c>
      <c r="G37" s="96">
        <f t="shared" ref="G37:G38" si="2">+E37-F37</f>
        <v>-0.22499999999999853</v>
      </c>
      <c r="H37" s="46">
        <f t="shared" si="1"/>
        <v>1.1624548736462081</v>
      </c>
      <c r="I37" s="125" t="s">
        <v>31</v>
      </c>
    </row>
    <row r="38" spans="2:9">
      <c r="B38" s="275"/>
      <c r="C38" s="274"/>
      <c r="D38" s="138" t="s">
        <v>444</v>
      </c>
      <c r="E38" s="129">
        <v>3.558444444444445</v>
      </c>
      <c r="F38" s="90"/>
      <c r="G38" s="96">
        <f t="shared" si="2"/>
        <v>3.558444444444445</v>
      </c>
      <c r="H38" s="46">
        <f t="shared" si="1"/>
        <v>0</v>
      </c>
      <c r="I38" s="129" t="s">
        <v>31</v>
      </c>
    </row>
  </sheetData>
  <mergeCells count="9">
    <mergeCell ref="C16:C24"/>
    <mergeCell ref="C25:C33"/>
    <mergeCell ref="C34:C38"/>
    <mergeCell ref="B9:B38"/>
    <mergeCell ref="B2:I3"/>
    <mergeCell ref="B4:I4"/>
    <mergeCell ref="B5:I5"/>
    <mergeCell ref="B6:I6"/>
    <mergeCell ref="C9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AW148"/>
  <sheetViews>
    <sheetView topLeftCell="A109" zoomScale="90" zoomScaleNormal="90" workbookViewId="0">
      <selection activeCell="I73" sqref="I73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5.28515625" customWidth="1"/>
    <col min="7" max="7" width="16.140625" customWidth="1"/>
    <col min="8" max="8" width="14.140625" customWidth="1"/>
    <col min="9" max="9" width="16.85546875" bestFit="1" customWidth="1"/>
    <col min="10" max="10" width="11.140625" customWidth="1"/>
    <col min="11" max="11" width="16.85546875" bestFit="1" customWidth="1"/>
    <col min="12" max="12" width="11.5703125"/>
    <col min="13" max="13" width="15.140625" customWidth="1"/>
    <col min="14" max="14" width="12.85546875" bestFit="1" customWidth="1"/>
    <col min="15" max="15" width="13.5703125" bestFit="1" customWidth="1"/>
    <col min="16" max="17" width="11.5703125"/>
    <col min="18" max="18" width="20.42578125" bestFit="1" customWidth="1"/>
    <col min="19" max="16384" width="11.42578125" style="26"/>
  </cols>
  <sheetData>
    <row r="1" spans="1:49" ht="15.75" thickBot="1"/>
    <row r="2" spans="1:49" ht="18.75">
      <c r="A2" s="13"/>
      <c r="B2" s="251" t="s">
        <v>400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</row>
    <row r="3" spans="1:49" ht="19.5" thickBot="1">
      <c r="A3" s="13"/>
      <c r="B3" s="254">
        <f>+'Merluza del sur Artesanal X'!B3</f>
        <v>44566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6"/>
    </row>
    <row r="4" spans="1:49" ht="21">
      <c r="A4" s="13"/>
      <c r="B4" s="257" t="s">
        <v>43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14"/>
    </row>
    <row r="5" spans="1:49" ht="2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49" ht="21">
      <c r="A6" s="13"/>
      <c r="B6" s="20" t="s">
        <v>33</v>
      </c>
      <c r="C6" s="21" t="s">
        <v>34</v>
      </c>
      <c r="D6" s="285" t="s">
        <v>35</v>
      </c>
      <c r="E6" s="285"/>
      <c r="F6" s="1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  <c r="AT6" s="15"/>
      <c r="AU6" s="15"/>
      <c r="AV6" s="15"/>
      <c r="AW6" s="15"/>
    </row>
    <row r="7" spans="1:49" ht="21">
      <c r="A7" s="13"/>
      <c r="B7" s="286" t="s">
        <v>36</v>
      </c>
      <c r="C7" s="23" t="s">
        <v>37</v>
      </c>
      <c r="D7" s="287">
        <v>1710</v>
      </c>
      <c r="E7" s="287"/>
      <c r="F7" s="1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6"/>
      <c r="AT7" s="15"/>
      <c r="AU7" s="15"/>
      <c r="AV7" s="15"/>
      <c r="AW7" s="15"/>
    </row>
    <row r="8" spans="1:49" ht="21">
      <c r="A8" s="13"/>
      <c r="B8" s="286"/>
      <c r="C8" s="22" t="s">
        <v>38</v>
      </c>
      <c r="D8" s="288" t="s">
        <v>39</v>
      </c>
      <c r="E8" s="288"/>
      <c r="F8" s="1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6"/>
      <c r="AT8" s="15"/>
      <c r="AU8" s="15"/>
      <c r="AV8" s="15"/>
      <c r="AW8" s="15"/>
    </row>
    <row r="9" spans="1:49" ht="21">
      <c r="A9" s="13"/>
      <c r="B9" s="286"/>
      <c r="C9" s="20" t="s">
        <v>40</v>
      </c>
      <c r="D9" s="285">
        <f>+D7</f>
        <v>1710</v>
      </c>
      <c r="E9" s="286"/>
      <c r="F9" s="1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O9" s="15"/>
      <c r="AP9" s="15"/>
      <c r="AQ9" s="15"/>
      <c r="AR9" s="15"/>
      <c r="AS9" s="16"/>
      <c r="AT9" s="15"/>
      <c r="AU9" s="15"/>
      <c r="AV9" s="15"/>
      <c r="AW9" s="15"/>
    </row>
    <row r="10" spans="1:49" ht="21">
      <c r="A10" s="13"/>
      <c r="B10" s="18"/>
      <c r="C10" s="18"/>
      <c r="D10" s="18"/>
      <c r="E10" s="18"/>
      <c r="F10" s="19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5"/>
      <c r="AO10" s="15"/>
      <c r="AP10" s="15"/>
      <c r="AQ10" s="15"/>
      <c r="AR10" s="15"/>
      <c r="AS10" s="16"/>
      <c r="AT10" s="15"/>
      <c r="AU10" s="15"/>
      <c r="AV10" s="15"/>
      <c r="AW10" s="15"/>
    </row>
    <row r="13" spans="1:49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79" t="s">
        <v>182</v>
      </c>
      <c r="N13" s="280"/>
      <c r="O13" s="280"/>
      <c r="P13" s="280"/>
      <c r="Q13" s="280"/>
      <c r="R13" s="280"/>
    </row>
    <row r="14" spans="1:49" s="27" customFormat="1">
      <c r="A14" s="36" t="s">
        <v>44</v>
      </c>
      <c r="B14" s="36" t="s">
        <v>184</v>
      </c>
      <c r="C14" s="36" t="s">
        <v>34</v>
      </c>
      <c r="D14" s="36" t="s">
        <v>45</v>
      </c>
      <c r="E14" s="36" t="s">
        <v>46</v>
      </c>
      <c r="F14" s="36" t="s">
        <v>35</v>
      </c>
      <c r="G14" s="36" t="s">
        <v>3</v>
      </c>
      <c r="H14" s="36" t="s">
        <v>47</v>
      </c>
      <c r="I14" s="36" t="s">
        <v>5</v>
      </c>
      <c r="J14" s="36" t="s">
        <v>48</v>
      </c>
      <c r="K14" s="36" t="s">
        <v>49</v>
      </c>
      <c r="L14" s="36" t="s">
        <v>50</v>
      </c>
      <c r="M14" s="36" t="s">
        <v>2</v>
      </c>
      <c r="N14" s="36" t="s">
        <v>3</v>
      </c>
      <c r="O14" s="36" t="s">
        <v>4</v>
      </c>
      <c r="P14" s="36" t="s">
        <v>5</v>
      </c>
      <c r="Q14" s="36" t="s">
        <v>51</v>
      </c>
      <c r="R14" s="36" t="s">
        <v>181</v>
      </c>
    </row>
    <row r="15" spans="1:49">
      <c r="A15" s="28">
        <v>1</v>
      </c>
      <c r="B15" s="30" t="s">
        <v>41</v>
      </c>
      <c r="C15" s="30" t="s">
        <v>37</v>
      </c>
      <c r="D15" s="30" t="s">
        <v>52</v>
      </c>
      <c r="E15" s="30">
        <v>967938</v>
      </c>
      <c r="F15" s="44">
        <v>13.571427999999999</v>
      </c>
      <c r="G15" s="33">
        <v>-13.571</v>
      </c>
      <c r="H15" s="44">
        <f>+F15+G15</f>
        <v>4.2799999999942884E-4</v>
      </c>
      <c r="I15" s="99"/>
      <c r="J15" s="44">
        <f>+H15-I15</f>
        <v>4.2799999999942884E-4</v>
      </c>
      <c r="K15" s="34">
        <f>+I15/H15</f>
        <v>0</v>
      </c>
      <c r="L15" s="121">
        <v>44223</v>
      </c>
      <c r="M15" s="49">
        <f>+F15</f>
        <v>13.571427999999999</v>
      </c>
      <c r="N15" s="49">
        <f>+G15</f>
        <v>-13.571</v>
      </c>
      <c r="O15" s="49">
        <f>+M15+N15</f>
        <v>4.2799999999942884E-4</v>
      </c>
      <c r="P15" s="49">
        <f>+I15</f>
        <v>0</v>
      </c>
      <c r="Q15" s="49">
        <f>+O15-P15</f>
        <v>4.2799999999942884E-4</v>
      </c>
      <c r="R15" s="35">
        <f>+P15/O15</f>
        <v>0</v>
      </c>
    </row>
    <row r="16" spans="1:49">
      <c r="A16" s="28">
        <v>2</v>
      </c>
      <c r="B16" s="30" t="s">
        <v>41</v>
      </c>
      <c r="C16" s="30" t="s">
        <v>37</v>
      </c>
      <c r="D16" s="30" t="s">
        <v>53</v>
      </c>
      <c r="E16" s="30">
        <v>968207</v>
      </c>
      <c r="F16" s="44">
        <v>13.571427999999999</v>
      </c>
      <c r="G16" s="33">
        <v>-13.571</v>
      </c>
      <c r="H16" s="44">
        <f t="shared" ref="H16:H79" si="0">+F16+G16</f>
        <v>4.2799999999942884E-4</v>
      </c>
      <c r="I16" s="99"/>
      <c r="J16" s="44">
        <f t="shared" ref="J16:J79" si="1">+H16-I16</f>
        <v>4.2799999999942884E-4</v>
      </c>
      <c r="K16" s="34">
        <f t="shared" ref="K16:K79" si="2">+I16/H16</f>
        <v>0</v>
      </c>
      <c r="L16" s="121">
        <v>44223</v>
      </c>
      <c r="M16" s="49">
        <f t="shared" ref="M16:M79" si="3">+F16</f>
        <v>13.571427999999999</v>
      </c>
      <c r="N16" s="49">
        <f t="shared" ref="N16:N79" si="4">+G16</f>
        <v>-13.571</v>
      </c>
      <c r="O16" s="49">
        <f t="shared" ref="O16:O79" si="5">+M16+N16</f>
        <v>4.2799999999942884E-4</v>
      </c>
      <c r="P16" s="49">
        <f t="shared" ref="P16:P79" si="6">+I16</f>
        <v>0</v>
      </c>
      <c r="Q16" s="49">
        <f t="shared" ref="Q16:Q79" si="7">+O16-P16</f>
        <v>4.2799999999942884E-4</v>
      </c>
      <c r="R16" s="35">
        <f t="shared" ref="R16:R79" si="8">+P16/O16</f>
        <v>0</v>
      </c>
    </row>
    <row r="17" spans="1:18">
      <c r="A17" s="28">
        <v>3</v>
      </c>
      <c r="B17" s="30" t="s">
        <v>41</v>
      </c>
      <c r="C17" s="30" t="s">
        <v>37</v>
      </c>
      <c r="D17" s="30" t="s">
        <v>54</v>
      </c>
      <c r="E17" s="30">
        <v>954587</v>
      </c>
      <c r="F17" s="44">
        <v>13.571427999999999</v>
      </c>
      <c r="G17" s="33">
        <v>-13.571</v>
      </c>
      <c r="H17" s="44">
        <f t="shared" si="0"/>
        <v>4.2799999999942884E-4</v>
      </c>
      <c r="I17" s="99"/>
      <c r="J17" s="44">
        <f t="shared" si="1"/>
        <v>4.2799999999942884E-4</v>
      </c>
      <c r="K17" s="34">
        <f t="shared" si="2"/>
        <v>0</v>
      </c>
      <c r="L17" s="121">
        <v>44223</v>
      </c>
      <c r="M17" s="49">
        <f t="shared" si="3"/>
        <v>13.571427999999999</v>
      </c>
      <c r="N17" s="49">
        <f t="shared" si="4"/>
        <v>-13.571</v>
      </c>
      <c r="O17" s="49">
        <f t="shared" si="5"/>
        <v>4.2799999999942884E-4</v>
      </c>
      <c r="P17" s="49">
        <f t="shared" si="6"/>
        <v>0</v>
      </c>
      <c r="Q17" s="49">
        <f t="shared" si="7"/>
        <v>4.2799999999942884E-4</v>
      </c>
      <c r="R17" s="35">
        <f t="shared" si="8"/>
        <v>0</v>
      </c>
    </row>
    <row r="18" spans="1:18">
      <c r="A18" s="28">
        <v>4</v>
      </c>
      <c r="B18" s="30" t="s">
        <v>41</v>
      </c>
      <c r="C18" s="30" t="s">
        <v>37</v>
      </c>
      <c r="D18" s="30" t="s">
        <v>55</v>
      </c>
      <c r="E18" s="30">
        <v>922442</v>
      </c>
      <c r="F18" s="44">
        <v>13.571427999999999</v>
      </c>
      <c r="G18" s="33">
        <v>-13.571</v>
      </c>
      <c r="H18" s="44">
        <f t="shared" si="0"/>
        <v>4.2799999999942884E-4</v>
      </c>
      <c r="I18" s="99"/>
      <c r="J18" s="44">
        <f t="shared" si="1"/>
        <v>4.2799999999942884E-4</v>
      </c>
      <c r="K18" s="34">
        <f t="shared" si="2"/>
        <v>0</v>
      </c>
      <c r="L18" s="121">
        <v>44223</v>
      </c>
      <c r="M18" s="49">
        <f t="shared" si="3"/>
        <v>13.571427999999999</v>
      </c>
      <c r="N18" s="49">
        <f t="shared" si="4"/>
        <v>-13.571</v>
      </c>
      <c r="O18" s="49">
        <f t="shared" si="5"/>
        <v>4.2799999999942884E-4</v>
      </c>
      <c r="P18" s="49">
        <f t="shared" si="6"/>
        <v>0</v>
      </c>
      <c r="Q18" s="49">
        <f t="shared" si="7"/>
        <v>4.2799999999942884E-4</v>
      </c>
      <c r="R18" s="35">
        <f t="shared" si="8"/>
        <v>0</v>
      </c>
    </row>
    <row r="19" spans="1:18">
      <c r="A19" s="28">
        <v>5</v>
      </c>
      <c r="B19" s="30" t="s">
        <v>41</v>
      </c>
      <c r="C19" s="30" t="s">
        <v>37</v>
      </c>
      <c r="D19" s="30" t="s">
        <v>56</v>
      </c>
      <c r="E19" s="30">
        <v>961932</v>
      </c>
      <c r="F19" s="44">
        <v>13.571427999999999</v>
      </c>
      <c r="G19" s="33">
        <v>-13.571</v>
      </c>
      <c r="H19" s="44">
        <f t="shared" si="0"/>
        <v>4.2799999999942884E-4</v>
      </c>
      <c r="I19" s="99"/>
      <c r="J19" s="44">
        <f t="shared" si="1"/>
        <v>4.2799999999942884E-4</v>
      </c>
      <c r="K19" s="34">
        <f t="shared" si="2"/>
        <v>0</v>
      </c>
      <c r="L19" s="121">
        <v>44223</v>
      </c>
      <c r="M19" s="49">
        <f t="shared" si="3"/>
        <v>13.571427999999999</v>
      </c>
      <c r="N19" s="49">
        <f t="shared" si="4"/>
        <v>-13.571</v>
      </c>
      <c r="O19" s="49">
        <f t="shared" si="5"/>
        <v>4.2799999999942884E-4</v>
      </c>
      <c r="P19" s="49">
        <f t="shared" si="6"/>
        <v>0</v>
      </c>
      <c r="Q19" s="49">
        <f t="shared" si="7"/>
        <v>4.2799999999942884E-4</v>
      </c>
      <c r="R19" s="35">
        <f t="shared" si="8"/>
        <v>0</v>
      </c>
    </row>
    <row r="20" spans="1:18">
      <c r="A20" s="28">
        <v>6</v>
      </c>
      <c r="B20" s="30" t="s">
        <v>41</v>
      </c>
      <c r="C20" s="30" t="s">
        <v>37</v>
      </c>
      <c r="D20" s="30" t="s">
        <v>57</v>
      </c>
      <c r="E20" s="30">
        <v>964142</v>
      </c>
      <c r="F20" s="44">
        <v>13.571427999999999</v>
      </c>
      <c r="G20" s="33">
        <v>-13.571</v>
      </c>
      <c r="H20" s="44">
        <f t="shared" si="0"/>
        <v>4.2799999999942884E-4</v>
      </c>
      <c r="I20" s="99"/>
      <c r="J20" s="44">
        <f t="shared" si="1"/>
        <v>4.2799999999942884E-4</v>
      </c>
      <c r="K20" s="34">
        <f t="shared" si="2"/>
        <v>0</v>
      </c>
      <c r="L20" s="121">
        <v>44223</v>
      </c>
      <c r="M20" s="49">
        <f t="shared" si="3"/>
        <v>13.571427999999999</v>
      </c>
      <c r="N20" s="49">
        <f t="shared" si="4"/>
        <v>-13.571</v>
      </c>
      <c r="O20" s="49">
        <f t="shared" si="5"/>
        <v>4.2799999999942884E-4</v>
      </c>
      <c r="P20" s="49">
        <f t="shared" si="6"/>
        <v>0</v>
      </c>
      <c r="Q20" s="49">
        <f t="shared" si="7"/>
        <v>4.2799999999942884E-4</v>
      </c>
      <c r="R20" s="35">
        <f t="shared" si="8"/>
        <v>0</v>
      </c>
    </row>
    <row r="21" spans="1:18">
      <c r="A21" s="28">
        <v>7</v>
      </c>
      <c r="B21" s="30" t="s">
        <v>41</v>
      </c>
      <c r="C21" s="30" t="s">
        <v>37</v>
      </c>
      <c r="D21" s="30" t="s">
        <v>58</v>
      </c>
      <c r="E21" s="30">
        <v>918725</v>
      </c>
      <c r="F21" s="44">
        <v>13.571427999999999</v>
      </c>
      <c r="G21" s="33">
        <v>-13.5</v>
      </c>
      <c r="H21" s="44">
        <f t="shared" si="0"/>
        <v>7.1427999999999159E-2</v>
      </c>
      <c r="I21" s="99"/>
      <c r="J21" s="44">
        <f t="shared" si="1"/>
        <v>7.1427999999999159E-2</v>
      </c>
      <c r="K21" s="34">
        <f t="shared" si="2"/>
        <v>0</v>
      </c>
      <c r="L21" s="121"/>
      <c r="M21" s="49">
        <f t="shared" si="3"/>
        <v>13.571427999999999</v>
      </c>
      <c r="N21" s="49">
        <f t="shared" si="4"/>
        <v>-13.5</v>
      </c>
      <c r="O21" s="49">
        <f t="shared" si="5"/>
        <v>7.1427999999999159E-2</v>
      </c>
      <c r="P21" s="49">
        <f t="shared" si="6"/>
        <v>0</v>
      </c>
      <c r="Q21" s="49">
        <f t="shared" si="7"/>
        <v>7.1427999999999159E-2</v>
      </c>
      <c r="R21" s="35">
        <f t="shared" si="8"/>
        <v>0</v>
      </c>
    </row>
    <row r="22" spans="1:18">
      <c r="A22" s="28">
        <v>8</v>
      </c>
      <c r="B22" s="30" t="s">
        <v>41</v>
      </c>
      <c r="C22" s="30" t="s">
        <v>37</v>
      </c>
      <c r="D22" s="30" t="s">
        <v>59</v>
      </c>
      <c r="E22" s="30">
        <v>918466</v>
      </c>
      <c r="F22" s="44">
        <v>13.571427999999999</v>
      </c>
      <c r="G22" s="33">
        <v>-13.571</v>
      </c>
      <c r="H22" s="44">
        <f t="shared" si="0"/>
        <v>4.2799999999942884E-4</v>
      </c>
      <c r="I22" s="99"/>
      <c r="J22" s="44">
        <f t="shared" si="1"/>
        <v>4.2799999999942884E-4</v>
      </c>
      <c r="K22" s="34">
        <f t="shared" si="2"/>
        <v>0</v>
      </c>
      <c r="L22" s="121">
        <v>44223</v>
      </c>
      <c r="M22" s="49">
        <f t="shared" si="3"/>
        <v>13.571427999999999</v>
      </c>
      <c r="N22" s="49">
        <f t="shared" si="4"/>
        <v>-13.571</v>
      </c>
      <c r="O22" s="49">
        <f t="shared" si="5"/>
        <v>4.2799999999942884E-4</v>
      </c>
      <c r="P22" s="49">
        <f t="shared" si="6"/>
        <v>0</v>
      </c>
      <c r="Q22" s="49">
        <f t="shared" si="7"/>
        <v>4.2799999999942884E-4</v>
      </c>
      <c r="R22" s="35">
        <f t="shared" si="8"/>
        <v>0</v>
      </c>
    </row>
    <row r="23" spans="1:18">
      <c r="A23" s="28">
        <v>9</v>
      </c>
      <c r="B23" s="30" t="s">
        <v>41</v>
      </c>
      <c r="C23" s="30" t="s">
        <v>37</v>
      </c>
      <c r="D23" s="30" t="s">
        <v>60</v>
      </c>
      <c r="E23" s="30">
        <v>951943</v>
      </c>
      <c r="F23" s="44">
        <v>13.571427999999999</v>
      </c>
      <c r="G23" s="33">
        <v>-13.571</v>
      </c>
      <c r="H23" s="44">
        <f t="shared" si="0"/>
        <v>4.2799999999942884E-4</v>
      </c>
      <c r="I23" s="99"/>
      <c r="J23" s="44">
        <f t="shared" si="1"/>
        <v>4.2799999999942884E-4</v>
      </c>
      <c r="K23" s="34">
        <f t="shared" si="2"/>
        <v>0</v>
      </c>
      <c r="L23" s="121">
        <v>44223</v>
      </c>
      <c r="M23" s="49">
        <f t="shared" si="3"/>
        <v>13.571427999999999</v>
      </c>
      <c r="N23" s="49">
        <f t="shared" si="4"/>
        <v>-13.571</v>
      </c>
      <c r="O23" s="49">
        <f t="shared" si="5"/>
        <v>4.2799999999942884E-4</v>
      </c>
      <c r="P23" s="49">
        <f t="shared" si="6"/>
        <v>0</v>
      </c>
      <c r="Q23" s="49">
        <f t="shared" si="7"/>
        <v>4.2799999999942884E-4</v>
      </c>
      <c r="R23" s="35">
        <f t="shared" si="8"/>
        <v>0</v>
      </c>
    </row>
    <row r="24" spans="1:18">
      <c r="A24" s="28">
        <v>10</v>
      </c>
      <c r="B24" s="30" t="s">
        <v>41</v>
      </c>
      <c r="C24" s="30" t="s">
        <v>37</v>
      </c>
      <c r="D24" s="30" t="s">
        <v>61</v>
      </c>
      <c r="E24" s="30">
        <v>952448</v>
      </c>
      <c r="F24" s="44">
        <v>13.571427999999999</v>
      </c>
      <c r="G24" s="33">
        <v>-13.571</v>
      </c>
      <c r="H24" s="44">
        <f t="shared" si="0"/>
        <v>4.2799999999942884E-4</v>
      </c>
      <c r="I24" s="99"/>
      <c r="J24" s="44">
        <f t="shared" si="1"/>
        <v>4.2799999999942884E-4</v>
      </c>
      <c r="K24" s="34">
        <f t="shared" si="2"/>
        <v>0</v>
      </c>
      <c r="L24" s="121">
        <v>44223</v>
      </c>
      <c r="M24" s="49">
        <f t="shared" si="3"/>
        <v>13.571427999999999</v>
      </c>
      <c r="N24" s="49">
        <f t="shared" si="4"/>
        <v>-13.571</v>
      </c>
      <c r="O24" s="49">
        <f t="shared" si="5"/>
        <v>4.2799999999942884E-4</v>
      </c>
      <c r="P24" s="49">
        <f t="shared" si="6"/>
        <v>0</v>
      </c>
      <c r="Q24" s="49">
        <f t="shared" si="7"/>
        <v>4.2799999999942884E-4</v>
      </c>
      <c r="R24" s="35">
        <f t="shared" si="8"/>
        <v>0</v>
      </c>
    </row>
    <row r="25" spans="1:18">
      <c r="A25" s="28">
        <v>11</v>
      </c>
      <c r="B25" s="30" t="s">
        <v>41</v>
      </c>
      <c r="C25" s="30" t="s">
        <v>37</v>
      </c>
      <c r="D25" s="30" t="s">
        <v>62</v>
      </c>
      <c r="E25" s="30">
        <v>967731</v>
      </c>
      <c r="F25" s="44">
        <v>13.571427999999999</v>
      </c>
      <c r="G25" s="33">
        <v>-13.571</v>
      </c>
      <c r="H25" s="44">
        <f t="shared" si="0"/>
        <v>4.2799999999942884E-4</v>
      </c>
      <c r="I25" s="99"/>
      <c r="J25" s="44">
        <f t="shared" si="1"/>
        <v>4.2799999999942884E-4</v>
      </c>
      <c r="K25" s="34">
        <f t="shared" si="2"/>
        <v>0</v>
      </c>
      <c r="L25" s="121">
        <v>44251</v>
      </c>
      <c r="M25" s="49">
        <f t="shared" si="3"/>
        <v>13.571427999999999</v>
      </c>
      <c r="N25" s="49">
        <f t="shared" si="4"/>
        <v>-13.571</v>
      </c>
      <c r="O25" s="49">
        <f t="shared" si="5"/>
        <v>4.2799999999942884E-4</v>
      </c>
      <c r="P25" s="49">
        <f t="shared" si="6"/>
        <v>0</v>
      </c>
      <c r="Q25" s="49">
        <f t="shared" si="7"/>
        <v>4.2799999999942884E-4</v>
      </c>
      <c r="R25" s="35">
        <f t="shared" si="8"/>
        <v>0</v>
      </c>
    </row>
    <row r="26" spans="1:18">
      <c r="A26" s="28">
        <v>12</v>
      </c>
      <c r="B26" s="30" t="s">
        <v>41</v>
      </c>
      <c r="C26" s="30" t="s">
        <v>37</v>
      </c>
      <c r="D26" s="30" t="s">
        <v>63</v>
      </c>
      <c r="E26" s="30">
        <v>37454</v>
      </c>
      <c r="F26" s="44">
        <v>13.571427999999999</v>
      </c>
      <c r="G26" s="33">
        <v>-13.571</v>
      </c>
      <c r="H26" s="44">
        <f t="shared" si="0"/>
        <v>4.2799999999942884E-4</v>
      </c>
      <c r="I26" s="99"/>
      <c r="J26" s="44">
        <f t="shared" si="1"/>
        <v>4.2799999999942884E-4</v>
      </c>
      <c r="K26" s="34">
        <f t="shared" si="2"/>
        <v>0</v>
      </c>
      <c r="L26" s="121">
        <v>44223</v>
      </c>
      <c r="M26" s="49">
        <f t="shared" si="3"/>
        <v>13.571427999999999</v>
      </c>
      <c r="N26" s="49">
        <f t="shared" si="4"/>
        <v>-13.571</v>
      </c>
      <c r="O26" s="49">
        <f t="shared" si="5"/>
        <v>4.2799999999942884E-4</v>
      </c>
      <c r="P26" s="49">
        <f t="shared" si="6"/>
        <v>0</v>
      </c>
      <c r="Q26" s="49">
        <f t="shared" si="7"/>
        <v>4.2799999999942884E-4</v>
      </c>
      <c r="R26" s="35">
        <f t="shared" si="8"/>
        <v>0</v>
      </c>
    </row>
    <row r="27" spans="1:18">
      <c r="A27" s="28">
        <v>13</v>
      </c>
      <c r="B27" s="30" t="s">
        <v>41</v>
      </c>
      <c r="C27" s="30" t="s">
        <v>37</v>
      </c>
      <c r="D27" s="30" t="s">
        <v>64</v>
      </c>
      <c r="E27" s="30">
        <v>900895</v>
      </c>
      <c r="F27" s="44">
        <v>13.571427999999999</v>
      </c>
      <c r="G27" s="33">
        <v>-13.571</v>
      </c>
      <c r="H27" s="44">
        <f t="shared" si="0"/>
        <v>4.2799999999942884E-4</v>
      </c>
      <c r="I27" s="99"/>
      <c r="J27" s="44">
        <f t="shared" si="1"/>
        <v>4.2799999999942884E-4</v>
      </c>
      <c r="K27" s="34">
        <f t="shared" si="2"/>
        <v>0</v>
      </c>
      <c r="L27" s="121">
        <v>44223</v>
      </c>
      <c r="M27" s="49">
        <f t="shared" si="3"/>
        <v>13.571427999999999</v>
      </c>
      <c r="N27" s="49">
        <f t="shared" si="4"/>
        <v>-13.571</v>
      </c>
      <c r="O27" s="49">
        <f t="shared" si="5"/>
        <v>4.2799999999942884E-4</v>
      </c>
      <c r="P27" s="49">
        <f t="shared" si="6"/>
        <v>0</v>
      </c>
      <c r="Q27" s="49">
        <f t="shared" si="7"/>
        <v>4.2799999999942884E-4</v>
      </c>
      <c r="R27" s="35">
        <f t="shared" si="8"/>
        <v>0</v>
      </c>
    </row>
    <row r="28" spans="1:18">
      <c r="A28" s="28">
        <v>14</v>
      </c>
      <c r="B28" s="30" t="s">
        <v>41</v>
      </c>
      <c r="C28" s="30" t="s">
        <v>37</v>
      </c>
      <c r="D28" s="30" t="s">
        <v>65</v>
      </c>
      <c r="E28" s="30">
        <v>965590</v>
      </c>
      <c r="F28" s="44">
        <v>13.571427999999999</v>
      </c>
      <c r="G28" s="33">
        <v>-13.571</v>
      </c>
      <c r="H28" s="44">
        <f t="shared" si="0"/>
        <v>4.2799999999942884E-4</v>
      </c>
      <c r="I28" s="99"/>
      <c r="J28" s="44">
        <f t="shared" si="1"/>
        <v>4.2799999999942884E-4</v>
      </c>
      <c r="K28" s="34">
        <f t="shared" si="2"/>
        <v>0</v>
      </c>
      <c r="L28" s="121">
        <v>44223</v>
      </c>
      <c r="M28" s="49">
        <f t="shared" si="3"/>
        <v>13.571427999999999</v>
      </c>
      <c r="N28" s="49">
        <f t="shared" si="4"/>
        <v>-13.571</v>
      </c>
      <c r="O28" s="49">
        <f t="shared" si="5"/>
        <v>4.2799999999942884E-4</v>
      </c>
      <c r="P28" s="49">
        <f t="shared" si="6"/>
        <v>0</v>
      </c>
      <c r="Q28" s="49">
        <f t="shared" si="7"/>
        <v>4.2799999999942884E-4</v>
      </c>
      <c r="R28" s="35">
        <f t="shared" si="8"/>
        <v>0</v>
      </c>
    </row>
    <row r="29" spans="1:18">
      <c r="A29" s="28">
        <v>15</v>
      </c>
      <c r="B29" s="30" t="s">
        <v>41</v>
      </c>
      <c r="C29" s="30" t="s">
        <v>37</v>
      </c>
      <c r="D29" s="30" t="s">
        <v>66</v>
      </c>
      <c r="E29" s="30">
        <v>952272</v>
      </c>
      <c r="F29" s="44">
        <v>13.571427999999999</v>
      </c>
      <c r="G29" s="33">
        <v>-13.571</v>
      </c>
      <c r="H29" s="44">
        <f t="shared" si="0"/>
        <v>4.2799999999942884E-4</v>
      </c>
      <c r="I29" s="99"/>
      <c r="J29" s="44">
        <f t="shared" si="1"/>
        <v>4.2799999999942884E-4</v>
      </c>
      <c r="K29" s="34">
        <f t="shared" si="2"/>
        <v>0</v>
      </c>
      <c r="L29" s="121">
        <v>44223</v>
      </c>
      <c r="M29" s="49">
        <f t="shared" si="3"/>
        <v>13.571427999999999</v>
      </c>
      <c r="N29" s="49">
        <f t="shared" si="4"/>
        <v>-13.571</v>
      </c>
      <c r="O29" s="49">
        <f t="shared" si="5"/>
        <v>4.2799999999942884E-4</v>
      </c>
      <c r="P29" s="49">
        <f t="shared" si="6"/>
        <v>0</v>
      </c>
      <c r="Q29" s="49">
        <f t="shared" si="7"/>
        <v>4.2799999999942884E-4</v>
      </c>
      <c r="R29" s="35">
        <f t="shared" si="8"/>
        <v>0</v>
      </c>
    </row>
    <row r="30" spans="1:18">
      <c r="A30" s="28">
        <v>16</v>
      </c>
      <c r="B30" s="30" t="s">
        <v>41</v>
      </c>
      <c r="C30" s="30" t="s">
        <v>37</v>
      </c>
      <c r="D30" s="30" t="s">
        <v>67</v>
      </c>
      <c r="E30" s="30">
        <v>960680</v>
      </c>
      <c r="F30" s="44">
        <v>13.571427999999999</v>
      </c>
      <c r="G30" s="33">
        <v>-13.571</v>
      </c>
      <c r="H30" s="44">
        <f t="shared" si="0"/>
        <v>4.2799999999942884E-4</v>
      </c>
      <c r="I30" s="99"/>
      <c r="J30" s="44">
        <f t="shared" si="1"/>
        <v>4.2799999999942884E-4</v>
      </c>
      <c r="K30" s="34">
        <f t="shared" si="2"/>
        <v>0</v>
      </c>
      <c r="L30" s="121">
        <v>44251</v>
      </c>
      <c r="M30" s="49">
        <f t="shared" si="3"/>
        <v>13.571427999999999</v>
      </c>
      <c r="N30" s="49">
        <f t="shared" si="4"/>
        <v>-13.571</v>
      </c>
      <c r="O30" s="49">
        <f t="shared" si="5"/>
        <v>4.2799999999942884E-4</v>
      </c>
      <c r="P30" s="49">
        <f t="shared" si="6"/>
        <v>0</v>
      </c>
      <c r="Q30" s="49">
        <f t="shared" si="7"/>
        <v>4.2799999999942884E-4</v>
      </c>
      <c r="R30" s="35">
        <f t="shared" si="8"/>
        <v>0</v>
      </c>
    </row>
    <row r="31" spans="1:18">
      <c r="A31" s="28">
        <v>17</v>
      </c>
      <c r="B31" s="30" t="s">
        <v>41</v>
      </c>
      <c r="C31" s="30" t="s">
        <v>37</v>
      </c>
      <c r="D31" s="30" t="s">
        <v>68</v>
      </c>
      <c r="E31" s="30">
        <v>963416</v>
      </c>
      <c r="F31" s="44">
        <v>13.571427999999999</v>
      </c>
      <c r="G31" s="33">
        <v>-13.571</v>
      </c>
      <c r="H31" s="44">
        <f t="shared" si="0"/>
        <v>4.2799999999942884E-4</v>
      </c>
      <c r="I31" s="99"/>
      <c r="J31" s="44">
        <f t="shared" si="1"/>
        <v>4.2799999999942884E-4</v>
      </c>
      <c r="K31" s="34">
        <f t="shared" si="2"/>
        <v>0</v>
      </c>
      <c r="L31" s="121">
        <v>44223</v>
      </c>
      <c r="M31" s="49">
        <f t="shared" si="3"/>
        <v>13.571427999999999</v>
      </c>
      <c r="N31" s="49">
        <f t="shared" si="4"/>
        <v>-13.571</v>
      </c>
      <c r="O31" s="49">
        <f t="shared" si="5"/>
        <v>4.2799999999942884E-4</v>
      </c>
      <c r="P31" s="49">
        <f t="shared" si="6"/>
        <v>0</v>
      </c>
      <c r="Q31" s="49">
        <f t="shared" si="7"/>
        <v>4.2799999999942884E-4</v>
      </c>
      <c r="R31" s="35">
        <f t="shared" si="8"/>
        <v>0</v>
      </c>
    </row>
    <row r="32" spans="1:18">
      <c r="A32" s="28">
        <v>18</v>
      </c>
      <c r="B32" s="30" t="s">
        <v>41</v>
      </c>
      <c r="C32" s="30" t="s">
        <v>37</v>
      </c>
      <c r="D32" s="30" t="s">
        <v>69</v>
      </c>
      <c r="E32" s="30">
        <v>960679</v>
      </c>
      <c r="F32" s="44">
        <v>13.571427999999999</v>
      </c>
      <c r="G32" s="33">
        <v>-13.571</v>
      </c>
      <c r="H32" s="44">
        <f t="shared" si="0"/>
        <v>4.2799999999942884E-4</v>
      </c>
      <c r="I32" s="99"/>
      <c r="J32" s="44">
        <f t="shared" si="1"/>
        <v>4.2799999999942884E-4</v>
      </c>
      <c r="K32" s="34">
        <f t="shared" si="2"/>
        <v>0</v>
      </c>
      <c r="L32" s="121">
        <v>44251</v>
      </c>
      <c r="M32" s="49">
        <f t="shared" si="3"/>
        <v>13.571427999999999</v>
      </c>
      <c r="N32" s="49">
        <f t="shared" si="4"/>
        <v>-13.571</v>
      </c>
      <c r="O32" s="49">
        <f t="shared" si="5"/>
        <v>4.2799999999942884E-4</v>
      </c>
      <c r="P32" s="49">
        <f t="shared" si="6"/>
        <v>0</v>
      </c>
      <c r="Q32" s="49">
        <f t="shared" si="7"/>
        <v>4.2799999999942884E-4</v>
      </c>
      <c r="R32" s="35">
        <f t="shared" si="8"/>
        <v>0</v>
      </c>
    </row>
    <row r="33" spans="1:18">
      <c r="A33" s="28">
        <v>19</v>
      </c>
      <c r="B33" s="30" t="s">
        <v>41</v>
      </c>
      <c r="C33" s="30" t="s">
        <v>37</v>
      </c>
      <c r="D33" s="30" t="s">
        <v>70</v>
      </c>
      <c r="E33" s="30">
        <v>961369</v>
      </c>
      <c r="F33" s="44">
        <v>13.571427999999999</v>
      </c>
      <c r="G33" s="33">
        <v>-13.571</v>
      </c>
      <c r="H33" s="44">
        <f t="shared" si="0"/>
        <v>4.2799999999942884E-4</v>
      </c>
      <c r="I33" s="99"/>
      <c r="J33" s="44">
        <f t="shared" si="1"/>
        <v>4.2799999999942884E-4</v>
      </c>
      <c r="K33" s="34">
        <f t="shared" si="2"/>
        <v>0</v>
      </c>
      <c r="L33" s="121">
        <v>44223</v>
      </c>
      <c r="M33" s="49">
        <f t="shared" si="3"/>
        <v>13.571427999999999</v>
      </c>
      <c r="N33" s="49">
        <f t="shared" si="4"/>
        <v>-13.571</v>
      </c>
      <c r="O33" s="49">
        <f t="shared" si="5"/>
        <v>4.2799999999942884E-4</v>
      </c>
      <c r="P33" s="49">
        <f t="shared" si="6"/>
        <v>0</v>
      </c>
      <c r="Q33" s="49">
        <f t="shared" si="7"/>
        <v>4.2799999999942884E-4</v>
      </c>
      <c r="R33" s="35">
        <f t="shared" si="8"/>
        <v>0</v>
      </c>
    </row>
    <row r="34" spans="1:18">
      <c r="A34" s="28">
        <v>20</v>
      </c>
      <c r="B34" s="30" t="s">
        <v>41</v>
      </c>
      <c r="C34" s="30" t="s">
        <v>37</v>
      </c>
      <c r="D34" s="30" t="s">
        <v>71</v>
      </c>
      <c r="E34" s="30">
        <v>918715</v>
      </c>
      <c r="F34" s="44">
        <v>13.571427999999999</v>
      </c>
      <c r="G34" s="33">
        <v>-13.571</v>
      </c>
      <c r="H34" s="44">
        <f t="shared" si="0"/>
        <v>4.2799999999942884E-4</v>
      </c>
      <c r="I34" s="99"/>
      <c r="J34" s="44">
        <f t="shared" si="1"/>
        <v>4.2799999999942884E-4</v>
      </c>
      <c r="K34" s="34">
        <f t="shared" si="2"/>
        <v>0</v>
      </c>
      <c r="L34" s="121">
        <v>44223</v>
      </c>
      <c r="M34" s="49">
        <f t="shared" si="3"/>
        <v>13.571427999999999</v>
      </c>
      <c r="N34" s="49">
        <f t="shared" si="4"/>
        <v>-13.571</v>
      </c>
      <c r="O34" s="49">
        <f t="shared" si="5"/>
        <v>4.2799999999942884E-4</v>
      </c>
      <c r="P34" s="49">
        <f t="shared" si="6"/>
        <v>0</v>
      </c>
      <c r="Q34" s="49">
        <f t="shared" si="7"/>
        <v>4.2799999999942884E-4</v>
      </c>
      <c r="R34" s="35">
        <f t="shared" si="8"/>
        <v>0</v>
      </c>
    </row>
    <row r="35" spans="1:18">
      <c r="A35" s="28">
        <v>21</v>
      </c>
      <c r="B35" s="30" t="s">
        <v>41</v>
      </c>
      <c r="C35" s="30" t="s">
        <v>37</v>
      </c>
      <c r="D35" s="30" t="s">
        <v>72</v>
      </c>
      <c r="E35" s="30">
        <v>926081</v>
      </c>
      <c r="F35" s="44">
        <v>13.571427999999999</v>
      </c>
      <c r="G35" s="33">
        <v>-13.571</v>
      </c>
      <c r="H35" s="44">
        <f t="shared" si="0"/>
        <v>4.2799999999942884E-4</v>
      </c>
      <c r="I35" s="99"/>
      <c r="J35" s="44">
        <f t="shared" si="1"/>
        <v>4.2799999999942884E-4</v>
      </c>
      <c r="K35" s="34">
        <f t="shared" si="2"/>
        <v>0</v>
      </c>
      <c r="L35" s="121">
        <v>44223</v>
      </c>
      <c r="M35" s="49">
        <f t="shared" si="3"/>
        <v>13.571427999999999</v>
      </c>
      <c r="N35" s="49">
        <f t="shared" si="4"/>
        <v>-13.571</v>
      </c>
      <c r="O35" s="49">
        <f t="shared" si="5"/>
        <v>4.2799999999942884E-4</v>
      </c>
      <c r="P35" s="49">
        <f t="shared" si="6"/>
        <v>0</v>
      </c>
      <c r="Q35" s="49">
        <f t="shared" si="7"/>
        <v>4.2799999999942884E-4</v>
      </c>
      <c r="R35" s="35">
        <f t="shared" si="8"/>
        <v>0</v>
      </c>
    </row>
    <row r="36" spans="1:18">
      <c r="A36" s="28">
        <v>22</v>
      </c>
      <c r="B36" s="30" t="s">
        <v>41</v>
      </c>
      <c r="C36" s="30" t="s">
        <v>37</v>
      </c>
      <c r="D36" s="30" t="s">
        <v>73</v>
      </c>
      <c r="E36" s="30">
        <v>961650</v>
      </c>
      <c r="F36" s="44">
        <v>13.571427999999999</v>
      </c>
      <c r="G36" s="33">
        <v>-13.571</v>
      </c>
      <c r="H36" s="44">
        <f t="shared" si="0"/>
        <v>4.2799999999942884E-4</v>
      </c>
      <c r="I36" s="99"/>
      <c r="J36" s="44">
        <f t="shared" si="1"/>
        <v>4.2799999999942884E-4</v>
      </c>
      <c r="K36" s="34">
        <f t="shared" si="2"/>
        <v>0</v>
      </c>
      <c r="L36" s="121">
        <v>44251</v>
      </c>
      <c r="M36" s="49">
        <f t="shared" si="3"/>
        <v>13.571427999999999</v>
      </c>
      <c r="N36" s="49">
        <f t="shared" si="4"/>
        <v>-13.571</v>
      </c>
      <c r="O36" s="49">
        <f t="shared" si="5"/>
        <v>4.2799999999942884E-4</v>
      </c>
      <c r="P36" s="49">
        <f t="shared" si="6"/>
        <v>0</v>
      </c>
      <c r="Q36" s="49">
        <f t="shared" si="7"/>
        <v>4.2799999999942884E-4</v>
      </c>
      <c r="R36" s="35">
        <f t="shared" si="8"/>
        <v>0</v>
      </c>
    </row>
    <row r="37" spans="1:18">
      <c r="A37" s="28">
        <v>23</v>
      </c>
      <c r="B37" s="30" t="s">
        <v>41</v>
      </c>
      <c r="C37" s="30" t="s">
        <v>37</v>
      </c>
      <c r="D37" s="30" t="s">
        <v>74</v>
      </c>
      <c r="E37" s="30">
        <v>900894</v>
      </c>
      <c r="F37" s="44">
        <v>13.571427999999999</v>
      </c>
      <c r="G37" s="33">
        <v>-13.571</v>
      </c>
      <c r="H37" s="44">
        <f t="shared" si="0"/>
        <v>4.2799999999942884E-4</v>
      </c>
      <c r="I37" s="99"/>
      <c r="J37" s="44">
        <f t="shared" si="1"/>
        <v>4.2799999999942884E-4</v>
      </c>
      <c r="K37" s="34">
        <f t="shared" si="2"/>
        <v>0</v>
      </c>
      <c r="L37" s="121">
        <v>44223</v>
      </c>
      <c r="M37" s="49">
        <f t="shared" si="3"/>
        <v>13.571427999999999</v>
      </c>
      <c r="N37" s="49">
        <f t="shared" si="4"/>
        <v>-13.571</v>
      </c>
      <c r="O37" s="49">
        <f t="shared" si="5"/>
        <v>4.2799999999942884E-4</v>
      </c>
      <c r="P37" s="49">
        <f t="shared" si="6"/>
        <v>0</v>
      </c>
      <c r="Q37" s="49">
        <f t="shared" si="7"/>
        <v>4.2799999999942884E-4</v>
      </c>
      <c r="R37" s="35">
        <f t="shared" si="8"/>
        <v>0</v>
      </c>
    </row>
    <row r="38" spans="1:18">
      <c r="A38" s="28">
        <v>24</v>
      </c>
      <c r="B38" s="30" t="s">
        <v>41</v>
      </c>
      <c r="C38" s="30" t="s">
        <v>37</v>
      </c>
      <c r="D38" s="30" t="s">
        <v>75</v>
      </c>
      <c r="E38" s="30">
        <v>926474</v>
      </c>
      <c r="F38" s="44">
        <v>13.571427999999999</v>
      </c>
      <c r="G38" s="33">
        <v>-13.571</v>
      </c>
      <c r="H38" s="44">
        <f t="shared" si="0"/>
        <v>4.2799999999942884E-4</v>
      </c>
      <c r="I38" s="99"/>
      <c r="J38" s="44">
        <f t="shared" si="1"/>
        <v>4.2799999999942884E-4</v>
      </c>
      <c r="K38" s="34">
        <f t="shared" si="2"/>
        <v>0</v>
      </c>
      <c r="L38" s="121">
        <v>44223</v>
      </c>
      <c r="M38" s="49">
        <f t="shared" si="3"/>
        <v>13.571427999999999</v>
      </c>
      <c r="N38" s="49">
        <f t="shared" si="4"/>
        <v>-13.571</v>
      </c>
      <c r="O38" s="49">
        <f t="shared" si="5"/>
        <v>4.2799999999942884E-4</v>
      </c>
      <c r="P38" s="49">
        <f t="shared" si="6"/>
        <v>0</v>
      </c>
      <c r="Q38" s="49">
        <f t="shared" si="7"/>
        <v>4.2799999999942884E-4</v>
      </c>
      <c r="R38" s="35">
        <f t="shared" si="8"/>
        <v>0</v>
      </c>
    </row>
    <row r="39" spans="1:18">
      <c r="A39" s="28">
        <v>25</v>
      </c>
      <c r="B39" s="30" t="s">
        <v>41</v>
      </c>
      <c r="C39" s="30" t="s">
        <v>37</v>
      </c>
      <c r="D39" s="30" t="s">
        <v>76</v>
      </c>
      <c r="E39" s="30">
        <v>954388</v>
      </c>
      <c r="F39" s="44">
        <v>13.571427999999999</v>
      </c>
      <c r="G39" s="33">
        <v>-13.571</v>
      </c>
      <c r="H39" s="44">
        <f t="shared" si="0"/>
        <v>4.2799999999942884E-4</v>
      </c>
      <c r="I39" s="99"/>
      <c r="J39" s="44">
        <f t="shared" si="1"/>
        <v>4.2799999999942884E-4</v>
      </c>
      <c r="K39" s="34">
        <f t="shared" si="2"/>
        <v>0</v>
      </c>
      <c r="L39" s="121">
        <v>44223</v>
      </c>
      <c r="M39" s="49">
        <f t="shared" si="3"/>
        <v>13.571427999999999</v>
      </c>
      <c r="N39" s="49">
        <f t="shared" si="4"/>
        <v>-13.571</v>
      </c>
      <c r="O39" s="49">
        <f t="shared" si="5"/>
        <v>4.2799999999942884E-4</v>
      </c>
      <c r="P39" s="49">
        <f t="shared" si="6"/>
        <v>0</v>
      </c>
      <c r="Q39" s="49">
        <f t="shared" si="7"/>
        <v>4.2799999999942884E-4</v>
      </c>
      <c r="R39" s="35">
        <f t="shared" si="8"/>
        <v>0</v>
      </c>
    </row>
    <row r="40" spans="1:18">
      <c r="A40" s="28">
        <v>26</v>
      </c>
      <c r="B40" s="30" t="s">
        <v>41</v>
      </c>
      <c r="C40" s="30" t="s">
        <v>37</v>
      </c>
      <c r="D40" s="30" t="s">
        <v>77</v>
      </c>
      <c r="E40" s="30">
        <v>15842</v>
      </c>
      <c r="F40" s="44">
        <v>13.571427999999999</v>
      </c>
      <c r="G40" s="33">
        <v>-13.571</v>
      </c>
      <c r="H40" s="44">
        <f t="shared" si="0"/>
        <v>4.2799999999942884E-4</v>
      </c>
      <c r="I40" s="99"/>
      <c r="J40" s="44">
        <f t="shared" si="1"/>
        <v>4.2799999999942884E-4</v>
      </c>
      <c r="K40" s="34">
        <f t="shared" si="2"/>
        <v>0</v>
      </c>
      <c r="L40" s="121">
        <v>44223</v>
      </c>
      <c r="M40" s="49">
        <f t="shared" si="3"/>
        <v>13.571427999999999</v>
      </c>
      <c r="N40" s="49">
        <f t="shared" si="4"/>
        <v>-13.571</v>
      </c>
      <c r="O40" s="49">
        <f t="shared" si="5"/>
        <v>4.2799999999942884E-4</v>
      </c>
      <c r="P40" s="49">
        <f t="shared" si="6"/>
        <v>0</v>
      </c>
      <c r="Q40" s="49">
        <f t="shared" si="7"/>
        <v>4.2799999999942884E-4</v>
      </c>
      <c r="R40" s="35">
        <f t="shared" si="8"/>
        <v>0</v>
      </c>
    </row>
    <row r="41" spans="1:18">
      <c r="A41" s="28">
        <v>27</v>
      </c>
      <c r="B41" s="30" t="s">
        <v>41</v>
      </c>
      <c r="C41" s="30" t="s">
        <v>37</v>
      </c>
      <c r="D41" s="30" t="s">
        <v>78</v>
      </c>
      <c r="E41" s="30">
        <v>951978</v>
      </c>
      <c r="F41" s="44">
        <v>13.571427999999999</v>
      </c>
      <c r="G41" s="33">
        <v>-13.571</v>
      </c>
      <c r="H41" s="44">
        <f t="shared" si="0"/>
        <v>4.2799999999942884E-4</v>
      </c>
      <c r="I41" s="99"/>
      <c r="J41" s="44">
        <f t="shared" si="1"/>
        <v>4.2799999999942884E-4</v>
      </c>
      <c r="K41" s="34">
        <f t="shared" si="2"/>
        <v>0</v>
      </c>
      <c r="L41" s="121">
        <v>44223</v>
      </c>
      <c r="M41" s="49">
        <f t="shared" si="3"/>
        <v>13.571427999999999</v>
      </c>
      <c r="N41" s="49">
        <f t="shared" si="4"/>
        <v>-13.571</v>
      </c>
      <c r="O41" s="49">
        <f t="shared" si="5"/>
        <v>4.2799999999942884E-4</v>
      </c>
      <c r="P41" s="49">
        <f t="shared" si="6"/>
        <v>0</v>
      </c>
      <c r="Q41" s="49">
        <f t="shared" si="7"/>
        <v>4.2799999999942884E-4</v>
      </c>
      <c r="R41" s="35">
        <f t="shared" si="8"/>
        <v>0</v>
      </c>
    </row>
    <row r="42" spans="1:18">
      <c r="A42" s="28">
        <v>28</v>
      </c>
      <c r="B42" s="30" t="s">
        <v>41</v>
      </c>
      <c r="C42" s="30" t="s">
        <v>37</v>
      </c>
      <c r="D42" s="30" t="s">
        <v>79</v>
      </c>
      <c r="E42" s="30">
        <v>903672</v>
      </c>
      <c r="F42" s="44">
        <v>13.571427999999999</v>
      </c>
      <c r="G42" s="33">
        <v>-13.571</v>
      </c>
      <c r="H42" s="44">
        <f t="shared" si="0"/>
        <v>4.2799999999942884E-4</v>
      </c>
      <c r="I42" s="99"/>
      <c r="J42" s="44">
        <f t="shared" si="1"/>
        <v>4.2799999999942884E-4</v>
      </c>
      <c r="K42" s="34">
        <f t="shared" si="2"/>
        <v>0</v>
      </c>
      <c r="L42" s="121">
        <v>44223</v>
      </c>
      <c r="M42" s="49">
        <f t="shared" si="3"/>
        <v>13.571427999999999</v>
      </c>
      <c r="N42" s="49">
        <f t="shared" si="4"/>
        <v>-13.571</v>
      </c>
      <c r="O42" s="49">
        <f t="shared" si="5"/>
        <v>4.2799999999942884E-4</v>
      </c>
      <c r="P42" s="49">
        <f t="shared" si="6"/>
        <v>0</v>
      </c>
      <c r="Q42" s="49">
        <f t="shared" si="7"/>
        <v>4.2799999999942884E-4</v>
      </c>
      <c r="R42" s="35">
        <f t="shared" si="8"/>
        <v>0</v>
      </c>
    </row>
    <row r="43" spans="1:18">
      <c r="A43" s="28">
        <v>29</v>
      </c>
      <c r="B43" s="30" t="s">
        <v>41</v>
      </c>
      <c r="C43" s="30" t="s">
        <v>37</v>
      </c>
      <c r="D43" s="30" t="s">
        <v>80</v>
      </c>
      <c r="E43" s="30">
        <v>920416</v>
      </c>
      <c r="F43" s="44">
        <v>13.571427999999999</v>
      </c>
      <c r="G43" s="33">
        <v>-13.571</v>
      </c>
      <c r="H43" s="44">
        <f t="shared" si="0"/>
        <v>4.2799999999942884E-4</v>
      </c>
      <c r="I43" s="99"/>
      <c r="J43" s="44">
        <f t="shared" si="1"/>
        <v>4.2799999999942884E-4</v>
      </c>
      <c r="K43" s="34">
        <f t="shared" si="2"/>
        <v>0</v>
      </c>
      <c r="L43" s="121">
        <v>44223</v>
      </c>
      <c r="M43" s="49">
        <f t="shared" si="3"/>
        <v>13.571427999999999</v>
      </c>
      <c r="N43" s="49">
        <f t="shared" si="4"/>
        <v>-13.571</v>
      </c>
      <c r="O43" s="49">
        <f t="shared" si="5"/>
        <v>4.2799999999942884E-4</v>
      </c>
      <c r="P43" s="49">
        <f t="shared" si="6"/>
        <v>0</v>
      </c>
      <c r="Q43" s="49">
        <f t="shared" si="7"/>
        <v>4.2799999999942884E-4</v>
      </c>
      <c r="R43" s="35">
        <f t="shared" si="8"/>
        <v>0</v>
      </c>
    </row>
    <row r="44" spans="1:18">
      <c r="A44" s="28">
        <v>30</v>
      </c>
      <c r="B44" s="30" t="s">
        <v>41</v>
      </c>
      <c r="C44" s="30" t="s">
        <v>37</v>
      </c>
      <c r="D44" s="30" t="s">
        <v>81</v>
      </c>
      <c r="E44" s="30">
        <v>951977</v>
      </c>
      <c r="F44" s="44">
        <v>13.571427999999999</v>
      </c>
      <c r="G44" s="33">
        <v>-13.571</v>
      </c>
      <c r="H44" s="44">
        <f t="shared" si="0"/>
        <v>4.2799999999942884E-4</v>
      </c>
      <c r="I44" s="99"/>
      <c r="J44" s="44">
        <f t="shared" si="1"/>
        <v>4.2799999999942884E-4</v>
      </c>
      <c r="K44" s="34">
        <f t="shared" si="2"/>
        <v>0</v>
      </c>
      <c r="L44" s="121">
        <v>44223</v>
      </c>
      <c r="M44" s="49">
        <f t="shared" si="3"/>
        <v>13.571427999999999</v>
      </c>
      <c r="N44" s="49">
        <f t="shared" si="4"/>
        <v>-13.571</v>
      </c>
      <c r="O44" s="49">
        <f t="shared" si="5"/>
        <v>4.2799999999942884E-4</v>
      </c>
      <c r="P44" s="49">
        <f t="shared" si="6"/>
        <v>0</v>
      </c>
      <c r="Q44" s="49">
        <f t="shared" si="7"/>
        <v>4.2799999999942884E-4</v>
      </c>
      <c r="R44" s="35">
        <f t="shared" si="8"/>
        <v>0</v>
      </c>
    </row>
    <row r="45" spans="1:18">
      <c r="A45" s="28">
        <v>31</v>
      </c>
      <c r="B45" s="30" t="s">
        <v>41</v>
      </c>
      <c r="C45" s="30" t="s">
        <v>37</v>
      </c>
      <c r="D45" s="30" t="s">
        <v>82</v>
      </c>
      <c r="E45" s="30">
        <v>957467</v>
      </c>
      <c r="F45" s="44">
        <v>13.571427999999999</v>
      </c>
      <c r="G45" s="33">
        <v>-13.571</v>
      </c>
      <c r="H45" s="44">
        <f t="shared" si="0"/>
        <v>4.2799999999942884E-4</v>
      </c>
      <c r="I45" s="99"/>
      <c r="J45" s="44">
        <f t="shared" si="1"/>
        <v>4.2799999999942884E-4</v>
      </c>
      <c r="K45" s="34">
        <f t="shared" si="2"/>
        <v>0</v>
      </c>
      <c r="L45" s="121">
        <v>44223</v>
      </c>
      <c r="M45" s="49">
        <f t="shared" si="3"/>
        <v>13.571427999999999</v>
      </c>
      <c r="N45" s="49">
        <f t="shared" si="4"/>
        <v>-13.571</v>
      </c>
      <c r="O45" s="49">
        <f t="shared" si="5"/>
        <v>4.2799999999942884E-4</v>
      </c>
      <c r="P45" s="49">
        <f t="shared" si="6"/>
        <v>0</v>
      </c>
      <c r="Q45" s="49">
        <f t="shared" si="7"/>
        <v>4.2799999999942884E-4</v>
      </c>
      <c r="R45" s="35">
        <f t="shared" si="8"/>
        <v>0</v>
      </c>
    </row>
    <row r="46" spans="1:18">
      <c r="A46" s="28">
        <v>32</v>
      </c>
      <c r="B46" s="30" t="s">
        <v>41</v>
      </c>
      <c r="C46" s="30" t="s">
        <v>37</v>
      </c>
      <c r="D46" s="30" t="s">
        <v>83</v>
      </c>
      <c r="E46" s="30">
        <v>913400</v>
      </c>
      <c r="F46" s="44">
        <v>13.571427999999999</v>
      </c>
      <c r="G46" s="33">
        <v>-13.571</v>
      </c>
      <c r="H46" s="44">
        <f t="shared" si="0"/>
        <v>4.2799999999942884E-4</v>
      </c>
      <c r="I46" s="99"/>
      <c r="J46" s="44">
        <f t="shared" si="1"/>
        <v>4.2799999999942884E-4</v>
      </c>
      <c r="K46" s="34">
        <f t="shared" si="2"/>
        <v>0</v>
      </c>
      <c r="L46" s="121">
        <v>44223</v>
      </c>
      <c r="M46" s="49">
        <f t="shared" si="3"/>
        <v>13.571427999999999</v>
      </c>
      <c r="N46" s="49">
        <f t="shared" si="4"/>
        <v>-13.571</v>
      </c>
      <c r="O46" s="49">
        <f t="shared" si="5"/>
        <v>4.2799999999942884E-4</v>
      </c>
      <c r="P46" s="49">
        <f t="shared" si="6"/>
        <v>0</v>
      </c>
      <c r="Q46" s="49">
        <f t="shared" si="7"/>
        <v>4.2799999999942884E-4</v>
      </c>
      <c r="R46" s="35">
        <f t="shared" si="8"/>
        <v>0</v>
      </c>
    </row>
    <row r="47" spans="1:18">
      <c r="A47" s="28">
        <v>33</v>
      </c>
      <c r="B47" s="30" t="s">
        <v>41</v>
      </c>
      <c r="C47" s="30" t="s">
        <v>37</v>
      </c>
      <c r="D47" s="30" t="s">
        <v>84</v>
      </c>
      <c r="E47" s="30">
        <v>960311</v>
      </c>
      <c r="F47" s="44">
        <v>13.571427999999999</v>
      </c>
      <c r="G47" s="33">
        <v>-13.571</v>
      </c>
      <c r="H47" s="44">
        <f t="shared" si="0"/>
        <v>4.2799999999942884E-4</v>
      </c>
      <c r="I47" s="99"/>
      <c r="J47" s="44">
        <f t="shared" si="1"/>
        <v>4.2799999999942884E-4</v>
      </c>
      <c r="K47" s="34">
        <f t="shared" si="2"/>
        <v>0</v>
      </c>
      <c r="L47" s="121">
        <v>44223</v>
      </c>
      <c r="M47" s="49">
        <f t="shared" si="3"/>
        <v>13.571427999999999</v>
      </c>
      <c r="N47" s="49">
        <f t="shared" si="4"/>
        <v>-13.571</v>
      </c>
      <c r="O47" s="49">
        <f t="shared" si="5"/>
        <v>4.2799999999942884E-4</v>
      </c>
      <c r="P47" s="49">
        <f t="shared" si="6"/>
        <v>0</v>
      </c>
      <c r="Q47" s="49">
        <f t="shared" si="7"/>
        <v>4.2799999999942884E-4</v>
      </c>
      <c r="R47" s="35">
        <f t="shared" si="8"/>
        <v>0</v>
      </c>
    </row>
    <row r="48" spans="1:18">
      <c r="A48" s="28">
        <v>34</v>
      </c>
      <c r="B48" s="30" t="s">
        <v>41</v>
      </c>
      <c r="C48" s="30" t="s">
        <v>37</v>
      </c>
      <c r="D48" s="30" t="s">
        <v>85</v>
      </c>
      <c r="E48" s="30">
        <v>961110</v>
      </c>
      <c r="F48" s="44">
        <v>13.571427999999999</v>
      </c>
      <c r="G48" s="33">
        <v>-13.571</v>
      </c>
      <c r="H48" s="44">
        <f t="shared" si="0"/>
        <v>4.2799999999942884E-4</v>
      </c>
      <c r="I48" s="99"/>
      <c r="J48" s="44">
        <f t="shared" si="1"/>
        <v>4.2799999999942884E-4</v>
      </c>
      <c r="K48" s="34">
        <f t="shared" si="2"/>
        <v>0</v>
      </c>
      <c r="L48" s="121">
        <v>44223</v>
      </c>
      <c r="M48" s="49">
        <f t="shared" si="3"/>
        <v>13.571427999999999</v>
      </c>
      <c r="N48" s="49">
        <f t="shared" si="4"/>
        <v>-13.571</v>
      </c>
      <c r="O48" s="49">
        <f t="shared" si="5"/>
        <v>4.2799999999942884E-4</v>
      </c>
      <c r="P48" s="49">
        <f t="shared" si="6"/>
        <v>0</v>
      </c>
      <c r="Q48" s="49">
        <f t="shared" si="7"/>
        <v>4.2799999999942884E-4</v>
      </c>
      <c r="R48" s="35">
        <f t="shared" si="8"/>
        <v>0</v>
      </c>
    </row>
    <row r="49" spans="1:18">
      <c r="A49" s="28">
        <v>35</v>
      </c>
      <c r="B49" s="30" t="s">
        <v>41</v>
      </c>
      <c r="C49" s="30" t="s">
        <v>37</v>
      </c>
      <c r="D49" s="30" t="s">
        <v>86</v>
      </c>
      <c r="E49" s="30">
        <v>15614</v>
      </c>
      <c r="F49" s="44">
        <v>13.571427999999999</v>
      </c>
      <c r="G49" s="33">
        <v>-13.571</v>
      </c>
      <c r="H49" s="44">
        <f t="shared" si="0"/>
        <v>4.2799999999942884E-4</v>
      </c>
      <c r="I49" s="99"/>
      <c r="J49" s="44">
        <f t="shared" si="1"/>
        <v>4.2799999999942884E-4</v>
      </c>
      <c r="K49" s="34">
        <f t="shared" si="2"/>
        <v>0</v>
      </c>
      <c r="L49" s="121">
        <v>44223</v>
      </c>
      <c r="M49" s="49">
        <f t="shared" si="3"/>
        <v>13.571427999999999</v>
      </c>
      <c r="N49" s="49">
        <f t="shared" si="4"/>
        <v>-13.571</v>
      </c>
      <c r="O49" s="49">
        <f t="shared" si="5"/>
        <v>4.2799999999942884E-4</v>
      </c>
      <c r="P49" s="49">
        <f t="shared" si="6"/>
        <v>0</v>
      </c>
      <c r="Q49" s="49">
        <f t="shared" si="7"/>
        <v>4.2799999999942884E-4</v>
      </c>
      <c r="R49" s="35">
        <f t="shared" si="8"/>
        <v>0</v>
      </c>
    </row>
    <row r="50" spans="1:18">
      <c r="A50" s="28">
        <v>36</v>
      </c>
      <c r="B50" s="30" t="s">
        <v>41</v>
      </c>
      <c r="C50" s="30" t="s">
        <v>37</v>
      </c>
      <c r="D50" s="30" t="s">
        <v>87</v>
      </c>
      <c r="E50" s="30">
        <v>966253</v>
      </c>
      <c r="F50" s="44">
        <v>13.571427999999999</v>
      </c>
      <c r="G50" s="33">
        <v>-13.571</v>
      </c>
      <c r="H50" s="44">
        <f t="shared" si="0"/>
        <v>4.2799999999942884E-4</v>
      </c>
      <c r="I50" s="99"/>
      <c r="J50" s="44">
        <f t="shared" si="1"/>
        <v>4.2799999999942884E-4</v>
      </c>
      <c r="K50" s="34">
        <f t="shared" si="2"/>
        <v>0</v>
      </c>
      <c r="L50" s="121">
        <v>44223</v>
      </c>
      <c r="M50" s="49">
        <f t="shared" si="3"/>
        <v>13.571427999999999</v>
      </c>
      <c r="N50" s="49">
        <f t="shared" si="4"/>
        <v>-13.571</v>
      </c>
      <c r="O50" s="49">
        <f t="shared" si="5"/>
        <v>4.2799999999942884E-4</v>
      </c>
      <c r="P50" s="49">
        <f t="shared" si="6"/>
        <v>0</v>
      </c>
      <c r="Q50" s="49">
        <f t="shared" si="7"/>
        <v>4.2799999999942884E-4</v>
      </c>
      <c r="R50" s="35">
        <f t="shared" si="8"/>
        <v>0</v>
      </c>
    </row>
    <row r="51" spans="1:18">
      <c r="A51" s="28">
        <v>37</v>
      </c>
      <c r="B51" s="30" t="s">
        <v>41</v>
      </c>
      <c r="C51" s="30" t="s">
        <v>37</v>
      </c>
      <c r="D51" s="30" t="s">
        <v>88</v>
      </c>
      <c r="E51" s="30">
        <v>955409</v>
      </c>
      <c r="F51" s="44">
        <v>13.571427999999999</v>
      </c>
      <c r="G51" s="33">
        <v>-13.571</v>
      </c>
      <c r="H51" s="44">
        <f t="shared" si="0"/>
        <v>4.2799999999942884E-4</v>
      </c>
      <c r="I51" s="99"/>
      <c r="J51" s="44">
        <f t="shared" si="1"/>
        <v>4.2799999999942884E-4</v>
      </c>
      <c r="K51" s="34">
        <f t="shared" si="2"/>
        <v>0</v>
      </c>
      <c r="L51" s="121">
        <v>44223</v>
      </c>
      <c r="M51" s="49">
        <f t="shared" si="3"/>
        <v>13.571427999999999</v>
      </c>
      <c r="N51" s="49">
        <f t="shared" si="4"/>
        <v>-13.571</v>
      </c>
      <c r="O51" s="49">
        <f t="shared" si="5"/>
        <v>4.2799999999942884E-4</v>
      </c>
      <c r="P51" s="49">
        <f t="shared" si="6"/>
        <v>0</v>
      </c>
      <c r="Q51" s="49">
        <f t="shared" si="7"/>
        <v>4.2799999999942884E-4</v>
      </c>
      <c r="R51" s="35">
        <f t="shared" si="8"/>
        <v>0</v>
      </c>
    </row>
    <row r="52" spans="1:18">
      <c r="A52" s="28">
        <v>38</v>
      </c>
      <c r="B52" s="30" t="s">
        <v>41</v>
      </c>
      <c r="C52" s="30" t="s">
        <v>37</v>
      </c>
      <c r="D52" s="30" t="s">
        <v>89</v>
      </c>
      <c r="E52" s="30">
        <v>963882</v>
      </c>
      <c r="F52" s="44">
        <v>13.571427999999999</v>
      </c>
      <c r="G52" s="33">
        <v>-13.571</v>
      </c>
      <c r="H52" s="44">
        <f t="shared" si="0"/>
        <v>4.2799999999942884E-4</v>
      </c>
      <c r="I52" s="99"/>
      <c r="J52" s="44">
        <f t="shared" si="1"/>
        <v>4.2799999999942884E-4</v>
      </c>
      <c r="K52" s="34">
        <f t="shared" si="2"/>
        <v>0</v>
      </c>
      <c r="L52" s="121">
        <v>44223</v>
      </c>
      <c r="M52" s="49">
        <f t="shared" si="3"/>
        <v>13.571427999999999</v>
      </c>
      <c r="N52" s="49">
        <f t="shared" si="4"/>
        <v>-13.571</v>
      </c>
      <c r="O52" s="49">
        <f t="shared" si="5"/>
        <v>4.2799999999942884E-4</v>
      </c>
      <c r="P52" s="49">
        <f t="shared" si="6"/>
        <v>0</v>
      </c>
      <c r="Q52" s="49">
        <f t="shared" si="7"/>
        <v>4.2799999999942884E-4</v>
      </c>
      <c r="R52" s="35">
        <f t="shared" si="8"/>
        <v>0</v>
      </c>
    </row>
    <row r="53" spans="1:18">
      <c r="A53" s="28">
        <v>39</v>
      </c>
      <c r="B53" s="30" t="s">
        <v>41</v>
      </c>
      <c r="C53" s="30" t="s">
        <v>37</v>
      </c>
      <c r="D53" s="30" t="s">
        <v>90</v>
      </c>
      <c r="E53" s="30">
        <v>920062</v>
      </c>
      <c r="F53" s="44">
        <v>13.571427999999999</v>
      </c>
      <c r="G53" s="33">
        <v>-13.571</v>
      </c>
      <c r="H53" s="44">
        <f t="shared" si="0"/>
        <v>4.2799999999942884E-4</v>
      </c>
      <c r="I53" s="99"/>
      <c r="J53" s="44">
        <f t="shared" si="1"/>
        <v>4.2799999999942884E-4</v>
      </c>
      <c r="K53" s="34">
        <f t="shared" si="2"/>
        <v>0</v>
      </c>
      <c r="L53" s="121">
        <v>44223</v>
      </c>
      <c r="M53" s="49">
        <f t="shared" si="3"/>
        <v>13.571427999999999</v>
      </c>
      <c r="N53" s="49">
        <f t="shared" si="4"/>
        <v>-13.571</v>
      </c>
      <c r="O53" s="49">
        <f t="shared" si="5"/>
        <v>4.2799999999942884E-4</v>
      </c>
      <c r="P53" s="49">
        <f t="shared" si="6"/>
        <v>0</v>
      </c>
      <c r="Q53" s="49">
        <f t="shared" si="7"/>
        <v>4.2799999999942884E-4</v>
      </c>
      <c r="R53" s="35">
        <f t="shared" si="8"/>
        <v>0</v>
      </c>
    </row>
    <row r="54" spans="1:18">
      <c r="A54" s="28">
        <v>40</v>
      </c>
      <c r="B54" s="30" t="s">
        <v>41</v>
      </c>
      <c r="C54" s="30" t="s">
        <v>37</v>
      </c>
      <c r="D54" s="30" t="s">
        <v>91</v>
      </c>
      <c r="E54" s="30">
        <v>922418</v>
      </c>
      <c r="F54" s="44">
        <v>13.571427999999999</v>
      </c>
      <c r="G54" s="33">
        <v>-13.571</v>
      </c>
      <c r="H54" s="44">
        <f t="shared" si="0"/>
        <v>4.2799999999942884E-4</v>
      </c>
      <c r="I54" s="99"/>
      <c r="J54" s="44">
        <f t="shared" si="1"/>
        <v>4.2799999999942884E-4</v>
      </c>
      <c r="K54" s="34">
        <f t="shared" si="2"/>
        <v>0</v>
      </c>
      <c r="L54" s="121">
        <v>44223</v>
      </c>
      <c r="M54" s="49">
        <f t="shared" si="3"/>
        <v>13.571427999999999</v>
      </c>
      <c r="N54" s="49">
        <f t="shared" si="4"/>
        <v>-13.571</v>
      </c>
      <c r="O54" s="49">
        <f t="shared" si="5"/>
        <v>4.2799999999942884E-4</v>
      </c>
      <c r="P54" s="49">
        <f t="shared" si="6"/>
        <v>0</v>
      </c>
      <c r="Q54" s="49">
        <f t="shared" si="7"/>
        <v>4.2799999999942884E-4</v>
      </c>
      <c r="R54" s="35">
        <f t="shared" si="8"/>
        <v>0</v>
      </c>
    </row>
    <row r="55" spans="1:18">
      <c r="A55" s="28">
        <v>41</v>
      </c>
      <c r="B55" s="30" t="s">
        <v>41</v>
      </c>
      <c r="C55" s="30" t="s">
        <v>37</v>
      </c>
      <c r="D55" s="30" t="s">
        <v>92</v>
      </c>
      <c r="E55" s="30">
        <v>964568</v>
      </c>
      <c r="F55" s="44">
        <v>13.571427999999999</v>
      </c>
      <c r="G55" s="33">
        <v>-13.571</v>
      </c>
      <c r="H55" s="44">
        <f t="shared" si="0"/>
        <v>4.2799999999942884E-4</v>
      </c>
      <c r="I55" s="99"/>
      <c r="J55" s="44">
        <f t="shared" si="1"/>
        <v>4.2799999999942884E-4</v>
      </c>
      <c r="K55" s="34">
        <f t="shared" si="2"/>
        <v>0</v>
      </c>
      <c r="L55" s="121">
        <v>44223</v>
      </c>
      <c r="M55" s="49">
        <f t="shared" si="3"/>
        <v>13.571427999999999</v>
      </c>
      <c r="N55" s="49">
        <f t="shared" si="4"/>
        <v>-13.571</v>
      </c>
      <c r="O55" s="49">
        <f t="shared" si="5"/>
        <v>4.2799999999942884E-4</v>
      </c>
      <c r="P55" s="49">
        <f t="shared" si="6"/>
        <v>0</v>
      </c>
      <c r="Q55" s="49">
        <f t="shared" si="7"/>
        <v>4.2799999999942884E-4</v>
      </c>
      <c r="R55" s="35">
        <f t="shared" si="8"/>
        <v>0</v>
      </c>
    </row>
    <row r="56" spans="1:18">
      <c r="A56" s="28">
        <v>42</v>
      </c>
      <c r="B56" s="30" t="s">
        <v>41</v>
      </c>
      <c r="C56" s="30" t="s">
        <v>37</v>
      </c>
      <c r="D56" s="30" t="s">
        <v>93</v>
      </c>
      <c r="E56" s="30">
        <v>966191</v>
      </c>
      <c r="F56" s="44">
        <v>13.571427999999999</v>
      </c>
      <c r="G56" s="33">
        <v>-13.571</v>
      </c>
      <c r="H56" s="44">
        <f t="shared" si="0"/>
        <v>4.2799999999942884E-4</v>
      </c>
      <c r="I56" s="99"/>
      <c r="J56" s="44">
        <f t="shared" si="1"/>
        <v>4.2799999999942884E-4</v>
      </c>
      <c r="K56" s="34">
        <f t="shared" si="2"/>
        <v>0</v>
      </c>
      <c r="L56" s="121">
        <v>44223</v>
      </c>
      <c r="M56" s="49">
        <f t="shared" si="3"/>
        <v>13.571427999999999</v>
      </c>
      <c r="N56" s="49">
        <f t="shared" si="4"/>
        <v>-13.571</v>
      </c>
      <c r="O56" s="49">
        <f t="shared" si="5"/>
        <v>4.2799999999942884E-4</v>
      </c>
      <c r="P56" s="49">
        <f t="shared" si="6"/>
        <v>0</v>
      </c>
      <c r="Q56" s="49">
        <f t="shared" si="7"/>
        <v>4.2799999999942884E-4</v>
      </c>
      <c r="R56" s="35">
        <f t="shared" si="8"/>
        <v>0</v>
      </c>
    </row>
    <row r="57" spans="1:18">
      <c r="A57" s="28">
        <v>43</v>
      </c>
      <c r="B57" s="30" t="s">
        <v>41</v>
      </c>
      <c r="C57" s="30" t="s">
        <v>37</v>
      </c>
      <c r="D57" s="30" t="s">
        <v>94</v>
      </c>
      <c r="E57" s="30">
        <v>15641</v>
      </c>
      <c r="F57" s="44">
        <v>13.571427999999999</v>
      </c>
      <c r="G57" s="33">
        <v>-13.571</v>
      </c>
      <c r="H57" s="44">
        <f t="shared" si="0"/>
        <v>4.2799999999942884E-4</v>
      </c>
      <c r="I57" s="99"/>
      <c r="J57" s="44">
        <f t="shared" si="1"/>
        <v>4.2799999999942884E-4</v>
      </c>
      <c r="K57" s="34">
        <f t="shared" si="2"/>
        <v>0</v>
      </c>
      <c r="L57" s="121">
        <v>44223</v>
      </c>
      <c r="M57" s="49">
        <f t="shared" si="3"/>
        <v>13.571427999999999</v>
      </c>
      <c r="N57" s="49">
        <f t="shared" si="4"/>
        <v>-13.571</v>
      </c>
      <c r="O57" s="49">
        <f t="shared" si="5"/>
        <v>4.2799999999942884E-4</v>
      </c>
      <c r="P57" s="49">
        <f t="shared" si="6"/>
        <v>0</v>
      </c>
      <c r="Q57" s="49">
        <f t="shared" si="7"/>
        <v>4.2799999999942884E-4</v>
      </c>
      <c r="R57" s="35">
        <f t="shared" si="8"/>
        <v>0</v>
      </c>
    </row>
    <row r="58" spans="1:18">
      <c r="A58" s="28">
        <v>44</v>
      </c>
      <c r="B58" s="30" t="s">
        <v>41</v>
      </c>
      <c r="C58" s="30" t="s">
        <v>37</v>
      </c>
      <c r="D58" s="30" t="s">
        <v>95</v>
      </c>
      <c r="E58" s="30">
        <v>950962</v>
      </c>
      <c r="F58" s="44">
        <v>13.571427999999999</v>
      </c>
      <c r="G58" s="33">
        <v>-13.571</v>
      </c>
      <c r="H58" s="44">
        <f t="shared" si="0"/>
        <v>4.2799999999942884E-4</v>
      </c>
      <c r="I58" s="99"/>
      <c r="J58" s="44">
        <f t="shared" si="1"/>
        <v>4.2799999999942884E-4</v>
      </c>
      <c r="K58" s="34">
        <f t="shared" si="2"/>
        <v>0</v>
      </c>
      <c r="L58" s="121">
        <v>44223</v>
      </c>
      <c r="M58" s="49">
        <f t="shared" si="3"/>
        <v>13.571427999999999</v>
      </c>
      <c r="N58" s="49">
        <f t="shared" si="4"/>
        <v>-13.571</v>
      </c>
      <c r="O58" s="49">
        <f t="shared" si="5"/>
        <v>4.2799999999942884E-4</v>
      </c>
      <c r="P58" s="49">
        <f t="shared" si="6"/>
        <v>0</v>
      </c>
      <c r="Q58" s="49">
        <f t="shared" si="7"/>
        <v>4.2799999999942884E-4</v>
      </c>
      <c r="R58" s="35">
        <f t="shared" si="8"/>
        <v>0</v>
      </c>
    </row>
    <row r="59" spans="1:18">
      <c r="A59" s="28">
        <v>45</v>
      </c>
      <c r="B59" s="30" t="s">
        <v>41</v>
      </c>
      <c r="C59" s="30" t="s">
        <v>37</v>
      </c>
      <c r="D59" s="30" t="s">
        <v>96</v>
      </c>
      <c r="E59" s="30">
        <v>15642</v>
      </c>
      <c r="F59" s="44">
        <v>13.571427999999999</v>
      </c>
      <c r="G59" s="33">
        <v>-13.571</v>
      </c>
      <c r="H59" s="44">
        <f t="shared" si="0"/>
        <v>4.2799999999942884E-4</v>
      </c>
      <c r="I59" s="99"/>
      <c r="J59" s="44">
        <f t="shared" si="1"/>
        <v>4.2799999999942884E-4</v>
      </c>
      <c r="K59" s="34">
        <f t="shared" si="2"/>
        <v>0</v>
      </c>
      <c r="L59" s="121">
        <v>44223</v>
      </c>
      <c r="M59" s="49">
        <f t="shared" si="3"/>
        <v>13.571427999999999</v>
      </c>
      <c r="N59" s="49">
        <f t="shared" si="4"/>
        <v>-13.571</v>
      </c>
      <c r="O59" s="49">
        <f t="shared" si="5"/>
        <v>4.2799999999942884E-4</v>
      </c>
      <c r="P59" s="49">
        <f t="shared" si="6"/>
        <v>0</v>
      </c>
      <c r="Q59" s="49">
        <f t="shared" si="7"/>
        <v>4.2799999999942884E-4</v>
      </c>
      <c r="R59" s="35">
        <f t="shared" si="8"/>
        <v>0</v>
      </c>
    </row>
    <row r="60" spans="1:18">
      <c r="A60" s="28">
        <v>46</v>
      </c>
      <c r="B60" s="30" t="s">
        <v>41</v>
      </c>
      <c r="C60" s="30" t="s">
        <v>37</v>
      </c>
      <c r="D60" s="30" t="s">
        <v>97</v>
      </c>
      <c r="E60" s="30">
        <v>967065</v>
      </c>
      <c r="F60" s="44">
        <v>13.571427999999999</v>
      </c>
      <c r="G60" s="33">
        <f>-13-0.57</f>
        <v>-13.57</v>
      </c>
      <c r="H60" s="44">
        <f t="shared" si="0"/>
        <v>1.4279999999988746E-3</v>
      </c>
      <c r="I60" s="99"/>
      <c r="J60" s="44">
        <f t="shared" si="1"/>
        <v>1.4279999999988746E-3</v>
      </c>
      <c r="K60" s="34">
        <f t="shared" si="2"/>
        <v>0</v>
      </c>
      <c r="L60" s="122" t="s">
        <v>31</v>
      </c>
      <c r="M60" s="49">
        <f t="shared" si="3"/>
        <v>13.571427999999999</v>
      </c>
      <c r="N60" s="49">
        <f t="shared" si="4"/>
        <v>-13.57</v>
      </c>
      <c r="O60" s="49">
        <f t="shared" si="5"/>
        <v>1.4279999999988746E-3</v>
      </c>
      <c r="P60" s="49">
        <f t="shared" si="6"/>
        <v>0</v>
      </c>
      <c r="Q60" s="49">
        <f t="shared" si="7"/>
        <v>1.4279999999988746E-3</v>
      </c>
      <c r="R60" s="35">
        <f t="shared" si="8"/>
        <v>0</v>
      </c>
    </row>
    <row r="61" spans="1:18">
      <c r="A61" s="28">
        <v>47</v>
      </c>
      <c r="B61" s="30" t="s">
        <v>41</v>
      </c>
      <c r="C61" s="30" t="s">
        <v>37</v>
      </c>
      <c r="D61" s="30" t="s">
        <v>98</v>
      </c>
      <c r="E61" s="30">
        <v>951023</v>
      </c>
      <c r="F61" s="44">
        <v>13.571427999999999</v>
      </c>
      <c r="G61" s="33">
        <f>-13-0.57</f>
        <v>-13.57</v>
      </c>
      <c r="H61" s="44">
        <f t="shared" si="0"/>
        <v>1.4279999999988746E-3</v>
      </c>
      <c r="I61" s="99"/>
      <c r="J61" s="44">
        <f t="shared" si="1"/>
        <v>1.4279999999988746E-3</v>
      </c>
      <c r="K61" s="34">
        <f t="shared" si="2"/>
        <v>0</v>
      </c>
      <c r="L61" s="121">
        <v>44223</v>
      </c>
      <c r="M61" s="49">
        <f t="shared" si="3"/>
        <v>13.571427999999999</v>
      </c>
      <c r="N61" s="49">
        <f t="shared" si="4"/>
        <v>-13.57</v>
      </c>
      <c r="O61" s="49">
        <f t="shared" si="5"/>
        <v>1.4279999999988746E-3</v>
      </c>
      <c r="P61" s="49">
        <f t="shared" si="6"/>
        <v>0</v>
      </c>
      <c r="Q61" s="49">
        <f t="shared" si="7"/>
        <v>1.4279999999988746E-3</v>
      </c>
      <c r="R61" s="35">
        <f t="shared" si="8"/>
        <v>0</v>
      </c>
    </row>
    <row r="62" spans="1:18">
      <c r="A62" s="28">
        <v>48</v>
      </c>
      <c r="B62" s="30" t="s">
        <v>41</v>
      </c>
      <c r="C62" s="30" t="s">
        <v>37</v>
      </c>
      <c r="D62" s="30" t="s">
        <v>99</v>
      </c>
      <c r="E62" s="30">
        <v>913389</v>
      </c>
      <c r="F62" s="44">
        <v>13.571427999999999</v>
      </c>
      <c r="G62" s="33">
        <v>-13.571</v>
      </c>
      <c r="H62" s="44">
        <f t="shared" si="0"/>
        <v>4.2799999999942884E-4</v>
      </c>
      <c r="I62" s="99"/>
      <c r="J62" s="44">
        <f t="shared" si="1"/>
        <v>4.2799999999942884E-4</v>
      </c>
      <c r="K62" s="34">
        <f t="shared" si="2"/>
        <v>0</v>
      </c>
      <c r="L62" s="121">
        <v>44223</v>
      </c>
      <c r="M62" s="49">
        <f t="shared" si="3"/>
        <v>13.571427999999999</v>
      </c>
      <c r="N62" s="49">
        <f t="shared" si="4"/>
        <v>-13.571</v>
      </c>
      <c r="O62" s="49">
        <f t="shared" si="5"/>
        <v>4.2799999999942884E-4</v>
      </c>
      <c r="P62" s="49">
        <f t="shared" si="6"/>
        <v>0</v>
      </c>
      <c r="Q62" s="49">
        <f t="shared" si="7"/>
        <v>4.2799999999942884E-4</v>
      </c>
      <c r="R62" s="35">
        <f t="shared" si="8"/>
        <v>0</v>
      </c>
    </row>
    <row r="63" spans="1:18">
      <c r="A63" s="28">
        <v>49</v>
      </c>
      <c r="B63" s="30" t="s">
        <v>41</v>
      </c>
      <c r="C63" s="30" t="s">
        <v>37</v>
      </c>
      <c r="D63" s="30" t="s">
        <v>100</v>
      </c>
      <c r="E63" s="30">
        <v>920447</v>
      </c>
      <c r="F63" s="44">
        <v>13.571427999999999</v>
      </c>
      <c r="G63" s="33">
        <v>-13.571</v>
      </c>
      <c r="H63" s="44">
        <f t="shared" si="0"/>
        <v>4.2799999999942884E-4</v>
      </c>
      <c r="I63" s="99"/>
      <c r="J63" s="44">
        <f t="shared" si="1"/>
        <v>4.2799999999942884E-4</v>
      </c>
      <c r="K63" s="34">
        <f t="shared" si="2"/>
        <v>0</v>
      </c>
      <c r="L63" s="121">
        <v>44223</v>
      </c>
      <c r="M63" s="49">
        <f t="shared" si="3"/>
        <v>13.571427999999999</v>
      </c>
      <c r="N63" s="49">
        <f t="shared" si="4"/>
        <v>-13.571</v>
      </c>
      <c r="O63" s="49">
        <f t="shared" si="5"/>
        <v>4.2799999999942884E-4</v>
      </c>
      <c r="P63" s="49">
        <f t="shared" si="6"/>
        <v>0</v>
      </c>
      <c r="Q63" s="49">
        <f t="shared" si="7"/>
        <v>4.2799999999942884E-4</v>
      </c>
      <c r="R63" s="35">
        <f t="shared" si="8"/>
        <v>0</v>
      </c>
    </row>
    <row r="64" spans="1:18">
      <c r="A64" s="28">
        <v>50</v>
      </c>
      <c r="B64" s="30" t="s">
        <v>41</v>
      </c>
      <c r="C64" s="30" t="s">
        <v>37</v>
      </c>
      <c r="D64" s="30" t="s">
        <v>101</v>
      </c>
      <c r="E64" s="30">
        <v>28725</v>
      </c>
      <c r="F64" s="44">
        <v>13.571427999999999</v>
      </c>
      <c r="G64" s="33">
        <v>-13.571</v>
      </c>
      <c r="H64" s="44">
        <f t="shared" si="0"/>
        <v>4.2799999999942884E-4</v>
      </c>
      <c r="I64" s="99"/>
      <c r="J64" s="44">
        <f t="shared" si="1"/>
        <v>4.2799999999942884E-4</v>
      </c>
      <c r="K64" s="34">
        <f t="shared" si="2"/>
        <v>0</v>
      </c>
      <c r="L64" s="121">
        <v>44223</v>
      </c>
      <c r="M64" s="49">
        <f t="shared" si="3"/>
        <v>13.571427999999999</v>
      </c>
      <c r="N64" s="49">
        <f t="shared" si="4"/>
        <v>-13.571</v>
      </c>
      <c r="O64" s="49">
        <f t="shared" si="5"/>
        <v>4.2799999999942884E-4</v>
      </c>
      <c r="P64" s="49">
        <f t="shared" si="6"/>
        <v>0</v>
      </c>
      <c r="Q64" s="49">
        <f t="shared" si="7"/>
        <v>4.2799999999942884E-4</v>
      </c>
      <c r="R64" s="35">
        <f t="shared" si="8"/>
        <v>0</v>
      </c>
    </row>
    <row r="65" spans="1:18">
      <c r="A65" s="28">
        <v>51</v>
      </c>
      <c r="B65" s="30" t="s">
        <v>41</v>
      </c>
      <c r="C65" s="30" t="s">
        <v>37</v>
      </c>
      <c r="D65" s="30" t="s">
        <v>102</v>
      </c>
      <c r="E65" s="30">
        <v>967474</v>
      </c>
      <c r="F65" s="44">
        <v>13.571427999999999</v>
      </c>
      <c r="G65" s="33">
        <v>-13.571</v>
      </c>
      <c r="H65" s="44">
        <f t="shared" si="0"/>
        <v>4.2799999999942884E-4</v>
      </c>
      <c r="I65" s="99"/>
      <c r="J65" s="44">
        <f t="shared" si="1"/>
        <v>4.2799999999942884E-4</v>
      </c>
      <c r="K65" s="34">
        <f t="shared" si="2"/>
        <v>0</v>
      </c>
      <c r="L65" s="121">
        <v>44223</v>
      </c>
      <c r="M65" s="49">
        <f t="shared" si="3"/>
        <v>13.571427999999999</v>
      </c>
      <c r="N65" s="49">
        <f t="shared" si="4"/>
        <v>-13.571</v>
      </c>
      <c r="O65" s="49">
        <f t="shared" si="5"/>
        <v>4.2799999999942884E-4</v>
      </c>
      <c r="P65" s="49">
        <f t="shared" si="6"/>
        <v>0</v>
      </c>
      <c r="Q65" s="49">
        <f t="shared" si="7"/>
        <v>4.2799999999942884E-4</v>
      </c>
      <c r="R65" s="35">
        <f t="shared" si="8"/>
        <v>0</v>
      </c>
    </row>
    <row r="66" spans="1:18">
      <c r="A66" s="28">
        <v>52</v>
      </c>
      <c r="B66" s="30" t="s">
        <v>41</v>
      </c>
      <c r="C66" s="30" t="s">
        <v>37</v>
      </c>
      <c r="D66" s="30" t="s">
        <v>103</v>
      </c>
      <c r="E66" s="30">
        <v>33886</v>
      </c>
      <c r="F66" s="44">
        <v>13.571427999999999</v>
      </c>
      <c r="G66" s="33">
        <v>-13.571</v>
      </c>
      <c r="H66" s="44">
        <f t="shared" si="0"/>
        <v>4.2799999999942884E-4</v>
      </c>
      <c r="I66" s="99"/>
      <c r="J66" s="44">
        <f t="shared" si="1"/>
        <v>4.2799999999942884E-4</v>
      </c>
      <c r="K66" s="34">
        <f t="shared" si="2"/>
        <v>0</v>
      </c>
      <c r="L66" s="121">
        <v>44223</v>
      </c>
      <c r="M66" s="49">
        <f t="shared" si="3"/>
        <v>13.571427999999999</v>
      </c>
      <c r="N66" s="49">
        <f t="shared" si="4"/>
        <v>-13.571</v>
      </c>
      <c r="O66" s="49">
        <f t="shared" si="5"/>
        <v>4.2799999999942884E-4</v>
      </c>
      <c r="P66" s="49">
        <f t="shared" si="6"/>
        <v>0</v>
      </c>
      <c r="Q66" s="49">
        <f t="shared" si="7"/>
        <v>4.2799999999942884E-4</v>
      </c>
      <c r="R66" s="35">
        <f t="shared" si="8"/>
        <v>0</v>
      </c>
    </row>
    <row r="67" spans="1:18">
      <c r="A67" s="28">
        <v>53</v>
      </c>
      <c r="B67" s="30" t="s">
        <v>41</v>
      </c>
      <c r="C67" s="30" t="s">
        <v>37</v>
      </c>
      <c r="D67" s="30" t="s">
        <v>104</v>
      </c>
      <c r="E67" s="30">
        <v>956000</v>
      </c>
      <c r="F67" s="44">
        <v>13.571427999999999</v>
      </c>
      <c r="G67" s="33">
        <v>-13.571</v>
      </c>
      <c r="H67" s="44">
        <f t="shared" si="0"/>
        <v>4.2799999999942884E-4</v>
      </c>
      <c r="I67" s="99"/>
      <c r="J67" s="44">
        <f t="shared" si="1"/>
        <v>4.2799999999942884E-4</v>
      </c>
      <c r="K67" s="34">
        <f t="shared" si="2"/>
        <v>0</v>
      </c>
      <c r="L67" s="121">
        <v>44223</v>
      </c>
      <c r="M67" s="49">
        <f t="shared" si="3"/>
        <v>13.571427999999999</v>
      </c>
      <c r="N67" s="49">
        <f t="shared" si="4"/>
        <v>-13.571</v>
      </c>
      <c r="O67" s="49">
        <f t="shared" si="5"/>
        <v>4.2799999999942884E-4</v>
      </c>
      <c r="P67" s="49">
        <f t="shared" si="6"/>
        <v>0</v>
      </c>
      <c r="Q67" s="49">
        <f t="shared" si="7"/>
        <v>4.2799999999942884E-4</v>
      </c>
      <c r="R67" s="35">
        <f t="shared" si="8"/>
        <v>0</v>
      </c>
    </row>
    <row r="68" spans="1:18">
      <c r="A68" s="28">
        <v>54</v>
      </c>
      <c r="B68" s="30" t="s">
        <v>41</v>
      </c>
      <c r="C68" s="30" t="s">
        <v>37</v>
      </c>
      <c r="D68" s="30" t="s">
        <v>105</v>
      </c>
      <c r="E68" s="30">
        <v>964009</v>
      </c>
      <c r="F68" s="44">
        <v>13.571427999999999</v>
      </c>
      <c r="G68" s="33">
        <f>-13-0.444</f>
        <v>-13.444000000000001</v>
      </c>
      <c r="H68" s="44">
        <f t="shared" si="0"/>
        <v>0.12742799999999832</v>
      </c>
      <c r="I68" s="99"/>
      <c r="J68" s="44">
        <f t="shared" si="1"/>
        <v>0.12742799999999832</v>
      </c>
      <c r="K68" s="34">
        <f t="shared" si="2"/>
        <v>0</v>
      </c>
      <c r="L68" s="121"/>
      <c r="M68" s="49">
        <f t="shared" si="3"/>
        <v>13.571427999999999</v>
      </c>
      <c r="N68" s="49">
        <f t="shared" si="4"/>
        <v>-13.444000000000001</v>
      </c>
      <c r="O68" s="49">
        <f t="shared" si="5"/>
        <v>0.12742799999999832</v>
      </c>
      <c r="P68" s="49">
        <f t="shared" si="6"/>
        <v>0</v>
      </c>
      <c r="Q68" s="49">
        <f t="shared" si="7"/>
        <v>0.12742799999999832</v>
      </c>
      <c r="R68" s="35">
        <f t="shared" si="8"/>
        <v>0</v>
      </c>
    </row>
    <row r="69" spans="1:18">
      <c r="A69" s="28">
        <v>55</v>
      </c>
      <c r="B69" s="30" t="s">
        <v>41</v>
      </c>
      <c r="C69" s="30" t="s">
        <v>37</v>
      </c>
      <c r="D69" s="30" t="s">
        <v>106</v>
      </c>
      <c r="E69" s="30">
        <v>964168</v>
      </c>
      <c r="F69" s="44">
        <v>13.571427999999999</v>
      </c>
      <c r="G69" s="33">
        <v>-13.571</v>
      </c>
      <c r="H69" s="44">
        <f t="shared" si="0"/>
        <v>4.2799999999942884E-4</v>
      </c>
      <c r="I69" s="99"/>
      <c r="J69" s="44">
        <f t="shared" si="1"/>
        <v>4.2799999999942884E-4</v>
      </c>
      <c r="K69" s="34">
        <f t="shared" si="2"/>
        <v>0</v>
      </c>
      <c r="L69" s="121">
        <v>44223</v>
      </c>
      <c r="M69" s="49">
        <f t="shared" si="3"/>
        <v>13.571427999999999</v>
      </c>
      <c r="N69" s="49">
        <f t="shared" si="4"/>
        <v>-13.571</v>
      </c>
      <c r="O69" s="49">
        <f t="shared" si="5"/>
        <v>4.2799999999942884E-4</v>
      </c>
      <c r="P69" s="49">
        <f t="shared" si="6"/>
        <v>0</v>
      </c>
      <c r="Q69" s="49">
        <f t="shared" si="7"/>
        <v>4.2799999999942884E-4</v>
      </c>
      <c r="R69" s="35">
        <f t="shared" si="8"/>
        <v>0</v>
      </c>
    </row>
    <row r="70" spans="1:18">
      <c r="A70" s="28">
        <v>56</v>
      </c>
      <c r="B70" s="30" t="s">
        <v>41</v>
      </c>
      <c r="C70" s="30" t="s">
        <v>37</v>
      </c>
      <c r="D70" s="30" t="s">
        <v>107</v>
      </c>
      <c r="E70" s="30">
        <v>960834</v>
      </c>
      <c r="F70" s="44">
        <v>13.571427999999999</v>
      </c>
      <c r="G70" s="33">
        <v>-13.571</v>
      </c>
      <c r="H70" s="44">
        <f t="shared" si="0"/>
        <v>4.2799999999942884E-4</v>
      </c>
      <c r="I70" s="99"/>
      <c r="J70" s="44">
        <f t="shared" si="1"/>
        <v>4.2799999999942884E-4</v>
      </c>
      <c r="K70" s="34">
        <f t="shared" si="2"/>
        <v>0</v>
      </c>
      <c r="L70" s="121">
        <v>44223</v>
      </c>
      <c r="M70" s="49">
        <f t="shared" si="3"/>
        <v>13.571427999999999</v>
      </c>
      <c r="N70" s="49">
        <f t="shared" si="4"/>
        <v>-13.571</v>
      </c>
      <c r="O70" s="49">
        <f t="shared" si="5"/>
        <v>4.2799999999942884E-4</v>
      </c>
      <c r="P70" s="49">
        <f t="shared" si="6"/>
        <v>0</v>
      </c>
      <c r="Q70" s="49">
        <f t="shared" si="7"/>
        <v>4.2799999999942884E-4</v>
      </c>
      <c r="R70" s="35">
        <f t="shared" si="8"/>
        <v>0</v>
      </c>
    </row>
    <row r="71" spans="1:18">
      <c r="A71" s="28">
        <v>57</v>
      </c>
      <c r="B71" s="30" t="s">
        <v>41</v>
      </c>
      <c r="C71" s="30" t="s">
        <v>37</v>
      </c>
      <c r="D71" s="30" t="s">
        <v>108</v>
      </c>
      <c r="E71" s="30">
        <v>920083</v>
      </c>
      <c r="F71" s="44">
        <v>13.571427999999999</v>
      </c>
      <c r="G71" s="33">
        <f>-13-0.517</f>
        <v>-13.516999999999999</v>
      </c>
      <c r="H71" s="44">
        <f t="shared" si="0"/>
        <v>5.4427999999999699E-2</v>
      </c>
      <c r="I71" s="99"/>
      <c r="J71" s="44">
        <f t="shared" si="1"/>
        <v>5.4427999999999699E-2</v>
      </c>
      <c r="K71" s="34">
        <f t="shared" si="2"/>
        <v>0</v>
      </c>
      <c r="L71" s="121"/>
      <c r="M71" s="49">
        <f t="shared" si="3"/>
        <v>13.571427999999999</v>
      </c>
      <c r="N71" s="49">
        <f t="shared" si="4"/>
        <v>-13.516999999999999</v>
      </c>
      <c r="O71" s="49">
        <f t="shared" si="5"/>
        <v>5.4427999999999699E-2</v>
      </c>
      <c r="P71" s="49">
        <f t="shared" si="6"/>
        <v>0</v>
      </c>
      <c r="Q71" s="49">
        <f t="shared" si="7"/>
        <v>5.4427999999999699E-2</v>
      </c>
      <c r="R71" s="35">
        <f t="shared" si="8"/>
        <v>0</v>
      </c>
    </row>
    <row r="72" spans="1:18">
      <c r="A72" s="28">
        <v>58</v>
      </c>
      <c r="B72" s="30" t="s">
        <v>41</v>
      </c>
      <c r="C72" s="30" t="s">
        <v>37</v>
      </c>
      <c r="D72" s="30" t="s">
        <v>109</v>
      </c>
      <c r="E72" s="30">
        <v>967880</v>
      </c>
      <c r="F72" s="44">
        <v>13.571427999999999</v>
      </c>
      <c r="G72" s="33">
        <f>-10-3+0.517+0.444+0.57</f>
        <v>-11.468999999999999</v>
      </c>
      <c r="H72" s="44">
        <f t="shared" si="0"/>
        <v>2.1024279999999997</v>
      </c>
      <c r="I72" s="99">
        <v>2.0979999999999999</v>
      </c>
      <c r="J72" s="44">
        <f t="shared" si="1"/>
        <v>4.4279999999998765E-3</v>
      </c>
      <c r="K72" s="34">
        <f t="shared" si="2"/>
        <v>0.99789386366619937</v>
      </c>
      <c r="L72" s="121"/>
      <c r="M72" s="49">
        <f t="shared" si="3"/>
        <v>13.571427999999999</v>
      </c>
      <c r="N72" s="49">
        <f t="shared" si="4"/>
        <v>-11.468999999999999</v>
      </c>
      <c r="O72" s="49">
        <f t="shared" si="5"/>
        <v>2.1024279999999997</v>
      </c>
      <c r="P72" s="49">
        <f t="shared" si="6"/>
        <v>2.0979999999999999</v>
      </c>
      <c r="Q72" s="49">
        <f t="shared" si="7"/>
        <v>4.4279999999998765E-3</v>
      </c>
      <c r="R72" s="35">
        <f t="shared" si="8"/>
        <v>0.99789386366619937</v>
      </c>
    </row>
    <row r="73" spans="1:18">
      <c r="A73" s="28">
        <v>59</v>
      </c>
      <c r="B73" s="30" t="s">
        <v>41</v>
      </c>
      <c r="C73" s="30" t="s">
        <v>37</v>
      </c>
      <c r="D73" s="30" t="s">
        <v>110</v>
      </c>
      <c r="E73" s="30">
        <v>965473</v>
      </c>
      <c r="F73" s="44">
        <v>13.571427999999999</v>
      </c>
      <c r="G73" s="33">
        <v>-13.571</v>
      </c>
      <c r="H73" s="44">
        <f t="shared" si="0"/>
        <v>4.2799999999942884E-4</v>
      </c>
      <c r="I73" s="99"/>
      <c r="J73" s="44">
        <f t="shared" si="1"/>
        <v>4.2799999999942884E-4</v>
      </c>
      <c r="K73" s="34">
        <f t="shared" si="2"/>
        <v>0</v>
      </c>
      <c r="L73" s="121">
        <v>44223</v>
      </c>
      <c r="M73" s="49">
        <f t="shared" si="3"/>
        <v>13.571427999999999</v>
      </c>
      <c r="N73" s="49">
        <f t="shared" si="4"/>
        <v>-13.571</v>
      </c>
      <c r="O73" s="49">
        <f t="shared" si="5"/>
        <v>4.2799999999942884E-4</v>
      </c>
      <c r="P73" s="49">
        <f t="shared" si="6"/>
        <v>0</v>
      </c>
      <c r="Q73" s="49">
        <f t="shared" si="7"/>
        <v>4.2799999999942884E-4</v>
      </c>
      <c r="R73" s="35">
        <f t="shared" si="8"/>
        <v>0</v>
      </c>
    </row>
    <row r="74" spans="1:18">
      <c r="A74" s="28">
        <v>60</v>
      </c>
      <c r="B74" s="30" t="s">
        <v>41</v>
      </c>
      <c r="C74" s="30" t="s">
        <v>37</v>
      </c>
      <c r="D74" s="30" t="s">
        <v>111</v>
      </c>
      <c r="E74" s="30">
        <v>37446</v>
      </c>
      <c r="F74" s="44">
        <v>13.571427999999999</v>
      </c>
      <c r="G74" s="33">
        <v>-13.371</v>
      </c>
      <c r="H74" s="44">
        <f t="shared" si="0"/>
        <v>0.20042799999999872</v>
      </c>
      <c r="I74" s="99"/>
      <c r="J74" s="44">
        <f t="shared" si="1"/>
        <v>0.20042799999999872</v>
      </c>
      <c r="K74" s="34">
        <f t="shared" si="2"/>
        <v>0</v>
      </c>
      <c r="L74" s="122" t="s">
        <v>31</v>
      </c>
      <c r="M74" s="49">
        <f t="shared" si="3"/>
        <v>13.571427999999999</v>
      </c>
      <c r="N74" s="49">
        <f t="shared" si="4"/>
        <v>-13.371</v>
      </c>
      <c r="O74" s="49">
        <f t="shared" si="5"/>
        <v>0.20042799999999872</v>
      </c>
      <c r="P74" s="49">
        <f t="shared" si="6"/>
        <v>0</v>
      </c>
      <c r="Q74" s="49">
        <f t="shared" si="7"/>
        <v>0.20042799999999872</v>
      </c>
      <c r="R74" s="35">
        <f t="shared" si="8"/>
        <v>0</v>
      </c>
    </row>
    <row r="75" spans="1:18">
      <c r="A75" s="28">
        <v>61</v>
      </c>
      <c r="B75" s="30" t="s">
        <v>41</v>
      </c>
      <c r="C75" s="30" t="s">
        <v>37</v>
      </c>
      <c r="D75" s="30" t="s">
        <v>112</v>
      </c>
      <c r="E75" s="30">
        <v>964007</v>
      </c>
      <c r="F75" s="44">
        <v>13.571427999999999</v>
      </c>
      <c r="G75" s="33">
        <v>-13.571</v>
      </c>
      <c r="H75" s="44">
        <f t="shared" si="0"/>
        <v>4.2799999999942884E-4</v>
      </c>
      <c r="I75" s="99"/>
      <c r="J75" s="44">
        <f t="shared" si="1"/>
        <v>4.2799999999942884E-4</v>
      </c>
      <c r="K75" s="34">
        <f t="shared" si="2"/>
        <v>0</v>
      </c>
      <c r="L75" s="121">
        <v>44223</v>
      </c>
      <c r="M75" s="49">
        <f t="shared" si="3"/>
        <v>13.571427999999999</v>
      </c>
      <c r="N75" s="49">
        <f t="shared" si="4"/>
        <v>-13.571</v>
      </c>
      <c r="O75" s="49">
        <f t="shared" si="5"/>
        <v>4.2799999999942884E-4</v>
      </c>
      <c r="P75" s="49">
        <f t="shared" si="6"/>
        <v>0</v>
      </c>
      <c r="Q75" s="49">
        <f t="shared" si="7"/>
        <v>4.2799999999942884E-4</v>
      </c>
      <c r="R75" s="35">
        <f t="shared" si="8"/>
        <v>0</v>
      </c>
    </row>
    <row r="76" spans="1:18">
      <c r="A76" s="28">
        <v>62</v>
      </c>
      <c r="B76" s="30" t="s">
        <v>41</v>
      </c>
      <c r="C76" s="30" t="s">
        <v>37</v>
      </c>
      <c r="D76" s="30" t="s">
        <v>113</v>
      </c>
      <c r="E76" s="30">
        <v>963406</v>
      </c>
      <c r="F76" s="44">
        <v>13.571427999999999</v>
      </c>
      <c r="G76" s="33">
        <v>-13.571</v>
      </c>
      <c r="H76" s="44">
        <f t="shared" si="0"/>
        <v>4.2799999999942884E-4</v>
      </c>
      <c r="I76" s="99"/>
      <c r="J76" s="44">
        <f t="shared" si="1"/>
        <v>4.2799999999942884E-4</v>
      </c>
      <c r="K76" s="34">
        <f t="shared" si="2"/>
        <v>0</v>
      </c>
      <c r="L76" s="121">
        <v>44223</v>
      </c>
      <c r="M76" s="49">
        <f t="shared" si="3"/>
        <v>13.571427999999999</v>
      </c>
      <c r="N76" s="49">
        <f t="shared" si="4"/>
        <v>-13.571</v>
      </c>
      <c r="O76" s="49">
        <f t="shared" si="5"/>
        <v>4.2799999999942884E-4</v>
      </c>
      <c r="P76" s="49">
        <f t="shared" si="6"/>
        <v>0</v>
      </c>
      <c r="Q76" s="49">
        <f t="shared" si="7"/>
        <v>4.2799999999942884E-4</v>
      </c>
      <c r="R76" s="35">
        <f t="shared" si="8"/>
        <v>0</v>
      </c>
    </row>
    <row r="77" spans="1:18">
      <c r="A77" s="28">
        <v>63</v>
      </c>
      <c r="B77" s="30" t="s">
        <v>41</v>
      </c>
      <c r="C77" s="30" t="s">
        <v>37</v>
      </c>
      <c r="D77" s="30" t="s">
        <v>114</v>
      </c>
      <c r="E77" s="30">
        <v>918726</v>
      </c>
      <c r="F77" s="44">
        <v>13.571427999999999</v>
      </c>
      <c r="G77" s="33">
        <v>-13</v>
      </c>
      <c r="H77" s="44">
        <f t="shared" si="0"/>
        <v>0.57142799999999916</v>
      </c>
      <c r="I77" s="99"/>
      <c r="J77" s="44">
        <f t="shared" si="1"/>
        <v>0.57142799999999916</v>
      </c>
      <c r="K77" s="34">
        <f t="shared" si="2"/>
        <v>0</v>
      </c>
      <c r="L77" s="122" t="s">
        <v>31</v>
      </c>
      <c r="M77" s="49">
        <f t="shared" si="3"/>
        <v>13.571427999999999</v>
      </c>
      <c r="N77" s="49">
        <f t="shared" si="4"/>
        <v>-13</v>
      </c>
      <c r="O77" s="49">
        <f t="shared" si="5"/>
        <v>0.57142799999999916</v>
      </c>
      <c r="P77" s="49">
        <f t="shared" si="6"/>
        <v>0</v>
      </c>
      <c r="Q77" s="49">
        <f t="shared" si="7"/>
        <v>0.57142799999999916</v>
      </c>
      <c r="R77" s="35">
        <f t="shared" si="8"/>
        <v>0</v>
      </c>
    </row>
    <row r="78" spans="1:18">
      <c r="A78" s="28">
        <v>64</v>
      </c>
      <c r="B78" s="30" t="s">
        <v>41</v>
      </c>
      <c r="C78" s="30" t="s">
        <v>37</v>
      </c>
      <c r="D78" s="30" t="s">
        <v>115</v>
      </c>
      <c r="E78" s="30">
        <v>913408</v>
      </c>
      <c r="F78" s="44">
        <v>13.571427999999999</v>
      </c>
      <c r="G78" s="33">
        <v>-13.571</v>
      </c>
      <c r="H78" s="44">
        <f t="shared" si="0"/>
        <v>4.2799999999942884E-4</v>
      </c>
      <c r="I78" s="99"/>
      <c r="J78" s="44">
        <f t="shared" si="1"/>
        <v>4.2799999999942884E-4</v>
      </c>
      <c r="K78" s="34">
        <f t="shared" si="2"/>
        <v>0</v>
      </c>
      <c r="L78" s="121">
        <v>44223</v>
      </c>
      <c r="M78" s="49">
        <f t="shared" si="3"/>
        <v>13.571427999999999</v>
      </c>
      <c r="N78" s="49">
        <f t="shared" si="4"/>
        <v>-13.571</v>
      </c>
      <c r="O78" s="49">
        <f t="shared" si="5"/>
        <v>4.2799999999942884E-4</v>
      </c>
      <c r="P78" s="49">
        <f t="shared" si="6"/>
        <v>0</v>
      </c>
      <c r="Q78" s="49">
        <f t="shared" si="7"/>
        <v>4.2799999999942884E-4</v>
      </c>
      <c r="R78" s="35">
        <f t="shared" si="8"/>
        <v>0</v>
      </c>
    </row>
    <row r="79" spans="1:18">
      <c r="A79" s="28">
        <v>65</v>
      </c>
      <c r="B79" s="30" t="s">
        <v>41</v>
      </c>
      <c r="C79" s="30" t="s">
        <v>37</v>
      </c>
      <c r="D79" s="30" t="s">
        <v>116</v>
      </c>
      <c r="E79" s="30">
        <v>964169</v>
      </c>
      <c r="F79" s="44">
        <v>13.571427999999999</v>
      </c>
      <c r="G79" s="33">
        <v>-13.571</v>
      </c>
      <c r="H79" s="44">
        <f t="shared" si="0"/>
        <v>4.2799999999942884E-4</v>
      </c>
      <c r="I79" s="99"/>
      <c r="J79" s="44">
        <f t="shared" si="1"/>
        <v>4.2799999999942884E-4</v>
      </c>
      <c r="K79" s="34">
        <f t="shared" si="2"/>
        <v>0</v>
      </c>
      <c r="L79" s="121">
        <v>44223</v>
      </c>
      <c r="M79" s="49">
        <f t="shared" si="3"/>
        <v>13.571427999999999</v>
      </c>
      <c r="N79" s="49">
        <f t="shared" si="4"/>
        <v>-13.571</v>
      </c>
      <c r="O79" s="49">
        <f t="shared" si="5"/>
        <v>4.2799999999942884E-4</v>
      </c>
      <c r="P79" s="49">
        <f t="shared" si="6"/>
        <v>0</v>
      </c>
      <c r="Q79" s="49">
        <f t="shared" si="7"/>
        <v>4.2799999999942884E-4</v>
      </c>
      <c r="R79" s="35">
        <f t="shared" si="8"/>
        <v>0</v>
      </c>
    </row>
    <row r="80" spans="1:18">
      <c r="A80" s="28">
        <v>66</v>
      </c>
      <c r="B80" s="30" t="s">
        <v>41</v>
      </c>
      <c r="C80" s="30" t="s">
        <v>37</v>
      </c>
      <c r="D80" s="30" t="s">
        <v>117</v>
      </c>
      <c r="E80" s="30">
        <v>961964</v>
      </c>
      <c r="F80" s="44">
        <v>13.571427999999999</v>
      </c>
      <c r="G80" s="33">
        <v>-13.571</v>
      </c>
      <c r="H80" s="44">
        <f t="shared" ref="H80:H139" si="9">+F80+G80</f>
        <v>4.2799999999942884E-4</v>
      </c>
      <c r="I80" s="99"/>
      <c r="J80" s="44">
        <f t="shared" ref="J80:J141" si="10">+H80-I80</f>
        <v>4.2799999999942884E-4</v>
      </c>
      <c r="K80" s="34">
        <f t="shared" ref="K80:K141" si="11">+I80/H80</f>
        <v>0</v>
      </c>
      <c r="L80" s="121">
        <v>44223</v>
      </c>
      <c r="M80" s="49">
        <f t="shared" ref="M80:M141" si="12">+F80</f>
        <v>13.571427999999999</v>
      </c>
      <c r="N80" s="49">
        <f t="shared" ref="N80:N140" si="13">+G80</f>
        <v>-13.571</v>
      </c>
      <c r="O80" s="49">
        <f t="shared" ref="O80:O140" si="14">+M80+N80</f>
        <v>4.2799999999942884E-4</v>
      </c>
      <c r="P80" s="49">
        <f t="shared" ref="P80:P140" si="15">+I80</f>
        <v>0</v>
      </c>
      <c r="Q80" s="49">
        <f t="shared" ref="Q80:Q140" si="16">+O80-P80</f>
        <v>4.2799999999942884E-4</v>
      </c>
      <c r="R80" s="35">
        <f t="shared" ref="R80:R140" si="17">+P80/O80</f>
        <v>0</v>
      </c>
    </row>
    <row r="81" spans="1:18">
      <c r="A81" s="28">
        <v>67</v>
      </c>
      <c r="B81" s="30" t="s">
        <v>41</v>
      </c>
      <c r="C81" s="30" t="s">
        <v>37</v>
      </c>
      <c r="D81" s="30" t="s">
        <v>118</v>
      </c>
      <c r="E81" s="30">
        <v>920100</v>
      </c>
      <c r="F81" s="44">
        <v>13.571427999999999</v>
      </c>
      <c r="G81" s="33">
        <v>-13.571</v>
      </c>
      <c r="H81" s="44">
        <f t="shared" si="9"/>
        <v>4.2799999999942884E-4</v>
      </c>
      <c r="I81" s="99"/>
      <c r="J81" s="44">
        <f t="shared" si="10"/>
        <v>4.2799999999942884E-4</v>
      </c>
      <c r="K81" s="34">
        <f t="shared" si="11"/>
        <v>0</v>
      </c>
      <c r="L81" s="121">
        <v>44223</v>
      </c>
      <c r="M81" s="49">
        <f t="shared" si="12"/>
        <v>13.571427999999999</v>
      </c>
      <c r="N81" s="49">
        <f t="shared" si="13"/>
        <v>-13.571</v>
      </c>
      <c r="O81" s="49">
        <f t="shared" si="14"/>
        <v>4.2799999999942884E-4</v>
      </c>
      <c r="P81" s="49">
        <f t="shared" si="15"/>
        <v>0</v>
      </c>
      <c r="Q81" s="49">
        <f t="shared" si="16"/>
        <v>4.2799999999942884E-4</v>
      </c>
      <c r="R81" s="35">
        <f t="shared" si="17"/>
        <v>0</v>
      </c>
    </row>
    <row r="82" spans="1:18">
      <c r="A82" s="28">
        <v>68</v>
      </c>
      <c r="B82" s="30" t="s">
        <v>41</v>
      </c>
      <c r="C82" s="30" t="s">
        <v>37</v>
      </c>
      <c r="D82" s="30" t="s">
        <v>402</v>
      </c>
      <c r="E82" s="30">
        <v>923210</v>
      </c>
      <c r="F82" s="44">
        <v>13.571427999999999</v>
      </c>
      <c r="G82" s="33">
        <v>-13.571</v>
      </c>
      <c r="H82" s="44">
        <f t="shared" si="9"/>
        <v>4.2799999999942884E-4</v>
      </c>
      <c r="I82" s="99"/>
      <c r="J82" s="44">
        <f t="shared" si="10"/>
        <v>4.2799999999942884E-4</v>
      </c>
      <c r="K82" s="34">
        <f t="shared" si="11"/>
        <v>0</v>
      </c>
      <c r="L82" s="121">
        <v>44223</v>
      </c>
      <c r="M82" s="49">
        <f t="shared" si="12"/>
        <v>13.571427999999999</v>
      </c>
      <c r="N82" s="49">
        <f t="shared" si="13"/>
        <v>-13.571</v>
      </c>
      <c r="O82" s="49">
        <f t="shared" si="14"/>
        <v>4.2799999999942884E-4</v>
      </c>
      <c r="P82" s="49">
        <f t="shared" si="15"/>
        <v>0</v>
      </c>
      <c r="Q82" s="49">
        <f t="shared" si="16"/>
        <v>4.2799999999942884E-4</v>
      </c>
      <c r="R82" s="35">
        <f t="shared" si="17"/>
        <v>0</v>
      </c>
    </row>
    <row r="83" spans="1:18">
      <c r="A83" s="28">
        <v>69</v>
      </c>
      <c r="B83" s="30" t="s">
        <v>41</v>
      </c>
      <c r="C83" s="30" t="s">
        <v>37</v>
      </c>
      <c r="D83" s="30" t="s">
        <v>119</v>
      </c>
      <c r="E83" s="30">
        <v>920409</v>
      </c>
      <c r="F83" s="44">
        <v>13.571427999999999</v>
      </c>
      <c r="G83" s="33">
        <v>-13.571</v>
      </c>
      <c r="H83" s="44">
        <f t="shared" si="9"/>
        <v>4.2799999999942884E-4</v>
      </c>
      <c r="I83" s="99"/>
      <c r="J83" s="44">
        <f t="shared" si="10"/>
        <v>4.2799999999942884E-4</v>
      </c>
      <c r="K83" s="34">
        <f t="shared" si="11"/>
        <v>0</v>
      </c>
      <c r="L83" s="121">
        <v>44223</v>
      </c>
      <c r="M83" s="49">
        <f t="shared" si="12"/>
        <v>13.571427999999999</v>
      </c>
      <c r="N83" s="49">
        <f t="shared" si="13"/>
        <v>-13.571</v>
      </c>
      <c r="O83" s="49">
        <f t="shared" si="14"/>
        <v>4.2799999999942884E-4</v>
      </c>
      <c r="P83" s="49">
        <f t="shared" si="15"/>
        <v>0</v>
      </c>
      <c r="Q83" s="49">
        <f t="shared" si="16"/>
        <v>4.2799999999942884E-4</v>
      </c>
      <c r="R83" s="35">
        <f t="shared" si="17"/>
        <v>0</v>
      </c>
    </row>
    <row r="84" spans="1:18">
      <c r="A84" s="28">
        <v>70</v>
      </c>
      <c r="B84" s="30" t="s">
        <v>41</v>
      </c>
      <c r="C84" s="30" t="s">
        <v>37</v>
      </c>
      <c r="D84" s="30" t="s">
        <v>120</v>
      </c>
      <c r="E84" s="30">
        <v>954070</v>
      </c>
      <c r="F84" s="44">
        <v>13.571427999999999</v>
      </c>
      <c r="G84" s="33">
        <v>-13.571</v>
      </c>
      <c r="H84" s="44">
        <f t="shared" si="9"/>
        <v>4.2799999999942884E-4</v>
      </c>
      <c r="I84" s="99"/>
      <c r="J84" s="44">
        <f t="shared" si="10"/>
        <v>4.2799999999942884E-4</v>
      </c>
      <c r="K84" s="34">
        <f t="shared" si="11"/>
        <v>0</v>
      </c>
      <c r="L84" s="121">
        <v>44223</v>
      </c>
      <c r="M84" s="49">
        <f t="shared" si="12"/>
        <v>13.571427999999999</v>
      </c>
      <c r="N84" s="49">
        <f t="shared" si="13"/>
        <v>-13.571</v>
      </c>
      <c r="O84" s="49">
        <f t="shared" si="14"/>
        <v>4.2799999999942884E-4</v>
      </c>
      <c r="P84" s="49">
        <f t="shared" si="15"/>
        <v>0</v>
      </c>
      <c r="Q84" s="49">
        <f t="shared" si="16"/>
        <v>4.2799999999942884E-4</v>
      </c>
      <c r="R84" s="35">
        <f t="shared" si="17"/>
        <v>0</v>
      </c>
    </row>
    <row r="85" spans="1:18">
      <c r="A85" s="28">
        <v>71</v>
      </c>
      <c r="B85" s="31" t="s">
        <v>42</v>
      </c>
      <c r="C85" s="31" t="s">
        <v>37</v>
      </c>
      <c r="D85" s="31" t="s">
        <v>121</v>
      </c>
      <c r="E85" s="31">
        <v>34087</v>
      </c>
      <c r="F85" s="45">
        <v>13.571427999999999</v>
      </c>
      <c r="G85" s="29">
        <v>-13.571</v>
      </c>
      <c r="H85" s="45">
        <f t="shared" si="9"/>
        <v>4.2799999999942884E-4</v>
      </c>
      <c r="I85" s="99"/>
      <c r="J85" s="45">
        <f t="shared" si="10"/>
        <v>4.2799999999942884E-4</v>
      </c>
      <c r="K85" s="43">
        <f t="shared" si="11"/>
        <v>0</v>
      </c>
      <c r="L85" s="123">
        <v>44251</v>
      </c>
      <c r="M85" s="49">
        <f t="shared" si="12"/>
        <v>13.571427999999999</v>
      </c>
      <c r="N85" s="49">
        <f t="shared" si="13"/>
        <v>-13.571</v>
      </c>
      <c r="O85" s="49">
        <f t="shared" si="14"/>
        <v>4.2799999999942884E-4</v>
      </c>
      <c r="P85" s="49">
        <f t="shared" si="15"/>
        <v>0</v>
      </c>
      <c r="Q85" s="49">
        <f t="shared" si="16"/>
        <v>4.2799999999942884E-4</v>
      </c>
      <c r="R85" s="35">
        <f t="shared" si="17"/>
        <v>0</v>
      </c>
    </row>
    <row r="86" spans="1:18">
      <c r="A86" s="28">
        <v>72</v>
      </c>
      <c r="B86" s="31" t="s">
        <v>42</v>
      </c>
      <c r="C86" s="31" t="s">
        <v>37</v>
      </c>
      <c r="D86" s="31" t="s">
        <v>122</v>
      </c>
      <c r="E86" s="31">
        <v>16115</v>
      </c>
      <c r="F86" s="45">
        <v>13.571427999999999</v>
      </c>
      <c r="G86" s="33">
        <v>-13.5</v>
      </c>
      <c r="H86" s="45">
        <f t="shared" si="9"/>
        <v>7.1427999999999159E-2</v>
      </c>
      <c r="I86" s="99"/>
      <c r="J86" s="45">
        <f t="shared" si="10"/>
        <v>7.1427999999999159E-2</v>
      </c>
      <c r="K86" s="43">
        <f t="shared" si="11"/>
        <v>0</v>
      </c>
      <c r="L86" s="28" t="s">
        <v>31</v>
      </c>
      <c r="M86" s="49">
        <f t="shared" si="12"/>
        <v>13.571427999999999</v>
      </c>
      <c r="N86" s="49">
        <f t="shared" si="13"/>
        <v>-13.5</v>
      </c>
      <c r="O86" s="49">
        <f t="shared" si="14"/>
        <v>7.1427999999999159E-2</v>
      </c>
      <c r="P86" s="49">
        <f t="shared" si="15"/>
        <v>0</v>
      </c>
      <c r="Q86" s="49">
        <f t="shared" si="16"/>
        <v>7.1427999999999159E-2</v>
      </c>
      <c r="R86" s="35">
        <f t="shared" si="17"/>
        <v>0</v>
      </c>
    </row>
    <row r="87" spans="1:18">
      <c r="A87" s="28">
        <v>73</v>
      </c>
      <c r="B87" s="31" t="s">
        <v>42</v>
      </c>
      <c r="C87" s="31" t="s">
        <v>37</v>
      </c>
      <c r="D87" s="31" t="s">
        <v>123</v>
      </c>
      <c r="E87" s="31">
        <v>15868</v>
      </c>
      <c r="F87" s="45">
        <v>13.571427999999999</v>
      </c>
      <c r="G87" s="33">
        <v>-13</v>
      </c>
      <c r="H87" s="45">
        <f t="shared" si="9"/>
        <v>0.57142799999999916</v>
      </c>
      <c r="I87" s="99"/>
      <c r="J87" s="45">
        <f t="shared" si="10"/>
        <v>0.57142799999999916</v>
      </c>
      <c r="K87" s="43">
        <f t="shared" si="11"/>
        <v>0</v>
      </c>
      <c r="L87" s="28" t="s">
        <v>31</v>
      </c>
      <c r="M87" s="49">
        <f t="shared" si="12"/>
        <v>13.571427999999999</v>
      </c>
      <c r="N87" s="49">
        <f t="shared" si="13"/>
        <v>-13</v>
      </c>
      <c r="O87" s="49">
        <f t="shared" si="14"/>
        <v>0.57142799999999916</v>
      </c>
      <c r="P87" s="49">
        <f t="shared" si="15"/>
        <v>0</v>
      </c>
      <c r="Q87" s="49">
        <f t="shared" si="16"/>
        <v>0.57142799999999916</v>
      </c>
      <c r="R87" s="35">
        <f t="shared" si="17"/>
        <v>0</v>
      </c>
    </row>
    <row r="88" spans="1:18">
      <c r="A88" s="28">
        <v>74</v>
      </c>
      <c r="B88" s="31" t="s">
        <v>42</v>
      </c>
      <c r="C88" s="31" t="s">
        <v>37</v>
      </c>
      <c r="D88" s="31" t="s">
        <v>124</v>
      </c>
      <c r="E88" s="31">
        <v>15932</v>
      </c>
      <c r="F88" s="45">
        <v>13.571427999999999</v>
      </c>
      <c r="G88" s="33">
        <v>-13.5</v>
      </c>
      <c r="H88" s="45">
        <f t="shared" si="9"/>
        <v>7.1427999999999159E-2</v>
      </c>
      <c r="I88" s="99"/>
      <c r="J88" s="45">
        <f t="shared" si="10"/>
        <v>7.1427999999999159E-2</v>
      </c>
      <c r="K88" s="43">
        <f t="shared" si="11"/>
        <v>0</v>
      </c>
      <c r="L88" s="28" t="s">
        <v>31</v>
      </c>
      <c r="M88" s="49">
        <f t="shared" si="12"/>
        <v>13.571427999999999</v>
      </c>
      <c r="N88" s="49">
        <f t="shared" si="13"/>
        <v>-13.5</v>
      </c>
      <c r="O88" s="49">
        <f t="shared" si="14"/>
        <v>7.1427999999999159E-2</v>
      </c>
      <c r="P88" s="49">
        <f t="shared" si="15"/>
        <v>0</v>
      </c>
      <c r="Q88" s="49">
        <f t="shared" si="16"/>
        <v>7.1427999999999159E-2</v>
      </c>
      <c r="R88" s="35">
        <f t="shared" si="17"/>
        <v>0</v>
      </c>
    </row>
    <row r="89" spans="1:18">
      <c r="A89" s="28">
        <v>75</v>
      </c>
      <c r="B89" s="31" t="s">
        <v>42</v>
      </c>
      <c r="C89" s="31" t="s">
        <v>37</v>
      </c>
      <c r="D89" s="31" t="s">
        <v>125</v>
      </c>
      <c r="E89" s="31">
        <v>15862</v>
      </c>
      <c r="F89" s="45">
        <v>13.571427999999999</v>
      </c>
      <c r="G89" s="33">
        <v>-13.571</v>
      </c>
      <c r="H89" s="45">
        <f t="shared" si="9"/>
        <v>4.2799999999942884E-4</v>
      </c>
      <c r="I89" s="99"/>
      <c r="J89" s="45">
        <f t="shared" si="10"/>
        <v>4.2799999999942884E-4</v>
      </c>
      <c r="K89" s="43">
        <f t="shared" si="11"/>
        <v>0</v>
      </c>
      <c r="L89" s="123">
        <v>44251</v>
      </c>
      <c r="M89" s="49">
        <f t="shared" si="12"/>
        <v>13.571427999999999</v>
      </c>
      <c r="N89" s="49">
        <f t="shared" si="13"/>
        <v>-13.571</v>
      </c>
      <c r="O89" s="49">
        <f t="shared" si="14"/>
        <v>4.2799999999942884E-4</v>
      </c>
      <c r="P89" s="49">
        <f t="shared" si="15"/>
        <v>0</v>
      </c>
      <c r="Q89" s="49">
        <f t="shared" si="16"/>
        <v>4.2799999999942884E-4</v>
      </c>
      <c r="R89" s="35">
        <f t="shared" si="17"/>
        <v>0</v>
      </c>
    </row>
    <row r="90" spans="1:18">
      <c r="A90" s="28">
        <v>76</v>
      </c>
      <c r="B90" s="31" t="s">
        <v>42</v>
      </c>
      <c r="C90" s="31" t="s">
        <v>37</v>
      </c>
      <c r="D90" s="31" t="s">
        <v>126</v>
      </c>
      <c r="E90" s="31">
        <v>962667</v>
      </c>
      <c r="F90" s="45">
        <v>13.571427999999999</v>
      </c>
      <c r="G90" s="29">
        <v>-13.571</v>
      </c>
      <c r="H90" s="45">
        <f t="shared" si="9"/>
        <v>4.2799999999942884E-4</v>
      </c>
      <c r="I90" s="99"/>
      <c r="J90" s="45">
        <f t="shared" si="10"/>
        <v>4.2799999999942884E-4</v>
      </c>
      <c r="K90" s="43">
        <f t="shared" si="11"/>
        <v>0</v>
      </c>
      <c r="L90" s="123">
        <v>44251</v>
      </c>
      <c r="M90" s="49">
        <f t="shared" si="12"/>
        <v>13.571427999999999</v>
      </c>
      <c r="N90" s="49">
        <f t="shared" si="13"/>
        <v>-13.571</v>
      </c>
      <c r="O90" s="49">
        <f t="shared" si="14"/>
        <v>4.2799999999942884E-4</v>
      </c>
      <c r="P90" s="49">
        <f t="shared" si="15"/>
        <v>0</v>
      </c>
      <c r="Q90" s="49">
        <f t="shared" si="16"/>
        <v>4.2799999999942884E-4</v>
      </c>
      <c r="R90" s="35">
        <f t="shared" si="17"/>
        <v>0</v>
      </c>
    </row>
    <row r="91" spans="1:18">
      <c r="A91" s="28">
        <v>77</v>
      </c>
      <c r="B91" s="31" t="s">
        <v>42</v>
      </c>
      <c r="C91" s="31" t="s">
        <v>37</v>
      </c>
      <c r="D91" s="31" t="s">
        <v>127</v>
      </c>
      <c r="E91" s="31">
        <v>963489</v>
      </c>
      <c r="F91" s="45">
        <v>13.571427999999999</v>
      </c>
      <c r="G91" s="33">
        <v>-13.571</v>
      </c>
      <c r="H91" s="45">
        <f t="shared" si="9"/>
        <v>4.2799999999942884E-4</v>
      </c>
      <c r="I91" s="99"/>
      <c r="J91" s="45">
        <f t="shared" si="10"/>
        <v>4.2799999999942884E-4</v>
      </c>
      <c r="K91" s="43">
        <f t="shared" si="11"/>
        <v>0</v>
      </c>
      <c r="L91" s="123">
        <v>44251</v>
      </c>
      <c r="M91" s="49">
        <f t="shared" si="12"/>
        <v>13.571427999999999</v>
      </c>
      <c r="N91" s="49">
        <f t="shared" si="13"/>
        <v>-13.571</v>
      </c>
      <c r="O91" s="49">
        <f t="shared" si="14"/>
        <v>4.2799999999942884E-4</v>
      </c>
      <c r="P91" s="49">
        <f t="shared" si="15"/>
        <v>0</v>
      </c>
      <c r="Q91" s="49">
        <f t="shared" si="16"/>
        <v>4.2799999999942884E-4</v>
      </c>
      <c r="R91" s="35">
        <f t="shared" si="17"/>
        <v>0</v>
      </c>
    </row>
    <row r="92" spans="1:18">
      <c r="A92" s="28">
        <v>78</v>
      </c>
      <c r="B92" s="31" t="s">
        <v>42</v>
      </c>
      <c r="C92" s="31" t="s">
        <v>37</v>
      </c>
      <c r="D92" s="31" t="s">
        <v>128</v>
      </c>
      <c r="E92" s="31">
        <v>964164</v>
      </c>
      <c r="F92" s="45">
        <v>13.571427999999999</v>
      </c>
      <c r="G92" s="33">
        <v>-13.571</v>
      </c>
      <c r="H92" s="45">
        <f t="shared" si="9"/>
        <v>4.2799999999942884E-4</v>
      </c>
      <c r="I92" s="99"/>
      <c r="J92" s="45">
        <f t="shared" si="10"/>
        <v>4.2799999999942884E-4</v>
      </c>
      <c r="K92" s="43">
        <f t="shared" si="11"/>
        <v>0</v>
      </c>
      <c r="L92" s="123">
        <v>44251</v>
      </c>
      <c r="M92" s="49">
        <f t="shared" si="12"/>
        <v>13.571427999999999</v>
      </c>
      <c r="N92" s="49">
        <f t="shared" si="13"/>
        <v>-13.571</v>
      </c>
      <c r="O92" s="49">
        <f t="shared" si="14"/>
        <v>4.2799999999942884E-4</v>
      </c>
      <c r="P92" s="49">
        <f t="shared" si="15"/>
        <v>0</v>
      </c>
      <c r="Q92" s="49">
        <f t="shared" si="16"/>
        <v>4.2799999999942884E-4</v>
      </c>
      <c r="R92" s="35">
        <f t="shared" si="17"/>
        <v>0</v>
      </c>
    </row>
    <row r="93" spans="1:18">
      <c r="A93" s="28">
        <v>79</v>
      </c>
      <c r="B93" s="31" t="s">
        <v>42</v>
      </c>
      <c r="C93" s="31" t="s">
        <v>37</v>
      </c>
      <c r="D93" s="31" t="s">
        <v>129</v>
      </c>
      <c r="E93" s="31">
        <v>964165</v>
      </c>
      <c r="F93" s="45">
        <v>13.571427999999999</v>
      </c>
      <c r="G93" s="33">
        <v>-13.571</v>
      </c>
      <c r="H93" s="45">
        <f t="shared" si="9"/>
        <v>4.2799999999942884E-4</v>
      </c>
      <c r="I93" s="99"/>
      <c r="J93" s="45">
        <f t="shared" si="10"/>
        <v>4.2799999999942884E-4</v>
      </c>
      <c r="K93" s="43">
        <f t="shared" si="11"/>
        <v>0</v>
      </c>
      <c r="L93" s="123">
        <v>44251</v>
      </c>
      <c r="M93" s="49">
        <f t="shared" si="12"/>
        <v>13.571427999999999</v>
      </c>
      <c r="N93" s="49">
        <f t="shared" si="13"/>
        <v>-13.571</v>
      </c>
      <c r="O93" s="49">
        <f t="shared" si="14"/>
        <v>4.2799999999942884E-4</v>
      </c>
      <c r="P93" s="49">
        <f t="shared" si="15"/>
        <v>0</v>
      </c>
      <c r="Q93" s="49">
        <f t="shared" si="16"/>
        <v>4.2799999999942884E-4</v>
      </c>
      <c r="R93" s="35">
        <f t="shared" si="17"/>
        <v>0</v>
      </c>
    </row>
    <row r="94" spans="1:18">
      <c r="A94" s="28">
        <v>80</v>
      </c>
      <c r="B94" s="31" t="s">
        <v>42</v>
      </c>
      <c r="C94" s="31" t="s">
        <v>37</v>
      </c>
      <c r="D94" s="31" t="s">
        <v>130</v>
      </c>
      <c r="E94" s="31">
        <v>16158</v>
      </c>
      <c r="F94" s="45">
        <v>13.571427999999999</v>
      </c>
      <c r="G94" s="29">
        <v>-13.571</v>
      </c>
      <c r="H94" s="45">
        <f t="shared" si="9"/>
        <v>4.2799999999942884E-4</v>
      </c>
      <c r="I94" s="99"/>
      <c r="J94" s="45">
        <f t="shared" si="10"/>
        <v>4.2799999999942884E-4</v>
      </c>
      <c r="K94" s="43">
        <f t="shared" si="11"/>
        <v>0</v>
      </c>
      <c r="L94" s="123">
        <v>44251</v>
      </c>
      <c r="M94" s="49">
        <f t="shared" si="12"/>
        <v>13.571427999999999</v>
      </c>
      <c r="N94" s="49">
        <f t="shared" si="13"/>
        <v>-13.571</v>
      </c>
      <c r="O94" s="49">
        <f t="shared" si="14"/>
        <v>4.2799999999942884E-4</v>
      </c>
      <c r="P94" s="49">
        <f t="shared" si="15"/>
        <v>0</v>
      </c>
      <c r="Q94" s="49">
        <f t="shared" si="16"/>
        <v>4.2799999999942884E-4</v>
      </c>
      <c r="R94" s="35">
        <f t="shared" si="17"/>
        <v>0</v>
      </c>
    </row>
    <row r="95" spans="1:18">
      <c r="A95" s="28">
        <v>81</v>
      </c>
      <c r="B95" s="31" t="s">
        <v>42</v>
      </c>
      <c r="C95" s="31" t="s">
        <v>37</v>
      </c>
      <c r="D95" s="31" t="s">
        <v>131</v>
      </c>
      <c r="E95" s="31">
        <v>964675</v>
      </c>
      <c r="F95" s="45">
        <v>13.571427999999999</v>
      </c>
      <c r="G95" s="33">
        <v>-13.571</v>
      </c>
      <c r="H95" s="45">
        <f t="shared" si="9"/>
        <v>4.2799999999942884E-4</v>
      </c>
      <c r="I95" s="99"/>
      <c r="J95" s="45">
        <f t="shared" si="10"/>
        <v>4.2799999999942884E-4</v>
      </c>
      <c r="K95" s="43">
        <f t="shared" si="11"/>
        <v>0</v>
      </c>
      <c r="L95" s="123">
        <v>44251</v>
      </c>
      <c r="M95" s="49">
        <f t="shared" si="12"/>
        <v>13.571427999999999</v>
      </c>
      <c r="N95" s="49">
        <f t="shared" si="13"/>
        <v>-13.571</v>
      </c>
      <c r="O95" s="49">
        <f t="shared" si="14"/>
        <v>4.2799999999942884E-4</v>
      </c>
      <c r="P95" s="49">
        <f t="shared" si="15"/>
        <v>0</v>
      </c>
      <c r="Q95" s="49">
        <f t="shared" si="16"/>
        <v>4.2799999999942884E-4</v>
      </c>
      <c r="R95" s="35">
        <f t="shared" si="17"/>
        <v>0</v>
      </c>
    </row>
    <row r="96" spans="1:18">
      <c r="A96" s="28">
        <v>82</v>
      </c>
      <c r="B96" s="31" t="s">
        <v>42</v>
      </c>
      <c r="C96" s="31" t="s">
        <v>37</v>
      </c>
      <c r="D96" s="31" t="s">
        <v>395</v>
      </c>
      <c r="E96" s="31">
        <v>969471</v>
      </c>
      <c r="F96" s="45">
        <v>13.571427999999999</v>
      </c>
      <c r="G96" s="33">
        <v>-13.571</v>
      </c>
      <c r="H96" s="45">
        <f t="shared" si="9"/>
        <v>4.2799999999942884E-4</v>
      </c>
      <c r="I96" s="99"/>
      <c r="J96" s="45">
        <f t="shared" si="10"/>
        <v>4.2799999999942884E-4</v>
      </c>
      <c r="K96" s="43">
        <f t="shared" si="11"/>
        <v>0</v>
      </c>
      <c r="L96" s="123">
        <v>44251</v>
      </c>
      <c r="M96" s="49">
        <f t="shared" si="12"/>
        <v>13.571427999999999</v>
      </c>
      <c r="N96" s="49">
        <f t="shared" si="13"/>
        <v>-13.571</v>
      </c>
      <c r="O96" s="49">
        <f t="shared" si="14"/>
        <v>4.2799999999942884E-4</v>
      </c>
      <c r="P96" s="49">
        <f t="shared" si="15"/>
        <v>0</v>
      </c>
      <c r="Q96" s="49">
        <f t="shared" si="16"/>
        <v>4.2799999999942884E-4</v>
      </c>
      <c r="R96" s="35">
        <f t="shared" si="17"/>
        <v>0</v>
      </c>
    </row>
    <row r="97" spans="1:18">
      <c r="A97" s="28">
        <v>83</v>
      </c>
      <c r="B97" s="31" t="s">
        <v>42</v>
      </c>
      <c r="C97" s="31" t="s">
        <v>37</v>
      </c>
      <c r="D97" s="31" t="s">
        <v>132</v>
      </c>
      <c r="E97" s="31">
        <v>968261</v>
      </c>
      <c r="F97" s="45">
        <v>13.571427999999999</v>
      </c>
      <c r="G97" s="33">
        <v>-13.571</v>
      </c>
      <c r="H97" s="45">
        <f t="shared" si="9"/>
        <v>4.2799999999942884E-4</v>
      </c>
      <c r="I97" s="99"/>
      <c r="J97" s="45">
        <f t="shared" si="10"/>
        <v>4.2799999999942884E-4</v>
      </c>
      <c r="K97" s="43">
        <f t="shared" si="11"/>
        <v>0</v>
      </c>
      <c r="L97" s="123">
        <v>44251</v>
      </c>
      <c r="M97" s="49">
        <f t="shared" si="12"/>
        <v>13.571427999999999</v>
      </c>
      <c r="N97" s="49">
        <f t="shared" si="13"/>
        <v>-13.571</v>
      </c>
      <c r="O97" s="49">
        <f t="shared" si="14"/>
        <v>4.2799999999942884E-4</v>
      </c>
      <c r="P97" s="49">
        <f t="shared" si="15"/>
        <v>0</v>
      </c>
      <c r="Q97" s="49">
        <f t="shared" si="16"/>
        <v>4.2799999999942884E-4</v>
      </c>
      <c r="R97" s="35">
        <f t="shared" si="17"/>
        <v>0</v>
      </c>
    </row>
    <row r="98" spans="1:18">
      <c r="A98" s="28">
        <v>84</v>
      </c>
      <c r="B98" s="31" t="s">
        <v>42</v>
      </c>
      <c r="C98" s="31" t="s">
        <v>37</v>
      </c>
      <c r="D98" s="31" t="s">
        <v>133</v>
      </c>
      <c r="E98" s="31">
        <v>964163</v>
      </c>
      <c r="F98" s="45">
        <v>13.571427999999999</v>
      </c>
      <c r="G98" s="33">
        <v>-13.571</v>
      </c>
      <c r="H98" s="45">
        <f t="shared" si="9"/>
        <v>4.2799999999942884E-4</v>
      </c>
      <c r="I98" s="99"/>
      <c r="J98" s="45">
        <f t="shared" si="10"/>
        <v>4.2799999999942884E-4</v>
      </c>
      <c r="K98" s="43">
        <f>+I98/H98</f>
        <v>0</v>
      </c>
      <c r="L98" s="123">
        <v>44251</v>
      </c>
      <c r="M98" s="49">
        <f t="shared" si="12"/>
        <v>13.571427999999999</v>
      </c>
      <c r="N98" s="49">
        <f t="shared" si="13"/>
        <v>-13.571</v>
      </c>
      <c r="O98" s="49">
        <f t="shared" si="14"/>
        <v>4.2799999999942884E-4</v>
      </c>
      <c r="P98" s="49">
        <f t="shared" si="15"/>
        <v>0</v>
      </c>
      <c r="Q98" s="49">
        <f t="shared" si="16"/>
        <v>4.2799999999942884E-4</v>
      </c>
      <c r="R98" s="35">
        <f t="shared" si="17"/>
        <v>0</v>
      </c>
    </row>
    <row r="99" spans="1:18">
      <c r="A99" s="28">
        <v>85</v>
      </c>
      <c r="B99" s="31" t="s">
        <v>42</v>
      </c>
      <c r="C99" s="31" t="s">
        <v>37</v>
      </c>
      <c r="D99" s="31" t="s">
        <v>134</v>
      </c>
      <c r="E99" s="31">
        <v>961057</v>
      </c>
      <c r="F99" s="45">
        <v>13.571427999999999</v>
      </c>
      <c r="G99" s="33">
        <v>-13.571</v>
      </c>
      <c r="H99" s="45">
        <f t="shared" si="9"/>
        <v>4.2799999999942884E-4</v>
      </c>
      <c r="I99" s="99"/>
      <c r="J99" s="45">
        <f t="shared" si="10"/>
        <v>4.2799999999942884E-4</v>
      </c>
      <c r="K99" s="43">
        <f t="shared" si="11"/>
        <v>0</v>
      </c>
      <c r="L99" s="123">
        <v>44251</v>
      </c>
      <c r="M99" s="49">
        <f t="shared" si="12"/>
        <v>13.571427999999999</v>
      </c>
      <c r="N99" s="49">
        <f t="shared" si="13"/>
        <v>-13.571</v>
      </c>
      <c r="O99" s="49">
        <f t="shared" si="14"/>
        <v>4.2799999999942884E-4</v>
      </c>
      <c r="P99" s="49">
        <f t="shared" si="15"/>
        <v>0</v>
      </c>
      <c r="Q99" s="49">
        <f t="shared" si="16"/>
        <v>4.2799999999942884E-4</v>
      </c>
      <c r="R99" s="35">
        <f t="shared" si="17"/>
        <v>0</v>
      </c>
    </row>
    <row r="100" spans="1:18">
      <c r="A100" s="28">
        <v>86</v>
      </c>
      <c r="B100" s="31" t="s">
        <v>42</v>
      </c>
      <c r="C100" s="31" t="s">
        <v>37</v>
      </c>
      <c r="D100" s="31" t="s">
        <v>135</v>
      </c>
      <c r="E100" s="31">
        <v>963230</v>
      </c>
      <c r="F100" s="45">
        <v>13.571427999999999</v>
      </c>
      <c r="G100" s="29">
        <v>-13.561</v>
      </c>
      <c r="H100" s="45">
        <f t="shared" si="9"/>
        <v>1.0427999999999216E-2</v>
      </c>
      <c r="I100" s="99"/>
      <c r="J100" s="45">
        <f t="shared" si="10"/>
        <v>1.0427999999999216E-2</v>
      </c>
      <c r="K100" s="43">
        <f t="shared" si="11"/>
        <v>0</v>
      </c>
      <c r="L100" s="28" t="s">
        <v>31</v>
      </c>
      <c r="M100" s="49">
        <f t="shared" si="12"/>
        <v>13.571427999999999</v>
      </c>
      <c r="N100" s="49">
        <f t="shared" si="13"/>
        <v>-13.561</v>
      </c>
      <c r="O100" s="49">
        <f t="shared" si="14"/>
        <v>1.0427999999999216E-2</v>
      </c>
      <c r="P100" s="49">
        <f t="shared" si="15"/>
        <v>0</v>
      </c>
      <c r="Q100" s="49">
        <f t="shared" si="16"/>
        <v>1.0427999999999216E-2</v>
      </c>
      <c r="R100" s="35">
        <f t="shared" si="17"/>
        <v>0</v>
      </c>
    </row>
    <row r="101" spans="1:18">
      <c r="A101" s="28">
        <v>87</v>
      </c>
      <c r="B101" s="31" t="s">
        <v>42</v>
      </c>
      <c r="C101" s="31" t="s">
        <v>37</v>
      </c>
      <c r="D101" s="31" t="s">
        <v>136</v>
      </c>
      <c r="E101" s="31">
        <v>966891</v>
      </c>
      <c r="F101" s="45">
        <v>13.571427999999999</v>
      </c>
      <c r="G101" s="33">
        <v>-13.571</v>
      </c>
      <c r="H101" s="45">
        <f t="shared" si="9"/>
        <v>4.2799999999942884E-4</v>
      </c>
      <c r="I101" s="99"/>
      <c r="J101" s="45">
        <f t="shared" si="10"/>
        <v>4.2799999999942884E-4</v>
      </c>
      <c r="K101" s="43">
        <f t="shared" si="11"/>
        <v>0</v>
      </c>
      <c r="L101" s="123">
        <v>44251</v>
      </c>
      <c r="M101" s="49">
        <f t="shared" si="12"/>
        <v>13.571427999999999</v>
      </c>
      <c r="N101" s="49">
        <f t="shared" si="13"/>
        <v>-13.571</v>
      </c>
      <c r="O101" s="49">
        <f t="shared" si="14"/>
        <v>4.2799999999942884E-4</v>
      </c>
      <c r="P101" s="49">
        <f t="shared" si="15"/>
        <v>0</v>
      </c>
      <c r="Q101" s="49">
        <f t="shared" si="16"/>
        <v>4.2799999999942884E-4</v>
      </c>
      <c r="R101" s="35">
        <f t="shared" si="17"/>
        <v>0</v>
      </c>
    </row>
    <row r="102" spans="1:18">
      <c r="A102" s="28">
        <v>88</v>
      </c>
      <c r="B102" s="31" t="s">
        <v>42</v>
      </c>
      <c r="C102" s="31" t="s">
        <v>37</v>
      </c>
      <c r="D102" s="31" t="s">
        <v>137</v>
      </c>
      <c r="E102" s="31">
        <v>903768</v>
      </c>
      <c r="F102" s="45">
        <v>13.571427999999999</v>
      </c>
      <c r="G102" s="29">
        <v>-13.571</v>
      </c>
      <c r="H102" s="45">
        <f t="shared" si="9"/>
        <v>4.2799999999942884E-4</v>
      </c>
      <c r="I102" s="99"/>
      <c r="J102" s="45">
        <f t="shared" si="10"/>
        <v>4.2799999999942884E-4</v>
      </c>
      <c r="K102" s="43">
        <f t="shared" si="11"/>
        <v>0</v>
      </c>
      <c r="L102" s="123">
        <v>44223</v>
      </c>
      <c r="M102" s="49">
        <f t="shared" si="12"/>
        <v>13.571427999999999</v>
      </c>
      <c r="N102" s="49">
        <f t="shared" si="13"/>
        <v>-13.571</v>
      </c>
      <c r="O102" s="49">
        <f t="shared" si="14"/>
        <v>4.2799999999942884E-4</v>
      </c>
      <c r="P102" s="49">
        <f t="shared" si="15"/>
        <v>0</v>
      </c>
      <c r="Q102" s="49">
        <f t="shared" si="16"/>
        <v>4.2799999999942884E-4</v>
      </c>
      <c r="R102" s="35">
        <f t="shared" si="17"/>
        <v>0</v>
      </c>
    </row>
    <row r="103" spans="1:18">
      <c r="A103" s="28">
        <v>89</v>
      </c>
      <c r="B103" s="31" t="s">
        <v>42</v>
      </c>
      <c r="C103" s="31" t="s">
        <v>37</v>
      </c>
      <c r="D103" s="31" t="s">
        <v>138</v>
      </c>
      <c r="E103" s="31">
        <v>961370</v>
      </c>
      <c r="F103" s="45">
        <v>13.571427999999999</v>
      </c>
      <c r="G103" s="33">
        <v>-13.571</v>
      </c>
      <c r="H103" s="45">
        <f t="shared" si="9"/>
        <v>4.2799999999942884E-4</v>
      </c>
      <c r="I103" s="99"/>
      <c r="J103" s="45">
        <f t="shared" si="10"/>
        <v>4.2799999999942884E-4</v>
      </c>
      <c r="K103" s="43">
        <f t="shared" si="11"/>
        <v>0</v>
      </c>
      <c r="L103" s="123">
        <v>44251</v>
      </c>
      <c r="M103" s="49">
        <f t="shared" si="12"/>
        <v>13.571427999999999</v>
      </c>
      <c r="N103" s="49">
        <f t="shared" si="13"/>
        <v>-13.571</v>
      </c>
      <c r="O103" s="49">
        <f t="shared" si="14"/>
        <v>4.2799999999942884E-4</v>
      </c>
      <c r="P103" s="49">
        <f t="shared" si="15"/>
        <v>0</v>
      </c>
      <c r="Q103" s="49">
        <f t="shared" si="16"/>
        <v>4.2799999999942884E-4</v>
      </c>
      <c r="R103" s="35">
        <f t="shared" si="17"/>
        <v>0</v>
      </c>
    </row>
    <row r="104" spans="1:18">
      <c r="A104" s="28">
        <v>90</v>
      </c>
      <c r="B104" s="31" t="s">
        <v>42</v>
      </c>
      <c r="C104" s="31" t="s">
        <v>37</v>
      </c>
      <c r="D104" s="31" t="s">
        <v>139</v>
      </c>
      <c r="E104" s="31">
        <v>960671</v>
      </c>
      <c r="F104" s="45">
        <v>13.571427999999999</v>
      </c>
      <c r="G104" s="33">
        <v>-13.571</v>
      </c>
      <c r="H104" s="45">
        <f t="shared" si="9"/>
        <v>4.2799999999942884E-4</v>
      </c>
      <c r="I104" s="99"/>
      <c r="J104" s="45">
        <f t="shared" si="10"/>
        <v>4.2799999999942884E-4</v>
      </c>
      <c r="K104" s="43">
        <f t="shared" si="11"/>
        <v>0</v>
      </c>
      <c r="L104" s="123">
        <v>44251</v>
      </c>
      <c r="M104" s="49">
        <f t="shared" si="12"/>
        <v>13.571427999999999</v>
      </c>
      <c r="N104" s="49">
        <f t="shared" si="13"/>
        <v>-13.571</v>
      </c>
      <c r="O104" s="49">
        <f t="shared" si="14"/>
        <v>4.2799999999942884E-4</v>
      </c>
      <c r="P104" s="49">
        <f t="shared" si="15"/>
        <v>0</v>
      </c>
      <c r="Q104" s="49">
        <f t="shared" si="16"/>
        <v>4.2799999999942884E-4</v>
      </c>
      <c r="R104" s="35">
        <f t="shared" si="17"/>
        <v>0</v>
      </c>
    </row>
    <row r="105" spans="1:18">
      <c r="A105" s="28">
        <v>91</v>
      </c>
      <c r="B105" s="31" t="s">
        <v>42</v>
      </c>
      <c r="C105" s="31" t="s">
        <v>37</v>
      </c>
      <c r="D105" s="31" t="s">
        <v>140</v>
      </c>
      <c r="E105" s="31">
        <v>90876</v>
      </c>
      <c r="F105" s="45">
        <v>13.571427999999999</v>
      </c>
      <c r="G105" s="29">
        <v>-13.571</v>
      </c>
      <c r="H105" s="45">
        <f t="shared" si="9"/>
        <v>4.2799999999942884E-4</v>
      </c>
      <c r="I105" s="99"/>
      <c r="J105" s="45">
        <f t="shared" si="10"/>
        <v>4.2799999999942884E-4</v>
      </c>
      <c r="K105" s="43">
        <f t="shared" si="11"/>
        <v>0</v>
      </c>
      <c r="L105" s="123">
        <v>44251</v>
      </c>
      <c r="M105" s="49">
        <f t="shared" si="12"/>
        <v>13.571427999999999</v>
      </c>
      <c r="N105" s="49">
        <f t="shared" si="13"/>
        <v>-13.571</v>
      </c>
      <c r="O105" s="49">
        <f t="shared" si="14"/>
        <v>4.2799999999942884E-4</v>
      </c>
      <c r="P105" s="49">
        <f t="shared" si="15"/>
        <v>0</v>
      </c>
      <c r="Q105" s="49">
        <f t="shared" si="16"/>
        <v>4.2799999999942884E-4</v>
      </c>
      <c r="R105" s="35">
        <f t="shared" si="17"/>
        <v>0</v>
      </c>
    </row>
    <row r="106" spans="1:18">
      <c r="A106" s="28">
        <v>92</v>
      </c>
      <c r="B106" s="31" t="s">
        <v>42</v>
      </c>
      <c r="C106" s="31" t="s">
        <v>37</v>
      </c>
      <c r="D106" s="31" t="s">
        <v>141</v>
      </c>
      <c r="E106" s="31">
        <v>926458</v>
      </c>
      <c r="F106" s="45">
        <v>13.571427999999999</v>
      </c>
      <c r="G106" s="33">
        <v>-13.571</v>
      </c>
      <c r="H106" s="45">
        <f t="shared" si="9"/>
        <v>4.2799999999942884E-4</v>
      </c>
      <c r="I106" s="99"/>
      <c r="J106" s="45">
        <f t="shared" si="10"/>
        <v>4.2799999999942884E-4</v>
      </c>
      <c r="K106" s="43">
        <f t="shared" si="11"/>
        <v>0</v>
      </c>
      <c r="L106" s="123">
        <v>44251</v>
      </c>
      <c r="M106" s="49">
        <f t="shared" si="12"/>
        <v>13.571427999999999</v>
      </c>
      <c r="N106" s="49">
        <f t="shared" si="13"/>
        <v>-13.571</v>
      </c>
      <c r="O106" s="49">
        <f t="shared" si="14"/>
        <v>4.2799999999942884E-4</v>
      </c>
      <c r="P106" s="49">
        <f t="shared" si="15"/>
        <v>0</v>
      </c>
      <c r="Q106" s="49">
        <f t="shared" si="16"/>
        <v>4.2799999999942884E-4</v>
      </c>
      <c r="R106" s="35">
        <f t="shared" si="17"/>
        <v>0</v>
      </c>
    </row>
    <row r="107" spans="1:18">
      <c r="A107" s="28">
        <v>93</v>
      </c>
      <c r="B107" s="31" t="s">
        <v>42</v>
      </c>
      <c r="C107" s="31" t="s">
        <v>37</v>
      </c>
      <c r="D107" s="31" t="s">
        <v>142</v>
      </c>
      <c r="E107" s="31">
        <v>950318</v>
      </c>
      <c r="F107" s="45">
        <v>13.571427999999999</v>
      </c>
      <c r="G107" s="33">
        <v>-13.571</v>
      </c>
      <c r="H107" s="45">
        <f t="shared" si="9"/>
        <v>4.2799999999942884E-4</v>
      </c>
      <c r="I107" s="99"/>
      <c r="J107" s="45">
        <f t="shared" si="10"/>
        <v>4.2799999999942884E-4</v>
      </c>
      <c r="K107" s="43">
        <f t="shared" si="11"/>
        <v>0</v>
      </c>
      <c r="L107" s="123">
        <v>44251</v>
      </c>
      <c r="M107" s="49">
        <f t="shared" si="12"/>
        <v>13.571427999999999</v>
      </c>
      <c r="N107" s="49">
        <f t="shared" si="13"/>
        <v>-13.571</v>
      </c>
      <c r="O107" s="49">
        <f t="shared" si="14"/>
        <v>4.2799999999942884E-4</v>
      </c>
      <c r="P107" s="49">
        <f t="shared" si="15"/>
        <v>0</v>
      </c>
      <c r="Q107" s="49">
        <f t="shared" si="16"/>
        <v>4.2799999999942884E-4</v>
      </c>
      <c r="R107" s="35">
        <f t="shared" si="17"/>
        <v>0</v>
      </c>
    </row>
    <row r="108" spans="1:18">
      <c r="A108" s="28">
        <v>94</v>
      </c>
      <c r="B108" s="31" t="s">
        <v>42</v>
      </c>
      <c r="C108" s="31" t="s">
        <v>37</v>
      </c>
      <c r="D108" s="31" t="s">
        <v>95</v>
      </c>
      <c r="E108" s="31">
        <v>918732</v>
      </c>
      <c r="F108" s="45">
        <v>13.571427999999999</v>
      </c>
      <c r="G108" s="33">
        <v>-13.571</v>
      </c>
      <c r="H108" s="45">
        <f t="shared" si="9"/>
        <v>4.2799999999942884E-4</v>
      </c>
      <c r="I108" s="99"/>
      <c r="J108" s="45">
        <f t="shared" si="10"/>
        <v>4.2799999999942884E-4</v>
      </c>
      <c r="K108" s="43">
        <f t="shared" si="11"/>
        <v>0</v>
      </c>
      <c r="L108" s="123">
        <v>44251</v>
      </c>
      <c r="M108" s="49">
        <f t="shared" si="12"/>
        <v>13.571427999999999</v>
      </c>
      <c r="N108" s="49">
        <f t="shared" si="13"/>
        <v>-13.571</v>
      </c>
      <c r="O108" s="49">
        <f t="shared" si="14"/>
        <v>4.2799999999942884E-4</v>
      </c>
      <c r="P108" s="49">
        <f t="shared" si="15"/>
        <v>0</v>
      </c>
      <c r="Q108" s="49">
        <f t="shared" si="16"/>
        <v>4.2799999999942884E-4</v>
      </c>
      <c r="R108" s="35">
        <f t="shared" si="17"/>
        <v>0</v>
      </c>
    </row>
    <row r="109" spans="1:18">
      <c r="A109" s="28">
        <v>95</v>
      </c>
      <c r="B109" s="31" t="s">
        <v>42</v>
      </c>
      <c r="C109" s="31" t="s">
        <v>37</v>
      </c>
      <c r="D109" s="31" t="s">
        <v>143</v>
      </c>
      <c r="E109" s="31">
        <v>954192</v>
      </c>
      <c r="F109" s="45">
        <v>13.571427999999999</v>
      </c>
      <c r="G109" s="33">
        <v>-13.571</v>
      </c>
      <c r="H109" s="45">
        <f t="shared" si="9"/>
        <v>4.2799999999942884E-4</v>
      </c>
      <c r="I109" s="99"/>
      <c r="J109" s="45">
        <f t="shared" si="10"/>
        <v>4.2799999999942884E-4</v>
      </c>
      <c r="K109" s="43">
        <f t="shared" si="11"/>
        <v>0</v>
      </c>
      <c r="L109" s="123">
        <v>44251</v>
      </c>
      <c r="M109" s="49">
        <f t="shared" si="12"/>
        <v>13.571427999999999</v>
      </c>
      <c r="N109" s="49">
        <f t="shared" si="13"/>
        <v>-13.571</v>
      </c>
      <c r="O109" s="49">
        <f t="shared" si="14"/>
        <v>4.2799999999942884E-4</v>
      </c>
      <c r="P109" s="49">
        <f t="shared" si="15"/>
        <v>0</v>
      </c>
      <c r="Q109" s="49">
        <f t="shared" si="16"/>
        <v>4.2799999999942884E-4</v>
      </c>
      <c r="R109" s="35">
        <f t="shared" si="17"/>
        <v>0</v>
      </c>
    </row>
    <row r="110" spans="1:18">
      <c r="A110" s="28">
        <v>96</v>
      </c>
      <c r="B110" s="31" t="s">
        <v>42</v>
      </c>
      <c r="C110" s="31" t="s">
        <v>37</v>
      </c>
      <c r="D110" s="31" t="s">
        <v>144</v>
      </c>
      <c r="E110" s="31">
        <v>903901</v>
      </c>
      <c r="F110" s="45">
        <v>13.571427999999999</v>
      </c>
      <c r="G110" s="33">
        <v>-13.571</v>
      </c>
      <c r="H110" s="45">
        <f t="shared" si="9"/>
        <v>4.2799999999942884E-4</v>
      </c>
      <c r="I110" s="99"/>
      <c r="J110" s="45">
        <f t="shared" si="10"/>
        <v>4.2799999999942884E-4</v>
      </c>
      <c r="K110" s="43">
        <f t="shared" si="11"/>
        <v>0</v>
      </c>
      <c r="L110" s="123">
        <v>44251</v>
      </c>
      <c r="M110" s="49">
        <f t="shared" si="12"/>
        <v>13.571427999999999</v>
      </c>
      <c r="N110" s="49">
        <f t="shared" si="13"/>
        <v>-13.571</v>
      </c>
      <c r="O110" s="49">
        <f t="shared" si="14"/>
        <v>4.2799999999942884E-4</v>
      </c>
      <c r="P110" s="49">
        <f t="shared" si="15"/>
        <v>0</v>
      </c>
      <c r="Q110" s="49">
        <f t="shared" si="16"/>
        <v>4.2799999999942884E-4</v>
      </c>
      <c r="R110" s="35">
        <f t="shared" si="17"/>
        <v>0</v>
      </c>
    </row>
    <row r="111" spans="1:18">
      <c r="A111" s="28">
        <v>97</v>
      </c>
      <c r="B111" s="31" t="s">
        <v>42</v>
      </c>
      <c r="C111" s="31" t="s">
        <v>37</v>
      </c>
      <c r="D111" s="31" t="s">
        <v>145</v>
      </c>
      <c r="E111" s="31">
        <v>961535</v>
      </c>
      <c r="F111" s="45">
        <v>13.571427999999999</v>
      </c>
      <c r="G111" s="33">
        <v>-13.571</v>
      </c>
      <c r="H111" s="45">
        <f t="shared" si="9"/>
        <v>4.2799999999942884E-4</v>
      </c>
      <c r="I111" s="99"/>
      <c r="J111" s="45">
        <f t="shared" si="10"/>
        <v>4.2799999999942884E-4</v>
      </c>
      <c r="K111" s="43">
        <f t="shared" si="11"/>
        <v>0</v>
      </c>
      <c r="L111" s="123">
        <v>44251</v>
      </c>
      <c r="M111" s="49">
        <f t="shared" si="12"/>
        <v>13.571427999999999</v>
      </c>
      <c r="N111" s="49">
        <f t="shared" si="13"/>
        <v>-13.571</v>
      </c>
      <c r="O111" s="49">
        <f t="shared" si="14"/>
        <v>4.2799999999942884E-4</v>
      </c>
      <c r="P111" s="49">
        <f t="shared" si="15"/>
        <v>0</v>
      </c>
      <c r="Q111" s="49">
        <f t="shared" si="16"/>
        <v>4.2799999999942884E-4</v>
      </c>
      <c r="R111" s="35">
        <f t="shared" si="17"/>
        <v>0</v>
      </c>
    </row>
    <row r="112" spans="1:18">
      <c r="A112" s="28">
        <v>98</v>
      </c>
      <c r="B112" s="31" t="s">
        <v>42</v>
      </c>
      <c r="C112" s="31" t="s">
        <v>37</v>
      </c>
      <c r="D112" s="31" t="s">
        <v>146</v>
      </c>
      <c r="E112" s="31">
        <v>961104</v>
      </c>
      <c r="F112" s="45">
        <v>13.571427999999999</v>
      </c>
      <c r="G112" s="29">
        <f>-12.571-0.75</f>
        <v>-13.321</v>
      </c>
      <c r="H112" s="45">
        <f t="shared" si="9"/>
        <v>0.25042799999999943</v>
      </c>
      <c r="I112" s="99"/>
      <c r="J112" s="45">
        <f t="shared" si="10"/>
        <v>0.25042799999999943</v>
      </c>
      <c r="K112" s="43">
        <f t="shared" si="11"/>
        <v>0</v>
      </c>
      <c r="L112" s="28" t="s">
        <v>31</v>
      </c>
      <c r="M112" s="49">
        <f t="shared" si="12"/>
        <v>13.571427999999999</v>
      </c>
      <c r="N112" s="49">
        <f t="shared" si="13"/>
        <v>-13.321</v>
      </c>
      <c r="O112" s="49">
        <f t="shared" si="14"/>
        <v>0.25042799999999943</v>
      </c>
      <c r="P112" s="49">
        <f t="shared" si="15"/>
        <v>0</v>
      </c>
      <c r="Q112" s="49">
        <f t="shared" si="16"/>
        <v>0.25042799999999943</v>
      </c>
      <c r="R112" s="35">
        <f t="shared" si="17"/>
        <v>0</v>
      </c>
    </row>
    <row r="113" spans="1:18">
      <c r="A113" s="28">
        <v>99</v>
      </c>
      <c r="B113" s="31" t="s">
        <v>42</v>
      </c>
      <c r="C113" s="31" t="s">
        <v>37</v>
      </c>
      <c r="D113" s="31" t="s">
        <v>147</v>
      </c>
      <c r="E113" s="31">
        <v>918660</v>
      </c>
      <c r="F113" s="45">
        <v>13.571427999999999</v>
      </c>
      <c r="G113" s="29">
        <v>-13.5</v>
      </c>
      <c r="H113" s="45">
        <f t="shared" si="9"/>
        <v>7.1427999999999159E-2</v>
      </c>
      <c r="I113" s="99"/>
      <c r="J113" s="45">
        <f t="shared" si="10"/>
        <v>7.1427999999999159E-2</v>
      </c>
      <c r="K113" s="43">
        <f t="shared" si="11"/>
        <v>0</v>
      </c>
      <c r="L113" s="28" t="s">
        <v>31</v>
      </c>
      <c r="M113" s="49">
        <f t="shared" si="12"/>
        <v>13.571427999999999</v>
      </c>
      <c r="N113" s="49">
        <f t="shared" si="13"/>
        <v>-13.5</v>
      </c>
      <c r="O113" s="49">
        <f t="shared" si="14"/>
        <v>7.1427999999999159E-2</v>
      </c>
      <c r="P113" s="49">
        <f t="shared" si="15"/>
        <v>0</v>
      </c>
      <c r="Q113" s="49">
        <f t="shared" si="16"/>
        <v>7.1427999999999159E-2</v>
      </c>
      <c r="R113" s="35">
        <f t="shared" si="17"/>
        <v>0</v>
      </c>
    </row>
    <row r="114" spans="1:18">
      <c r="A114" s="28">
        <v>100</v>
      </c>
      <c r="B114" s="31" t="s">
        <v>42</v>
      </c>
      <c r="C114" s="31" t="s">
        <v>37</v>
      </c>
      <c r="D114" s="31" t="s">
        <v>148</v>
      </c>
      <c r="E114" s="31">
        <v>15714</v>
      </c>
      <c r="F114" s="45">
        <v>13.571427999999999</v>
      </c>
      <c r="G114" s="29">
        <f>-12.571-0.75</f>
        <v>-13.321</v>
      </c>
      <c r="H114" s="45">
        <f t="shared" si="9"/>
        <v>0.25042799999999943</v>
      </c>
      <c r="I114" s="99">
        <v>5.5E-2</v>
      </c>
      <c r="J114" s="45">
        <f t="shared" si="10"/>
        <v>0.19542799999999944</v>
      </c>
      <c r="K114" s="43">
        <f t="shared" si="11"/>
        <v>0.21962400370565641</v>
      </c>
      <c r="L114" s="28" t="s">
        <v>31</v>
      </c>
      <c r="M114" s="49">
        <f t="shared" si="12"/>
        <v>13.571427999999999</v>
      </c>
      <c r="N114" s="49">
        <f t="shared" si="13"/>
        <v>-13.321</v>
      </c>
      <c r="O114" s="49">
        <f t="shared" si="14"/>
        <v>0.25042799999999943</v>
      </c>
      <c r="P114" s="49">
        <f t="shared" si="15"/>
        <v>5.5E-2</v>
      </c>
      <c r="Q114" s="49">
        <f t="shared" si="16"/>
        <v>0.19542799999999944</v>
      </c>
      <c r="R114" s="35">
        <f t="shared" si="17"/>
        <v>0.21962400370565641</v>
      </c>
    </row>
    <row r="115" spans="1:18">
      <c r="A115" s="28">
        <v>101</v>
      </c>
      <c r="B115" s="31" t="s">
        <v>42</v>
      </c>
      <c r="C115" s="31" t="s">
        <v>37</v>
      </c>
      <c r="D115" s="31" t="s">
        <v>149</v>
      </c>
      <c r="E115" s="31">
        <v>963667</v>
      </c>
      <c r="F115" s="45">
        <v>13.571427999999999</v>
      </c>
      <c r="G115" s="33">
        <v>-13.571</v>
      </c>
      <c r="H115" s="45">
        <f t="shared" si="9"/>
        <v>4.2799999999942884E-4</v>
      </c>
      <c r="I115" s="99"/>
      <c r="J115" s="45">
        <f t="shared" si="10"/>
        <v>4.2799999999942884E-4</v>
      </c>
      <c r="K115" s="43">
        <f t="shared" si="11"/>
        <v>0</v>
      </c>
      <c r="L115" s="123">
        <v>44251</v>
      </c>
      <c r="M115" s="49">
        <f t="shared" si="12"/>
        <v>13.571427999999999</v>
      </c>
      <c r="N115" s="49">
        <f t="shared" si="13"/>
        <v>-13.571</v>
      </c>
      <c r="O115" s="49">
        <f t="shared" si="14"/>
        <v>4.2799999999942884E-4</v>
      </c>
      <c r="P115" s="49">
        <f t="shared" si="15"/>
        <v>0</v>
      </c>
      <c r="Q115" s="49">
        <f t="shared" si="16"/>
        <v>4.2799999999942884E-4</v>
      </c>
      <c r="R115" s="35">
        <f t="shared" si="17"/>
        <v>0</v>
      </c>
    </row>
    <row r="116" spans="1:18">
      <c r="A116" s="28">
        <v>102</v>
      </c>
      <c r="B116" s="31" t="s">
        <v>42</v>
      </c>
      <c r="C116" s="31" t="s">
        <v>37</v>
      </c>
      <c r="D116" s="31" t="s">
        <v>150</v>
      </c>
      <c r="E116" s="31">
        <v>926661</v>
      </c>
      <c r="F116" s="45">
        <v>13.571427999999999</v>
      </c>
      <c r="G116" s="29">
        <v>-13</v>
      </c>
      <c r="H116" s="45">
        <f t="shared" si="9"/>
        <v>0.57142799999999916</v>
      </c>
      <c r="I116" s="99"/>
      <c r="J116" s="45">
        <f t="shared" si="10"/>
        <v>0.57142799999999916</v>
      </c>
      <c r="K116" s="43">
        <f t="shared" si="11"/>
        <v>0</v>
      </c>
      <c r="L116" s="28" t="s">
        <v>31</v>
      </c>
      <c r="M116" s="49">
        <f t="shared" si="12"/>
        <v>13.571427999999999</v>
      </c>
      <c r="N116" s="49">
        <f t="shared" si="13"/>
        <v>-13</v>
      </c>
      <c r="O116" s="49">
        <f t="shared" si="14"/>
        <v>0.57142799999999916</v>
      </c>
      <c r="P116" s="49">
        <f t="shared" si="15"/>
        <v>0</v>
      </c>
      <c r="Q116" s="49">
        <f t="shared" si="16"/>
        <v>0.57142799999999916</v>
      </c>
      <c r="R116" s="35">
        <f t="shared" si="17"/>
        <v>0</v>
      </c>
    </row>
    <row r="117" spans="1:18">
      <c r="A117" s="28">
        <v>103</v>
      </c>
      <c r="B117" s="31" t="s">
        <v>42</v>
      </c>
      <c r="C117" s="31" t="s">
        <v>37</v>
      </c>
      <c r="D117" s="31" t="s">
        <v>151</v>
      </c>
      <c r="E117" s="31">
        <v>966277</v>
      </c>
      <c r="F117" s="45">
        <v>13.571427999999999</v>
      </c>
      <c r="G117" s="33">
        <v>-13.571</v>
      </c>
      <c r="H117" s="45">
        <f t="shared" si="9"/>
        <v>4.2799999999942884E-4</v>
      </c>
      <c r="I117" s="99"/>
      <c r="J117" s="45">
        <f t="shared" si="10"/>
        <v>4.2799999999942884E-4</v>
      </c>
      <c r="K117" s="43">
        <f t="shared" si="11"/>
        <v>0</v>
      </c>
      <c r="L117" s="123">
        <v>44251</v>
      </c>
      <c r="M117" s="49">
        <f t="shared" si="12"/>
        <v>13.571427999999999</v>
      </c>
      <c r="N117" s="49">
        <f t="shared" si="13"/>
        <v>-13.571</v>
      </c>
      <c r="O117" s="49">
        <f t="shared" si="14"/>
        <v>4.2799999999942884E-4</v>
      </c>
      <c r="P117" s="49">
        <f t="shared" si="15"/>
        <v>0</v>
      </c>
      <c r="Q117" s="49">
        <f t="shared" si="16"/>
        <v>4.2799999999942884E-4</v>
      </c>
      <c r="R117" s="35">
        <f t="shared" si="17"/>
        <v>0</v>
      </c>
    </row>
    <row r="118" spans="1:18">
      <c r="A118" s="28">
        <v>104</v>
      </c>
      <c r="B118" s="31" t="s">
        <v>42</v>
      </c>
      <c r="C118" s="31" t="s">
        <v>37</v>
      </c>
      <c r="D118" s="31" t="s">
        <v>152</v>
      </c>
      <c r="E118" s="31">
        <v>961111</v>
      </c>
      <c r="F118" s="45">
        <v>13.571427999999999</v>
      </c>
      <c r="G118" s="29">
        <v>-13.571</v>
      </c>
      <c r="H118" s="45">
        <f t="shared" si="9"/>
        <v>4.2799999999942884E-4</v>
      </c>
      <c r="I118" s="99"/>
      <c r="J118" s="45">
        <f t="shared" si="10"/>
        <v>4.2799999999942884E-4</v>
      </c>
      <c r="K118" s="43">
        <f t="shared" si="11"/>
        <v>0</v>
      </c>
      <c r="L118" s="123">
        <v>44223</v>
      </c>
      <c r="M118" s="49">
        <f t="shared" si="12"/>
        <v>13.571427999999999</v>
      </c>
      <c r="N118" s="49">
        <f t="shared" si="13"/>
        <v>-13.571</v>
      </c>
      <c r="O118" s="49">
        <f t="shared" si="14"/>
        <v>4.2799999999942884E-4</v>
      </c>
      <c r="P118" s="49">
        <f t="shared" si="15"/>
        <v>0</v>
      </c>
      <c r="Q118" s="49">
        <f t="shared" si="16"/>
        <v>4.2799999999942884E-4</v>
      </c>
      <c r="R118" s="35">
        <f t="shared" si="17"/>
        <v>0</v>
      </c>
    </row>
    <row r="119" spans="1:18" ht="15" customHeight="1">
      <c r="A119" s="28">
        <v>105</v>
      </c>
      <c r="B119" s="31" t="s">
        <v>42</v>
      </c>
      <c r="C119" s="31" t="s">
        <v>37</v>
      </c>
      <c r="D119" s="31" t="s">
        <v>153</v>
      </c>
      <c r="E119" s="31">
        <v>964393</v>
      </c>
      <c r="F119" s="45">
        <v>13.571427999999999</v>
      </c>
      <c r="G119" s="29">
        <v>-13.571</v>
      </c>
      <c r="H119" s="45">
        <f t="shared" si="9"/>
        <v>4.2799999999942884E-4</v>
      </c>
      <c r="I119" s="99"/>
      <c r="J119" s="45">
        <f t="shared" si="10"/>
        <v>4.2799999999942884E-4</v>
      </c>
      <c r="K119" s="43">
        <f t="shared" si="11"/>
        <v>0</v>
      </c>
      <c r="L119" s="123">
        <v>44251</v>
      </c>
      <c r="M119" s="49">
        <f t="shared" si="12"/>
        <v>13.571427999999999</v>
      </c>
      <c r="N119" s="49">
        <f t="shared" si="13"/>
        <v>-13.571</v>
      </c>
      <c r="O119" s="49">
        <f t="shared" si="14"/>
        <v>4.2799999999942884E-4</v>
      </c>
      <c r="P119" s="49">
        <f t="shared" si="15"/>
        <v>0</v>
      </c>
      <c r="Q119" s="49">
        <f t="shared" si="16"/>
        <v>4.2799999999942884E-4</v>
      </c>
      <c r="R119" s="35">
        <f t="shared" si="17"/>
        <v>0</v>
      </c>
    </row>
    <row r="120" spans="1:18">
      <c r="A120" s="28">
        <v>106</v>
      </c>
      <c r="B120" s="31" t="s">
        <v>42</v>
      </c>
      <c r="C120" s="31" t="s">
        <v>37</v>
      </c>
      <c r="D120" s="31" t="s">
        <v>154</v>
      </c>
      <c r="E120" s="31">
        <v>965956</v>
      </c>
      <c r="F120" s="45">
        <v>13.571427999999999</v>
      </c>
      <c r="G120" s="29">
        <v>-13.571</v>
      </c>
      <c r="H120" s="45">
        <f t="shared" si="9"/>
        <v>4.2799999999942884E-4</v>
      </c>
      <c r="I120" s="99"/>
      <c r="J120" s="45">
        <f t="shared" si="10"/>
        <v>4.2799999999942884E-4</v>
      </c>
      <c r="K120" s="43">
        <f t="shared" si="11"/>
        <v>0</v>
      </c>
      <c r="L120" s="123">
        <v>44223</v>
      </c>
      <c r="M120" s="49">
        <f t="shared" si="12"/>
        <v>13.571427999999999</v>
      </c>
      <c r="N120" s="49">
        <f t="shared" si="13"/>
        <v>-13.571</v>
      </c>
      <c r="O120" s="49">
        <f t="shared" si="14"/>
        <v>4.2799999999942884E-4</v>
      </c>
      <c r="P120" s="49">
        <f t="shared" si="15"/>
        <v>0</v>
      </c>
      <c r="Q120" s="49">
        <f t="shared" si="16"/>
        <v>4.2799999999942884E-4</v>
      </c>
      <c r="R120" s="35">
        <f t="shared" si="17"/>
        <v>0</v>
      </c>
    </row>
    <row r="121" spans="1:18">
      <c r="A121" s="28">
        <v>107</v>
      </c>
      <c r="B121" s="31" t="s">
        <v>42</v>
      </c>
      <c r="C121" s="31" t="s">
        <v>37</v>
      </c>
      <c r="D121" s="31" t="s">
        <v>155</v>
      </c>
      <c r="E121" s="31">
        <v>924069</v>
      </c>
      <c r="F121" s="45">
        <v>13.571427999999999</v>
      </c>
      <c r="G121" s="29">
        <v>-13.321</v>
      </c>
      <c r="H121" s="45">
        <f t="shared" si="9"/>
        <v>0.25042799999999943</v>
      </c>
      <c r="I121" s="99"/>
      <c r="J121" s="45">
        <f t="shared" si="10"/>
        <v>0.25042799999999943</v>
      </c>
      <c r="K121" s="43">
        <f t="shared" si="11"/>
        <v>0</v>
      </c>
      <c r="L121" s="28" t="s">
        <v>31</v>
      </c>
      <c r="M121" s="49">
        <f t="shared" si="12"/>
        <v>13.571427999999999</v>
      </c>
      <c r="N121" s="49">
        <f t="shared" si="13"/>
        <v>-13.321</v>
      </c>
      <c r="O121" s="49">
        <f t="shared" si="14"/>
        <v>0.25042799999999943</v>
      </c>
      <c r="P121" s="49">
        <f t="shared" si="15"/>
        <v>0</v>
      </c>
      <c r="Q121" s="49">
        <f t="shared" si="16"/>
        <v>0.25042799999999943</v>
      </c>
      <c r="R121" s="35">
        <f t="shared" si="17"/>
        <v>0</v>
      </c>
    </row>
    <row r="122" spans="1:18">
      <c r="A122" s="28">
        <v>108</v>
      </c>
      <c r="B122" s="31" t="s">
        <v>42</v>
      </c>
      <c r="C122" s="31" t="s">
        <v>37</v>
      </c>
      <c r="D122" s="31" t="s">
        <v>156</v>
      </c>
      <c r="E122" s="31">
        <v>961509</v>
      </c>
      <c r="F122" s="45">
        <v>13.571427999999999</v>
      </c>
      <c r="G122" s="29">
        <v>-13.571</v>
      </c>
      <c r="H122" s="45">
        <f t="shared" si="9"/>
        <v>4.2799999999942884E-4</v>
      </c>
      <c r="I122" s="99"/>
      <c r="J122" s="45">
        <f t="shared" si="10"/>
        <v>4.2799999999942884E-4</v>
      </c>
      <c r="K122" s="43">
        <f t="shared" si="11"/>
        <v>0</v>
      </c>
      <c r="L122" s="123">
        <v>44223</v>
      </c>
      <c r="M122" s="49">
        <f t="shared" si="12"/>
        <v>13.571427999999999</v>
      </c>
      <c r="N122" s="49">
        <f t="shared" si="13"/>
        <v>-13.571</v>
      </c>
      <c r="O122" s="49">
        <f t="shared" si="14"/>
        <v>4.2799999999942884E-4</v>
      </c>
      <c r="P122" s="49">
        <f t="shared" si="15"/>
        <v>0</v>
      </c>
      <c r="Q122" s="49">
        <f t="shared" si="16"/>
        <v>4.2799999999942884E-4</v>
      </c>
      <c r="R122" s="35">
        <f t="shared" si="17"/>
        <v>0</v>
      </c>
    </row>
    <row r="123" spans="1:18">
      <c r="A123" s="28">
        <v>109</v>
      </c>
      <c r="B123" s="31" t="s">
        <v>42</v>
      </c>
      <c r="C123" s="31" t="s">
        <v>37</v>
      </c>
      <c r="D123" s="31" t="s">
        <v>157</v>
      </c>
      <c r="E123" s="31">
        <v>965507</v>
      </c>
      <c r="F123" s="45">
        <v>13.571427999999999</v>
      </c>
      <c r="G123" s="29">
        <v>-13.571</v>
      </c>
      <c r="H123" s="45">
        <f t="shared" si="9"/>
        <v>4.2799999999942884E-4</v>
      </c>
      <c r="I123" s="99"/>
      <c r="J123" s="45">
        <f t="shared" si="10"/>
        <v>4.2799999999942884E-4</v>
      </c>
      <c r="K123" s="43">
        <f t="shared" si="11"/>
        <v>0</v>
      </c>
      <c r="L123" s="123">
        <v>44223</v>
      </c>
      <c r="M123" s="49">
        <f t="shared" si="12"/>
        <v>13.571427999999999</v>
      </c>
      <c r="N123" s="49">
        <f t="shared" si="13"/>
        <v>-13.571</v>
      </c>
      <c r="O123" s="49">
        <f t="shared" si="14"/>
        <v>4.2799999999942884E-4</v>
      </c>
      <c r="P123" s="49">
        <f t="shared" si="15"/>
        <v>0</v>
      </c>
      <c r="Q123" s="49">
        <f t="shared" si="16"/>
        <v>4.2799999999942884E-4</v>
      </c>
      <c r="R123" s="35">
        <f t="shared" si="17"/>
        <v>0</v>
      </c>
    </row>
    <row r="124" spans="1:18">
      <c r="A124" s="28">
        <v>110</v>
      </c>
      <c r="B124" s="31" t="s">
        <v>42</v>
      </c>
      <c r="C124" s="31" t="s">
        <v>37</v>
      </c>
      <c r="D124" s="31" t="s">
        <v>158</v>
      </c>
      <c r="E124" s="31">
        <v>965508</v>
      </c>
      <c r="F124" s="45">
        <v>13.571427999999999</v>
      </c>
      <c r="G124" s="29">
        <v>-13.571</v>
      </c>
      <c r="H124" s="45">
        <f t="shared" si="9"/>
        <v>4.2799999999942884E-4</v>
      </c>
      <c r="I124" s="99"/>
      <c r="J124" s="45">
        <f t="shared" si="10"/>
        <v>4.2799999999942884E-4</v>
      </c>
      <c r="K124" s="43">
        <f t="shared" si="11"/>
        <v>0</v>
      </c>
      <c r="L124" s="123">
        <v>44223</v>
      </c>
      <c r="M124" s="49">
        <f t="shared" si="12"/>
        <v>13.571427999999999</v>
      </c>
      <c r="N124" s="49">
        <f t="shared" si="13"/>
        <v>-13.571</v>
      </c>
      <c r="O124" s="49">
        <f t="shared" si="14"/>
        <v>4.2799999999942884E-4</v>
      </c>
      <c r="P124" s="49">
        <f t="shared" si="15"/>
        <v>0</v>
      </c>
      <c r="Q124" s="49">
        <f t="shared" si="16"/>
        <v>4.2799999999942884E-4</v>
      </c>
      <c r="R124" s="35">
        <f t="shared" si="17"/>
        <v>0</v>
      </c>
    </row>
    <row r="125" spans="1:18">
      <c r="A125" s="28">
        <v>111</v>
      </c>
      <c r="B125" s="31" t="s">
        <v>42</v>
      </c>
      <c r="C125" s="31" t="s">
        <v>37</v>
      </c>
      <c r="D125" s="31" t="s">
        <v>159</v>
      </c>
      <c r="E125" s="31">
        <v>922445</v>
      </c>
      <c r="F125" s="45">
        <v>13.571427999999999</v>
      </c>
      <c r="G125" s="29">
        <v>-13.571</v>
      </c>
      <c r="H125" s="45">
        <f t="shared" si="9"/>
        <v>4.2799999999942884E-4</v>
      </c>
      <c r="I125" s="99"/>
      <c r="J125" s="45">
        <f t="shared" si="10"/>
        <v>4.2799999999942884E-4</v>
      </c>
      <c r="K125" s="43">
        <f t="shared" si="11"/>
        <v>0</v>
      </c>
      <c r="L125" s="123">
        <v>44223</v>
      </c>
      <c r="M125" s="49">
        <f t="shared" si="12"/>
        <v>13.571427999999999</v>
      </c>
      <c r="N125" s="49">
        <f t="shared" si="13"/>
        <v>-13.571</v>
      </c>
      <c r="O125" s="49">
        <f t="shared" si="14"/>
        <v>4.2799999999942884E-4</v>
      </c>
      <c r="P125" s="49">
        <f t="shared" si="15"/>
        <v>0</v>
      </c>
      <c r="Q125" s="49">
        <f t="shared" si="16"/>
        <v>4.2799999999942884E-4</v>
      </c>
      <c r="R125" s="35">
        <f t="shared" si="17"/>
        <v>0</v>
      </c>
    </row>
    <row r="126" spans="1:18">
      <c r="A126" s="28">
        <v>112</v>
      </c>
      <c r="B126" s="31" t="s">
        <v>42</v>
      </c>
      <c r="C126" s="31" t="s">
        <v>37</v>
      </c>
      <c r="D126" s="31" t="s">
        <v>160</v>
      </c>
      <c r="E126" s="31">
        <v>967340</v>
      </c>
      <c r="F126" s="45">
        <v>13.571427999999999</v>
      </c>
      <c r="G126" s="29">
        <v>-13.321</v>
      </c>
      <c r="H126" s="45">
        <f t="shared" si="9"/>
        <v>0.25042799999999943</v>
      </c>
      <c r="I126" s="99">
        <v>8.5000000000000006E-2</v>
      </c>
      <c r="J126" s="45">
        <f t="shared" si="10"/>
        <v>0.16542799999999941</v>
      </c>
      <c r="K126" s="43">
        <f t="shared" si="11"/>
        <v>0.33941891481783265</v>
      </c>
      <c r="L126" s="28" t="s">
        <v>31</v>
      </c>
      <c r="M126" s="49">
        <f t="shared" si="12"/>
        <v>13.571427999999999</v>
      </c>
      <c r="N126" s="49">
        <f t="shared" si="13"/>
        <v>-13.321</v>
      </c>
      <c r="O126" s="49">
        <f t="shared" si="14"/>
        <v>0.25042799999999943</v>
      </c>
      <c r="P126" s="49">
        <f t="shared" si="15"/>
        <v>8.5000000000000006E-2</v>
      </c>
      <c r="Q126" s="49">
        <f t="shared" si="16"/>
        <v>0.16542799999999941</v>
      </c>
      <c r="R126" s="35">
        <f t="shared" si="17"/>
        <v>0.33941891481783265</v>
      </c>
    </row>
    <row r="127" spans="1:18">
      <c r="A127" s="28">
        <v>113</v>
      </c>
      <c r="B127" s="31" t="s">
        <v>42</v>
      </c>
      <c r="C127" s="31" t="s">
        <v>37</v>
      </c>
      <c r="D127" s="31" t="s">
        <v>161</v>
      </c>
      <c r="E127" s="31">
        <v>903694</v>
      </c>
      <c r="F127" s="45">
        <v>13.571427999999999</v>
      </c>
      <c r="G127" s="29">
        <f>-12.571-1</f>
        <v>-13.571</v>
      </c>
      <c r="H127" s="45">
        <f t="shared" si="9"/>
        <v>4.2799999999942884E-4</v>
      </c>
      <c r="I127" s="99"/>
      <c r="J127" s="45">
        <f t="shared" si="10"/>
        <v>4.2799999999942884E-4</v>
      </c>
      <c r="K127" s="43">
        <f t="shared" si="11"/>
        <v>0</v>
      </c>
      <c r="L127" s="28" t="s">
        <v>31</v>
      </c>
      <c r="M127" s="49">
        <f t="shared" si="12"/>
        <v>13.571427999999999</v>
      </c>
      <c r="N127" s="49">
        <f t="shared" si="13"/>
        <v>-13.571</v>
      </c>
      <c r="O127" s="49">
        <f t="shared" si="14"/>
        <v>4.2799999999942884E-4</v>
      </c>
      <c r="P127" s="49">
        <f t="shared" si="15"/>
        <v>0</v>
      </c>
      <c r="Q127" s="49">
        <f t="shared" si="16"/>
        <v>4.2799999999942884E-4</v>
      </c>
      <c r="R127" s="35">
        <f t="shared" si="17"/>
        <v>0</v>
      </c>
    </row>
    <row r="128" spans="1:18">
      <c r="A128" s="28">
        <v>114</v>
      </c>
      <c r="B128" s="31" t="s">
        <v>42</v>
      </c>
      <c r="C128" s="31" t="s">
        <v>37</v>
      </c>
      <c r="D128" s="31" t="s">
        <v>162</v>
      </c>
      <c r="E128" s="31">
        <v>926653</v>
      </c>
      <c r="F128" s="45">
        <v>13.571427999999999</v>
      </c>
      <c r="G128" s="33">
        <v>-13.571</v>
      </c>
      <c r="H128" s="45">
        <f t="shared" si="9"/>
        <v>4.2799999999942884E-4</v>
      </c>
      <c r="I128" s="99"/>
      <c r="J128" s="45">
        <f t="shared" si="10"/>
        <v>4.2799999999942884E-4</v>
      </c>
      <c r="K128" s="43">
        <f t="shared" si="11"/>
        <v>0</v>
      </c>
      <c r="L128" s="123">
        <v>44251</v>
      </c>
      <c r="M128" s="49">
        <f t="shared" si="12"/>
        <v>13.571427999999999</v>
      </c>
      <c r="N128" s="49">
        <f t="shared" si="13"/>
        <v>-13.571</v>
      </c>
      <c r="O128" s="49">
        <f t="shared" si="14"/>
        <v>4.2799999999942884E-4</v>
      </c>
      <c r="P128" s="49">
        <f t="shared" si="15"/>
        <v>0</v>
      </c>
      <c r="Q128" s="49">
        <f t="shared" si="16"/>
        <v>4.2799999999942884E-4</v>
      </c>
      <c r="R128" s="35">
        <f t="shared" si="17"/>
        <v>0</v>
      </c>
    </row>
    <row r="129" spans="1:18">
      <c r="A129" s="28">
        <v>115</v>
      </c>
      <c r="B129" s="31" t="s">
        <v>42</v>
      </c>
      <c r="C129" s="31" t="s">
        <v>37</v>
      </c>
      <c r="D129" s="31" t="s">
        <v>163</v>
      </c>
      <c r="E129" s="31">
        <v>952559</v>
      </c>
      <c r="F129" s="45">
        <v>13.571427999999999</v>
      </c>
      <c r="G129" s="33">
        <v>-13.571</v>
      </c>
      <c r="H129" s="45">
        <f t="shared" si="9"/>
        <v>4.2799999999942884E-4</v>
      </c>
      <c r="I129" s="99"/>
      <c r="J129" s="45">
        <f t="shared" si="10"/>
        <v>4.2799999999942884E-4</v>
      </c>
      <c r="K129" s="43">
        <f t="shared" si="11"/>
        <v>0</v>
      </c>
      <c r="L129" s="123">
        <v>44251</v>
      </c>
      <c r="M129" s="49">
        <f t="shared" si="12"/>
        <v>13.571427999999999</v>
      </c>
      <c r="N129" s="49">
        <f t="shared" si="13"/>
        <v>-13.571</v>
      </c>
      <c r="O129" s="49">
        <f t="shared" si="14"/>
        <v>4.2799999999942884E-4</v>
      </c>
      <c r="P129" s="49">
        <f t="shared" si="15"/>
        <v>0</v>
      </c>
      <c r="Q129" s="49">
        <f t="shared" si="16"/>
        <v>4.2799999999942884E-4</v>
      </c>
      <c r="R129" s="35">
        <f t="shared" si="17"/>
        <v>0</v>
      </c>
    </row>
    <row r="130" spans="1:18">
      <c r="A130" s="28">
        <v>116</v>
      </c>
      <c r="B130" s="31" t="s">
        <v>42</v>
      </c>
      <c r="C130" s="31" t="s">
        <v>37</v>
      </c>
      <c r="D130" s="31" t="s">
        <v>164</v>
      </c>
      <c r="E130" s="31">
        <v>954115</v>
      </c>
      <c r="F130" s="45">
        <v>13.571427999999999</v>
      </c>
      <c r="G130" s="29">
        <v>-13.571</v>
      </c>
      <c r="H130" s="45">
        <f t="shared" si="9"/>
        <v>4.2799999999942884E-4</v>
      </c>
      <c r="I130" s="99"/>
      <c r="J130" s="45">
        <f t="shared" si="10"/>
        <v>4.2799999999942884E-4</v>
      </c>
      <c r="K130" s="43">
        <f t="shared" si="11"/>
        <v>0</v>
      </c>
      <c r="L130" s="123">
        <v>44251</v>
      </c>
      <c r="M130" s="49">
        <f t="shared" si="12"/>
        <v>13.571427999999999</v>
      </c>
      <c r="N130" s="49">
        <f t="shared" si="13"/>
        <v>-13.571</v>
      </c>
      <c r="O130" s="49">
        <f t="shared" si="14"/>
        <v>4.2799999999942884E-4</v>
      </c>
      <c r="P130" s="49">
        <f t="shared" si="15"/>
        <v>0</v>
      </c>
      <c r="Q130" s="49">
        <f t="shared" si="16"/>
        <v>4.2799999999942884E-4</v>
      </c>
      <c r="R130" s="35">
        <f t="shared" si="17"/>
        <v>0</v>
      </c>
    </row>
    <row r="131" spans="1:18">
      <c r="A131" s="28">
        <v>117</v>
      </c>
      <c r="B131" s="31" t="s">
        <v>42</v>
      </c>
      <c r="C131" s="31" t="s">
        <v>37</v>
      </c>
      <c r="D131" s="31" t="s">
        <v>165</v>
      </c>
      <c r="E131" s="31">
        <v>965998</v>
      </c>
      <c r="F131" s="45">
        <v>13.571427999999999</v>
      </c>
      <c r="G131" s="29">
        <v>-13.571</v>
      </c>
      <c r="H131" s="45">
        <f t="shared" si="9"/>
        <v>4.2799999999942884E-4</v>
      </c>
      <c r="I131" s="99"/>
      <c r="J131" s="45">
        <f t="shared" si="10"/>
        <v>4.2799999999942884E-4</v>
      </c>
      <c r="K131" s="43">
        <f t="shared" si="11"/>
        <v>0</v>
      </c>
      <c r="L131" s="123">
        <v>44251</v>
      </c>
      <c r="M131" s="49">
        <f t="shared" si="12"/>
        <v>13.571427999999999</v>
      </c>
      <c r="N131" s="49">
        <f t="shared" si="13"/>
        <v>-13.571</v>
      </c>
      <c r="O131" s="49">
        <f t="shared" si="14"/>
        <v>4.2799999999942884E-4</v>
      </c>
      <c r="P131" s="49">
        <f t="shared" si="15"/>
        <v>0</v>
      </c>
      <c r="Q131" s="49">
        <f t="shared" si="16"/>
        <v>4.2799999999942884E-4</v>
      </c>
      <c r="R131" s="35">
        <f t="shared" si="17"/>
        <v>0</v>
      </c>
    </row>
    <row r="132" spans="1:18">
      <c r="A132" s="28">
        <v>118</v>
      </c>
      <c r="B132" s="31" t="s">
        <v>42</v>
      </c>
      <c r="C132" s="31" t="s">
        <v>37</v>
      </c>
      <c r="D132" s="31" t="s">
        <v>166</v>
      </c>
      <c r="E132" s="31">
        <v>903728</v>
      </c>
      <c r="F132" s="45">
        <v>13.571427999999999</v>
      </c>
      <c r="G132" s="29">
        <v>-13.571</v>
      </c>
      <c r="H132" s="45">
        <f t="shared" si="9"/>
        <v>4.2799999999942884E-4</v>
      </c>
      <c r="I132" s="99"/>
      <c r="J132" s="45">
        <f t="shared" si="10"/>
        <v>4.2799999999942884E-4</v>
      </c>
      <c r="K132" s="43">
        <f t="shared" si="11"/>
        <v>0</v>
      </c>
      <c r="L132" s="123">
        <v>44251</v>
      </c>
      <c r="M132" s="49">
        <f t="shared" si="12"/>
        <v>13.571427999999999</v>
      </c>
      <c r="N132" s="49">
        <f t="shared" si="13"/>
        <v>-13.571</v>
      </c>
      <c r="O132" s="49">
        <f t="shared" si="14"/>
        <v>4.2799999999942884E-4</v>
      </c>
      <c r="P132" s="49">
        <f t="shared" si="15"/>
        <v>0</v>
      </c>
      <c r="Q132" s="49">
        <f t="shared" si="16"/>
        <v>4.2799999999942884E-4</v>
      </c>
      <c r="R132" s="35">
        <f t="shared" si="17"/>
        <v>0</v>
      </c>
    </row>
    <row r="133" spans="1:18">
      <c r="A133" s="28">
        <v>119</v>
      </c>
      <c r="B133" s="31" t="s">
        <v>42</v>
      </c>
      <c r="C133" s="31" t="s">
        <v>37</v>
      </c>
      <c r="D133" s="31" t="s">
        <v>167</v>
      </c>
      <c r="E133" s="31">
        <v>964820</v>
      </c>
      <c r="F133" s="45">
        <v>13.571427999999999</v>
      </c>
      <c r="G133" s="33">
        <v>-13.571</v>
      </c>
      <c r="H133" s="45">
        <f t="shared" si="9"/>
        <v>4.2799999999942884E-4</v>
      </c>
      <c r="I133" s="99"/>
      <c r="J133" s="45">
        <f t="shared" si="10"/>
        <v>4.2799999999942884E-4</v>
      </c>
      <c r="K133" s="43">
        <f t="shared" si="11"/>
        <v>0</v>
      </c>
      <c r="L133" s="123">
        <v>44251</v>
      </c>
      <c r="M133" s="49">
        <f t="shared" si="12"/>
        <v>13.571427999999999</v>
      </c>
      <c r="N133" s="49">
        <f t="shared" si="13"/>
        <v>-13.571</v>
      </c>
      <c r="O133" s="49">
        <f t="shared" si="14"/>
        <v>4.2799999999942884E-4</v>
      </c>
      <c r="P133" s="49">
        <f t="shared" si="15"/>
        <v>0</v>
      </c>
      <c r="Q133" s="49">
        <f t="shared" si="16"/>
        <v>4.2799999999942884E-4</v>
      </c>
      <c r="R133" s="35">
        <f t="shared" si="17"/>
        <v>0</v>
      </c>
    </row>
    <row r="134" spans="1:18">
      <c r="A134" s="28">
        <v>120</v>
      </c>
      <c r="B134" s="31" t="s">
        <v>42</v>
      </c>
      <c r="C134" s="31" t="s">
        <v>37</v>
      </c>
      <c r="D134" s="31" t="s">
        <v>168</v>
      </c>
      <c r="E134" s="31">
        <v>951906</v>
      </c>
      <c r="F134" s="45">
        <v>13.571427999999999</v>
      </c>
      <c r="G134" s="29">
        <v>-13.571</v>
      </c>
      <c r="H134" s="45">
        <f t="shared" si="9"/>
        <v>4.2799999999942884E-4</v>
      </c>
      <c r="I134" s="99"/>
      <c r="J134" s="45">
        <f t="shared" si="10"/>
        <v>4.2799999999942884E-4</v>
      </c>
      <c r="K134" s="43">
        <f t="shared" si="11"/>
        <v>0</v>
      </c>
      <c r="L134" s="123">
        <v>44251</v>
      </c>
      <c r="M134" s="49">
        <f t="shared" si="12"/>
        <v>13.571427999999999</v>
      </c>
      <c r="N134" s="49">
        <f t="shared" si="13"/>
        <v>-13.571</v>
      </c>
      <c r="O134" s="49">
        <f t="shared" si="14"/>
        <v>4.2799999999942884E-4</v>
      </c>
      <c r="P134" s="49">
        <f t="shared" si="15"/>
        <v>0</v>
      </c>
      <c r="Q134" s="49">
        <f t="shared" si="16"/>
        <v>4.2799999999942884E-4</v>
      </c>
      <c r="R134" s="35">
        <f t="shared" si="17"/>
        <v>0</v>
      </c>
    </row>
    <row r="135" spans="1:18">
      <c r="A135" s="28">
        <v>121</v>
      </c>
      <c r="B135" s="31" t="s">
        <v>42</v>
      </c>
      <c r="C135" s="31" t="s">
        <v>37</v>
      </c>
      <c r="D135" s="31" t="s">
        <v>169</v>
      </c>
      <c r="E135" s="31">
        <v>968245</v>
      </c>
      <c r="F135" s="45">
        <v>13.571427999999999</v>
      </c>
      <c r="G135" s="33">
        <v>-13.571</v>
      </c>
      <c r="H135" s="45">
        <f t="shared" si="9"/>
        <v>4.2799999999942884E-4</v>
      </c>
      <c r="I135" s="99"/>
      <c r="J135" s="45">
        <f t="shared" si="10"/>
        <v>4.2799999999942884E-4</v>
      </c>
      <c r="K135" s="43">
        <f t="shared" si="11"/>
        <v>0</v>
      </c>
      <c r="L135" s="123">
        <v>44251</v>
      </c>
      <c r="M135" s="49">
        <f t="shared" si="12"/>
        <v>13.571427999999999</v>
      </c>
      <c r="N135" s="49">
        <f t="shared" si="13"/>
        <v>-13.571</v>
      </c>
      <c r="O135" s="49">
        <f t="shared" si="14"/>
        <v>4.2799999999942884E-4</v>
      </c>
      <c r="P135" s="49">
        <f t="shared" si="15"/>
        <v>0</v>
      </c>
      <c r="Q135" s="49">
        <f t="shared" si="16"/>
        <v>4.2799999999942884E-4</v>
      </c>
      <c r="R135" s="35">
        <f t="shared" si="17"/>
        <v>0</v>
      </c>
    </row>
    <row r="136" spans="1:18">
      <c r="A136" s="28">
        <v>122</v>
      </c>
      <c r="B136" s="31" t="s">
        <v>42</v>
      </c>
      <c r="C136" s="31" t="s">
        <v>37</v>
      </c>
      <c r="D136" s="31" t="s">
        <v>170</v>
      </c>
      <c r="E136" s="31">
        <v>965847</v>
      </c>
      <c r="F136" s="45">
        <v>13.571427999999999</v>
      </c>
      <c r="G136" s="33">
        <v>-13.571</v>
      </c>
      <c r="H136" s="45">
        <f t="shared" si="9"/>
        <v>4.2799999999942884E-4</v>
      </c>
      <c r="I136" s="99"/>
      <c r="J136" s="45">
        <f t="shared" si="10"/>
        <v>4.2799999999942884E-4</v>
      </c>
      <c r="K136" s="43">
        <f t="shared" si="11"/>
        <v>0</v>
      </c>
      <c r="L136" s="123">
        <v>44251</v>
      </c>
      <c r="M136" s="49">
        <f t="shared" si="12"/>
        <v>13.571427999999999</v>
      </c>
      <c r="N136" s="49">
        <f t="shared" si="13"/>
        <v>-13.571</v>
      </c>
      <c r="O136" s="49">
        <f t="shared" si="14"/>
        <v>4.2799999999942884E-4</v>
      </c>
      <c r="P136" s="49">
        <f t="shared" si="15"/>
        <v>0</v>
      </c>
      <c r="Q136" s="49">
        <f t="shared" si="16"/>
        <v>4.2799999999942884E-4</v>
      </c>
      <c r="R136" s="35">
        <f t="shared" si="17"/>
        <v>0</v>
      </c>
    </row>
    <row r="137" spans="1:18">
      <c r="A137" s="28">
        <v>123</v>
      </c>
      <c r="B137" s="31" t="s">
        <v>42</v>
      </c>
      <c r="C137" s="31" t="s">
        <v>37</v>
      </c>
      <c r="D137" s="31" t="s">
        <v>171</v>
      </c>
      <c r="E137" s="31">
        <v>900780</v>
      </c>
      <c r="F137" s="45">
        <v>13.571427999999999</v>
      </c>
      <c r="G137" s="33">
        <v>-13.571</v>
      </c>
      <c r="H137" s="45">
        <f t="shared" si="9"/>
        <v>4.2799999999942884E-4</v>
      </c>
      <c r="I137" s="99"/>
      <c r="J137" s="45">
        <f t="shared" si="10"/>
        <v>4.2799999999942884E-4</v>
      </c>
      <c r="K137" s="43">
        <f t="shared" si="11"/>
        <v>0</v>
      </c>
      <c r="L137" s="123">
        <v>44251</v>
      </c>
      <c r="M137" s="49">
        <f t="shared" si="12"/>
        <v>13.571427999999999</v>
      </c>
      <c r="N137" s="49">
        <f t="shared" si="13"/>
        <v>-13.571</v>
      </c>
      <c r="O137" s="49">
        <f t="shared" si="14"/>
        <v>4.2799999999942884E-4</v>
      </c>
      <c r="P137" s="49">
        <f t="shared" si="15"/>
        <v>0</v>
      </c>
      <c r="Q137" s="49">
        <f t="shared" si="16"/>
        <v>4.2799999999942884E-4</v>
      </c>
      <c r="R137" s="35">
        <f t="shared" si="17"/>
        <v>0</v>
      </c>
    </row>
    <row r="138" spans="1:18">
      <c r="A138" s="28">
        <v>124</v>
      </c>
      <c r="B138" s="31" t="s">
        <v>42</v>
      </c>
      <c r="C138" s="31" t="s">
        <v>37</v>
      </c>
      <c r="D138" s="31" t="s">
        <v>172</v>
      </c>
      <c r="E138" s="31">
        <v>918523</v>
      </c>
      <c r="F138" s="45">
        <v>13.571427999999999</v>
      </c>
      <c r="G138" s="29">
        <v>-13.571</v>
      </c>
      <c r="H138" s="45">
        <f t="shared" si="9"/>
        <v>4.2799999999942884E-4</v>
      </c>
      <c r="I138" s="99"/>
      <c r="J138" s="45">
        <f t="shared" si="10"/>
        <v>4.2799999999942884E-4</v>
      </c>
      <c r="K138" s="43">
        <f t="shared" si="11"/>
        <v>0</v>
      </c>
      <c r="L138" s="123">
        <v>44251</v>
      </c>
      <c r="M138" s="49">
        <f t="shared" si="12"/>
        <v>13.571427999999999</v>
      </c>
      <c r="N138" s="49">
        <f t="shared" si="13"/>
        <v>-13.571</v>
      </c>
      <c r="O138" s="49">
        <f t="shared" si="14"/>
        <v>4.2799999999942884E-4</v>
      </c>
      <c r="P138" s="49">
        <f t="shared" si="15"/>
        <v>0</v>
      </c>
      <c r="Q138" s="49">
        <f t="shared" si="16"/>
        <v>4.2799999999942884E-4</v>
      </c>
      <c r="R138" s="35">
        <f t="shared" si="17"/>
        <v>0</v>
      </c>
    </row>
    <row r="139" spans="1:18">
      <c r="A139" s="28">
        <v>125</v>
      </c>
      <c r="B139" s="31" t="s">
        <v>42</v>
      </c>
      <c r="C139" s="31" t="s">
        <v>37</v>
      </c>
      <c r="D139" s="31" t="s">
        <v>173</v>
      </c>
      <c r="E139" s="31">
        <v>951031</v>
      </c>
      <c r="F139" s="45">
        <v>13.571427999999999</v>
      </c>
      <c r="G139" s="29">
        <v>-13.571</v>
      </c>
      <c r="H139" s="45">
        <f t="shared" si="9"/>
        <v>4.2799999999942884E-4</v>
      </c>
      <c r="I139" s="99"/>
      <c r="J139" s="45">
        <f t="shared" si="10"/>
        <v>4.2799999999942884E-4</v>
      </c>
      <c r="K139" s="43">
        <f t="shared" si="11"/>
        <v>0</v>
      </c>
      <c r="L139" s="123">
        <v>44251</v>
      </c>
      <c r="M139" s="49">
        <f t="shared" si="12"/>
        <v>13.571427999999999</v>
      </c>
      <c r="N139" s="49">
        <f t="shared" si="13"/>
        <v>-13.571</v>
      </c>
      <c r="O139" s="49">
        <f t="shared" si="14"/>
        <v>4.2799999999942884E-4</v>
      </c>
      <c r="P139" s="49">
        <f t="shared" si="15"/>
        <v>0</v>
      </c>
      <c r="Q139" s="49">
        <f t="shared" si="16"/>
        <v>4.2799999999942884E-4</v>
      </c>
      <c r="R139" s="35">
        <f t="shared" si="17"/>
        <v>0</v>
      </c>
    </row>
    <row r="140" spans="1:18">
      <c r="A140" s="28">
        <v>126</v>
      </c>
      <c r="B140" s="31" t="s">
        <v>42</v>
      </c>
      <c r="C140" s="31" t="s">
        <v>37</v>
      </c>
      <c r="D140" s="31" t="s">
        <v>174</v>
      </c>
      <c r="E140" s="31">
        <v>924063</v>
      </c>
      <c r="F140" s="45">
        <v>13.571427999999999</v>
      </c>
      <c r="G140" s="29">
        <f>-12.071-1.3</f>
        <v>-13.371</v>
      </c>
      <c r="H140" s="45">
        <f>+F140+G140</f>
        <v>0.20042799999999872</v>
      </c>
      <c r="I140" s="99"/>
      <c r="J140" s="45">
        <f t="shared" si="10"/>
        <v>0.20042799999999872</v>
      </c>
      <c r="K140" s="43">
        <f t="shared" si="11"/>
        <v>0</v>
      </c>
      <c r="L140" s="28" t="s">
        <v>31</v>
      </c>
      <c r="M140" s="49">
        <f t="shared" si="12"/>
        <v>13.571427999999999</v>
      </c>
      <c r="N140" s="49">
        <f t="shared" si="13"/>
        <v>-13.371</v>
      </c>
      <c r="O140" s="49">
        <f t="shared" si="14"/>
        <v>0.20042799999999872</v>
      </c>
      <c r="P140" s="49">
        <f t="shared" si="15"/>
        <v>0</v>
      </c>
      <c r="Q140" s="49">
        <f t="shared" si="16"/>
        <v>0.20042799999999872</v>
      </c>
      <c r="R140" s="35">
        <f t="shared" si="17"/>
        <v>0</v>
      </c>
    </row>
    <row r="141" spans="1:18">
      <c r="A141" s="281" t="s">
        <v>183</v>
      </c>
      <c r="B141" s="282"/>
      <c r="C141" s="282"/>
      <c r="D141" s="282"/>
      <c r="E141" s="282"/>
      <c r="F141" s="63">
        <f>SUM(F15:F140)</f>
        <v>1709.9999279999977</v>
      </c>
      <c r="G141" s="63">
        <f>SUM(G15:G140)</f>
        <v>-1704.2539999999974</v>
      </c>
      <c r="H141" s="64">
        <f>+F141+G141</f>
        <v>5.7459280000002764</v>
      </c>
      <c r="I141" s="63">
        <f>SUM(I15:I140)</f>
        <v>2.238</v>
      </c>
      <c r="J141" s="64">
        <f t="shared" si="10"/>
        <v>3.5079280000002764</v>
      </c>
      <c r="K141" s="37">
        <f t="shared" si="11"/>
        <v>0.38949322024221195</v>
      </c>
      <c r="L141" s="38" t="s">
        <v>31</v>
      </c>
      <c r="M141" s="64">
        <f t="shared" si="12"/>
        <v>1709.9999279999977</v>
      </c>
      <c r="N141" s="64">
        <f>+G141</f>
        <v>-1704.2539999999974</v>
      </c>
      <c r="O141" s="64">
        <f>+M141+N141</f>
        <v>5.7459280000002764</v>
      </c>
      <c r="P141" s="64">
        <f>SUM(P15:P140)</f>
        <v>2.238</v>
      </c>
      <c r="Q141" s="64">
        <f>+O141-P141</f>
        <v>3.5079280000002764</v>
      </c>
      <c r="R141" s="37">
        <f>+P141/O141</f>
        <v>0.38949322024221195</v>
      </c>
    </row>
    <row r="142" spans="1:18">
      <c r="A142" s="13"/>
      <c r="B142" s="13"/>
      <c r="C142" s="13"/>
      <c r="D142" s="13"/>
      <c r="E142" s="13"/>
      <c r="F142" s="13"/>
      <c r="G142" s="7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4"/>
      <c r="O143" s="13"/>
      <c r="P143" s="24"/>
      <c r="Q143" s="13"/>
      <c r="R143" s="13"/>
    </row>
    <row r="144" spans="1:18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27" customFormat="1">
      <c r="A145" s="39"/>
      <c r="B145" s="48" t="s">
        <v>175</v>
      </c>
      <c r="C145" s="48" t="s">
        <v>176</v>
      </c>
      <c r="D145" s="48" t="s">
        <v>177</v>
      </c>
      <c r="E145" s="48" t="s">
        <v>3</v>
      </c>
      <c r="F145" s="48" t="s">
        <v>4</v>
      </c>
      <c r="G145" s="48" t="s">
        <v>178</v>
      </c>
      <c r="H145" s="48" t="s">
        <v>179</v>
      </c>
      <c r="I145" s="48" t="s">
        <v>49</v>
      </c>
      <c r="L145" s="39"/>
      <c r="M145" s="39"/>
      <c r="N145" s="39"/>
      <c r="O145" s="39"/>
      <c r="P145" s="39"/>
      <c r="Q145" s="39"/>
      <c r="R145" s="39"/>
    </row>
    <row r="146" spans="1:18">
      <c r="A146" s="13"/>
      <c r="B146" s="50" t="s">
        <v>41</v>
      </c>
      <c r="C146" s="50" t="s">
        <v>37</v>
      </c>
      <c r="D146" s="44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949.99995999999942</v>
      </c>
      <c r="E146" s="33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-946.84300000000133</v>
      </c>
      <c r="F146" s="44">
        <f>+D146+E146</f>
        <v>3.1569599999980937</v>
      </c>
      <c r="G146" s="33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2.0979999999999999</v>
      </c>
      <c r="H146" s="44">
        <f>+F146-G146</f>
        <v>1.0589599999980939</v>
      </c>
      <c r="I146" s="47">
        <f>+G146/F146</f>
        <v>0.66456337742678606</v>
      </c>
      <c r="J146" s="26"/>
      <c r="K146" s="40"/>
      <c r="L146" s="13"/>
      <c r="M146" s="13"/>
      <c r="N146" s="13"/>
      <c r="O146" s="13"/>
      <c r="P146" s="13"/>
      <c r="Q146" s="13"/>
      <c r="R146" s="13"/>
    </row>
    <row r="147" spans="1:18">
      <c r="A147" s="13"/>
      <c r="B147" s="50" t="s">
        <v>42</v>
      </c>
      <c r="C147" s="50" t="s">
        <v>37</v>
      </c>
      <c r="D147" s="44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759.99996799999985</v>
      </c>
      <c r="E147" s="33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-757.41100000000085</v>
      </c>
      <c r="F147" s="44">
        <f>+D147+E147</f>
        <v>2.5889679999989994</v>
      </c>
      <c r="G147" s="33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0.14000000000000001</v>
      </c>
      <c r="H147" s="44">
        <f>+F147-G147</f>
        <v>2.4489679999989993</v>
      </c>
      <c r="I147" s="47">
        <f>+G147/F147</f>
        <v>5.4075600779945568E-2</v>
      </c>
      <c r="J147" s="26"/>
      <c r="K147" s="40"/>
      <c r="L147" s="13"/>
      <c r="M147" s="13"/>
      <c r="N147" s="13"/>
      <c r="O147" s="13"/>
      <c r="P147" s="13"/>
      <c r="Q147" s="13"/>
      <c r="R147" s="13"/>
    </row>
    <row r="148" spans="1:18">
      <c r="A148" s="13"/>
      <c r="B148" s="283" t="s">
        <v>180</v>
      </c>
      <c r="C148" s="284"/>
      <c r="D148" s="65">
        <f>SUM(D146:D147)</f>
        <v>1709.9999279999993</v>
      </c>
      <c r="E148" s="65">
        <f>SUM(E146:E147)</f>
        <v>-1704.2540000000022</v>
      </c>
      <c r="F148" s="65">
        <f>+D148+E148</f>
        <v>5.7459279999970931</v>
      </c>
      <c r="G148" s="65">
        <f>SUM(G146:G147)</f>
        <v>2.238</v>
      </c>
      <c r="H148" s="65">
        <f>+F148-G148</f>
        <v>3.5079279999970931</v>
      </c>
      <c r="I148" s="53">
        <f>+G148/F148</f>
        <v>0.38949322024242772</v>
      </c>
      <c r="J148" s="26"/>
      <c r="K148" s="41"/>
      <c r="L148" s="13"/>
      <c r="M148" s="13"/>
      <c r="N148" s="13"/>
      <c r="O148" s="13"/>
      <c r="P148" s="13"/>
      <c r="Q148" s="13"/>
      <c r="R148" s="13"/>
    </row>
  </sheetData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3" priority="1" operator="lessThan">
      <formula>-12.317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B1:J84"/>
  <sheetViews>
    <sheetView workbookViewId="0">
      <selection activeCell="E15" sqref="E15"/>
    </sheetView>
  </sheetViews>
  <sheetFormatPr baseColWidth="10" defaultRowHeight="15"/>
  <cols>
    <col min="2" max="2" width="13.7109375" customWidth="1"/>
    <col min="3" max="3" width="18.42578125" customWidth="1"/>
    <col min="4" max="4" width="17.42578125" customWidth="1"/>
  </cols>
  <sheetData>
    <row r="1" spans="2:10" ht="15.75" thickBot="1"/>
    <row r="2" spans="2:10" s="89" customFormat="1">
      <c r="B2" s="259" t="s">
        <v>445</v>
      </c>
      <c r="C2" s="260"/>
      <c r="D2" s="260"/>
      <c r="E2" s="260"/>
      <c r="F2" s="260"/>
      <c r="G2" s="260"/>
      <c r="H2" s="260"/>
      <c r="I2" s="260"/>
      <c r="J2" s="261"/>
    </row>
    <row r="3" spans="2:10" s="89" customFormat="1">
      <c r="B3" s="262"/>
      <c r="C3" s="263"/>
      <c r="D3" s="263"/>
      <c r="E3" s="263"/>
      <c r="F3" s="263"/>
      <c r="G3" s="263"/>
      <c r="H3" s="263"/>
      <c r="I3" s="263"/>
      <c r="J3" s="264"/>
    </row>
    <row r="4" spans="2:10">
      <c r="B4" s="268">
        <f>+'Resumen Cuota Global'!B4</f>
        <v>44566</v>
      </c>
      <c r="C4" s="269"/>
      <c r="D4" s="269"/>
      <c r="E4" s="269"/>
      <c r="F4" s="269"/>
      <c r="G4" s="269"/>
      <c r="H4" s="269"/>
      <c r="I4" s="269"/>
      <c r="J4" s="270"/>
    </row>
    <row r="5" spans="2:10" s="89" customFormat="1" ht="15.75" thickBot="1">
      <c r="B5" s="265" t="s">
        <v>43</v>
      </c>
      <c r="C5" s="276"/>
      <c r="D5" s="276"/>
      <c r="E5" s="276"/>
      <c r="F5" s="276"/>
      <c r="G5" s="276"/>
      <c r="H5" s="276"/>
      <c r="I5" s="276"/>
      <c r="J5" s="277"/>
    </row>
    <row r="6" spans="2:10" s="72" customFormat="1">
      <c r="B6" s="278" t="s">
        <v>447</v>
      </c>
      <c r="C6" s="278"/>
      <c r="D6" s="278"/>
      <c r="E6" s="278"/>
      <c r="F6" s="278"/>
      <c r="G6" s="278"/>
      <c r="H6" s="278"/>
      <c r="I6" s="278"/>
      <c r="J6" s="278"/>
    </row>
    <row r="7" spans="2:10" s="89" customFormat="1"/>
    <row r="8" spans="2:10" ht="45">
      <c r="B8" s="131" t="s">
        <v>33</v>
      </c>
      <c r="C8" s="131" t="s">
        <v>410</v>
      </c>
      <c r="D8" s="131" t="s">
        <v>412</v>
      </c>
      <c r="E8" s="131" t="s">
        <v>413</v>
      </c>
      <c r="F8" s="131" t="s">
        <v>414</v>
      </c>
      <c r="G8" s="131" t="s">
        <v>415</v>
      </c>
      <c r="H8" s="131" t="s">
        <v>6</v>
      </c>
      <c r="I8" s="131" t="s">
        <v>27</v>
      </c>
      <c r="J8" s="131" t="s">
        <v>50</v>
      </c>
    </row>
    <row r="9" spans="2:10">
      <c r="B9" s="258" t="s">
        <v>11</v>
      </c>
      <c r="C9" s="132" t="s">
        <v>41</v>
      </c>
      <c r="D9" s="132" t="s">
        <v>53</v>
      </c>
      <c r="E9" s="132">
        <v>968207</v>
      </c>
      <c r="F9" s="133">
        <v>0.11746000000000123</v>
      </c>
      <c r="G9" s="90"/>
      <c r="H9" s="96">
        <f>+F9-G9</f>
        <v>0.11746000000000123</v>
      </c>
      <c r="I9" s="46">
        <f>+G9/H9</f>
        <v>0</v>
      </c>
      <c r="J9" s="129" t="s">
        <v>31</v>
      </c>
    </row>
    <row r="10" spans="2:10">
      <c r="B10" s="258"/>
      <c r="C10" s="132" t="s">
        <v>41</v>
      </c>
      <c r="D10" s="132" t="s">
        <v>54</v>
      </c>
      <c r="E10" s="132">
        <v>954587</v>
      </c>
      <c r="F10" s="133">
        <v>0.11746000000000123</v>
      </c>
      <c r="G10" s="90"/>
      <c r="H10" s="96">
        <f t="shared" ref="H10:H72" si="0">+F10-G10</f>
        <v>0.11746000000000123</v>
      </c>
      <c r="I10" s="46">
        <f t="shared" ref="I10:I72" si="1">+G10/H10</f>
        <v>0</v>
      </c>
      <c r="J10" s="129" t="s">
        <v>31</v>
      </c>
    </row>
    <row r="11" spans="2:10">
      <c r="B11" s="258"/>
      <c r="C11" s="132" t="s">
        <v>41</v>
      </c>
      <c r="D11" s="132" t="s">
        <v>55</v>
      </c>
      <c r="E11" s="132">
        <v>922442</v>
      </c>
      <c r="F11" s="133">
        <v>0.11746000000000123</v>
      </c>
      <c r="G11" s="90"/>
      <c r="H11" s="96">
        <f t="shared" si="0"/>
        <v>0.11746000000000123</v>
      </c>
      <c r="I11" s="46">
        <f t="shared" si="1"/>
        <v>0</v>
      </c>
      <c r="J11" s="129" t="s">
        <v>31</v>
      </c>
    </row>
    <row r="12" spans="2:10">
      <c r="B12" s="258"/>
      <c r="C12" s="132" t="s">
        <v>41</v>
      </c>
      <c r="D12" s="132" t="s">
        <v>56</v>
      </c>
      <c r="E12" s="132">
        <v>961932</v>
      </c>
      <c r="F12" s="133">
        <v>0.11746000000000123</v>
      </c>
      <c r="G12" s="90"/>
      <c r="H12" s="96">
        <f t="shared" si="0"/>
        <v>0.11746000000000123</v>
      </c>
      <c r="I12" s="46">
        <f t="shared" si="1"/>
        <v>0</v>
      </c>
      <c r="J12" s="129" t="s">
        <v>31</v>
      </c>
    </row>
    <row r="13" spans="2:10">
      <c r="B13" s="258"/>
      <c r="C13" s="132" t="s">
        <v>41</v>
      </c>
      <c r="D13" s="132" t="s">
        <v>58</v>
      </c>
      <c r="E13" s="132">
        <v>918725</v>
      </c>
      <c r="F13" s="133">
        <v>5.046000000000106E-2</v>
      </c>
      <c r="G13" s="90"/>
      <c r="H13" s="96">
        <f t="shared" si="0"/>
        <v>5.046000000000106E-2</v>
      </c>
      <c r="I13" s="46">
        <f t="shared" si="1"/>
        <v>0</v>
      </c>
      <c r="J13" s="129" t="s">
        <v>31</v>
      </c>
    </row>
    <row r="14" spans="2:10">
      <c r="B14" s="258"/>
      <c r="C14" s="132" t="s">
        <v>41</v>
      </c>
      <c r="D14" s="132" t="s">
        <v>59</v>
      </c>
      <c r="E14" s="132">
        <v>918466</v>
      </c>
      <c r="F14" s="133">
        <v>0.11746000000000123</v>
      </c>
      <c r="G14" s="90"/>
      <c r="H14" s="96">
        <f t="shared" si="0"/>
        <v>0.11746000000000123</v>
      </c>
      <c r="I14" s="46">
        <f t="shared" si="1"/>
        <v>0</v>
      </c>
      <c r="J14" s="129" t="s">
        <v>31</v>
      </c>
    </row>
    <row r="15" spans="2:10">
      <c r="B15" s="258"/>
      <c r="C15" s="132" t="s">
        <v>41</v>
      </c>
      <c r="D15" s="132" t="s">
        <v>60</v>
      </c>
      <c r="E15" s="132">
        <v>951943</v>
      </c>
      <c r="F15" s="133">
        <v>0.11746000000000123</v>
      </c>
      <c r="G15" s="90"/>
      <c r="H15" s="96">
        <f t="shared" si="0"/>
        <v>0.11746000000000123</v>
      </c>
      <c r="I15" s="46">
        <f t="shared" si="1"/>
        <v>0</v>
      </c>
      <c r="J15" s="129" t="s">
        <v>31</v>
      </c>
    </row>
    <row r="16" spans="2:10">
      <c r="B16" s="258"/>
      <c r="C16" s="132" t="s">
        <v>41</v>
      </c>
      <c r="D16" s="132" t="s">
        <v>61</v>
      </c>
      <c r="E16" s="132">
        <v>952448</v>
      </c>
      <c r="F16" s="133">
        <v>0.11746000000000123</v>
      </c>
      <c r="G16" s="90"/>
      <c r="H16" s="96">
        <f t="shared" si="0"/>
        <v>0.11746000000000123</v>
      </c>
      <c r="I16" s="46">
        <f t="shared" si="1"/>
        <v>0</v>
      </c>
      <c r="J16" s="129" t="s">
        <v>31</v>
      </c>
    </row>
    <row r="17" spans="2:10">
      <c r="B17" s="258"/>
      <c r="C17" s="132" t="s">
        <v>41</v>
      </c>
      <c r="D17" s="132" t="s">
        <v>64</v>
      </c>
      <c r="E17" s="132">
        <v>900895</v>
      </c>
      <c r="F17" s="133">
        <v>0.11746000000000123</v>
      </c>
      <c r="G17" s="90"/>
      <c r="H17" s="96">
        <f t="shared" si="0"/>
        <v>0.11746000000000123</v>
      </c>
      <c r="I17" s="46">
        <f t="shared" si="1"/>
        <v>0</v>
      </c>
      <c r="J17" s="129" t="s">
        <v>31</v>
      </c>
    </row>
    <row r="18" spans="2:10">
      <c r="B18" s="258"/>
      <c r="C18" s="132" t="s">
        <v>41</v>
      </c>
      <c r="D18" s="132" t="s">
        <v>66</v>
      </c>
      <c r="E18" s="132">
        <v>952272</v>
      </c>
      <c r="F18" s="133">
        <v>0.11746000000000123</v>
      </c>
      <c r="G18" s="90"/>
      <c r="H18" s="96">
        <f t="shared" si="0"/>
        <v>0.11746000000000123</v>
      </c>
      <c r="I18" s="46">
        <f t="shared" si="1"/>
        <v>0</v>
      </c>
      <c r="J18" s="129" t="s">
        <v>31</v>
      </c>
    </row>
    <row r="19" spans="2:10">
      <c r="B19" s="258"/>
      <c r="C19" s="132" t="s">
        <v>41</v>
      </c>
      <c r="D19" s="132" t="s">
        <v>67</v>
      </c>
      <c r="E19" s="132">
        <v>960680</v>
      </c>
      <c r="F19" s="133">
        <v>0.31746000000000052</v>
      </c>
      <c r="G19" s="90"/>
      <c r="H19" s="96">
        <f t="shared" si="0"/>
        <v>0.31746000000000052</v>
      </c>
      <c r="I19" s="46">
        <f t="shared" si="1"/>
        <v>0</v>
      </c>
      <c r="J19" s="129" t="s">
        <v>31</v>
      </c>
    </row>
    <row r="20" spans="2:10">
      <c r="B20" s="258"/>
      <c r="C20" s="132" t="s">
        <v>41</v>
      </c>
      <c r="D20" s="132" t="s">
        <v>68</v>
      </c>
      <c r="E20" s="132">
        <v>963416</v>
      </c>
      <c r="F20" s="133">
        <v>3.8460000000000605E-2</v>
      </c>
      <c r="G20" s="90"/>
      <c r="H20" s="96">
        <f t="shared" si="0"/>
        <v>3.8460000000000605E-2</v>
      </c>
      <c r="I20" s="46">
        <f t="shared" si="1"/>
        <v>0</v>
      </c>
      <c r="J20" s="129" t="s">
        <v>31</v>
      </c>
    </row>
    <row r="21" spans="2:10">
      <c r="B21" s="258"/>
      <c r="C21" s="132" t="s">
        <v>41</v>
      </c>
      <c r="D21" s="132" t="s">
        <v>69</v>
      </c>
      <c r="E21" s="132">
        <v>960679</v>
      </c>
      <c r="F21" s="133">
        <v>0.31746000000000052</v>
      </c>
      <c r="G21" s="90"/>
      <c r="H21" s="96">
        <f t="shared" si="0"/>
        <v>0.31746000000000052</v>
      </c>
      <c r="I21" s="46">
        <f t="shared" si="1"/>
        <v>0</v>
      </c>
      <c r="J21" s="129" t="s">
        <v>31</v>
      </c>
    </row>
    <row r="22" spans="2:10">
      <c r="B22" s="258"/>
      <c r="C22" s="132" t="s">
        <v>41</v>
      </c>
      <c r="D22" s="132" t="s">
        <v>71</v>
      </c>
      <c r="E22" s="132">
        <v>918715</v>
      </c>
      <c r="F22" s="133">
        <v>0.11746000000000123</v>
      </c>
      <c r="G22" s="90"/>
      <c r="H22" s="96">
        <f t="shared" si="0"/>
        <v>0.11746000000000123</v>
      </c>
      <c r="I22" s="46">
        <f t="shared" si="1"/>
        <v>0</v>
      </c>
      <c r="J22" s="129" t="s">
        <v>31</v>
      </c>
    </row>
    <row r="23" spans="2:10">
      <c r="B23" s="258"/>
      <c r="C23" s="132" t="s">
        <v>41</v>
      </c>
      <c r="D23" s="132" t="s">
        <v>72</v>
      </c>
      <c r="E23" s="132">
        <v>926081</v>
      </c>
      <c r="F23" s="133">
        <v>0.11746000000000123</v>
      </c>
      <c r="G23" s="90"/>
      <c r="H23" s="96">
        <f t="shared" si="0"/>
        <v>0.11746000000000123</v>
      </c>
      <c r="I23" s="46">
        <f t="shared" si="1"/>
        <v>0</v>
      </c>
      <c r="J23" s="129" t="s">
        <v>31</v>
      </c>
    </row>
    <row r="24" spans="2:10">
      <c r="B24" s="258"/>
      <c r="C24" s="132" t="s">
        <v>41</v>
      </c>
      <c r="D24" s="132" t="s">
        <v>74</v>
      </c>
      <c r="E24" s="132">
        <v>900894</v>
      </c>
      <c r="F24" s="133">
        <v>0.11746000000000123</v>
      </c>
      <c r="G24" s="90"/>
      <c r="H24" s="96">
        <f t="shared" si="0"/>
        <v>0.11746000000000123</v>
      </c>
      <c r="I24" s="46">
        <f t="shared" si="1"/>
        <v>0</v>
      </c>
      <c r="J24" s="129" t="s">
        <v>31</v>
      </c>
    </row>
    <row r="25" spans="2:10" ht="30">
      <c r="B25" s="258"/>
      <c r="C25" s="132" t="s">
        <v>41</v>
      </c>
      <c r="D25" s="132" t="s">
        <v>75</v>
      </c>
      <c r="E25" s="132">
        <v>926474</v>
      </c>
      <c r="F25" s="133">
        <v>0.11746000000000123</v>
      </c>
      <c r="G25" s="90"/>
      <c r="H25" s="96">
        <f t="shared" si="0"/>
        <v>0.11746000000000123</v>
      </c>
      <c r="I25" s="46">
        <f t="shared" si="1"/>
        <v>0</v>
      </c>
      <c r="J25" s="129" t="s">
        <v>31</v>
      </c>
    </row>
    <row r="26" spans="2:10">
      <c r="B26" s="258"/>
      <c r="C26" s="132" t="s">
        <v>41</v>
      </c>
      <c r="D26" s="132" t="s">
        <v>76</v>
      </c>
      <c r="E26" s="132">
        <v>954388</v>
      </c>
      <c r="F26" s="133">
        <v>0.11746000000000123</v>
      </c>
      <c r="G26" s="90"/>
      <c r="H26" s="96">
        <f t="shared" si="0"/>
        <v>0.11746000000000123</v>
      </c>
      <c r="I26" s="46">
        <f t="shared" si="1"/>
        <v>0</v>
      </c>
      <c r="J26" s="129" t="s">
        <v>31</v>
      </c>
    </row>
    <row r="27" spans="2:10">
      <c r="B27" s="258"/>
      <c r="C27" s="132" t="s">
        <v>41</v>
      </c>
      <c r="D27" s="132" t="s">
        <v>77</v>
      </c>
      <c r="E27" s="132">
        <v>15842</v>
      </c>
      <c r="F27" s="133">
        <v>0.11746000000000123</v>
      </c>
      <c r="G27" s="90"/>
      <c r="H27" s="96">
        <f t="shared" si="0"/>
        <v>0.11746000000000123</v>
      </c>
      <c r="I27" s="46">
        <f t="shared" si="1"/>
        <v>0</v>
      </c>
      <c r="J27" s="129" t="s">
        <v>31</v>
      </c>
    </row>
    <row r="28" spans="2:10">
      <c r="B28" s="258"/>
      <c r="C28" s="132" t="s">
        <v>41</v>
      </c>
      <c r="D28" s="132" t="s">
        <v>78</v>
      </c>
      <c r="E28" s="132">
        <v>951978</v>
      </c>
      <c r="F28" s="133">
        <v>0.11746000000000123</v>
      </c>
      <c r="G28" s="90"/>
      <c r="H28" s="96">
        <f t="shared" si="0"/>
        <v>0.11746000000000123</v>
      </c>
      <c r="I28" s="46">
        <f t="shared" si="1"/>
        <v>0</v>
      </c>
      <c r="J28" s="129" t="s">
        <v>31</v>
      </c>
    </row>
    <row r="29" spans="2:10">
      <c r="B29" s="258"/>
      <c r="C29" s="132" t="s">
        <v>41</v>
      </c>
      <c r="D29" s="132" t="s">
        <v>79</v>
      </c>
      <c r="E29" s="132">
        <v>903672</v>
      </c>
      <c r="F29" s="133">
        <v>0.11746000000000123</v>
      </c>
      <c r="G29" s="90"/>
      <c r="H29" s="96">
        <f t="shared" si="0"/>
        <v>0.11746000000000123</v>
      </c>
      <c r="I29" s="46">
        <f t="shared" si="1"/>
        <v>0</v>
      </c>
      <c r="J29" s="129" t="s">
        <v>31</v>
      </c>
    </row>
    <row r="30" spans="2:10">
      <c r="B30" s="258"/>
      <c r="C30" s="132" t="s">
        <v>41</v>
      </c>
      <c r="D30" s="132" t="s">
        <v>80</v>
      </c>
      <c r="E30" s="132">
        <v>920416</v>
      </c>
      <c r="F30" s="133">
        <v>0.11746000000000123</v>
      </c>
      <c r="G30" s="90"/>
      <c r="H30" s="96">
        <f t="shared" si="0"/>
        <v>0.11746000000000123</v>
      </c>
      <c r="I30" s="46">
        <f t="shared" si="1"/>
        <v>0</v>
      </c>
      <c r="J30" s="129" t="s">
        <v>31</v>
      </c>
    </row>
    <row r="31" spans="2:10">
      <c r="B31" s="258"/>
      <c r="C31" s="132" t="s">
        <v>41</v>
      </c>
      <c r="D31" s="132" t="s">
        <v>81</v>
      </c>
      <c r="E31" s="132">
        <v>951977</v>
      </c>
      <c r="F31" s="133">
        <v>0.11746000000000123</v>
      </c>
      <c r="G31" s="90"/>
      <c r="H31" s="96">
        <f t="shared" si="0"/>
        <v>0.11746000000000123</v>
      </c>
      <c r="I31" s="46">
        <f t="shared" si="1"/>
        <v>0</v>
      </c>
      <c r="J31" s="129" t="s">
        <v>31</v>
      </c>
    </row>
    <row r="32" spans="2:10">
      <c r="B32" s="258"/>
      <c r="C32" s="132" t="s">
        <v>41</v>
      </c>
      <c r="D32" s="132" t="s">
        <v>82</v>
      </c>
      <c r="E32" s="132">
        <v>957467</v>
      </c>
      <c r="F32" s="133">
        <v>0.11746000000000123</v>
      </c>
      <c r="G32" s="90"/>
      <c r="H32" s="96">
        <f t="shared" si="0"/>
        <v>0.11746000000000123</v>
      </c>
      <c r="I32" s="46">
        <f t="shared" si="1"/>
        <v>0</v>
      </c>
      <c r="J32" s="129" t="s">
        <v>31</v>
      </c>
    </row>
    <row r="33" spans="2:10">
      <c r="B33" s="258"/>
      <c r="C33" s="132" t="s">
        <v>41</v>
      </c>
      <c r="D33" s="132" t="s">
        <v>83</v>
      </c>
      <c r="E33" s="132">
        <v>913400</v>
      </c>
      <c r="F33" s="133">
        <v>0.11746000000000123</v>
      </c>
      <c r="G33" s="90"/>
      <c r="H33" s="96">
        <f t="shared" si="0"/>
        <v>0.11746000000000123</v>
      </c>
      <c r="I33" s="46">
        <f t="shared" si="1"/>
        <v>0</v>
      </c>
      <c r="J33" s="129" t="s">
        <v>31</v>
      </c>
    </row>
    <row r="34" spans="2:10">
      <c r="B34" s="258"/>
      <c r="C34" s="132" t="s">
        <v>41</v>
      </c>
      <c r="D34" s="132" t="s">
        <v>84</v>
      </c>
      <c r="E34" s="132">
        <v>960311</v>
      </c>
      <c r="F34" s="133">
        <v>0.11746000000000123</v>
      </c>
      <c r="G34" s="90"/>
      <c r="H34" s="96">
        <f t="shared" si="0"/>
        <v>0.11746000000000123</v>
      </c>
      <c r="I34" s="46">
        <f t="shared" si="1"/>
        <v>0</v>
      </c>
      <c r="J34" s="129" t="s">
        <v>31</v>
      </c>
    </row>
    <row r="35" spans="2:10">
      <c r="B35" s="258"/>
      <c r="C35" s="132" t="s">
        <v>41</v>
      </c>
      <c r="D35" s="132" t="s">
        <v>85</v>
      </c>
      <c r="E35" s="132">
        <v>961110</v>
      </c>
      <c r="F35" s="133">
        <v>0.11746000000000123</v>
      </c>
      <c r="G35" s="90"/>
      <c r="H35" s="96">
        <f t="shared" si="0"/>
        <v>0.11746000000000123</v>
      </c>
      <c r="I35" s="46">
        <f t="shared" si="1"/>
        <v>0</v>
      </c>
      <c r="J35" s="129" t="s">
        <v>31</v>
      </c>
    </row>
    <row r="36" spans="2:10">
      <c r="B36" s="258"/>
      <c r="C36" s="132" t="s">
        <v>41</v>
      </c>
      <c r="D36" s="132" t="s">
        <v>86</v>
      </c>
      <c r="E36" s="132">
        <v>15614</v>
      </c>
      <c r="F36" s="133">
        <v>0.11746000000000123</v>
      </c>
      <c r="G36" s="90"/>
      <c r="H36" s="96">
        <f t="shared" si="0"/>
        <v>0.11746000000000123</v>
      </c>
      <c r="I36" s="46">
        <f t="shared" si="1"/>
        <v>0</v>
      </c>
      <c r="J36" s="129" t="s">
        <v>31</v>
      </c>
    </row>
    <row r="37" spans="2:10">
      <c r="B37" s="258"/>
      <c r="C37" s="132" t="s">
        <v>41</v>
      </c>
      <c r="D37" s="132" t="s">
        <v>87</v>
      </c>
      <c r="E37" s="132">
        <v>966253</v>
      </c>
      <c r="F37" s="133">
        <v>0.11746000000000123</v>
      </c>
      <c r="G37" s="90"/>
      <c r="H37" s="96">
        <f t="shared" si="0"/>
        <v>0.11746000000000123</v>
      </c>
      <c r="I37" s="46">
        <f t="shared" si="1"/>
        <v>0</v>
      </c>
      <c r="J37" s="129" t="s">
        <v>31</v>
      </c>
    </row>
    <row r="38" spans="2:10">
      <c r="B38" s="258"/>
      <c r="C38" s="132" t="s">
        <v>41</v>
      </c>
      <c r="D38" s="132" t="s">
        <v>88</v>
      </c>
      <c r="E38" s="132">
        <v>955409</v>
      </c>
      <c r="F38" s="133">
        <v>0.11746000000000123</v>
      </c>
      <c r="G38" s="90"/>
      <c r="H38" s="96">
        <f t="shared" si="0"/>
        <v>0.11746000000000123</v>
      </c>
      <c r="I38" s="46">
        <f t="shared" si="1"/>
        <v>0</v>
      </c>
      <c r="J38" s="129" t="s">
        <v>31</v>
      </c>
    </row>
    <row r="39" spans="2:10">
      <c r="B39" s="258"/>
      <c r="C39" s="132" t="s">
        <v>41</v>
      </c>
      <c r="D39" s="132" t="s">
        <v>89</v>
      </c>
      <c r="E39" s="132">
        <v>963882</v>
      </c>
      <c r="F39" s="133">
        <v>0.11746000000000123</v>
      </c>
      <c r="G39" s="90"/>
      <c r="H39" s="96">
        <f t="shared" si="0"/>
        <v>0.11746000000000123</v>
      </c>
      <c r="I39" s="46">
        <f t="shared" si="1"/>
        <v>0</v>
      </c>
      <c r="J39" s="129" t="s">
        <v>31</v>
      </c>
    </row>
    <row r="40" spans="2:10">
      <c r="B40" s="258"/>
      <c r="C40" s="132" t="s">
        <v>41</v>
      </c>
      <c r="D40" s="132" t="s">
        <v>90</v>
      </c>
      <c r="E40" s="132">
        <v>920062</v>
      </c>
      <c r="F40" s="133">
        <v>0.11746000000000123</v>
      </c>
      <c r="G40" s="90"/>
      <c r="H40" s="96">
        <f t="shared" si="0"/>
        <v>0.11746000000000123</v>
      </c>
      <c r="I40" s="46">
        <f t="shared" si="1"/>
        <v>0</v>
      </c>
      <c r="J40" s="129" t="s">
        <v>31</v>
      </c>
    </row>
    <row r="41" spans="2:10">
      <c r="B41" s="258"/>
      <c r="C41" s="132" t="s">
        <v>41</v>
      </c>
      <c r="D41" s="132" t="s">
        <v>91</v>
      </c>
      <c r="E41" s="132">
        <v>922418</v>
      </c>
      <c r="F41" s="133">
        <v>0.11746000000000123</v>
      </c>
      <c r="G41" s="90"/>
      <c r="H41" s="96">
        <f t="shared" si="0"/>
        <v>0.11746000000000123</v>
      </c>
      <c r="I41" s="46">
        <f t="shared" si="1"/>
        <v>0</v>
      </c>
      <c r="J41" s="129" t="s">
        <v>31</v>
      </c>
    </row>
    <row r="42" spans="2:10">
      <c r="B42" s="258"/>
      <c r="C42" s="132" t="s">
        <v>41</v>
      </c>
      <c r="D42" s="132" t="s">
        <v>92</v>
      </c>
      <c r="E42" s="132">
        <v>964568</v>
      </c>
      <c r="F42" s="133">
        <v>0.11746000000000123</v>
      </c>
      <c r="G42" s="90"/>
      <c r="H42" s="96">
        <f t="shared" si="0"/>
        <v>0.11746000000000123</v>
      </c>
      <c r="I42" s="46">
        <f t="shared" si="1"/>
        <v>0</v>
      </c>
      <c r="J42" s="129" t="s">
        <v>31</v>
      </c>
    </row>
    <row r="43" spans="2:10">
      <c r="B43" s="258"/>
      <c r="C43" s="132" t="s">
        <v>41</v>
      </c>
      <c r="D43" s="132" t="s">
        <v>93</v>
      </c>
      <c r="E43" s="132">
        <v>966191</v>
      </c>
      <c r="F43" s="133">
        <v>0.11746000000000123</v>
      </c>
      <c r="G43" s="90"/>
      <c r="H43" s="96">
        <f t="shared" si="0"/>
        <v>0.11746000000000123</v>
      </c>
      <c r="I43" s="46">
        <f t="shared" si="1"/>
        <v>0</v>
      </c>
      <c r="J43" s="129" t="s">
        <v>31</v>
      </c>
    </row>
    <row r="44" spans="2:10">
      <c r="B44" s="258"/>
      <c r="C44" s="132" t="s">
        <v>41</v>
      </c>
      <c r="D44" s="132" t="s">
        <v>94</v>
      </c>
      <c r="E44" s="132">
        <v>15641</v>
      </c>
      <c r="F44" s="133">
        <v>0.11746000000000123</v>
      </c>
      <c r="G44" s="90"/>
      <c r="H44" s="96">
        <f t="shared" si="0"/>
        <v>0.11746000000000123</v>
      </c>
      <c r="I44" s="46">
        <f t="shared" si="1"/>
        <v>0</v>
      </c>
      <c r="J44" s="129" t="s">
        <v>31</v>
      </c>
    </row>
    <row r="45" spans="2:10">
      <c r="B45" s="258"/>
      <c r="C45" s="132" t="s">
        <v>41</v>
      </c>
      <c r="D45" s="132" t="s">
        <v>95</v>
      </c>
      <c r="E45" s="132">
        <v>950962</v>
      </c>
      <c r="F45" s="133">
        <v>0.11746000000000123</v>
      </c>
      <c r="G45" s="90"/>
      <c r="H45" s="96">
        <f t="shared" si="0"/>
        <v>0.11746000000000123</v>
      </c>
      <c r="I45" s="46">
        <f t="shared" si="1"/>
        <v>0</v>
      </c>
      <c r="J45" s="129" t="s">
        <v>31</v>
      </c>
    </row>
    <row r="46" spans="2:10">
      <c r="B46" s="258"/>
      <c r="C46" s="132" t="s">
        <v>41</v>
      </c>
      <c r="D46" s="132" t="s">
        <v>96</v>
      </c>
      <c r="E46" s="132">
        <v>15642</v>
      </c>
      <c r="F46" s="133">
        <v>0.11746000000000123</v>
      </c>
      <c r="G46" s="90"/>
      <c r="H46" s="96">
        <f t="shared" si="0"/>
        <v>0.11746000000000123</v>
      </c>
      <c r="I46" s="46">
        <f t="shared" si="1"/>
        <v>0</v>
      </c>
      <c r="J46" s="129" t="s">
        <v>31</v>
      </c>
    </row>
    <row r="47" spans="2:10">
      <c r="B47" s="258"/>
      <c r="C47" s="132" t="s">
        <v>41</v>
      </c>
      <c r="D47" s="132" t="s">
        <v>98</v>
      </c>
      <c r="E47" s="132">
        <v>951023</v>
      </c>
      <c r="F47" s="133">
        <v>0.11746000000000123</v>
      </c>
      <c r="G47" s="90"/>
      <c r="H47" s="96">
        <f t="shared" si="0"/>
        <v>0.11746000000000123</v>
      </c>
      <c r="I47" s="46">
        <f t="shared" si="1"/>
        <v>0</v>
      </c>
      <c r="J47" s="129" t="s">
        <v>31</v>
      </c>
    </row>
    <row r="48" spans="2:10">
      <c r="B48" s="258"/>
      <c r="C48" s="132" t="s">
        <v>41</v>
      </c>
      <c r="D48" s="132" t="s">
        <v>99</v>
      </c>
      <c r="E48" s="132">
        <v>913389</v>
      </c>
      <c r="F48" s="133">
        <v>0.11746000000000123</v>
      </c>
      <c r="G48" s="90"/>
      <c r="H48" s="96">
        <f t="shared" si="0"/>
        <v>0.11746000000000123</v>
      </c>
      <c r="I48" s="46">
        <f t="shared" si="1"/>
        <v>0</v>
      </c>
      <c r="J48" s="129" t="s">
        <v>31</v>
      </c>
    </row>
    <row r="49" spans="2:10">
      <c r="B49" s="258"/>
      <c r="C49" s="132" t="s">
        <v>41</v>
      </c>
      <c r="D49" s="132" t="s">
        <v>100</v>
      </c>
      <c r="E49" s="132">
        <v>920447</v>
      </c>
      <c r="F49" s="133">
        <v>0.11746000000000123</v>
      </c>
      <c r="G49" s="90"/>
      <c r="H49" s="96">
        <f t="shared" si="0"/>
        <v>0.11746000000000123</v>
      </c>
      <c r="I49" s="46">
        <f t="shared" si="1"/>
        <v>0</v>
      </c>
      <c r="J49" s="129" t="s">
        <v>31</v>
      </c>
    </row>
    <row r="50" spans="2:10">
      <c r="B50" s="258"/>
      <c r="C50" s="132" t="s">
        <v>41</v>
      </c>
      <c r="D50" s="132" t="s">
        <v>101</v>
      </c>
      <c r="E50" s="132">
        <v>28725</v>
      </c>
      <c r="F50" s="133">
        <v>0.11746000000000123</v>
      </c>
      <c r="G50" s="90"/>
      <c r="H50" s="96">
        <f t="shared" si="0"/>
        <v>0.11746000000000123</v>
      </c>
      <c r="I50" s="46">
        <f t="shared" si="1"/>
        <v>0</v>
      </c>
      <c r="J50" s="129" t="s">
        <v>31</v>
      </c>
    </row>
    <row r="51" spans="2:10">
      <c r="B51" s="258"/>
      <c r="C51" s="132" t="s">
        <v>41</v>
      </c>
      <c r="D51" s="132" t="s">
        <v>102</v>
      </c>
      <c r="E51" s="132">
        <v>967474</v>
      </c>
      <c r="F51" s="133">
        <v>0.11746000000000123</v>
      </c>
      <c r="G51" s="90"/>
      <c r="H51" s="96">
        <f t="shared" si="0"/>
        <v>0.11746000000000123</v>
      </c>
      <c r="I51" s="46">
        <f t="shared" si="1"/>
        <v>0</v>
      </c>
      <c r="J51" s="129" t="s">
        <v>31</v>
      </c>
    </row>
    <row r="52" spans="2:10">
      <c r="B52" s="258"/>
      <c r="C52" s="132" t="s">
        <v>41</v>
      </c>
      <c r="D52" s="132" t="s">
        <v>103</v>
      </c>
      <c r="E52" s="132">
        <v>33886</v>
      </c>
      <c r="F52" s="133">
        <v>0.11746000000000123</v>
      </c>
      <c r="G52" s="90"/>
      <c r="H52" s="96">
        <f t="shared" si="0"/>
        <v>0.11746000000000123</v>
      </c>
      <c r="I52" s="46">
        <f t="shared" si="1"/>
        <v>0</v>
      </c>
      <c r="J52" s="129" t="s">
        <v>31</v>
      </c>
    </row>
    <row r="53" spans="2:10">
      <c r="B53" s="258"/>
      <c r="C53" s="132" t="s">
        <v>41</v>
      </c>
      <c r="D53" s="132" t="s">
        <v>104</v>
      </c>
      <c r="E53" s="132">
        <v>956000</v>
      </c>
      <c r="F53" s="133">
        <v>0.11746000000000123</v>
      </c>
      <c r="G53" s="90"/>
      <c r="H53" s="96">
        <f t="shared" si="0"/>
        <v>0.11746000000000123</v>
      </c>
      <c r="I53" s="46">
        <f t="shared" si="1"/>
        <v>0</v>
      </c>
      <c r="J53" s="129" t="s">
        <v>31</v>
      </c>
    </row>
    <row r="54" spans="2:10">
      <c r="B54" s="258"/>
      <c r="C54" s="132" t="s">
        <v>41</v>
      </c>
      <c r="D54" s="132" t="s">
        <v>105</v>
      </c>
      <c r="E54" s="132">
        <v>964009</v>
      </c>
      <c r="F54" s="133">
        <v>0.29546000000000028</v>
      </c>
      <c r="G54" s="90"/>
      <c r="H54" s="96">
        <f t="shared" si="0"/>
        <v>0.29546000000000028</v>
      </c>
      <c r="I54" s="46">
        <f t="shared" si="1"/>
        <v>0</v>
      </c>
      <c r="J54" s="129" t="s">
        <v>31</v>
      </c>
    </row>
    <row r="55" spans="2:10">
      <c r="B55" s="258"/>
      <c r="C55" s="132" t="s">
        <v>41</v>
      </c>
      <c r="D55" s="132" t="s">
        <v>106</v>
      </c>
      <c r="E55" s="132">
        <v>964168</v>
      </c>
      <c r="F55" s="133">
        <v>0.11746000000000123</v>
      </c>
      <c r="G55" s="90"/>
      <c r="H55" s="96">
        <f t="shared" si="0"/>
        <v>0.11746000000000123</v>
      </c>
      <c r="I55" s="46">
        <f t="shared" si="1"/>
        <v>0</v>
      </c>
      <c r="J55" s="129" t="s">
        <v>31</v>
      </c>
    </row>
    <row r="56" spans="2:10">
      <c r="B56" s="258"/>
      <c r="C56" s="132" t="s">
        <v>41</v>
      </c>
      <c r="D56" s="132" t="s">
        <v>109</v>
      </c>
      <c r="E56" s="132">
        <v>967880</v>
      </c>
      <c r="F56" s="133">
        <v>0.39346000000000059</v>
      </c>
      <c r="G56" s="90"/>
      <c r="H56" s="96">
        <f t="shared" si="0"/>
        <v>0.39346000000000059</v>
      </c>
      <c r="I56" s="46">
        <f t="shared" si="1"/>
        <v>0</v>
      </c>
      <c r="J56" s="129" t="s">
        <v>31</v>
      </c>
    </row>
    <row r="57" spans="2:10">
      <c r="B57" s="258"/>
      <c r="C57" s="132" t="s">
        <v>41</v>
      </c>
      <c r="D57" s="132" t="s">
        <v>110</v>
      </c>
      <c r="E57" s="132">
        <v>965473</v>
      </c>
      <c r="F57" s="133">
        <v>0.11746000000000123</v>
      </c>
      <c r="G57" s="90"/>
      <c r="H57" s="96">
        <f t="shared" si="0"/>
        <v>0.11746000000000123</v>
      </c>
      <c r="I57" s="46">
        <f t="shared" si="1"/>
        <v>0</v>
      </c>
      <c r="J57" s="129" t="s">
        <v>31</v>
      </c>
    </row>
    <row r="58" spans="2:10">
      <c r="B58" s="258"/>
      <c r="C58" s="132" t="s">
        <v>41</v>
      </c>
      <c r="D58" s="132" t="s">
        <v>111</v>
      </c>
      <c r="E58" s="132">
        <v>37446</v>
      </c>
      <c r="F58" s="133">
        <v>2.3174600000000005</v>
      </c>
      <c r="G58" s="90"/>
      <c r="H58" s="96">
        <f t="shared" si="0"/>
        <v>2.3174600000000005</v>
      </c>
      <c r="I58" s="46">
        <f t="shared" si="1"/>
        <v>0</v>
      </c>
      <c r="J58" s="129" t="s">
        <v>31</v>
      </c>
    </row>
    <row r="59" spans="2:10">
      <c r="B59" s="258"/>
      <c r="C59" s="132" t="s">
        <v>41</v>
      </c>
      <c r="D59" s="132" t="s">
        <v>112</v>
      </c>
      <c r="E59" s="132">
        <v>964007</v>
      </c>
      <c r="F59" s="133">
        <v>0.11746000000000123</v>
      </c>
      <c r="G59" s="90"/>
      <c r="H59" s="96">
        <f t="shared" si="0"/>
        <v>0.11746000000000123</v>
      </c>
      <c r="I59" s="46">
        <f t="shared" si="1"/>
        <v>0</v>
      </c>
      <c r="J59" s="129" t="s">
        <v>31</v>
      </c>
    </row>
    <row r="60" spans="2:10">
      <c r="B60" s="258"/>
      <c r="C60" s="132" t="s">
        <v>41</v>
      </c>
      <c r="D60" s="132" t="s">
        <v>113</v>
      </c>
      <c r="E60" s="132">
        <v>963406</v>
      </c>
      <c r="F60" s="133">
        <v>0.11746000000000123</v>
      </c>
      <c r="G60" s="90"/>
      <c r="H60" s="96">
        <f t="shared" si="0"/>
        <v>0.11746000000000123</v>
      </c>
      <c r="I60" s="46">
        <f t="shared" si="1"/>
        <v>0</v>
      </c>
      <c r="J60" s="129" t="s">
        <v>31</v>
      </c>
    </row>
    <row r="61" spans="2:10">
      <c r="B61" s="258"/>
      <c r="C61" s="132" t="s">
        <v>41</v>
      </c>
      <c r="D61" s="132" t="s">
        <v>114</v>
      </c>
      <c r="E61" s="132">
        <v>918726</v>
      </c>
      <c r="F61" s="133">
        <v>5.7459999999999997E-2</v>
      </c>
      <c r="G61" s="90"/>
      <c r="H61" s="96">
        <f t="shared" si="0"/>
        <v>5.7459999999999997E-2</v>
      </c>
      <c r="I61" s="46">
        <f t="shared" si="1"/>
        <v>0</v>
      </c>
      <c r="J61" s="129" t="s">
        <v>31</v>
      </c>
    </row>
    <row r="62" spans="2:10">
      <c r="B62" s="258"/>
      <c r="C62" s="132" t="s">
        <v>41</v>
      </c>
      <c r="D62" s="132" t="s">
        <v>115</v>
      </c>
      <c r="E62" s="132">
        <v>913408</v>
      </c>
      <c r="F62" s="133">
        <v>0.11746000000000123</v>
      </c>
      <c r="G62" s="90"/>
      <c r="H62" s="96">
        <f t="shared" si="0"/>
        <v>0.11746000000000123</v>
      </c>
      <c r="I62" s="46">
        <f t="shared" si="1"/>
        <v>0</v>
      </c>
      <c r="J62" s="129" t="s">
        <v>31</v>
      </c>
    </row>
    <row r="63" spans="2:10">
      <c r="B63" s="258"/>
      <c r="C63" s="132" t="s">
        <v>41</v>
      </c>
      <c r="D63" s="132" t="s">
        <v>116</v>
      </c>
      <c r="E63" s="132">
        <v>964169</v>
      </c>
      <c r="F63" s="133">
        <v>0.11746000000000123</v>
      </c>
      <c r="G63" s="90"/>
      <c r="H63" s="96">
        <f t="shared" si="0"/>
        <v>0.11746000000000123</v>
      </c>
      <c r="I63" s="46">
        <f t="shared" si="1"/>
        <v>0</v>
      </c>
      <c r="J63" s="129" t="s">
        <v>31</v>
      </c>
    </row>
    <row r="64" spans="2:10">
      <c r="B64" s="258"/>
      <c r="C64" s="132" t="s">
        <v>41</v>
      </c>
      <c r="D64" s="132" t="s">
        <v>117</v>
      </c>
      <c r="E64" s="132">
        <v>961964</v>
      </c>
      <c r="F64" s="133">
        <v>9.5460000000001238E-2</v>
      </c>
      <c r="G64" s="90"/>
      <c r="H64" s="96">
        <f t="shared" si="0"/>
        <v>9.5460000000001238E-2</v>
      </c>
      <c r="I64" s="46">
        <f t="shared" si="1"/>
        <v>0</v>
      </c>
      <c r="J64" s="129" t="s">
        <v>31</v>
      </c>
    </row>
    <row r="65" spans="2:10">
      <c r="B65" s="258"/>
      <c r="C65" s="132" t="s">
        <v>41</v>
      </c>
      <c r="D65" s="132" t="s">
        <v>118</v>
      </c>
      <c r="E65" s="132">
        <v>920100</v>
      </c>
      <c r="F65" s="133">
        <v>0.11746000000000123</v>
      </c>
      <c r="G65" s="90"/>
      <c r="H65" s="96">
        <f t="shared" si="0"/>
        <v>0.11746000000000123</v>
      </c>
      <c r="I65" s="46">
        <f t="shared" si="1"/>
        <v>0</v>
      </c>
      <c r="J65" s="129" t="s">
        <v>31</v>
      </c>
    </row>
    <row r="66" spans="2:10">
      <c r="B66" s="258"/>
      <c r="C66" s="132" t="s">
        <v>41</v>
      </c>
      <c r="D66" s="132" t="s">
        <v>402</v>
      </c>
      <c r="E66" s="132">
        <v>923210</v>
      </c>
      <c r="F66" s="133">
        <v>0.11746000000000123</v>
      </c>
      <c r="G66" s="90"/>
      <c r="H66" s="96">
        <f t="shared" si="0"/>
        <v>0.11746000000000123</v>
      </c>
      <c r="I66" s="46">
        <f t="shared" si="1"/>
        <v>0</v>
      </c>
      <c r="J66" s="129" t="s">
        <v>31</v>
      </c>
    </row>
    <row r="67" spans="2:10">
      <c r="B67" s="258"/>
      <c r="C67" s="132" t="s">
        <v>41</v>
      </c>
      <c r="D67" s="132" t="s">
        <v>119</v>
      </c>
      <c r="E67" s="132">
        <v>920409</v>
      </c>
      <c r="F67" s="133">
        <v>0.11746000000000123</v>
      </c>
      <c r="G67" s="90"/>
      <c r="H67" s="96">
        <f t="shared" si="0"/>
        <v>0.11746000000000123</v>
      </c>
      <c r="I67" s="46">
        <f t="shared" si="1"/>
        <v>0</v>
      </c>
      <c r="J67" s="129" t="s">
        <v>31</v>
      </c>
    </row>
    <row r="68" spans="2:10">
      <c r="B68" s="258"/>
      <c r="C68" s="132" t="s">
        <v>41</v>
      </c>
      <c r="D68" s="132" t="s">
        <v>120</v>
      </c>
      <c r="E68" s="132">
        <v>954070</v>
      </c>
      <c r="F68" s="133">
        <v>0.11746000000000123</v>
      </c>
      <c r="G68" s="90"/>
      <c r="H68" s="96">
        <f t="shared" si="0"/>
        <v>0.11746000000000123</v>
      </c>
      <c r="I68" s="46">
        <f t="shared" si="1"/>
        <v>0</v>
      </c>
      <c r="J68" s="129" t="s">
        <v>31</v>
      </c>
    </row>
    <row r="69" spans="2:10">
      <c r="B69" s="258"/>
      <c r="C69" s="132" t="s">
        <v>42</v>
      </c>
      <c r="D69" s="132" t="s">
        <v>122</v>
      </c>
      <c r="E69" s="132">
        <v>16115</v>
      </c>
      <c r="F69" s="133">
        <v>0.4004600000000007</v>
      </c>
      <c r="G69" s="90"/>
      <c r="H69" s="96">
        <f t="shared" si="0"/>
        <v>0.4004600000000007</v>
      </c>
      <c r="I69" s="46">
        <f t="shared" si="1"/>
        <v>0</v>
      </c>
      <c r="J69" s="129" t="s">
        <v>31</v>
      </c>
    </row>
    <row r="70" spans="2:10">
      <c r="B70" s="258"/>
      <c r="C70" s="132" t="s">
        <v>42</v>
      </c>
      <c r="D70" s="132" t="s">
        <v>123</v>
      </c>
      <c r="E70" s="132">
        <v>15868</v>
      </c>
      <c r="F70" s="133">
        <v>0.11746000000000123</v>
      </c>
      <c r="G70" s="90"/>
      <c r="H70" s="96">
        <f t="shared" si="0"/>
        <v>0.11746000000000123</v>
      </c>
      <c r="I70" s="46">
        <f t="shared" si="1"/>
        <v>0</v>
      </c>
      <c r="J70" s="129" t="s">
        <v>31</v>
      </c>
    </row>
    <row r="71" spans="2:10">
      <c r="B71" s="258"/>
      <c r="C71" s="132" t="s">
        <v>42</v>
      </c>
      <c r="D71" s="132" t="s">
        <v>124</v>
      </c>
      <c r="E71" s="132">
        <v>15932</v>
      </c>
      <c r="F71" s="133">
        <v>0.11746000000000123</v>
      </c>
      <c r="G71" s="90"/>
      <c r="H71" s="96">
        <f t="shared" si="0"/>
        <v>0.11746000000000123</v>
      </c>
      <c r="I71" s="46">
        <f t="shared" si="1"/>
        <v>0</v>
      </c>
      <c r="J71" s="129" t="s">
        <v>31</v>
      </c>
    </row>
    <row r="72" spans="2:10">
      <c r="B72" s="258"/>
      <c r="C72" s="132" t="s">
        <v>42</v>
      </c>
      <c r="D72" s="132" t="s">
        <v>131</v>
      </c>
      <c r="E72" s="132">
        <v>964675</v>
      </c>
      <c r="F72" s="133">
        <v>0.11746000000000123</v>
      </c>
      <c r="G72" s="90"/>
      <c r="H72" s="96">
        <f t="shared" si="0"/>
        <v>0.11746000000000123</v>
      </c>
      <c r="I72" s="46">
        <f t="shared" si="1"/>
        <v>0</v>
      </c>
      <c r="J72" s="129" t="s">
        <v>31</v>
      </c>
    </row>
    <row r="73" spans="2:10">
      <c r="B73" s="258"/>
      <c r="C73" s="132" t="s">
        <v>42</v>
      </c>
      <c r="D73" s="132" t="s">
        <v>135</v>
      </c>
      <c r="E73" s="132">
        <v>963230</v>
      </c>
      <c r="F73" s="133">
        <v>5.4600000000011306E-3</v>
      </c>
      <c r="G73" s="90"/>
      <c r="H73" s="96">
        <f t="shared" ref="H73:H84" si="2">+F73-G73</f>
        <v>5.4600000000011306E-3</v>
      </c>
      <c r="I73" s="46">
        <f t="shared" ref="I73:I84" si="3">+G73/H73</f>
        <v>0</v>
      </c>
      <c r="J73" s="129" t="s">
        <v>31</v>
      </c>
    </row>
    <row r="74" spans="2:10">
      <c r="B74" s="258"/>
      <c r="C74" s="132" t="s">
        <v>42</v>
      </c>
      <c r="D74" s="132" t="s">
        <v>141</v>
      </c>
      <c r="E74" s="132">
        <v>926458</v>
      </c>
      <c r="F74" s="133">
        <v>5.046000000000106E-2</v>
      </c>
      <c r="G74" s="90"/>
      <c r="H74" s="96">
        <f t="shared" si="2"/>
        <v>5.046000000000106E-2</v>
      </c>
      <c r="I74" s="46">
        <f t="shared" si="3"/>
        <v>0</v>
      </c>
      <c r="J74" s="129" t="s">
        <v>31</v>
      </c>
    </row>
    <row r="75" spans="2:10">
      <c r="B75" s="258"/>
      <c r="C75" s="132" t="s">
        <v>42</v>
      </c>
      <c r="D75" s="132" t="s">
        <v>142</v>
      </c>
      <c r="E75" s="132">
        <v>950318</v>
      </c>
      <c r="F75" s="133">
        <v>5.046000000000106E-2</v>
      </c>
      <c r="G75" s="90"/>
      <c r="H75" s="96">
        <f t="shared" si="2"/>
        <v>5.046000000000106E-2</v>
      </c>
      <c r="I75" s="46">
        <f t="shared" si="3"/>
        <v>0</v>
      </c>
      <c r="J75" s="129" t="s">
        <v>31</v>
      </c>
    </row>
    <row r="76" spans="2:10">
      <c r="B76" s="258"/>
      <c r="C76" s="132" t="s">
        <v>42</v>
      </c>
      <c r="D76" s="132" t="s">
        <v>95</v>
      </c>
      <c r="E76" s="132">
        <v>918732</v>
      </c>
      <c r="F76" s="133">
        <v>0.31746000000000052</v>
      </c>
      <c r="G76" s="90"/>
      <c r="H76" s="96">
        <f t="shared" si="2"/>
        <v>0.31746000000000052</v>
      </c>
      <c r="I76" s="46">
        <f t="shared" si="3"/>
        <v>0</v>
      </c>
      <c r="J76" s="129" t="s">
        <v>31</v>
      </c>
    </row>
    <row r="77" spans="2:10">
      <c r="B77" s="258"/>
      <c r="C77" s="132" t="s">
        <v>42</v>
      </c>
      <c r="D77" s="132" t="s">
        <v>149</v>
      </c>
      <c r="E77" s="132">
        <v>963667</v>
      </c>
      <c r="F77" s="133">
        <v>0.31746000000000052</v>
      </c>
      <c r="G77" s="90"/>
      <c r="H77" s="96">
        <f t="shared" si="2"/>
        <v>0.31746000000000052</v>
      </c>
      <c r="I77" s="46">
        <f t="shared" si="3"/>
        <v>0</v>
      </c>
      <c r="J77" s="129" t="s">
        <v>31</v>
      </c>
    </row>
    <row r="78" spans="2:10">
      <c r="B78" s="258"/>
      <c r="C78" s="132" t="s">
        <v>42</v>
      </c>
      <c r="D78" s="132" t="s">
        <v>150</v>
      </c>
      <c r="E78" s="132">
        <v>926661</v>
      </c>
      <c r="F78" s="133">
        <v>1.2459999999999999E-2</v>
      </c>
      <c r="G78" s="90"/>
      <c r="H78" s="96">
        <f t="shared" si="2"/>
        <v>1.2459999999999999E-2</v>
      </c>
      <c r="I78" s="46">
        <f t="shared" si="3"/>
        <v>0</v>
      </c>
      <c r="J78" s="129" t="s">
        <v>31</v>
      </c>
    </row>
    <row r="79" spans="2:10">
      <c r="B79" s="258"/>
      <c r="C79" s="132" t="s">
        <v>42</v>
      </c>
      <c r="D79" s="132" t="s">
        <v>155</v>
      </c>
      <c r="E79" s="132">
        <v>924069</v>
      </c>
      <c r="F79" s="133">
        <v>0.25046000000000035</v>
      </c>
      <c r="G79" s="90"/>
      <c r="H79" s="96">
        <f t="shared" si="2"/>
        <v>0.25046000000000035</v>
      </c>
      <c r="I79" s="46">
        <f t="shared" si="3"/>
        <v>0</v>
      </c>
      <c r="J79" s="129" t="s">
        <v>31</v>
      </c>
    </row>
    <row r="80" spans="2:10">
      <c r="B80" s="258"/>
      <c r="C80" s="132" t="s">
        <v>42</v>
      </c>
      <c r="D80" s="132" t="s">
        <v>157</v>
      </c>
      <c r="E80" s="132">
        <v>965507</v>
      </c>
      <c r="F80" s="133">
        <v>5.046000000000106E-2</v>
      </c>
      <c r="G80" s="90"/>
      <c r="H80" s="96">
        <f t="shared" si="2"/>
        <v>5.046000000000106E-2</v>
      </c>
      <c r="I80" s="46">
        <f t="shared" si="3"/>
        <v>0</v>
      </c>
      <c r="J80" s="129" t="s">
        <v>31</v>
      </c>
    </row>
    <row r="81" spans="2:10">
      <c r="B81" s="258"/>
      <c r="C81" s="132" t="s">
        <v>42</v>
      </c>
      <c r="D81" s="132" t="s">
        <v>158</v>
      </c>
      <c r="E81" s="132">
        <v>965508</v>
      </c>
      <c r="F81" s="133">
        <v>5.046000000000106E-2</v>
      </c>
      <c r="G81" s="90"/>
      <c r="H81" s="96">
        <f t="shared" si="2"/>
        <v>5.046000000000106E-2</v>
      </c>
      <c r="I81" s="46">
        <f t="shared" si="3"/>
        <v>0</v>
      </c>
      <c r="J81" s="129" t="s">
        <v>31</v>
      </c>
    </row>
    <row r="82" spans="2:10">
      <c r="B82" s="258"/>
      <c r="C82" s="132" t="s">
        <v>42</v>
      </c>
      <c r="D82" s="132" t="s">
        <v>160</v>
      </c>
      <c r="E82" s="132">
        <v>967340</v>
      </c>
      <c r="F82" s="133">
        <v>0.25046000000000035</v>
      </c>
      <c r="G82" s="90"/>
      <c r="H82" s="96">
        <f t="shared" si="2"/>
        <v>0.25046000000000035</v>
      </c>
      <c r="I82" s="46">
        <f t="shared" si="3"/>
        <v>0</v>
      </c>
      <c r="J82" s="129" t="s">
        <v>31</v>
      </c>
    </row>
    <row r="83" spans="2:10">
      <c r="B83" s="258"/>
      <c r="C83" s="132" t="s">
        <v>42</v>
      </c>
      <c r="D83" s="132" t="s">
        <v>161</v>
      </c>
      <c r="E83" s="132">
        <v>903694</v>
      </c>
      <c r="F83" s="133">
        <v>0.10045999999999999</v>
      </c>
      <c r="G83" s="90"/>
      <c r="H83" s="96">
        <f t="shared" si="2"/>
        <v>0.10045999999999999</v>
      </c>
      <c r="I83" s="46">
        <f t="shared" si="3"/>
        <v>0</v>
      </c>
      <c r="J83" s="129" t="s">
        <v>31</v>
      </c>
    </row>
    <row r="84" spans="2:10">
      <c r="B84" s="258"/>
      <c r="C84" s="132" t="s">
        <v>42</v>
      </c>
      <c r="D84" s="132" t="s">
        <v>174</v>
      </c>
      <c r="E84" s="132">
        <v>924063</v>
      </c>
      <c r="F84" s="133">
        <v>2.4600000000010169E-3</v>
      </c>
      <c r="G84" s="90"/>
      <c r="H84" s="96">
        <f t="shared" si="2"/>
        <v>2.4600000000010169E-3</v>
      </c>
      <c r="I84" s="46">
        <f t="shared" si="3"/>
        <v>0</v>
      </c>
      <c r="J84" s="129" t="s">
        <v>31</v>
      </c>
    </row>
  </sheetData>
  <mergeCells count="5">
    <mergeCell ref="B9:B84"/>
    <mergeCell ref="B2:J3"/>
    <mergeCell ref="B4:J4"/>
    <mergeCell ref="B5:J5"/>
    <mergeCell ref="B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B1:T42"/>
  <sheetViews>
    <sheetView zoomScale="90" zoomScaleNormal="90" workbookViewId="0">
      <selection activeCell="F17" sqref="F17"/>
    </sheetView>
  </sheetViews>
  <sheetFormatPr baseColWidth="10" defaultRowHeight="15"/>
  <cols>
    <col min="1" max="1" width="4.42578125" customWidth="1"/>
    <col min="3" max="3" width="16.140625" bestFit="1" customWidth="1"/>
    <col min="5" max="5" width="13.42578125" bestFit="1" customWidth="1"/>
    <col min="6" max="6" width="13.42578125" customWidth="1"/>
    <col min="7" max="7" width="11.5703125" customWidth="1"/>
    <col min="12" max="12" width="14.5703125" customWidth="1"/>
    <col min="14" max="14" width="11" customWidth="1"/>
    <col min="15" max="15" width="10" bestFit="1" customWidth="1"/>
  </cols>
  <sheetData>
    <row r="1" spans="2:20" ht="15.75" thickBot="1"/>
    <row r="2" spans="2:20" ht="18.75">
      <c r="B2" s="251" t="s">
        <v>401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/>
    </row>
    <row r="3" spans="2:20" ht="19.5" thickBot="1">
      <c r="B3" s="254">
        <f>+'Merluza del sur Artesanal X'!B3</f>
        <v>44566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</row>
    <row r="4" spans="2:20" ht="15.75">
      <c r="B4" s="257" t="s">
        <v>43</v>
      </c>
      <c r="C4" s="257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</row>
    <row r="5" spans="2:20" ht="15.75">
      <c r="B5" s="250" t="s">
        <v>202</v>
      </c>
      <c r="C5" s="250"/>
      <c r="D5" s="250"/>
      <c r="E5" s="250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2:20">
      <c r="K6" s="295" t="s">
        <v>182</v>
      </c>
      <c r="L6" s="295"/>
      <c r="M6" s="295"/>
      <c r="N6" s="295"/>
      <c r="O6" s="295"/>
      <c r="P6" s="295"/>
    </row>
    <row r="7" spans="2:20" ht="30">
      <c r="B7" s="67" t="s">
        <v>21</v>
      </c>
      <c r="C7" s="67" t="s">
        <v>204</v>
      </c>
      <c r="D7" s="67" t="s">
        <v>185</v>
      </c>
      <c r="E7" s="67" t="s">
        <v>35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205</v>
      </c>
      <c r="K7" s="67" t="s">
        <v>35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205</v>
      </c>
    </row>
    <row r="8" spans="2:20" ht="15" customHeight="1">
      <c r="B8" s="303" t="s">
        <v>378</v>
      </c>
      <c r="C8" s="297" t="s">
        <v>206</v>
      </c>
      <c r="D8" s="33" t="s">
        <v>212</v>
      </c>
      <c r="E8" s="174">
        <v>258.4969562</v>
      </c>
      <c r="F8" s="208">
        <f>823.118+243.036+54.284+474.343+120.832</f>
        <v>1715.6130000000003</v>
      </c>
      <c r="G8" s="175">
        <f>+E8+F8</f>
        <v>1974.1099562000004</v>
      </c>
      <c r="H8" s="178"/>
      <c r="I8" s="175">
        <f>+G8-H8</f>
        <v>1974.1099562000004</v>
      </c>
      <c r="J8" s="176">
        <f>+H8/G8</f>
        <v>0</v>
      </c>
      <c r="K8" s="293">
        <f>+E8+E9</f>
        <v>738.69636820000005</v>
      </c>
      <c r="L8" s="293">
        <f>+F8+F9</f>
        <v>4353.0699000000004</v>
      </c>
      <c r="M8" s="293">
        <f>+K8+L8</f>
        <v>5091.7662682000009</v>
      </c>
      <c r="N8" s="293">
        <f>+H8+H9</f>
        <v>4801.125</v>
      </c>
      <c r="O8" s="293">
        <f>+M8-N8</f>
        <v>290.64126820000092</v>
      </c>
      <c r="P8" s="289">
        <f>+N8/M8</f>
        <v>0.94291936179098301</v>
      </c>
    </row>
    <row r="9" spans="2:20" s="13" customFormat="1">
      <c r="B9" s="304"/>
      <c r="C9" s="297"/>
      <c r="D9" s="33" t="s">
        <v>211</v>
      </c>
      <c r="E9" s="174">
        <v>480.199412</v>
      </c>
      <c r="F9" s="208">
        <f>525.23+357.118+191.246+27.071+13.571+268.861+500.02732+76.276+342.622+57.226+96.667+64.659+5.476+11.389+100.01758</f>
        <v>2637.4569000000001</v>
      </c>
      <c r="G9" s="175">
        <f>+I8+E9+F9</f>
        <v>5091.7662682000009</v>
      </c>
      <c r="H9" s="177">
        <v>4801.125</v>
      </c>
      <c r="I9" s="175">
        <f t="shared" ref="I9:I21" si="0">+G9-H9</f>
        <v>290.64126820000092</v>
      </c>
      <c r="J9" s="176">
        <f t="shared" ref="J9:J22" si="1">+H9/G9</f>
        <v>0.94291936179098301</v>
      </c>
      <c r="K9" s="294"/>
      <c r="L9" s="294"/>
      <c r="M9" s="294"/>
      <c r="N9" s="294"/>
      <c r="O9" s="294"/>
      <c r="P9" s="290"/>
    </row>
    <row r="10" spans="2:20">
      <c r="B10" s="304"/>
      <c r="C10" s="297" t="s">
        <v>207</v>
      </c>
      <c r="D10" s="33" t="s">
        <v>212</v>
      </c>
      <c r="E10" s="174">
        <v>502.65144900000001</v>
      </c>
      <c r="F10" s="208">
        <v>72.051000000000002</v>
      </c>
      <c r="G10" s="174">
        <f>+E10+F10</f>
        <v>574.702449</v>
      </c>
      <c r="H10" s="174">
        <v>39.407220000000002</v>
      </c>
      <c r="I10" s="174">
        <f t="shared" si="0"/>
        <v>535.29522899999995</v>
      </c>
      <c r="J10" s="179">
        <f t="shared" si="1"/>
        <v>6.8569779141484058E-2</v>
      </c>
      <c r="K10" s="293">
        <f>+E10+E11</f>
        <v>1436.4070409999999</v>
      </c>
      <c r="L10" s="293">
        <f>+F10+F11</f>
        <v>1029.4391181999999</v>
      </c>
      <c r="M10" s="293">
        <f t="shared" ref="M10" si="2">+K10+L10</f>
        <v>2465.8461591999999</v>
      </c>
      <c r="N10" s="293">
        <f t="shared" ref="N10" si="3">+H10+H11</f>
        <v>2413.6831499999998</v>
      </c>
      <c r="O10" s="293">
        <f t="shared" ref="O10" si="4">+M10-N10</f>
        <v>52.163009200000033</v>
      </c>
      <c r="P10" s="289">
        <f t="shared" ref="P10" si="5">+N10/M10</f>
        <v>0.97884579741303757</v>
      </c>
    </row>
    <row r="11" spans="2:20" s="13" customFormat="1">
      <c r="B11" s="304"/>
      <c r="C11" s="297"/>
      <c r="D11" s="33" t="s">
        <v>211</v>
      </c>
      <c r="E11" s="174">
        <v>933.75559199999998</v>
      </c>
      <c r="F11" s="208">
        <f>197.992+26.421+110.341+120.333+100+380+84.308+406.522+6.409+43.435+20.46+22.222-35.535-119.5212618-904.34206+139+150.00508+9.3+50.03328+150.00508</f>
        <v>957.38811819999989</v>
      </c>
      <c r="G11" s="174">
        <f>+I10+E11+F11</f>
        <v>2426.4389391999998</v>
      </c>
      <c r="H11" s="196">
        <v>2374.2759299999998</v>
      </c>
      <c r="I11" s="174">
        <f t="shared" si="0"/>
        <v>52.163009200000033</v>
      </c>
      <c r="J11" s="179">
        <f t="shared" si="1"/>
        <v>0.97850223702015005</v>
      </c>
      <c r="K11" s="294"/>
      <c r="L11" s="294"/>
      <c r="M11" s="294"/>
      <c r="N11" s="294"/>
      <c r="O11" s="294"/>
      <c r="P11" s="290"/>
    </row>
    <row r="12" spans="2:20">
      <c r="B12" s="304"/>
      <c r="C12" s="298" t="s">
        <v>403</v>
      </c>
      <c r="D12" s="33" t="s">
        <v>212</v>
      </c>
      <c r="E12" s="174">
        <v>268.76693999999998</v>
      </c>
      <c r="F12" s="208">
        <v>1200</v>
      </c>
      <c r="G12" s="175">
        <f>+E12+F12</f>
        <v>1468.76694</v>
      </c>
      <c r="H12" s="178">
        <v>319.03800000000001</v>
      </c>
      <c r="I12" s="175">
        <f t="shared" si="0"/>
        <v>1149.72894</v>
      </c>
      <c r="J12" s="176">
        <f t="shared" si="1"/>
        <v>0.21721485642916227</v>
      </c>
      <c r="K12" s="293">
        <f>+E12+E13</f>
        <v>768.044488</v>
      </c>
      <c r="L12" s="293">
        <f t="shared" ref="L12" si="6">+F12+F13</f>
        <v>2505.5655200000001</v>
      </c>
      <c r="M12" s="293">
        <f t="shared" ref="M12" si="7">+K12+L12</f>
        <v>3273.6100080000001</v>
      </c>
      <c r="N12" s="293">
        <f t="shared" ref="N12" si="8">+H12+H13</f>
        <v>3020.8229999999999</v>
      </c>
      <c r="O12" s="293">
        <f t="shared" ref="O12" si="9">+M12-N12</f>
        <v>252.78700800000024</v>
      </c>
      <c r="P12" s="289">
        <f t="shared" ref="P12" si="10">+N12/M12</f>
        <v>0.92278035337677888</v>
      </c>
    </row>
    <row r="13" spans="2:20" s="13" customFormat="1">
      <c r="B13" s="304"/>
      <c r="C13" s="298"/>
      <c r="D13" s="33" t="s">
        <v>211</v>
      </c>
      <c r="E13" s="174">
        <v>499.27754800000002</v>
      </c>
      <c r="F13" s="208">
        <f>128+317+229.03539+904.34206+103.83093-150.00508+143.8775-100.01918-30.03892-100.01918-50.03328+129.628-70.02764-150.00508</f>
        <v>1305.5655200000001</v>
      </c>
      <c r="G13" s="175">
        <f>+I12+E13+F13</f>
        <v>2954.5720080000001</v>
      </c>
      <c r="H13" s="177">
        <v>2701.7849999999999</v>
      </c>
      <c r="I13" s="175">
        <f t="shared" si="0"/>
        <v>252.78700800000024</v>
      </c>
      <c r="J13" s="176">
        <f t="shared" si="1"/>
        <v>0.91444208930581583</v>
      </c>
      <c r="K13" s="294"/>
      <c r="L13" s="294"/>
      <c r="M13" s="294"/>
      <c r="N13" s="294"/>
      <c r="O13" s="294"/>
      <c r="P13" s="290"/>
    </row>
    <row r="14" spans="2:20">
      <c r="B14" s="304"/>
      <c r="C14" s="297" t="s">
        <v>208</v>
      </c>
      <c r="D14" s="33" t="s">
        <v>212</v>
      </c>
      <c r="E14" s="174">
        <v>561.62047460000008</v>
      </c>
      <c r="F14" s="208">
        <f>205.06</f>
        <v>205.06</v>
      </c>
      <c r="G14" s="174">
        <f>+E14+F14</f>
        <v>766.68047460000003</v>
      </c>
      <c r="H14" s="174">
        <v>190.93554</v>
      </c>
      <c r="I14" s="174">
        <f t="shared" si="0"/>
        <v>575.74493460000008</v>
      </c>
      <c r="J14" s="179">
        <f t="shared" si="1"/>
        <v>0.24904187119101573</v>
      </c>
      <c r="K14" s="293">
        <f>+E14+E15</f>
        <v>1604.9202706000001</v>
      </c>
      <c r="L14" s="293">
        <f>+F14+F15</f>
        <v>1269.21047</v>
      </c>
      <c r="M14" s="293">
        <f>+K14+L14</f>
        <v>2874.1307406000001</v>
      </c>
      <c r="N14" s="293">
        <f t="shared" ref="N14" si="11">+H14+H15</f>
        <v>2870.12354</v>
      </c>
      <c r="O14" s="293">
        <f t="shared" ref="O14" si="12">+M14-N14</f>
        <v>4.0072006000000329</v>
      </c>
      <c r="P14" s="289">
        <f t="shared" ref="P14" si="13">+N14/M14</f>
        <v>0.99860576954854763</v>
      </c>
    </row>
    <row r="15" spans="2:20" s="13" customFormat="1">
      <c r="B15" s="304"/>
      <c r="C15" s="297"/>
      <c r="D15" s="33" t="s">
        <v>211</v>
      </c>
      <c r="E15" s="174">
        <v>1043.299796</v>
      </c>
      <c r="F15" s="208">
        <f>177.424+55.649+77.312-77.312+75.785+1.111+10+23.69+23.69+11.845+11.845+11.845+11.845-229.03539+46+100.01918+50.03328+35.535+47.38+47.38+30.03892+100.01918+53+247.02366+70.02764+52</f>
        <v>1064.15047</v>
      </c>
      <c r="G15" s="174">
        <f>+I14+E15+F15</f>
        <v>2683.1952006000001</v>
      </c>
      <c r="H15" s="196">
        <v>2679.1880000000001</v>
      </c>
      <c r="I15" s="174">
        <f t="shared" si="0"/>
        <v>4.0072006000000329</v>
      </c>
      <c r="J15" s="179">
        <f t="shared" si="1"/>
        <v>0.99850655643722674</v>
      </c>
      <c r="K15" s="294"/>
      <c r="L15" s="294"/>
      <c r="M15" s="294"/>
      <c r="N15" s="294"/>
      <c r="O15" s="294"/>
      <c r="P15" s="290"/>
    </row>
    <row r="16" spans="2:20">
      <c r="B16" s="304"/>
      <c r="C16" s="297" t="s">
        <v>209</v>
      </c>
      <c r="D16" s="33" t="s">
        <v>212</v>
      </c>
      <c r="E16" s="174">
        <v>7.4278399999999994E-2</v>
      </c>
      <c r="F16" s="208"/>
      <c r="G16" s="175">
        <f>+E16+F16</f>
        <v>7.4278399999999994E-2</v>
      </c>
      <c r="H16" s="178"/>
      <c r="I16" s="175">
        <f t="shared" si="0"/>
        <v>7.4278399999999994E-2</v>
      </c>
      <c r="J16" s="176">
        <f t="shared" si="1"/>
        <v>0</v>
      </c>
      <c r="K16" s="293">
        <f>+E16+E17</f>
        <v>0.21226239999999999</v>
      </c>
      <c r="L16" s="293">
        <f t="shared" ref="L16" si="14">+F16+F17</f>
        <v>0</v>
      </c>
      <c r="M16" s="293">
        <f t="shared" ref="M16" si="15">+K16+L16</f>
        <v>0.21226239999999999</v>
      </c>
      <c r="N16" s="293">
        <f t="shared" ref="N16" si="16">+H16+H17</f>
        <v>0</v>
      </c>
      <c r="O16" s="293">
        <f t="shared" ref="O16" si="17">+M16-N16</f>
        <v>0.21226239999999999</v>
      </c>
      <c r="P16" s="289">
        <f t="shared" ref="P16" si="18">+N16/M16</f>
        <v>0</v>
      </c>
    </row>
    <row r="17" spans="2:16" s="13" customFormat="1">
      <c r="B17" s="304"/>
      <c r="C17" s="297"/>
      <c r="D17" s="33" t="s">
        <v>211</v>
      </c>
      <c r="E17" s="174">
        <v>0.137984</v>
      </c>
      <c r="F17" s="208"/>
      <c r="G17" s="175">
        <f>+I16+E17+F17</f>
        <v>0.21226239999999999</v>
      </c>
      <c r="H17" s="177"/>
      <c r="I17" s="175">
        <f t="shared" si="0"/>
        <v>0.21226239999999999</v>
      </c>
      <c r="J17" s="176">
        <f t="shared" si="1"/>
        <v>0</v>
      </c>
      <c r="K17" s="294"/>
      <c r="L17" s="294"/>
      <c r="M17" s="294"/>
      <c r="N17" s="294"/>
      <c r="O17" s="294"/>
      <c r="P17" s="290"/>
    </row>
    <row r="18" spans="2:16">
      <c r="B18" s="304"/>
      <c r="C18" s="297" t="s">
        <v>210</v>
      </c>
      <c r="D18" s="33" t="s">
        <v>212</v>
      </c>
      <c r="E18" s="174">
        <v>7.0465E-2</v>
      </c>
      <c r="F18" s="208"/>
      <c r="G18" s="175">
        <f>+E18+F18</f>
        <v>7.0465E-2</v>
      </c>
      <c r="H18" s="156"/>
      <c r="I18" s="175">
        <f t="shared" si="0"/>
        <v>7.0465E-2</v>
      </c>
      <c r="J18" s="176">
        <f t="shared" si="1"/>
        <v>0</v>
      </c>
      <c r="K18" s="293">
        <f>+E18+E19</f>
        <v>0.20136499999999999</v>
      </c>
      <c r="L18" s="293">
        <f t="shared" ref="L18" si="19">+F18+F19</f>
        <v>0</v>
      </c>
      <c r="M18" s="293">
        <f t="shared" ref="M18" si="20">+K18+L18</f>
        <v>0.20136499999999999</v>
      </c>
      <c r="N18" s="293">
        <f t="shared" ref="N18" si="21">+H18+H19</f>
        <v>0</v>
      </c>
      <c r="O18" s="293">
        <f t="shared" ref="O18" si="22">+M18-N18</f>
        <v>0.20136499999999999</v>
      </c>
      <c r="P18" s="289">
        <f t="shared" ref="P18" si="23">+N18/M18</f>
        <v>0</v>
      </c>
    </row>
    <row r="19" spans="2:16">
      <c r="B19" s="304"/>
      <c r="C19" s="297"/>
      <c r="D19" s="33" t="s">
        <v>211</v>
      </c>
      <c r="E19" s="174">
        <v>0.13089999999999999</v>
      </c>
      <c r="F19" s="208"/>
      <c r="G19" s="175">
        <f>+I18+E19+F19</f>
        <v>0.20136499999999999</v>
      </c>
      <c r="H19" s="177"/>
      <c r="I19" s="175">
        <f t="shared" si="0"/>
        <v>0.20136499999999999</v>
      </c>
      <c r="J19" s="176">
        <f t="shared" si="1"/>
        <v>0</v>
      </c>
      <c r="K19" s="294"/>
      <c r="L19" s="294"/>
      <c r="M19" s="294"/>
      <c r="N19" s="294"/>
      <c r="O19" s="294"/>
      <c r="P19" s="290"/>
    </row>
    <row r="20" spans="2:16">
      <c r="B20" s="304"/>
      <c r="C20" s="297" t="s">
        <v>213</v>
      </c>
      <c r="D20" s="33" t="s">
        <v>212</v>
      </c>
      <c r="E20" s="174">
        <v>33.159999999999997</v>
      </c>
      <c r="F20" s="208"/>
      <c r="G20" s="175">
        <f>+E20+F20</f>
        <v>33.159999999999997</v>
      </c>
      <c r="H20" s="156">
        <v>1.1739999999999999</v>
      </c>
      <c r="I20" s="175">
        <f t="shared" si="0"/>
        <v>31.985999999999997</v>
      </c>
      <c r="J20" s="176">
        <f t="shared" si="1"/>
        <v>3.5404101326899882E-2</v>
      </c>
      <c r="K20" s="293">
        <f>+E20+E21</f>
        <v>94.759999999999991</v>
      </c>
      <c r="L20" s="293">
        <f t="shared" ref="L20" si="24">+F20+F21</f>
        <v>-25.272018199999977</v>
      </c>
      <c r="M20" s="293">
        <f t="shared" ref="M20:M22" si="25">+K20+L20</f>
        <v>69.487981800000014</v>
      </c>
      <c r="N20" s="293">
        <f t="shared" ref="N20" si="26">+H20+H21</f>
        <v>42.243000000000002</v>
      </c>
      <c r="O20" s="293">
        <f t="shared" ref="O20:O22" si="27">+M20-N20</f>
        <v>27.244981800000012</v>
      </c>
      <c r="P20" s="289">
        <f t="shared" ref="P20" si="28">+N20/M20</f>
        <v>0.6079180731077154</v>
      </c>
    </row>
    <row r="21" spans="2:16">
      <c r="B21" s="304"/>
      <c r="C21" s="297"/>
      <c r="D21" s="33" t="s">
        <v>211</v>
      </c>
      <c r="E21" s="174">
        <v>61.6</v>
      </c>
      <c r="F21" s="208">
        <f>35.535+119.5212618-50.03328-35.535-47.38-47.38</f>
        <v>-25.272018199999977</v>
      </c>
      <c r="G21" s="175">
        <f>+I20+E21+F21</f>
        <v>68.313981800000022</v>
      </c>
      <c r="H21" s="177">
        <v>41.069000000000003</v>
      </c>
      <c r="I21" s="175">
        <f t="shared" si="0"/>
        <v>27.244981800000019</v>
      </c>
      <c r="J21" s="176">
        <f t="shared" si="1"/>
        <v>0.60118000616968847</v>
      </c>
      <c r="K21" s="294"/>
      <c r="L21" s="294"/>
      <c r="M21" s="294"/>
      <c r="N21" s="294"/>
      <c r="O21" s="294"/>
      <c r="P21" s="290"/>
    </row>
    <row r="22" spans="2:16" s="89" customFormat="1">
      <c r="B22" s="304"/>
      <c r="C22" s="299" t="s">
        <v>407</v>
      </c>
      <c r="D22" s="33" t="s">
        <v>212</v>
      </c>
      <c r="E22" s="174">
        <v>33.159999999999997</v>
      </c>
      <c r="F22" s="208"/>
      <c r="G22" s="175">
        <f>+E22+F22</f>
        <v>33.159999999999997</v>
      </c>
      <c r="H22" s="156"/>
      <c r="I22" s="175">
        <f>+G22-H22</f>
        <v>33.159999999999997</v>
      </c>
      <c r="J22" s="176">
        <f t="shared" si="1"/>
        <v>0</v>
      </c>
      <c r="K22" s="301">
        <f>+E22+E23</f>
        <v>94.759999999999991</v>
      </c>
      <c r="L22" s="301">
        <f>+F22+F23</f>
        <v>-94.76</v>
      </c>
      <c r="M22" s="301">
        <f t="shared" si="25"/>
        <v>0</v>
      </c>
      <c r="N22" s="301">
        <f>+H22+H23</f>
        <v>0</v>
      </c>
      <c r="O22" s="301">
        <f t="shared" si="27"/>
        <v>0</v>
      </c>
      <c r="P22" s="296">
        <v>0</v>
      </c>
    </row>
    <row r="23" spans="2:16" s="89" customFormat="1">
      <c r="B23" s="304"/>
      <c r="C23" s="300"/>
      <c r="D23" s="33" t="s">
        <v>211</v>
      </c>
      <c r="E23" s="174">
        <v>61.6</v>
      </c>
      <c r="F23" s="208">
        <f>-23.69-23.69-11.845-11.845-11.845-11.845</f>
        <v>-94.76</v>
      </c>
      <c r="G23" s="175">
        <f>+I22+E23+F23</f>
        <v>0</v>
      </c>
      <c r="H23" s="157"/>
      <c r="I23" s="175">
        <f>+G23-H23</f>
        <v>0</v>
      </c>
      <c r="J23" s="176">
        <v>0</v>
      </c>
      <c r="K23" s="294"/>
      <c r="L23" s="294"/>
      <c r="M23" s="294"/>
      <c r="N23" s="294"/>
      <c r="O23" s="294"/>
      <c r="P23" s="290"/>
    </row>
    <row r="24" spans="2:16">
      <c r="B24" s="295" t="s">
        <v>40</v>
      </c>
      <c r="C24" s="295"/>
      <c r="D24" s="69" t="s">
        <v>37</v>
      </c>
      <c r="E24" s="180">
        <f>SUM(E8:E23)</f>
        <v>4738.0017952000007</v>
      </c>
      <c r="F24" s="181">
        <f>SUM(F8:F21)</f>
        <v>9132.0129900000011</v>
      </c>
      <c r="G24" s="182">
        <f>+E24+F24</f>
        <v>13870.014785200001</v>
      </c>
      <c r="H24" s="181">
        <f>SUM(H8:H21)</f>
        <v>13147.99769</v>
      </c>
      <c r="I24" s="182">
        <f>+G24-H24</f>
        <v>722.01709520000077</v>
      </c>
      <c r="J24" s="183">
        <f>+H24/G24</f>
        <v>0.94794402843965031</v>
      </c>
      <c r="K24" s="182">
        <f>SUM(K8:K23)</f>
        <v>4738.0017952000007</v>
      </c>
      <c r="L24" s="182">
        <f>SUM(L8:L23)</f>
        <v>9037.2529900000009</v>
      </c>
      <c r="M24" s="182">
        <f>+K24+L24</f>
        <v>13775.254785200003</v>
      </c>
      <c r="N24" s="182">
        <f>SUM(N8:N23)</f>
        <v>13147.99769</v>
      </c>
      <c r="O24" s="182">
        <f>+M24-N24</f>
        <v>627.25709520000237</v>
      </c>
      <c r="P24" s="183">
        <f>+N24/M24</f>
        <v>0.95446493694810486</v>
      </c>
    </row>
    <row r="26" spans="2:16">
      <c r="B26" s="13"/>
      <c r="C26" s="13"/>
      <c r="D26" s="13"/>
      <c r="E26" s="13"/>
      <c r="F26" s="13"/>
      <c r="G26" s="13"/>
      <c r="H26" s="13"/>
      <c r="I26" s="13"/>
      <c r="J26" s="13"/>
      <c r="K26" s="295" t="s">
        <v>182</v>
      </c>
      <c r="L26" s="295"/>
      <c r="M26" s="295"/>
      <c r="N26" s="295"/>
      <c r="O26" s="295"/>
      <c r="P26" s="295"/>
    </row>
    <row r="27" spans="2:16" ht="30">
      <c r="B27" s="67" t="s">
        <v>21</v>
      </c>
      <c r="C27" s="67" t="s">
        <v>204</v>
      </c>
      <c r="D27" s="67" t="s">
        <v>185</v>
      </c>
      <c r="E27" s="67" t="s">
        <v>35</v>
      </c>
      <c r="F27" s="67" t="s">
        <v>3</v>
      </c>
      <c r="G27" s="67" t="s">
        <v>4</v>
      </c>
      <c r="H27" s="67" t="s">
        <v>5</v>
      </c>
      <c r="I27" s="67" t="s">
        <v>6</v>
      </c>
      <c r="J27" s="67" t="s">
        <v>205</v>
      </c>
      <c r="K27" s="67" t="s">
        <v>35</v>
      </c>
      <c r="L27" s="67" t="s">
        <v>3</v>
      </c>
      <c r="M27" s="67" t="s">
        <v>4</v>
      </c>
      <c r="N27" s="67" t="s">
        <v>5</v>
      </c>
      <c r="O27" s="67" t="s">
        <v>6</v>
      </c>
      <c r="P27" s="67" t="s">
        <v>205</v>
      </c>
    </row>
    <row r="28" spans="2:16" ht="15" customHeight="1">
      <c r="B28" s="303" t="s">
        <v>379</v>
      </c>
      <c r="C28" s="297" t="s">
        <v>206</v>
      </c>
      <c r="D28" s="33" t="s">
        <v>212</v>
      </c>
      <c r="E28" s="96">
        <v>322.14502399999998</v>
      </c>
      <c r="F28" s="25"/>
      <c r="G28" s="42">
        <f>+E28+F28</f>
        <v>322.14502399999998</v>
      </c>
      <c r="H28" s="25"/>
      <c r="I28" s="42">
        <f>+G28-H28</f>
        <v>322.14502399999998</v>
      </c>
      <c r="J28" s="46">
        <f>+H28/G28</f>
        <v>0</v>
      </c>
      <c r="K28" s="293">
        <f>+E28+E29</f>
        <v>920.54460160000008</v>
      </c>
      <c r="L28" s="291">
        <f>+F28+F29</f>
        <v>-600.04489999999998</v>
      </c>
      <c r="M28" s="293">
        <f>+K28+L28</f>
        <v>320.49970160000009</v>
      </c>
      <c r="N28" s="291">
        <f>+H28+H29</f>
        <v>151.31100000000001</v>
      </c>
      <c r="O28" s="293">
        <f>+M28-N28</f>
        <v>169.18870160000009</v>
      </c>
      <c r="P28" s="289">
        <f>+N28/M28</f>
        <v>0.47210964392361221</v>
      </c>
    </row>
    <row r="29" spans="2:16" s="13" customFormat="1">
      <c r="B29" s="304"/>
      <c r="C29" s="297"/>
      <c r="D29" s="33" t="s">
        <v>211</v>
      </c>
      <c r="E29" s="96">
        <v>598.39957760000004</v>
      </c>
      <c r="F29" s="99">
        <f>-500.02732-100.01758</f>
        <v>-600.04489999999998</v>
      </c>
      <c r="G29" s="42">
        <f>+I28+E29+F29</f>
        <v>320.49970160000009</v>
      </c>
      <c r="H29" s="143">
        <v>151.31100000000001</v>
      </c>
      <c r="I29" s="42">
        <f t="shared" ref="I29:I37" si="29">+G29-H29</f>
        <v>169.18870160000009</v>
      </c>
      <c r="J29" s="46">
        <f t="shared" ref="J29:J37" si="30">+H29/G29</f>
        <v>0.47210964392361221</v>
      </c>
      <c r="K29" s="292"/>
      <c r="L29" s="292"/>
      <c r="M29" s="292"/>
      <c r="N29" s="292"/>
      <c r="O29" s="292"/>
      <c r="P29" s="290"/>
    </row>
    <row r="30" spans="2:16">
      <c r="B30" s="304"/>
      <c r="C30" s="297" t="s">
        <v>214</v>
      </c>
      <c r="D30" s="33" t="s">
        <v>212</v>
      </c>
      <c r="E30" s="96">
        <v>16.400213999999998</v>
      </c>
      <c r="F30" s="99"/>
      <c r="G30" s="42">
        <f>+E30+F30</f>
        <v>16.400213999999998</v>
      </c>
      <c r="H30" s="25"/>
      <c r="I30" s="42">
        <f t="shared" si="29"/>
        <v>16.400213999999998</v>
      </c>
      <c r="J30" s="46">
        <f t="shared" si="30"/>
        <v>0</v>
      </c>
      <c r="K30" s="293">
        <f t="shared" ref="K30" si="31">+E30+E31</f>
        <v>46.8643851</v>
      </c>
      <c r="L30" s="291">
        <f t="shared" ref="L30" si="32">+F30+F31</f>
        <v>-43.435000000000002</v>
      </c>
      <c r="M30" s="293">
        <f t="shared" ref="M30" si="33">+K30+L30</f>
        <v>3.4293850999999975</v>
      </c>
      <c r="N30" s="291">
        <f>+H30+H31</f>
        <v>2.2530000000000001</v>
      </c>
      <c r="O30" s="293">
        <f t="shared" ref="O30" si="34">+M30-N30</f>
        <v>1.1763850999999974</v>
      </c>
      <c r="P30" s="289">
        <f t="shared" ref="P30" si="35">+N30/M30</f>
        <v>0.65696908754866923</v>
      </c>
    </row>
    <row r="31" spans="2:16" s="13" customFormat="1">
      <c r="B31" s="304"/>
      <c r="C31" s="297"/>
      <c r="D31" s="33" t="s">
        <v>211</v>
      </c>
      <c r="E31" s="96">
        <v>30.464171100000002</v>
      </c>
      <c r="F31" s="99">
        <v>-43.435000000000002</v>
      </c>
      <c r="G31" s="42">
        <f>+I30+E31+F31</f>
        <v>3.4293850999999975</v>
      </c>
      <c r="H31" s="143">
        <v>2.2530000000000001</v>
      </c>
      <c r="I31" s="42">
        <f t="shared" si="29"/>
        <v>1.1763850999999974</v>
      </c>
      <c r="J31" s="46">
        <f t="shared" si="30"/>
        <v>0.65696908754866923</v>
      </c>
      <c r="K31" s="292"/>
      <c r="L31" s="292"/>
      <c r="M31" s="292"/>
      <c r="N31" s="292"/>
      <c r="O31" s="292"/>
      <c r="P31" s="290"/>
    </row>
    <row r="32" spans="2:16">
      <c r="B32" s="304"/>
      <c r="C32" s="298" t="s">
        <v>403</v>
      </c>
      <c r="D32" s="33" t="s">
        <v>212</v>
      </c>
      <c r="E32" s="96">
        <v>506.62625800000001</v>
      </c>
      <c r="F32" s="99">
        <f>-1200+225.055+53.642</f>
        <v>-921.30299999999988</v>
      </c>
      <c r="G32" s="42">
        <f>+E32+F32</f>
        <v>-414.67674199999988</v>
      </c>
      <c r="H32" s="25"/>
      <c r="I32" s="42">
        <f t="shared" si="29"/>
        <v>-414.67674199999988</v>
      </c>
      <c r="J32" s="46">
        <f t="shared" si="30"/>
        <v>0</v>
      </c>
      <c r="K32" s="293">
        <f t="shared" ref="K32" si="36">+E32+E33</f>
        <v>1447.7084297000001</v>
      </c>
      <c r="L32" s="291">
        <f t="shared" ref="L32" si="37">+F32+F33</f>
        <v>-1265.4684299999999</v>
      </c>
      <c r="M32" s="293">
        <f t="shared" ref="M32" si="38">+K32+L32</f>
        <v>182.23999970000023</v>
      </c>
      <c r="N32" s="291">
        <f>+H32+H33</f>
        <v>172.54499999999999</v>
      </c>
      <c r="O32" s="293">
        <f t="shared" ref="O32" si="39">+M32-N32</f>
        <v>9.6949997000002384</v>
      </c>
      <c r="P32" s="289">
        <f t="shared" ref="P32" si="40">+N32/M32</f>
        <v>0.9468009234198862</v>
      </c>
    </row>
    <row r="33" spans="2:16" s="13" customFormat="1">
      <c r="B33" s="304"/>
      <c r="C33" s="298"/>
      <c r="D33" s="33" t="s">
        <v>211</v>
      </c>
      <c r="E33" s="96">
        <v>941.0821717</v>
      </c>
      <c r="F33" s="99">
        <f>13+16.371+3.8-103.83093-143.8775-129.628</f>
        <v>-344.16543000000001</v>
      </c>
      <c r="G33" s="42">
        <f>+I32+E33+F33</f>
        <v>182.23999970000011</v>
      </c>
      <c r="H33" s="143">
        <v>172.54499999999999</v>
      </c>
      <c r="I33" s="42">
        <f t="shared" si="29"/>
        <v>9.6949997000001247</v>
      </c>
      <c r="J33" s="46">
        <f t="shared" si="30"/>
        <v>0.94680092341988675</v>
      </c>
      <c r="K33" s="292"/>
      <c r="L33" s="292"/>
      <c r="M33" s="292"/>
      <c r="N33" s="292"/>
      <c r="O33" s="292"/>
      <c r="P33" s="290"/>
    </row>
    <row r="34" spans="2:16">
      <c r="B34" s="304"/>
      <c r="C34" s="297" t="s">
        <v>213</v>
      </c>
      <c r="D34" s="33" t="s">
        <v>212</v>
      </c>
      <c r="E34" s="96">
        <v>174.43561399999999</v>
      </c>
      <c r="F34" s="99"/>
      <c r="G34" s="42">
        <f>+E34+F34</f>
        <v>174.43561399999999</v>
      </c>
      <c r="H34" s="25">
        <v>106.042</v>
      </c>
      <c r="I34" s="42">
        <f t="shared" si="29"/>
        <v>68.393613999999985</v>
      </c>
      <c r="J34" s="46">
        <f t="shared" si="30"/>
        <v>0.60791484931511752</v>
      </c>
      <c r="K34" s="293">
        <f>+E34+E35</f>
        <v>498.43785210999999</v>
      </c>
      <c r="L34" s="291">
        <f t="shared" ref="L34" si="41">+F34+F35</f>
        <v>-254.58866159999999</v>
      </c>
      <c r="M34" s="293">
        <f t="shared" ref="M34" si="42">+K34+L34</f>
        <v>243.84919051</v>
      </c>
      <c r="N34" s="291">
        <f>+H34+H35</f>
        <v>203.07900000000001</v>
      </c>
      <c r="O34" s="293">
        <f t="shared" ref="O34" si="43">+M34-N34</f>
        <v>40.770190509999992</v>
      </c>
      <c r="P34" s="289">
        <f t="shared" ref="P34" si="44">+N34/M34</f>
        <v>0.83280571723559582</v>
      </c>
    </row>
    <row r="35" spans="2:16" s="13" customFormat="1">
      <c r="B35" s="304"/>
      <c r="C35" s="297"/>
      <c r="D35" s="33" t="s">
        <v>211</v>
      </c>
      <c r="E35" s="96">
        <v>324.00223811000001</v>
      </c>
      <c r="F35" s="99">
        <f>22.7175+22.7175-30.29-30.29-37.8625-22.7175-178.8636616</f>
        <v>-254.58866159999999</v>
      </c>
      <c r="G35" s="42">
        <f>+I34+E35+F35</f>
        <v>137.80719050999997</v>
      </c>
      <c r="H35" s="143">
        <v>97.037000000000006</v>
      </c>
      <c r="I35" s="42">
        <f t="shared" si="29"/>
        <v>40.770190509999964</v>
      </c>
      <c r="J35" s="46">
        <f t="shared" si="30"/>
        <v>0.70415048475252473</v>
      </c>
      <c r="K35" s="292"/>
      <c r="L35" s="292"/>
      <c r="M35" s="292"/>
      <c r="N35" s="292"/>
      <c r="O35" s="292"/>
      <c r="P35" s="290"/>
    </row>
    <row r="36" spans="2:16">
      <c r="B36" s="304"/>
      <c r="C36" s="297" t="s">
        <v>208</v>
      </c>
      <c r="D36" s="33" t="s">
        <v>212</v>
      </c>
      <c r="E36" s="96">
        <v>19.192784</v>
      </c>
      <c r="F36" s="99"/>
      <c r="G36" s="42">
        <f>+E36+F36</f>
        <v>19.192784</v>
      </c>
      <c r="H36" s="25"/>
      <c r="I36" s="42">
        <f t="shared" si="29"/>
        <v>19.192784</v>
      </c>
      <c r="J36" s="46">
        <f t="shared" si="30"/>
        <v>0</v>
      </c>
      <c r="K36" s="293">
        <f t="shared" ref="K36" si="45">+E36+E37</f>
        <v>54.844285600000006</v>
      </c>
      <c r="L36" s="291">
        <f t="shared" ref="L36" si="46">+F36+F37</f>
        <v>-54.427498400000047</v>
      </c>
      <c r="M36" s="293">
        <f t="shared" ref="M36:M40" si="47">+K36+L36</f>
        <v>0.41678719999995906</v>
      </c>
      <c r="N36" s="291">
        <f>+H36+H37</f>
        <v>0</v>
      </c>
      <c r="O36" s="293">
        <f t="shared" ref="O36:O40" si="48">+M36-N36</f>
        <v>0.41678719999995906</v>
      </c>
      <c r="P36" s="289">
        <f t="shared" ref="P36:P40" si="49">+N36/M36</f>
        <v>0</v>
      </c>
    </row>
    <row r="37" spans="2:16">
      <c r="B37" s="304"/>
      <c r="C37" s="297"/>
      <c r="D37" s="33" t="s">
        <v>211</v>
      </c>
      <c r="E37" s="96">
        <v>35.651501600000003</v>
      </c>
      <c r="F37" s="99">
        <f>-10+7.5725+7.5725+7.5725+15.145+15.145-22.7175-22.7175+30.29+30.29+37.8625+22.7175+178.8636616-53-247.02366-52</f>
        <v>-54.427498400000047</v>
      </c>
      <c r="G37" s="42">
        <f>+I36+E37+F37</f>
        <v>0.41678719999995906</v>
      </c>
      <c r="H37" s="143"/>
      <c r="I37" s="42">
        <f t="shared" si="29"/>
        <v>0.41678719999995906</v>
      </c>
      <c r="J37" s="46">
        <f t="shared" si="30"/>
        <v>0</v>
      </c>
      <c r="K37" s="292"/>
      <c r="L37" s="292"/>
      <c r="M37" s="292"/>
      <c r="N37" s="292"/>
      <c r="O37" s="292"/>
      <c r="P37" s="290"/>
    </row>
    <row r="38" spans="2:16" s="89" customFormat="1">
      <c r="B38" s="304"/>
      <c r="C38" s="299" t="s">
        <v>407</v>
      </c>
      <c r="D38" s="33" t="s">
        <v>212</v>
      </c>
      <c r="E38" s="105">
        <v>18.55</v>
      </c>
      <c r="F38" s="99"/>
      <c r="G38" s="96">
        <f>+E38+F38</f>
        <v>18.55</v>
      </c>
      <c r="H38" s="90"/>
      <c r="I38" s="96">
        <f>+G38+H38</f>
        <v>18.55</v>
      </c>
      <c r="J38" s="46">
        <f>+H38/G38</f>
        <v>0</v>
      </c>
      <c r="K38" s="301">
        <f>+E38+E39</f>
        <v>53.007500000000007</v>
      </c>
      <c r="L38" s="302">
        <f>+F38+F39</f>
        <v>-53.007499999999993</v>
      </c>
      <c r="M38" s="302">
        <f t="shared" si="47"/>
        <v>0</v>
      </c>
      <c r="N38" s="302">
        <f>+H38+H39</f>
        <v>0</v>
      </c>
      <c r="O38" s="302">
        <f t="shared" si="48"/>
        <v>0</v>
      </c>
      <c r="P38" s="296">
        <v>0</v>
      </c>
    </row>
    <row r="39" spans="2:16" s="89" customFormat="1">
      <c r="B39" s="304"/>
      <c r="C39" s="300"/>
      <c r="D39" s="33" t="s">
        <v>211</v>
      </c>
      <c r="E39" s="105">
        <v>34.457500000000003</v>
      </c>
      <c r="F39" s="99">
        <f>-7.5725-7.5725-7.5725-15.145-15.145</f>
        <v>-53.007499999999993</v>
      </c>
      <c r="G39" s="96">
        <f>+I38+E39+F39</f>
        <v>0</v>
      </c>
      <c r="H39" s="143"/>
      <c r="I39" s="96">
        <f t="shared" ref="I39:I41" si="50">+G39+H39</f>
        <v>0</v>
      </c>
      <c r="J39" s="46">
        <v>0</v>
      </c>
      <c r="K39" s="292"/>
      <c r="L39" s="292"/>
      <c r="M39" s="292"/>
      <c r="N39" s="292"/>
      <c r="O39" s="292"/>
      <c r="P39" s="290"/>
    </row>
    <row r="40" spans="2:16" s="89" customFormat="1">
      <c r="B40" s="304"/>
      <c r="C40" s="299" t="s">
        <v>408</v>
      </c>
      <c r="D40" s="33" t="s">
        <v>212</v>
      </c>
      <c r="E40" s="105">
        <v>2.65</v>
      </c>
      <c r="F40" s="90"/>
      <c r="G40" s="96">
        <f>+E40+F40</f>
        <v>2.65</v>
      </c>
      <c r="H40" s="90"/>
      <c r="I40" s="96">
        <f t="shared" si="50"/>
        <v>2.65</v>
      </c>
      <c r="J40" s="46">
        <f t="shared" ref="J40:J41" si="51">+H40/G40</f>
        <v>0</v>
      </c>
      <c r="K40" s="301">
        <f>+E40+E41</f>
        <v>7.5724999999999998</v>
      </c>
      <c r="L40" s="302">
        <f>+F40+F41</f>
        <v>0</v>
      </c>
      <c r="M40" s="302">
        <f t="shared" si="47"/>
        <v>7.5724999999999998</v>
      </c>
      <c r="N40" s="302">
        <f>+H40+H41</f>
        <v>0</v>
      </c>
      <c r="O40" s="302">
        <f t="shared" si="48"/>
        <v>7.5724999999999998</v>
      </c>
      <c r="P40" s="296">
        <f t="shared" si="49"/>
        <v>0</v>
      </c>
    </row>
    <row r="41" spans="2:16" s="89" customFormat="1">
      <c r="B41" s="304"/>
      <c r="C41" s="300"/>
      <c r="D41" s="33" t="s">
        <v>211</v>
      </c>
      <c r="E41" s="96">
        <v>4.9225000000000003</v>
      </c>
      <c r="F41" s="90"/>
      <c r="G41" s="96">
        <f>+I40+E41+F41</f>
        <v>7.5724999999999998</v>
      </c>
      <c r="H41" s="143"/>
      <c r="I41" s="96">
        <f t="shared" si="50"/>
        <v>7.5724999999999998</v>
      </c>
      <c r="J41" s="46">
        <f t="shared" si="51"/>
        <v>0</v>
      </c>
      <c r="K41" s="292"/>
      <c r="L41" s="292"/>
      <c r="M41" s="292"/>
      <c r="N41" s="292"/>
      <c r="O41" s="292"/>
      <c r="P41" s="290"/>
    </row>
    <row r="42" spans="2:16">
      <c r="B42" s="295" t="s">
        <v>40</v>
      </c>
      <c r="C42" s="295"/>
      <c r="D42" s="52" t="s">
        <v>37</v>
      </c>
      <c r="E42" s="201">
        <f>SUM(E28:E41)</f>
        <v>3028.9795541100002</v>
      </c>
      <c r="F42" s="52">
        <f>SUM(F28:F37)</f>
        <v>-2217.9644899999998</v>
      </c>
      <c r="G42" s="51">
        <f>+E42-F42</f>
        <v>5246.9440441099996</v>
      </c>
      <c r="H42" s="52">
        <f>SUM(H28:H41)</f>
        <v>529.1880000000001</v>
      </c>
      <c r="I42" s="51">
        <f>+G42-H42</f>
        <v>4717.7560441099995</v>
      </c>
      <c r="J42" s="52">
        <f>+H42/G42</f>
        <v>0.10085642148100368</v>
      </c>
      <c r="K42" s="51">
        <f>SUM(K28:K41)</f>
        <v>3028.9795541100007</v>
      </c>
      <c r="L42" s="52">
        <f>SUM(L28:L41)</f>
        <v>-2270.97199</v>
      </c>
      <c r="M42" s="51">
        <f>+K42+L42</f>
        <v>758.00756411000066</v>
      </c>
      <c r="N42" s="52">
        <f>SUM(N28:N41)</f>
        <v>529.1880000000001</v>
      </c>
      <c r="O42" s="51">
        <f>+M42-N42</f>
        <v>228.81956411000056</v>
      </c>
      <c r="P42" s="68">
        <f>+N42/M42</f>
        <v>0.69813023649880801</v>
      </c>
    </row>
  </sheetData>
  <mergeCells count="115">
    <mergeCell ref="P38:P39"/>
    <mergeCell ref="K40:K41"/>
    <mergeCell ref="L40:L41"/>
    <mergeCell ref="M40:M41"/>
    <mergeCell ref="N40:N41"/>
    <mergeCell ref="O40:O41"/>
    <mergeCell ref="P40:P41"/>
    <mergeCell ref="B24:C24"/>
    <mergeCell ref="L28:L29"/>
    <mergeCell ref="M28:M29"/>
    <mergeCell ref="N28:N29"/>
    <mergeCell ref="O28:O29"/>
    <mergeCell ref="P36:P37"/>
    <mergeCell ref="L34:L35"/>
    <mergeCell ref="M34:M35"/>
    <mergeCell ref="N34:N35"/>
    <mergeCell ref="O34:O35"/>
    <mergeCell ref="P34:P35"/>
    <mergeCell ref="K36:K37"/>
    <mergeCell ref="L36:L37"/>
    <mergeCell ref="M36:M37"/>
    <mergeCell ref="C16:C17"/>
    <mergeCell ref="C18:C19"/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C20:C21"/>
    <mergeCell ref="B8:B23"/>
    <mergeCell ref="B28:B41"/>
    <mergeCell ref="C22:C23"/>
    <mergeCell ref="K8:K9"/>
    <mergeCell ref="K10:K11"/>
    <mergeCell ref="O20:O21"/>
    <mergeCell ref="K22:K23"/>
    <mergeCell ref="L22:L23"/>
    <mergeCell ref="M22:M23"/>
    <mergeCell ref="N22:N23"/>
    <mergeCell ref="O22:O23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42:C42"/>
    <mergeCell ref="C28:C29"/>
    <mergeCell ref="C30:C31"/>
    <mergeCell ref="C32:C33"/>
    <mergeCell ref="C34:C35"/>
    <mergeCell ref="C36:C37"/>
    <mergeCell ref="M30:M31"/>
    <mergeCell ref="N30:N31"/>
    <mergeCell ref="O30:O31"/>
    <mergeCell ref="K32:K33"/>
    <mergeCell ref="L32:L33"/>
    <mergeCell ref="M32:M33"/>
    <mergeCell ref="N36:N37"/>
    <mergeCell ref="O36:O37"/>
    <mergeCell ref="K30:K31"/>
    <mergeCell ref="L30:L31"/>
    <mergeCell ref="C38:C39"/>
    <mergeCell ref="C40:C41"/>
    <mergeCell ref="K38:K39"/>
    <mergeCell ref="L38:L39"/>
    <mergeCell ref="M38:M39"/>
    <mergeCell ref="N38:N39"/>
    <mergeCell ref="O38:O39"/>
    <mergeCell ref="K34:K35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M10:M11"/>
    <mergeCell ref="K26:P26"/>
    <mergeCell ref="K28:K29"/>
    <mergeCell ref="K20:K21"/>
    <mergeCell ref="L20:L21"/>
    <mergeCell ref="M20:M21"/>
    <mergeCell ref="N20:N21"/>
    <mergeCell ref="K12:K13"/>
    <mergeCell ref="L12:L13"/>
    <mergeCell ref="P22:P23"/>
  </mergeCells>
  <conditionalFormatting sqref="O28:O41">
    <cfRule type="cellIs" dxfId="1" priority="2" operator="lessThan">
      <formula>0</formula>
    </cfRule>
  </conditionalFormatting>
  <conditionalFormatting sqref="O8:O2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ignoredErrors>
    <ignoredError sqref="G24 M28:M37 M8:M13 G10 G16:G21 M15:M21 G12:G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 Cuota Global</vt:lpstr>
      <vt:lpstr>Cesiones individuales</vt:lpstr>
      <vt:lpstr>Merluza del sur Artesanal X</vt:lpstr>
      <vt:lpstr>Remanente X</vt:lpstr>
      <vt:lpstr>Merluza del sur Artesanal XI</vt:lpstr>
      <vt:lpstr>Remanente XI</vt:lpstr>
      <vt:lpstr>Merluza del sur Artesanal XII</vt:lpstr>
      <vt:lpstr>Remanente XII</vt:lpstr>
      <vt:lpstr>Merluza del sur LTP</vt:lpstr>
      <vt:lpstr>Coeficientes</vt:lpstr>
      <vt:lpstr>Compilado 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nperez</cp:lastModifiedBy>
  <dcterms:created xsi:type="dcterms:W3CDTF">2020-01-08T12:44:06Z</dcterms:created>
  <dcterms:modified xsi:type="dcterms:W3CDTF">2022-01-06T15:42:26Z</dcterms:modified>
</cp:coreProperties>
</file>