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 tabRatio="809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7" r:id="rId5"/>
  </sheets>
  <definedNames>
    <definedName name="_xlnm._FilterDatabase" localSheetId="3" hidden="1">'Publicacion Web'!$A$1:$O$81</definedName>
  </definedNames>
  <calcPr calcId="125725"/>
</workbook>
</file>

<file path=xl/calcChain.xml><?xml version="1.0" encoding="utf-8"?>
<calcChain xmlns="http://schemas.openxmlformats.org/spreadsheetml/2006/main">
  <c r="G12" i="4"/>
  <c r="F21" i="1"/>
  <c r="M12"/>
  <c r="F13"/>
  <c r="G50" i="7"/>
  <c r="F31"/>
  <c r="P46" i="1"/>
  <c r="F63"/>
  <c r="F46"/>
  <c r="X13"/>
  <c r="F58"/>
  <c r="F67"/>
  <c r="F66"/>
  <c r="F52"/>
  <c r="F25"/>
  <c r="F37"/>
  <c r="F51"/>
  <c r="H61"/>
  <c r="F49"/>
  <c r="E52"/>
  <c r="H52"/>
  <c r="X12"/>
  <c r="F10" i="5"/>
  <c r="I24" i="6"/>
  <c r="F15" i="1"/>
  <c r="F45"/>
  <c r="N122" i="7"/>
  <c r="F60" i="1"/>
  <c r="I70" i="6"/>
  <c r="I67"/>
  <c r="I6"/>
  <c r="H59" i="1"/>
  <c r="D120" i="7"/>
  <c r="D119"/>
  <c r="D118"/>
  <c r="G114"/>
  <c r="D96"/>
  <c r="D95"/>
  <c r="D94"/>
  <c r="G92"/>
  <c r="F76"/>
  <c r="F75"/>
  <c r="F74"/>
  <c r="D71"/>
  <c r="G64"/>
  <c r="H56"/>
  <c r="G44"/>
  <c r="H37"/>
  <c r="F32"/>
  <c r="F33"/>
  <c r="K82" i="6"/>
  <c r="J82"/>
  <c r="I82"/>
  <c r="H82"/>
  <c r="H81"/>
  <c r="M80"/>
  <c r="H80"/>
  <c r="K79"/>
  <c r="I79"/>
  <c r="H79"/>
  <c r="L78"/>
  <c r="K78"/>
  <c r="J78"/>
  <c r="I78"/>
  <c r="H78"/>
  <c r="L77"/>
  <c r="K77"/>
  <c r="J77"/>
  <c r="I77"/>
  <c r="H77"/>
  <c r="K76"/>
  <c r="I76"/>
  <c r="H76"/>
  <c r="K75"/>
  <c r="I75"/>
  <c r="H75"/>
  <c r="J74"/>
  <c r="I74"/>
  <c r="H74"/>
  <c r="K73"/>
  <c r="I73"/>
  <c r="H73"/>
  <c r="M72"/>
  <c r="K72"/>
  <c r="J72"/>
  <c r="I72"/>
  <c r="H72"/>
  <c r="H71"/>
  <c r="K70"/>
  <c r="H70"/>
  <c r="M69"/>
  <c r="L69"/>
  <c r="K69"/>
  <c r="J69"/>
  <c r="I69"/>
  <c r="H69"/>
  <c r="H68"/>
  <c r="M67"/>
  <c r="K67"/>
  <c r="H67"/>
  <c r="M66"/>
  <c r="L66"/>
  <c r="K66"/>
  <c r="J66"/>
  <c r="I66"/>
  <c r="H66"/>
  <c r="M65"/>
  <c r="L65"/>
  <c r="K65"/>
  <c r="J65"/>
  <c r="I65"/>
  <c r="H65"/>
  <c r="M64"/>
  <c r="L64"/>
  <c r="K64"/>
  <c r="J64"/>
  <c r="I64"/>
  <c r="H64"/>
  <c r="M63"/>
  <c r="L63"/>
  <c r="K63"/>
  <c r="J63"/>
  <c r="I63"/>
  <c r="H63"/>
  <c r="K61"/>
  <c r="H61"/>
  <c r="K60"/>
  <c r="I60"/>
  <c r="H60"/>
  <c r="K59"/>
  <c r="I59"/>
  <c r="H59"/>
  <c r="K58"/>
  <c r="H58"/>
  <c r="K57"/>
  <c r="I57"/>
  <c r="H57"/>
  <c r="K56"/>
  <c r="I56"/>
  <c r="H56"/>
  <c r="H55"/>
  <c r="K54"/>
  <c r="I54"/>
  <c r="H54"/>
  <c r="K53"/>
  <c r="I53"/>
  <c r="H53"/>
  <c r="H52"/>
  <c r="K51"/>
  <c r="I51"/>
  <c r="H51"/>
  <c r="K50"/>
  <c r="I50"/>
  <c r="H50"/>
  <c r="K49"/>
  <c r="H49"/>
  <c r="K48"/>
  <c r="I48"/>
  <c r="H48"/>
  <c r="K47"/>
  <c r="I47"/>
  <c r="H47"/>
  <c r="K46"/>
  <c r="H46"/>
  <c r="K45"/>
  <c r="I45"/>
  <c r="H45"/>
  <c r="K44"/>
  <c r="I44"/>
  <c r="H44"/>
  <c r="K43"/>
  <c r="H43"/>
  <c r="K42"/>
  <c r="I42"/>
  <c r="H42"/>
  <c r="K41"/>
  <c r="I41"/>
  <c r="H41"/>
  <c r="K40"/>
  <c r="H40"/>
  <c r="K39"/>
  <c r="I39"/>
  <c r="H39"/>
  <c r="K38"/>
  <c r="I38"/>
  <c r="H38"/>
  <c r="M37"/>
  <c r="K37"/>
  <c r="H37"/>
  <c r="M36"/>
  <c r="K36"/>
  <c r="I36"/>
  <c r="H36"/>
  <c r="M35"/>
  <c r="K35"/>
  <c r="I35"/>
  <c r="H35"/>
  <c r="K34"/>
  <c r="H34"/>
  <c r="K33"/>
  <c r="I33"/>
  <c r="H33"/>
  <c r="K32"/>
  <c r="I32"/>
  <c r="H32"/>
  <c r="K31"/>
  <c r="H31"/>
  <c r="K30"/>
  <c r="I30"/>
  <c r="H30"/>
  <c r="K29"/>
  <c r="I29"/>
  <c r="H29"/>
  <c r="K28"/>
  <c r="H28"/>
  <c r="K27"/>
  <c r="I27"/>
  <c r="H27"/>
  <c r="K26"/>
  <c r="I26"/>
  <c r="H26"/>
  <c r="M25"/>
  <c r="K25"/>
  <c r="H25"/>
  <c r="M24"/>
  <c r="K24"/>
  <c r="H24"/>
  <c r="K23"/>
  <c r="I23"/>
  <c r="H23"/>
  <c r="H22"/>
  <c r="K21"/>
  <c r="I21"/>
  <c r="H21"/>
  <c r="K20"/>
  <c r="I20"/>
  <c r="H20"/>
  <c r="H19"/>
  <c r="K18"/>
  <c r="I18"/>
  <c r="H18"/>
  <c r="K17"/>
  <c r="I17"/>
  <c r="H17"/>
  <c r="K16"/>
  <c r="H16"/>
  <c r="K15"/>
  <c r="I15"/>
  <c r="H15"/>
  <c r="K14"/>
  <c r="I14"/>
  <c r="H14"/>
  <c r="K13"/>
  <c r="H13"/>
  <c r="K12"/>
  <c r="I12"/>
  <c r="H12"/>
  <c r="K11"/>
  <c r="I11"/>
  <c r="H11"/>
  <c r="K10"/>
  <c r="H10"/>
  <c r="K9"/>
  <c r="I9"/>
  <c r="H9"/>
  <c r="M8"/>
  <c r="L8"/>
  <c r="K8"/>
  <c r="J8"/>
  <c r="I8"/>
  <c r="H8"/>
  <c r="K6"/>
  <c r="H6"/>
  <c r="K5"/>
  <c r="I5"/>
  <c r="H5"/>
  <c r="K4"/>
  <c r="H4"/>
  <c r="K3"/>
  <c r="I3"/>
  <c r="H3"/>
  <c r="K2"/>
  <c r="I2"/>
  <c r="H2"/>
  <c r="K67" i="1"/>
  <c r="H67"/>
  <c r="G67"/>
  <c r="J80" i="6"/>
  <c r="E67" i="1"/>
  <c r="G66"/>
  <c r="J79" i="6"/>
  <c r="N65" i="1"/>
  <c r="M65"/>
  <c r="L65"/>
  <c r="K65"/>
  <c r="J65"/>
  <c r="I65"/>
  <c r="H65"/>
  <c r="G65"/>
  <c r="N63"/>
  <c r="L63"/>
  <c r="K63"/>
  <c r="G63"/>
  <c r="J75" i="6"/>
  <c r="F62" i="1"/>
  <c r="N61"/>
  <c r="O61" s="1"/>
  <c r="M61"/>
  <c r="L61"/>
  <c r="K61"/>
  <c r="J61"/>
  <c r="M75" i="6"/>
  <c r="I61" i="1"/>
  <c r="L72" i="6"/>
  <c r="G61" i="1"/>
  <c r="N59"/>
  <c r="L59"/>
  <c r="I71" i="6"/>
  <c r="K59" i="1"/>
  <c r="J59"/>
  <c r="I59"/>
  <c r="G59"/>
  <c r="Z58"/>
  <c r="W58"/>
  <c r="G58"/>
  <c r="J58"/>
  <c r="M70" i="6"/>
  <c r="AD57" i="1"/>
  <c r="Z57"/>
  <c r="Y57"/>
  <c r="X57"/>
  <c r="W57"/>
  <c r="U57"/>
  <c r="N57"/>
  <c r="K68" i="6"/>
  <c r="M57" i="1"/>
  <c r="L57"/>
  <c r="K57"/>
  <c r="J57"/>
  <c r="I57"/>
  <c r="G57"/>
  <c r="I56"/>
  <c r="G56"/>
  <c r="O55"/>
  <c r="N55"/>
  <c r="M55"/>
  <c r="L55"/>
  <c r="K55"/>
  <c r="I55"/>
  <c r="G55"/>
  <c r="N48"/>
  <c r="L48"/>
  <c r="I61" i="6"/>
  <c r="K48" i="1"/>
  <c r="G48"/>
  <c r="J59" i="6"/>
  <c r="N46" i="1"/>
  <c r="L46"/>
  <c r="M46"/>
  <c r="K46"/>
  <c r="G46"/>
  <c r="J56" i="6"/>
  <c r="N44" i="1"/>
  <c r="K55" i="6"/>
  <c r="L44" i="1"/>
  <c r="I55" i="6"/>
  <c r="K44" i="1"/>
  <c r="G44"/>
  <c r="J53" i="6"/>
  <c r="N42" i="1"/>
  <c r="K52" i="6" s="1"/>
  <c r="L42" i="1"/>
  <c r="I52" i="6"/>
  <c r="K42" i="1"/>
  <c r="G42"/>
  <c r="J42"/>
  <c r="M50" i="6"/>
  <c r="N40" i="1"/>
  <c r="L40"/>
  <c r="I49" i="6"/>
  <c r="K40" i="1"/>
  <c r="G40"/>
  <c r="J40"/>
  <c r="M47" i="6"/>
  <c r="N38" i="1"/>
  <c r="L38"/>
  <c r="I46" i="6"/>
  <c r="K38" i="1"/>
  <c r="G38"/>
  <c r="J38"/>
  <c r="M44" i="6"/>
  <c r="N36" i="1"/>
  <c r="L36"/>
  <c r="I43" i="6"/>
  <c r="K36" i="1"/>
  <c r="G36"/>
  <c r="J41" i="6"/>
  <c r="N34" i="1"/>
  <c r="L34"/>
  <c r="I40" i="6"/>
  <c r="K34" i="1"/>
  <c r="G34"/>
  <c r="J38" i="6"/>
  <c r="N32" i="1"/>
  <c r="L32"/>
  <c r="M32"/>
  <c r="K32"/>
  <c r="I32"/>
  <c r="L35" i="6"/>
  <c r="G32" i="1"/>
  <c r="J35" i="6"/>
  <c r="N30" i="1"/>
  <c r="L30"/>
  <c r="I34" i="6"/>
  <c r="K30" i="1"/>
  <c r="G30"/>
  <c r="J32" i="6"/>
  <c r="N28" i="1"/>
  <c r="L28"/>
  <c r="I31" i="6"/>
  <c r="K28" i="1"/>
  <c r="G28"/>
  <c r="J29" i="6"/>
  <c r="N26" i="1"/>
  <c r="L26"/>
  <c r="I28" i="6"/>
  <c r="K26" i="1"/>
  <c r="G26"/>
  <c r="J26" i="6"/>
  <c r="N24" i="1"/>
  <c r="L24"/>
  <c r="M24"/>
  <c r="K24"/>
  <c r="G24"/>
  <c r="J23" i="6"/>
  <c r="N22" i="1"/>
  <c r="K22" i="6" s="1"/>
  <c r="L22" i="1"/>
  <c r="I22" i="6"/>
  <c r="K22" i="1"/>
  <c r="G22"/>
  <c r="J20" i="6"/>
  <c r="N20" i="1"/>
  <c r="K19" i="6"/>
  <c r="L20" i="1"/>
  <c r="I19" i="6"/>
  <c r="K20" i="1"/>
  <c r="G20"/>
  <c r="I20"/>
  <c r="N18"/>
  <c r="L18"/>
  <c r="I16" i="6"/>
  <c r="K18" i="1"/>
  <c r="I18"/>
  <c r="G19"/>
  <c r="G18"/>
  <c r="J14" i="6"/>
  <c r="E17" i="1"/>
  <c r="N16"/>
  <c r="L16"/>
  <c r="I13" i="6"/>
  <c r="K16" i="1"/>
  <c r="G16"/>
  <c r="J16"/>
  <c r="M11" i="6"/>
  <c r="E16" i="1"/>
  <c r="I15"/>
  <c r="L9" i="6"/>
  <c r="G15" i="1"/>
  <c r="J15"/>
  <c r="M9" i="6"/>
  <c r="N14" i="1"/>
  <c r="L14"/>
  <c r="I10" i="6"/>
  <c r="K14" i="1"/>
  <c r="J14"/>
  <c r="I14"/>
  <c r="G14"/>
  <c r="Z13"/>
  <c r="H10" i="5" s="1"/>
  <c r="W13" i="1"/>
  <c r="Z12"/>
  <c r="H9" i="5"/>
  <c r="W12" i="1"/>
  <c r="U12"/>
  <c r="N12"/>
  <c r="K7" i="6" s="1"/>
  <c r="K12" i="1"/>
  <c r="H7" i="6"/>
  <c r="G12" i="1"/>
  <c r="J5" i="6"/>
  <c r="N10" i="1"/>
  <c r="L10"/>
  <c r="I4" i="6"/>
  <c r="K10" i="1"/>
  <c r="G10"/>
  <c r="J2" i="6"/>
  <c r="J14" i="5"/>
  <c r="I14"/>
  <c r="G14"/>
  <c r="J13"/>
  <c r="M82" i="6"/>
  <c r="I13" i="5"/>
  <c r="L82" i="6"/>
  <c r="G13" i="5"/>
  <c r="H12"/>
  <c r="E12"/>
  <c r="H11"/>
  <c r="J11"/>
  <c r="G11"/>
  <c r="F11"/>
  <c r="E11"/>
  <c r="E10"/>
  <c r="F9"/>
  <c r="E9"/>
  <c r="B5"/>
  <c r="B5" i="1" s="1"/>
  <c r="I12" i="4"/>
  <c r="H12"/>
  <c r="F12"/>
  <c r="E12"/>
  <c r="D12"/>
  <c r="I11"/>
  <c r="H11"/>
  <c r="G11"/>
  <c r="F11"/>
  <c r="E11"/>
  <c r="D11"/>
  <c r="G10"/>
  <c r="D10"/>
  <c r="E9"/>
  <c r="D9"/>
  <c r="AA57" i="1"/>
  <c r="I11" i="5"/>
  <c r="G62" i="1"/>
  <c r="AG57"/>
  <c r="L67"/>
  <c r="I48"/>
  <c r="L59" i="6"/>
  <c r="M48" i="1"/>
  <c r="O48"/>
  <c r="L61" i="6"/>
  <c r="M44" i="1"/>
  <c r="I30"/>
  <c r="L32" i="6"/>
  <c r="J48" i="1"/>
  <c r="M59" i="6"/>
  <c r="I44" i="1"/>
  <c r="J44"/>
  <c r="M53" i="6"/>
  <c r="I42" i="1"/>
  <c r="M42"/>
  <c r="J52" i="6"/>
  <c r="J50"/>
  <c r="I40" i="1"/>
  <c r="M40"/>
  <c r="J47" i="6"/>
  <c r="I38" i="1"/>
  <c r="M38"/>
  <c r="J44" i="6"/>
  <c r="I36" i="1"/>
  <c r="J36"/>
  <c r="M41" i="6"/>
  <c r="I34" i="1"/>
  <c r="M34"/>
  <c r="J34"/>
  <c r="M38" i="6"/>
  <c r="J37"/>
  <c r="O32" i="1"/>
  <c r="L37" i="6"/>
  <c r="G33" i="1"/>
  <c r="I37" i="6"/>
  <c r="M30" i="1"/>
  <c r="J34" i="6"/>
  <c r="G31" i="1"/>
  <c r="J30"/>
  <c r="M32" i="6"/>
  <c r="P30" i="1"/>
  <c r="M34" i="6"/>
  <c r="I28" i="1"/>
  <c r="M28"/>
  <c r="J28"/>
  <c r="M29" i="6"/>
  <c r="I26" i="1"/>
  <c r="M26"/>
  <c r="J26"/>
  <c r="M26" i="6"/>
  <c r="I24" i="1"/>
  <c r="J24"/>
  <c r="M23" i="6"/>
  <c r="I22" i="1"/>
  <c r="M22"/>
  <c r="J22"/>
  <c r="M20" i="6"/>
  <c r="L17"/>
  <c r="G21" i="1"/>
  <c r="J20"/>
  <c r="M17" i="6"/>
  <c r="J17"/>
  <c r="M20" i="1"/>
  <c r="J19" i="6"/>
  <c r="M18" i="1"/>
  <c r="J16" i="6"/>
  <c r="J15"/>
  <c r="I19" i="1"/>
  <c r="L15" i="6"/>
  <c r="J19" i="1"/>
  <c r="M15" i="6"/>
  <c r="O18" i="1"/>
  <c r="L16" i="6"/>
  <c r="J18" i="1"/>
  <c r="M14" i="6"/>
  <c r="P18" i="1"/>
  <c r="M16" i="6"/>
  <c r="L14"/>
  <c r="I16" i="1"/>
  <c r="M16"/>
  <c r="J11" i="6"/>
  <c r="M10" i="1"/>
  <c r="O10"/>
  <c r="L4" i="6"/>
  <c r="I10" i="1"/>
  <c r="G11"/>
  <c r="J11"/>
  <c r="M3" i="6"/>
  <c r="J10" i="1"/>
  <c r="M2" i="6"/>
  <c r="P10" i="1"/>
  <c r="M4" i="6"/>
  <c r="L2"/>
  <c r="J4"/>
  <c r="J58"/>
  <c r="O46" i="1"/>
  <c r="L58" i="6"/>
  <c r="M58"/>
  <c r="J46" i="1"/>
  <c r="M56" i="6"/>
  <c r="I58"/>
  <c r="I46" i="1"/>
  <c r="AB57"/>
  <c r="J63"/>
  <c r="I63"/>
  <c r="M63"/>
  <c r="I58"/>
  <c r="L67" i="6" s="1"/>
  <c r="J67"/>
  <c r="J66" i="1"/>
  <c r="O65"/>
  <c r="I66"/>
  <c r="L79" i="6" s="1"/>
  <c r="J9"/>
  <c r="M14" i="1"/>
  <c r="M36"/>
  <c r="O36"/>
  <c r="L43" i="6"/>
  <c r="P48" i="1"/>
  <c r="M61" i="6"/>
  <c r="J61"/>
  <c r="P44" i="1"/>
  <c r="M55" i="6"/>
  <c r="P42" i="1"/>
  <c r="M52" i="6" s="1"/>
  <c r="O42" i="1"/>
  <c r="L52" i="6" s="1"/>
  <c r="O20" i="1"/>
  <c r="L19" i="6"/>
  <c r="P20" i="1"/>
  <c r="M19" i="6"/>
  <c r="O44" i="1"/>
  <c r="L55" i="6"/>
  <c r="J55"/>
  <c r="AD12" i="1"/>
  <c r="H62" i="6"/>
  <c r="I12" i="1"/>
  <c r="L5" i="6"/>
  <c r="J12" i="1"/>
  <c r="M5" i="6"/>
  <c r="Y12" i="1"/>
  <c r="K52"/>
  <c r="O57"/>
  <c r="L68" i="6" s="1"/>
  <c r="K74"/>
  <c r="P61" i="1"/>
  <c r="M74" i="6"/>
  <c r="AG12" i="1"/>
  <c r="K62" i="6" s="1"/>
  <c r="G60" i="1"/>
  <c r="J67"/>
  <c r="I80" i="6"/>
  <c r="X58" i="1"/>
  <c r="M59"/>
  <c r="J71" i="6"/>
  <c r="J68"/>
  <c r="I68"/>
  <c r="O24" i="1"/>
  <c r="L25" i="6"/>
  <c r="J25"/>
  <c r="I25"/>
  <c r="L12" i="1"/>
  <c r="L52"/>
  <c r="G13"/>
  <c r="P57"/>
  <c r="M68" i="6" s="1"/>
  <c r="N67" i="1"/>
  <c r="P65"/>
  <c r="P59"/>
  <c r="M71" i="6" s="1"/>
  <c r="I67" i="1"/>
  <c r="L80" i="6" s="1"/>
  <c r="K71"/>
  <c r="K80"/>
  <c r="K81"/>
  <c r="N52" i="1"/>
  <c r="J73" i="6"/>
  <c r="I62" i="1"/>
  <c r="L73" i="6"/>
  <c r="J62" i="1"/>
  <c r="M76" i="6"/>
  <c r="G49" i="1"/>
  <c r="J43" i="6"/>
  <c r="J3"/>
  <c r="I11" i="1"/>
  <c r="L3" i="6"/>
  <c r="L53"/>
  <c r="G45" i="1"/>
  <c r="L50" i="6"/>
  <c r="G43" i="1"/>
  <c r="L47" i="6"/>
  <c r="G41" i="1"/>
  <c r="P40"/>
  <c r="M49" i="6"/>
  <c r="J49"/>
  <c r="O40" i="1"/>
  <c r="L49" i="6"/>
  <c r="L44"/>
  <c r="G39" i="1"/>
  <c r="P38"/>
  <c r="M46" i="6"/>
  <c r="J46"/>
  <c r="O38" i="1"/>
  <c r="L46" i="6"/>
  <c r="L41"/>
  <c r="G37" i="1"/>
  <c r="L38" i="6"/>
  <c r="G35" i="1"/>
  <c r="J40" i="6"/>
  <c r="P34" i="1"/>
  <c r="M40" i="6"/>
  <c r="O34" i="1"/>
  <c r="L40" i="6"/>
  <c r="J36"/>
  <c r="I33" i="1"/>
  <c r="L36" i="6"/>
  <c r="O30" i="1"/>
  <c r="L34" i="6"/>
  <c r="J33"/>
  <c r="I31" i="1"/>
  <c r="L33" i="6"/>
  <c r="J31" i="1"/>
  <c r="M33" i="6"/>
  <c r="L29"/>
  <c r="G29" i="1"/>
  <c r="J31" i="6"/>
  <c r="P28" i="1"/>
  <c r="M31" i="6"/>
  <c r="O28" i="1"/>
  <c r="L31" i="6"/>
  <c r="L26"/>
  <c r="G27" i="1"/>
  <c r="J28" i="6"/>
  <c r="P26" i="1"/>
  <c r="M28" i="6"/>
  <c r="O26" i="1"/>
  <c r="L28" i="6"/>
  <c r="L23"/>
  <c r="G25" i="1"/>
  <c r="L20" i="6"/>
  <c r="G23" i="1"/>
  <c r="J22" i="6"/>
  <c r="P22" i="1"/>
  <c r="M22" i="6"/>
  <c r="O22" i="1"/>
  <c r="L22" i="6"/>
  <c r="I21" i="1"/>
  <c r="L18" i="6"/>
  <c r="J18"/>
  <c r="J21" i="1"/>
  <c r="M18" i="6"/>
  <c r="G17" i="1"/>
  <c r="L11" i="6"/>
  <c r="P16" i="1"/>
  <c r="M13" i="6"/>
  <c r="J13"/>
  <c r="O16" i="1"/>
  <c r="L13" i="6"/>
  <c r="L56"/>
  <c r="G47" i="1"/>
  <c r="O63"/>
  <c r="P63"/>
  <c r="M78" i="6"/>
  <c r="M77"/>
  <c r="L75"/>
  <c r="G64" i="1"/>
  <c r="Y58"/>
  <c r="O14"/>
  <c r="L10" i="6"/>
  <c r="J10"/>
  <c r="P14" i="1"/>
  <c r="M10" i="6"/>
  <c r="P36" i="1"/>
  <c r="M43" i="6"/>
  <c r="AA12" i="1"/>
  <c r="AB12"/>
  <c r="G9" i="5"/>
  <c r="AE57" i="1"/>
  <c r="F12" i="5"/>
  <c r="E10" i="4"/>
  <c r="E13"/>
  <c r="J60" i="1"/>
  <c r="M73" i="6" s="1"/>
  <c r="I60" i="1"/>
  <c r="L70" i="6" s="1"/>
  <c r="J70"/>
  <c r="O59" i="1"/>
  <c r="L71" i="6" s="1"/>
  <c r="M67" i="1"/>
  <c r="P67"/>
  <c r="J13"/>
  <c r="M6" i="6" s="1"/>
  <c r="J6"/>
  <c r="Y13" i="1"/>
  <c r="I13"/>
  <c r="AE12"/>
  <c r="I7" i="6"/>
  <c r="J49" i="1"/>
  <c r="M60" i="6"/>
  <c r="I49" i="1"/>
  <c r="L60" i="6"/>
  <c r="J60"/>
  <c r="I45" i="1"/>
  <c r="L54" i="6"/>
  <c r="J54"/>
  <c r="J45" i="1"/>
  <c r="M54" i="6"/>
  <c r="I43" i="1"/>
  <c r="L51" i="6" s="1"/>
  <c r="J51"/>
  <c r="J43" i="1"/>
  <c r="M51" i="6" s="1"/>
  <c r="I41" i="1"/>
  <c r="L48" i="6"/>
  <c r="J48"/>
  <c r="J41" i="1"/>
  <c r="M48" i="6"/>
  <c r="I39" i="1"/>
  <c r="L45" i="6"/>
  <c r="J45"/>
  <c r="J39" i="1"/>
  <c r="M45" i="6"/>
  <c r="J37" i="1"/>
  <c r="M42" i="6"/>
  <c r="J42"/>
  <c r="I37" i="1"/>
  <c r="L42" i="6"/>
  <c r="J39"/>
  <c r="I35" i="1"/>
  <c r="L39" i="6"/>
  <c r="J35" i="1"/>
  <c r="M39" i="6"/>
  <c r="J30"/>
  <c r="I29" i="1"/>
  <c r="L30" i="6"/>
  <c r="J29" i="1"/>
  <c r="M30" i="6"/>
  <c r="J27"/>
  <c r="I27" i="1"/>
  <c r="L27" i="6"/>
  <c r="J27" i="1"/>
  <c r="M27" i="6"/>
  <c r="I25" i="1"/>
  <c r="L24" i="6"/>
  <c r="J24"/>
  <c r="J21"/>
  <c r="I23" i="1"/>
  <c r="L21" i="6"/>
  <c r="J23" i="1"/>
  <c r="M21" i="6"/>
  <c r="J17" i="1"/>
  <c r="M12" i="6"/>
  <c r="J12"/>
  <c r="I17" i="1"/>
  <c r="L12" i="6"/>
  <c r="J57"/>
  <c r="J47" i="1"/>
  <c r="M57" i="6"/>
  <c r="I47" i="1"/>
  <c r="G52"/>
  <c r="J52"/>
  <c r="M62" i="6" s="1"/>
  <c r="J76"/>
  <c r="J64" i="1"/>
  <c r="M79" i="6"/>
  <c r="I64" i="1"/>
  <c r="L76" i="6"/>
  <c r="I9" i="5"/>
  <c r="J9"/>
  <c r="G12"/>
  <c r="AB58" i="1"/>
  <c r="AA58"/>
  <c r="I81" i="6"/>
  <c r="AF57" i="1"/>
  <c r="G10" i="5"/>
  <c r="AA13" i="1"/>
  <c r="M52"/>
  <c r="P52"/>
  <c r="J7" i="6"/>
  <c r="L6"/>
  <c r="AF12" i="1"/>
  <c r="I62" i="6"/>
  <c r="L57"/>
  <c r="J81"/>
  <c r="AH57" i="1"/>
  <c r="L81" i="6" s="1"/>
  <c r="AI57" i="1"/>
  <c r="M81" i="6" s="1"/>
  <c r="F10" i="4"/>
  <c r="I12" i="5"/>
  <c r="J12"/>
  <c r="J62" i="6"/>
  <c r="F9" i="4"/>
  <c r="AH12" i="1"/>
  <c r="L62" i="6" s="1"/>
  <c r="I10" i="4"/>
  <c r="H10"/>
  <c r="I52" i="1" l="1"/>
  <c r="AI12"/>
  <c r="P12"/>
  <c r="M7" i="6" s="1"/>
  <c r="O12" i="1"/>
  <c r="O52" s="1"/>
  <c r="AB13"/>
  <c r="O82" i="6"/>
  <c r="L74"/>
  <c r="O67" i="1"/>
  <c r="G9" i="4"/>
  <c r="I10" i="5"/>
  <c r="J10"/>
  <c r="O80" i="6"/>
  <c r="O76"/>
  <c r="O72"/>
  <c r="O68"/>
  <c r="O64"/>
  <c r="O60"/>
  <c r="O56"/>
  <c r="O52"/>
  <c r="O48"/>
  <c r="O44"/>
  <c r="O40"/>
  <c r="O36"/>
  <c r="O32"/>
  <c r="O28"/>
  <c r="O24"/>
  <c r="O20"/>
  <c r="O16"/>
  <c r="O12"/>
  <c r="O8"/>
  <c r="O4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5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2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3"/>
  <c r="L7" l="1"/>
  <c r="H9" i="4"/>
  <c r="I9"/>
</calcChain>
</file>

<file path=xl/comments1.xml><?xml version="1.0" encoding="utf-8"?>
<comments xmlns="http://schemas.openxmlformats.org/spreadsheetml/2006/main">
  <authors>
    <author>mmendoza</author>
    <author>Kamila Molina</author>
  </authors>
  <commentList>
    <comment ref="F13" authorId="0">
      <text>
        <r>
          <rPr>
            <b/>
            <sz val="11"/>
            <color indexed="81"/>
            <rFont val="Tahoma"/>
            <family val="2"/>
          </rPr>
          <t>mmendoza:</t>
        </r>
        <r>
          <rPr>
            <sz val="11"/>
            <color indexed="81"/>
            <rFont val="Tahoma"/>
            <family val="2"/>
          </rPr>
          <t xml:space="preserve">
Vende 5,074 t a Blumar  V-X (Res N°1709-18)
Compra 2001,568 t a Camanchaca Pesca Sur S.A. V-X (Res N°1651-18)
Vende 1039,013 t a Landes  V-X (Res N°2877-18)
Compra 900,224 t a Landes V-X (Res. N° 3317-18)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(C) Compra 5,074 t desde Pacific Blu  V-X (Res N°1709-18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(T) Traspaso de 1000 t a Grimar XI-XII. Cert N°37-2018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Compra 1039,013 t a PacificBlu  V-X (Res N°2877-18)
Venta 900,224 t a PacificBlu V-X (Res. N° 3317-18)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2150,023 t a Emdepes V-X (Res N°2380-18)
Compra venta de 1,015 ton a San Lorenzo Ltda. V-X Región (Res. 3249-18)</t>
        </r>
      </text>
    </comment>
    <comment ref="F45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11"/>
            <color indexed="81"/>
            <rFont val="Tahoma"/>
            <family val="2"/>
          </rPr>
          <t xml:space="preserve">
(V) Vende  2001,568 t a Pacificblu SpA. V-X (Res N°1651-18)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Cert N°136-2016 traspaso de 0,243 ton Pesca Cisne a Pesca Cisne. 
Cert N°137-16 modifica Cert N° 136-2016 Coef de 0,0000101 y extiende hasta el 2031
Nota: al año 2018 corresponden 0,256 ton de traspaso</t>
        </r>
      </text>
    </comment>
    <comment ref="F49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CV de 2150,023 t  desde Orizon V-X (Res N°2380-18)
Traspaso de 2150,023 t a EMDEPES S.A XI-XII Región (Res. 52-18)</t>
        </r>
      </text>
    </comment>
    <comment ref="F51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Compra venta de 1,015 ton a Orizon SA V-X Región (Res. 3249-18)</t>
        </r>
      </text>
    </comment>
    <comment ref="F58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CV de 2282,950 ton a Sur Austral Xi_XII (Res N°2458-18)
CV de 3432,290 ton a Deris XI_XII (Res N°2450-18)
CV de 596,486 ton a Grimar XI_XII (Res N°2874-18)
Traspaso de 2150,023 t desde EMDEPES S.A V-X Región (Res. 52-18)</t>
        </r>
      </text>
    </comment>
    <comment ref="H59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Se descuentan 9,295 ton captura año 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Traspaso de 1000 t desde Grimar V-X. Cert N°37-2018
Compra de 596,486 ton a Emdepes XI_XII (Res N°2874-18)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CV de 3432,290 ton desde Emdepes XI_XII (Res N°2450-18)</t>
        </r>
      </text>
    </comment>
    <comment ref="F63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Cert N°136-16 traspaso de 0,243 ton Pesca Cisne V-X a Pesca Cisne XI-XII. 
Cert N°137-16 modifica Cert N° 136-2016 Coef de 0,0000101 y extiende hasta el 2031
Nota: al año 2018 corresponden 0,256 ton de traspaso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mmendoza: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CV de 2282,950 ton desde Emdepes XI_XII (Res N°2458-18)</t>
        </r>
      </text>
    </comment>
    <comment ref="H65" authorId="0">
      <text>
        <r>
          <rPr>
            <b/>
            <sz val="8"/>
            <color indexed="81"/>
            <rFont val="Tahoma"/>
            <family val="2"/>
          </rPr>
          <t>mmendoza:</t>
        </r>
        <r>
          <rPr>
            <sz val="8"/>
            <color indexed="81"/>
            <rFont val="Tahoma"/>
            <family val="2"/>
          </rPr>
          <t xml:space="preserve">
Se descuenta 6,055 ton captura año 2017</t>
        </r>
      </text>
    </comment>
    <comment ref="F66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Compra de 2282,950 ton a EMDEPES Xi_XII (Res N°2458-18)</t>
        </r>
      </text>
    </comment>
  </commentList>
</comments>
</file>

<file path=xl/sharedStrings.xml><?xml version="1.0" encoding="utf-8"?>
<sst xmlns="http://schemas.openxmlformats.org/spreadsheetml/2006/main" count="1086" uniqueCount="221">
  <si>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</si>
  <si>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</si>
  <si>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</si>
  <si>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</si>
  <si>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</si>
  <si>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</si>
  <si>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</si>
  <si>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</si>
  <si>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</si>
  <si>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</si>
  <si>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</si>
  <si>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</si>
  <si>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</si>
  <si>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 xml:space="preserve">Merluza de Cola  V-X Región </t>
  </si>
  <si>
    <t>ALIMENTOS MARINOS S.A. 91584000-0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</si>
  <si>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</si>
  <si>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</si>
  <si>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</si>
  <si>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</si>
  <si>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</si>
  <si>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</si>
  <si>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</si>
  <si>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>autorizada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</si>
  <si>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</si>
  <si>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</si>
  <si>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</si>
  <si>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</si>
  <si>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</si>
  <si>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</si>
  <si>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BLUMAR S.A.                       80860400-0</t>
  </si>
  <si>
    <t>LITORAL SpA. PESQUERA</t>
  </si>
  <si>
    <t>FOODCORP CHILE S.A.        87913200-2</t>
  </si>
  <si>
    <t>GRIMAR S.A. PESQ.             96962720-5</t>
  </si>
  <si>
    <t>ISLA QUIHUA S.A. PESQ     99546520-5</t>
  </si>
  <si>
    <t>LANDES S.A. SOC. PESQ.        9238700-8</t>
  </si>
  <si>
    <t>LOTA PROTEIN S.A.              96766590-8</t>
  </si>
  <si>
    <t>ANTONIO CRUZ CORDOVA NAKOUZI                             76189335-1</t>
  </si>
  <si>
    <t>ANTONIO DA VENEZIA RETAMALES 5226590-8</t>
  </si>
  <si>
    <t>SOC. PESQ. ENFERMAR LTDA. 76346240-4</t>
  </si>
  <si>
    <t xml:space="preserve">MAR PROFUNDO S.A. SOC PESQUERA </t>
  </si>
  <si>
    <t>ORIZON</t>
  </si>
  <si>
    <t>SAN ANTONIO S.A. PESQUERA</t>
  </si>
  <si>
    <t>SUR AUSTRAL S.A. PESQ.    96542880-1</t>
  </si>
  <si>
    <t>CAMANCHACA PESCA SUR S.A.</t>
  </si>
  <si>
    <t>PESCA CISNE S.A.</t>
  </si>
  <si>
    <t xml:space="preserve">Merluza de Cola  XI-XII Región </t>
  </si>
  <si>
    <t>CONGELADOS DEL PACIFICO</t>
  </si>
  <si>
    <t>EMDEPES S.A.                       85697000-0</t>
  </si>
  <si>
    <t>XI-XII</t>
  </si>
  <si>
    <t>DERIS S.A.                                96808510-7</t>
  </si>
  <si>
    <t>PESCA CISNE S.A.                96531980-8</t>
  </si>
  <si>
    <t>SUR AUSTRAL S.A. PESQ.     96542880-1</t>
  </si>
  <si>
    <t>CONTROL DE CUOTA MERLUZA DE COLA LTP POR TITULAR 2018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</si>
  <si>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</si>
  <si>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</si>
  <si>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</si>
  <si>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</si>
  <si>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</si>
  <si>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</si>
  <si>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</si>
  <si>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>RESUMEN  ANUAL CONSUMO DE CUOTA MERLUZA DE COLA 2018</t>
  </si>
  <si>
    <t xml:space="preserve">V-X Región </t>
  </si>
  <si>
    <t xml:space="preserve">XI-XII Región </t>
  </si>
  <si>
    <t>Industrial</t>
  </si>
  <si>
    <t>RESUMEN  POR PERIODO DEL CONSUMO DE CUOTA MERLUZA DE COLA 2018</t>
  </si>
  <si>
    <t>Períodos</t>
  </si>
  <si>
    <t>% Consumo</t>
  </si>
  <si>
    <t>DERIS S.A. 96808510-7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</si>
  <si>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</si>
  <si>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</si>
  <si>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</si>
  <si>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</si>
  <si>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</si>
  <si>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</si>
  <si>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</si>
  <si>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</si>
  <si>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</si>
  <si>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</si>
  <si>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</si>
  <si>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</si>
  <si>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</si>
  <si>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</si>
  <si>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</si>
  <si>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</si>
  <si>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</si>
  <si>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</si>
  <si>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</si>
  <si>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</si>
  <si>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</si>
  <si>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</si>
  <si>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ALIMENTOS MARINOS SA</t>
  </si>
  <si>
    <t>CONGELADOS PACIFICO SpA hoy PACIFICBLU SpA</t>
  </si>
  <si>
    <t>BLUMAR SA</t>
  </si>
  <si>
    <t>PESQUERA LITORAL SpA</t>
  </si>
  <si>
    <t>FOODCORP CHILE SA</t>
  </si>
  <si>
    <t xml:space="preserve">GRIMAR SA PESQ    </t>
  </si>
  <si>
    <t xml:space="preserve">ISLA QUIHUA SA PESQ  </t>
  </si>
  <si>
    <t xml:space="preserve">LANDES SA SOC PESQ  </t>
  </si>
  <si>
    <t>LOTA PROTEIN SA</t>
  </si>
  <si>
    <t>ANTONIO CRUZ CORDOVA NAKOUZI EIRL</t>
  </si>
  <si>
    <t xml:space="preserve">DA VENEZIA RETAMALES ANTONIO </t>
  </si>
  <si>
    <t>ENFEMAR LTDA SOC PESQ</t>
  </si>
  <si>
    <t>MAR PROFUNDO SA SOC PESQ</t>
  </si>
  <si>
    <t>ORIZON SA</t>
  </si>
  <si>
    <t>DERIS SA</t>
  </si>
  <si>
    <t>SAN ANTONIO SA PESQ</t>
  </si>
  <si>
    <t>SUR AUSTRAL SA PESQ</t>
  </si>
  <si>
    <t>CAMANCHACA PESCA SUR SA</t>
  </si>
  <si>
    <t>PESCA CISNE SA</t>
  </si>
  <si>
    <t>TOTAL LTP</t>
  </si>
  <si>
    <t>TOTAL ASIGNATARIOS LTP</t>
  </si>
  <si>
    <t>MERLUZA DE COLA XI-XII</t>
  </si>
  <si>
    <t>EMDEPES SA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</si>
  <si>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</si>
  <si>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</si>
  <si>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</si>
  <si>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</si>
  <si>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</si>
  <si>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</si>
  <si>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</si>
  <si>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</si>
  <si>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</si>
  <si>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>Congelados del Pacífico</t>
  </si>
  <si>
    <t>A:</t>
  </si>
  <si>
    <t>Coeficiente:</t>
  </si>
  <si>
    <t>De:</t>
  </si>
  <si>
    <t>Bio Bio</t>
  </si>
  <si>
    <t>Pesca Fina</t>
  </si>
  <si>
    <t>Landes</t>
  </si>
  <si>
    <t>Camanchaca PS</t>
  </si>
  <si>
    <t>PacificBlue</t>
  </si>
  <si>
    <t>Mod Res 25</t>
  </si>
  <si>
    <t>Queda en PacificBlue</t>
  </si>
  <si>
    <t>Blumar</t>
  </si>
  <si>
    <t>Mod Res 208</t>
  </si>
  <si>
    <t>Queda en Pesca Fina</t>
  </si>
  <si>
    <t>76299375-9</t>
  </si>
  <si>
    <t>CONGELADOS PACIFICO SpA hoy PACIFICBLU SpA.</t>
  </si>
  <si>
    <t>76596549-7</t>
  </si>
  <si>
    <t>PESCA FINA SpA. hoy PACIFICBLU SpA.</t>
  </si>
  <si>
    <t>PACIFICBLU SpA antes CONGELADOS DEL PACIFICO y PESCA FINA</t>
  </si>
  <si>
    <t>LTP</t>
  </si>
  <si>
    <t>ene-mar</t>
  </si>
  <si>
    <t>abr-dic</t>
  </si>
  <si>
    <t>año</t>
  </si>
  <si>
    <t>coef</t>
  </si>
  <si>
    <t>Res</t>
  </si>
  <si>
    <t>Fecha</t>
  </si>
  <si>
    <t>Tipo</t>
  </si>
  <si>
    <t>Compra/Venta</t>
  </si>
  <si>
    <t>TOTAL</t>
  </si>
  <si>
    <t>TOTAL AÑO</t>
  </si>
  <si>
    <t>Cuota Anual</t>
  </si>
  <si>
    <t>Cuota PacificBlue</t>
  </si>
  <si>
    <r>
      <rPr>
        <b/>
        <sz val="10"/>
        <rFont val="Arial Narrow"/>
        <family val="2"/>
      </rPr>
      <t>Merluza de cola V a X regiones</t>
    </r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</si>
  <si>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</si>
  <si>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</si>
  <si>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ENE-MAR</t>
    </r>
  </si>
  <si>
    <r>
      <rPr>
        <b/>
        <sz val="10"/>
        <rFont val="Arial Narrow"/>
        <family val="2"/>
      </rPr>
      <t>ABR-DIC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</si>
  <si>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</si>
  <si>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</si>
  <si>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</si>
  <si>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BLUMAR S.A.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</si>
  <si>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</si>
  <si>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LITORAL SpA. PESQ.</t>
    </r>
  </si>
  <si>
    <r>
      <rPr>
        <sz val="10"/>
        <rFont val="Arial Narrow"/>
        <family val="2"/>
      </rPr>
      <t>LITORAL SpA, PESQ.</t>
    </r>
  </si>
  <si>
    <r>
      <rPr>
        <sz val="10"/>
        <rFont val="Arial Narrow"/>
        <family val="2"/>
      </rPr>
      <t>FOODCORP CHILE S.A.</t>
    </r>
  </si>
  <si>
    <r>
      <rPr>
        <sz val="10"/>
        <rFont val="Arial Narrow"/>
        <family val="2"/>
      </rPr>
      <t>GRIMAR S.A. PESQ.</t>
    </r>
  </si>
  <si>
    <r>
      <rPr>
        <sz val="10"/>
        <rFont val="Arial Narrow"/>
        <family val="2"/>
      </rPr>
      <t>ISLA QUIHUA S.A. PESQ.</t>
    </r>
  </si>
  <si>
    <r>
      <rPr>
        <sz val="10"/>
        <rFont val="Arial Narrow"/>
        <family val="2"/>
      </rPr>
      <t>LANDES S.A. SOC. PESQ.</t>
    </r>
  </si>
  <si>
    <r>
      <rPr>
        <sz val="10"/>
        <rFont val="Arial Narrow"/>
        <family val="2"/>
      </rPr>
      <t>LOTA PROTEIN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</si>
  <si>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</si>
  <si>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</si>
  <si>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ENFEMAR LTDA. SOC. PESQ,</t>
    </r>
  </si>
  <si>
    <r>
      <rPr>
        <sz val="10"/>
        <rFont val="Arial Narrow"/>
        <family val="2"/>
      </rPr>
      <t>MAR PROFUNDO S.A. SOC. PESQ.</t>
    </r>
  </si>
  <si>
    <r>
      <rPr>
        <sz val="10"/>
        <rFont val="Arial Narrow"/>
        <family val="2"/>
      </rPr>
      <t>ORIZON S.A.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</si>
  <si>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</si>
  <si>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SAN ANTONIO S.A. PESQ.</t>
    </r>
  </si>
  <si>
    <r>
      <rPr>
        <sz val="10"/>
        <rFont val="Arial Narrow"/>
        <family val="2"/>
      </rPr>
      <t>SUR AUSTRAL S.A. PESQ.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</si>
  <si>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</si>
  <si>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PESCA CISNE S.A.</t>
    </r>
  </si>
  <si>
    <t>Mod otros</t>
  </si>
  <si>
    <t>Camanchaca SA</t>
  </si>
  <si>
    <t>Alimar</t>
  </si>
  <si>
    <t>Mod 1252</t>
  </si>
  <si>
    <t>Queda en Alimar</t>
  </si>
  <si>
    <t>Fusión</t>
  </si>
  <si>
    <t>Mar Profundo</t>
  </si>
  <si>
    <t>San Antonio</t>
  </si>
  <si>
    <t>Permuta</t>
  </si>
  <si>
    <t>Pesca Cisne</t>
  </si>
  <si>
    <t>Res 4507</t>
  </si>
  <si>
    <t>Res asignación</t>
  </si>
  <si>
    <t>Cuota Titular</t>
  </si>
  <si>
    <t>ALIMENTOS MARINOS S.A.</t>
  </si>
  <si>
    <t>Cuota Alimar</t>
  </si>
  <si>
    <t>Cuota Total LTP</t>
  </si>
  <si>
    <t>BLUMAR</t>
  </si>
  <si>
    <t xml:space="preserve">Bio Bio </t>
  </si>
  <si>
    <t>Mod 2206</t>
  </si>
  <si>
    <t>Queda en Blumar</t>
  </si>
  <si>
    <t>Rectifica 101</t>
  </si>
  <si>
    <t>Cuota Blumar</t>
  </si>
  <si>
    <t xml:space="preserve">EMDEPES S.A.     </t>
  </si>
  <si>
    <t>COEFICIENTE</t>
  </si>
  <si>
    <t>Otro</t>
  </si>
  <si>
    <t>PESQUERA BIO BIO SpA.</t>
  </si>
  <si>
    <t>LANDES S.A. SOC. PESQ.</t>
  </si>
  <si>
    <t>BLUMAR S.A.</t>
  </si>
  <si>
    <t>SUR AUSTRAL S.A. PESQ.</t>
  </si>
  <si>
    <t xml:space="preserve"> PESQUERA BIO BIO SpA.</t>
  </si>
  <si>
    <t>Certificado titularidad</t>
  </si>
  <si>
    <t>Transferencia</t>
  </si>
  <si>
    <t>Rectifica certificado N°14</t>
  </si>
  <si>
    <t xml:space="preserve"> - </t>
  </si>
  <si>
    <t>Mod N°14</t>
  </si>
  <si>
    <t>Queda en Bio Bio</t>
  </si>
  <si>
    <t>Mod N°2164</t>
  </si>
  <si>
    <t>Acuerdo Aumento Capital</t>
  </si>
  <si>
    <t>COMERCIAL Y CONSERVERA SAN LORENZO Ltda.</t>
  </si>
  <si>
    <t>Información preliminar</t>
  </si>
</sst>
</file>

<file path=xl/styles.xml><?xml version="1.0" encoding="utf-8"?>
<styleSheet xmlns="http://schemas.openxmlformats.org/spreadsheetml/2006/main">
  <numFmts count="1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0.0000000"/>
    <numFmt numFmtId="173" formatCode="000.000"/>
    <numFmt numFmtId="174" formatCode="0.000.000"/>
    <numFmt numFmtId="175" formatCode="_-* #,##0.00\ _p_t_a_-;\-* #,##0.00\ _p_t_a_-;_-* \-??\ _p_t_a_-;_-@_-"/>
    <numFmt numFmtId="176" formatCode="0.0.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81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A72C8"/>
        <bgColor indexed="64"/>
      </patternFill>
    </fill>
    <fill>
      <patternFill patternType="solid">
        <fgColor rgb="FF70BA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2" fillId="0" borderId="0"/>
    <xf numFmtId="0" fontId="21" fillId="0" borderId="0"/>
    <xf numFmtId="0" fontId="32" fillId="0" borderId="0" applyNumberFormat="0" applyFill="0" applyBorder="0" applyAlignment="0" applyProtection="0"/>
    <xf numFmtId="0" fontId="33" fillId="0" borderId="64" applyNumberFormat="0" applyFill="0" applyAlignment="0" applyProtection="0"/>
    <xf numFmtId="0" fontId="34" fillId="0" borderId="65" applyNumberFormat="0" applyFill="0" applyAlignment="0" applyProtection="0"/>
    <xf numFmtId="0" fontId="35" fillId="0" borderId="66" applyNumberFormat="0" applyFill="0" applyAlignment="0" applyProtection="0"/>
    <xf numFmtId="0" fontId="35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7" fillId="21" borderId="0" applyNumberFormat="0" applyBorder="0" applyAlignment="0" applyProtection="0"/>
    <xf numFmtId="0" fontId="38" fillId="22" borderId="67" applyNumberFormat="0" applyAlignment="0" applyProtection="0"/>
    <xf numFmtId="0" fontId="39" fillId="23" borderId="68" applyNumberFormat="0" applyAlignment="0" applyProtection="0"/>
    <xf numFmtId="0" fontId="40" fillId="23" borderId="67" applyNumberFormat="0" applyAlignment="0" applyProtection="0"/>
    <xf numFmtId="0" fontId="41" fillId="0" borderId="69" applyNumberFormat="0" applyFill="0" applyAlignment="0" applyProtection="0"/>
    <xf numFmtId="0" fontId="42" fillId="24" borderId="70" applyNumberFormat="0" applyAlignment="0" applyProtection="0"/>
    <xf numFmtId="0" fontId="14" fillId="0" borderId="0" applyNumberFormat="0" applyFill="0" applyBorder="0" applyAlignment="0" applyProtection="0"/>
    <xf numFmtId="0" fontId="1" fillId="25" borderId="71" applyNumberFormat="0" applyFont="0" applyAlignment="0" applyProtection="0"/>
    <xf numFmtId="0" fontId="43" fillId="0" borderId="0" applyNumberFormat="0" applyFill="0" applyBorder="0" applyAlignment="0" applyProtection="0"/>
    <xf numFmtId="0" fontId="3" fillId="0" borderId="72" applyNumberFormat="0" applyFill="0" applyAlignment="0" applyProtection="0"/>
    <xf numFmtId="0" fontId="4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4" fillId="4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0" fontId="4" fillId="0" borderId="0"/>
    <xf numFmtId="0" fontId="23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12" fillId="0" borderId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0" fillId="64" borderId="73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1" fillId="65" borderId="74" applyNumberFormat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2" fillId="0" borderId="75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4" fillId="55" borderId="73" applyNumberFormat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0" fontId="4" fillId="71" borderId="5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7" fillId="64" borderId="76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62" fillId="0" borderId="78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53" fillId="0" borderId="7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6" fillId="0" borderId="80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47" fillId="0" borderId="0" applyNumberFormat="0" applyFill="0" applyBorder="0" applyAlignment="0" applyProtection="0">
      <alignment vertical="top"/>
      <protection locked="0"/>
    </xf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6" borderId="12" xfId="3" applyFont="1" applyFill="1" applyBorder="1" applyAlignment="1">
      <alignment horizontal="center" vertical="center" wrapText="1"/>
    </xf>
    <xf numFmtId="0" fontId="5" fillId="6" borderId="12" xfId="4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5" fillId="6" borderId="12" xfId="5" applyFont="1" applyFill="1" applyBorder="1" applyAlignment="1">
      <alignment horizontal="center" vertical="center" wrapText="1"/>
    </xf>
    <xf numFmtId="165" fontId="5" fillId="6" borderId="12" xfId="5" applyNumberFormat="1" applyFont="1" applyFill="1" applyBorder="1" applyAlignment="1">
      <alignment horizontal="center" vertical="center" wrapText="1"/>
    </xf>
    <xf numFmtId="10" fontId="5" fillId="6" borderId="12" xfId="1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0" fontId="0" fillId="0" borderId="24" xfId="1" applyNumberFormat="1" applyFont="1" applyBorder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166" fontId="0" fillId="0" borderId="32" xfId="0" applyNumberFormat="1" applyBorder="1" applyAlignment="1">
      <alignment horizontal="center" vertical="center"/>
    </xf>
    <xf numFmtId="0" fontId="11" fillId="8" borderId="28" xfId="0" applyFont="1" applyFill="1" applyBorder="1" applyAlignment="1">
      <alignment horizontal="center"/>
    </xf>
    <xf numFmtId="3" fontId="11" fillId="8" borderId="28" xfId="0" applyNumberFormat="1" applyFont="1" applyFill="1" applyBorder="1" applyAlignment="1">
      <alignment horizontal="center"/>
    </xf>
    <xf numFmtId="167" fontId="11" fillId="8" borderId="28" xfId="0" applyNumberFormat="1" applyFont="1" applyFill="1" applyBorder="1" applyAlignment="1">
      <alignment horizontal="center"/>
    </xf>
    <xf numFmtId="10" fontId="11" fillId="8" borderId="28" xfId="6" applyNumberFormat="1" applyFont="1" applyFill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1" fillId="8" borderId="36" xfId="0" applyFont="1" applyFill="1" applyBorder="1" applyAlignment="1">
      <alignment horizontal="center"/>
    </xf>
    <xf numFmtId="3" fontId="11" fillId="8" borderId="36" xfId="0" applyNumberFormat="1" applyFont="1" applyFill="1" applyBorder="1" applyAlignment="1">
      <alignment horizontal="center"/>
    </xf>
    <xf numFmtId="10" fontId="11" fillId="8" borderId="36" xfId="6" applyNumberFormat="1" applyFont="1" applyFill="1" applyBorder="1" applyAlignment="1">
      <alignment horizontal="center"/>
    </xf>
    <xf numFmtId="0" fontId="11" fillId="8" borderId="37" xfId="0" applyFon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 vertical="center"/>
    </xf>
    <xf numFmtId="10" fontId="0" fillId="0" borderId="24" xfId="1" applyNumberFormat="1" applyFont="1" applyFill="1" applyBorder="1" applyAlignment="1">
      <alignment horizontal="center" vertical="center"/>
    </xf>
    <xf numFmtId="166" fontId="0" fillId="0" borderId="23" xfId="0" applyNumberFormat="1" applyFill="1" applyBorder="1" applyAlignment="1">
      <alignment horizontal="center" vertical="center"/>
    </xf>
    <xf numFmtId="10" fontId="0" fillId="0" borderId="28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8" borderId="32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40" xfId="0" applyFont="1" applyFill="1" applyBorder="1" applyAlignment="1">
      <alignment horizontal="center" vertical="center" wrapText="1"/>
    </xf>
    <xf numFmtId="169" fontId="17" fillId="12" borderId="8" xfId="0" applyNumberFormat="1" applyFont="1" applyFill="1" applyBorder="1" applyAlignment="1">
      <alignment horizontal="center" vertical="center" wrapText="1"/>
    </xf>
    <xf numFmtId="166" fontId="17" fillId="12" borderId="8" xfId="0" applyNumberFormat="1" applyFont="1" applyFill="1" applyBorder="1" applyAlignment="1">
      <alignment horizontal="center" vertical="center" wrapText="1"/>
    </xf>
    <xf numFmtId="0" fontId="17" fillId="12" borderId="8" xfId="0" applyFont="1" applyFill="1" applyBorder="1" applyAlignment="1">
      <alignment horizontal="center" vertical="center" wrapText="1"/>
    </xf>
    <xf numFmtId="0" fontId="17" fillId="12" borderId="4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13" borderId="28" xfId="0" applyFont="1" applyFill="1" applyBorder="1"/>
    <xf numFmtId="0" fontId="3" fillId="5" borderId="23" xfId="0" applyFont="1" applyFill="1" applyBorder="1"/>
    <xf numFmtId="0" fontId="3" fillId="13" borderId="14" xfId="0" applyFont="1" applyFill="1" applyBorder="1"/>
    <xf numFmtId="4" fontId="3" fillId="13" borderId="45" xfId="0" applyNumberFormat="1" applyFont="1" applyFill="1" applyBorder="1" applyAlignment="1">
      <alignment horizontal="center"/>
    </xf>
    <xf numFmtId="4" fontId="3" fillId="13" borderId="14" xfId="0" applyNumberFormat="1" applyFont="1" applyFill="1" applyBorder="1" applyAlignment="1">
      <alignment horizontal="center"/>
    </xf>
    <xf numFmtId="4" fontId="3" fillId="13" borderId="42" xfId="0" applyNumberFormat="1" applyFont="1" applyFill="1" applyBorder="1" applyAlignment="1">
      <alignment horizontal="center"/>
    </xf>
    <xf numFmtId="4" fontId="3" fillId="13" borderId="28" xfId="0" applyNumberFormat="1" applyFont="1" applyFill="1" applyBorder="1" applyAlignment="1">
      <alignment horizontal="center"/>
    </xf>
    <xf numFmtId="4" fontId="3" fillId="5" borderId="44" xfId="0" applyNumberFormat="1" applyFont="1" applyFill="1" applyBorder="1" applyAlignment="1">
      <alignment horizontal="center"/>
    </xf>
    <xf numFmtId="4" fontId="3" fillId="5" borderId="23" xfId="0" applyNumberFormat="1" applyFont="1" applyFill="1" applyBorder="1" applyAlignment="1">
      <alignment horizontal="center"/>
    </xf>
    <xf numFmtId="4" fontId="3" fillId="5" borderId="36" xfId="0" applyNumberFormat="1" applyFont="1" applyFill="1" applyBorder="1" applyAlignment="1">
      <alignment horizontal="center"/>
    </xf>
    <xf numFmtId="4" fontId="3" fillId="5" borderId="47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3" fontId="7" fillId="0" borderId="0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horizontal="center"/>
    </xf>
    <xf numFmtId="0" fontId="5" fillId="16" borderId="12" xfId="2" applyFont="1" applyFill="1" applyBorder="1" applyAlignment="1">
      <alignment horizontal="center" vertical="center" wrapText="1"/>
    </xf>
    <xf numFmtId="0" fontId="5" fillId="16" borderId="12" xfId="5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0" fontId="0" fillId="0" borderId="36" xfId="1" applyNumberFormat="1" applyFont="1" applyFill="1" applyBorder="1" applyAlignment="1">
      <alignment horizontal="center" vertical="center"/>
    </xf>
    <xf numFmtId="166" fontId="0" fillId="0" borderId="47" xfId="0" applyNumberForma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3" fillId="13" borderId="15" xfId="1" applyNumberFormat="1" applyFont="1" applyFill="1" applyBorder="1" applyAlignment="1">
      <alignment horizontal="center"/>
    </xf>
    <xf numFmtId="10" fontId="3" fillId="5" borderId="49" xfId="1" applyNumberFormat="1" applyFont="1" applyFill="1" applyBorder="1" applyAlignment="1">
      <alignment horizontal="center"/>
    </xf>
    <xf numFmtId="10" fontId="3" fillId="13" borderId="29" xfId="1" applyNumberFormat="1" applyFont="1" applyFill="1" applyBorder="1" applyAlignment="1">
      <alignment horizontal="center"/>
    </xf>
    <xf numFmtId="10" fontId="3" fillId="5" borderId="46" xfId="1" applyNumberFormat="1" applyFont="1" applyFill="1" applyBorder="1" applyAlignment="1">
      <alignment horizontal="center"/>
    </xf>
    <xf numFmtId="0" fontId="19" fillId="0" borderId="28" xfId="0" applyFont="1" applyFill="1" applyBorder="1" applyAlignment="1"/>
    <xf numFmtId="0" fontId="20" fillId="0" borderId="28" xfId="0" applyFont="1" applyFill="1" applyBorder="1" applyAlignment="1"/>
    <xf numFmtId="0" fontId="0" fillId="0" borderId="0" xfId="0" applyFont="1" applyFill="1" applyAlignment="1"/>
    <xf numFmtId="0" fontId="21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21" fillId="0" borderId="0" xfId="0" applyNumberFormat="1" applyFont="1" applyFill="1" applyAlignment="1">
      <alignment horizontal="right"/>
    </xf>
    <xf numFmtId="0" fontId="23" fillId="0" borderId="51" xfId="7" applyFont="1" applyFill="1" applyBorder="1" applyAlignment="1"/>
    <xf numFmtId="0" fontId="7" fillId="3" borderId="32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3" fontId="11" fillId="8" borderId="14" xfId="0" applyNumberFormat="1" applyFont="1" applyFill="1" applyBorder="1" applyAlignment="1">
      <alignment horizontal="center"/>
    </xf>
    <xf numFmtId="167" fontId="11" fillId="8" borderId="14" xfId="0" applyNumberFormat="1" applyFont="1" applyFill="1" applyBorder="1" applyAlignment="1">
      <alignment horizontal="center"/>
    </xf>
    <xf numFmtId="10" fontId="11" fillId="8" borderId="14" xfId="6" applyNumberFormat="1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9" fontId="21" fillId="0" borderId="0" xfId="1" applyFont="1" applyFill="1" applyAlignment="1">
      <alignment horizontal="right"/>
    </xf>
    <xf numFmtId="0" fontId="7" fillId="0" borderId="28" xfId="0" applyFont="1" applyFill="1" applyBorder="1" applyAlignment="1"/>
    <xf numFmtId="170" fontId="11" fillId="0" borderId="0" xfId="0" applyNumberFormat="1" applyFont="1" applyFill="1" applyAlignment="1"/>
    <xf numFmtId="166" fontId="0" fillId="0" borderId="22" xfId="0" applyNumberFormat="1" applyBorder="1" applyAlignment="1">
      <alignment horizontal="center" vertical="center"/>
    </xf>
    <xf numFmtId="0" fontId="3" fillId="5" borderId="32" xfId="0" applyFont="1" applyFill="1" applyBorder="1"/>
    <xf numFmtId="4" fontId="3" fillId="5" borderId="24" xfId="0" applyNumberFormat="1" applyFont="1" applyFill="1" applyBorder="1" applyAlignment="1">
      <alignment horizontal="center"/>
    </xf>
    <xf numFmtId="4" fontId="3" fillId="5" borderId="32" xfId="0" applyNumberFormat="1" applyFont="1" applyFill="1" applyBorder="1" applyAlignment="1">
      <alignment horizontal="center"/>
    </xf>
    <xf numFmtId="10" fontId="3" fillId="5" borderId="57" xfId="1" applyNumberFormat="1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36" xfId="0" applyFont="1" applyFill="1" applyBorder="1" applyAlignment="1">
      <alignment horizontal="center"/>
    </xf>
    <xf numFmtId="0" fontId="3" fillId="13" borderId="36" xfId="0" applyFont="1" applyFill="1" applyBorder="1"/>
    <xf numFmtId="4" fontId="3" fillId="13" borderId="48" xfId="0" applyNumberFormat="1" applyFont="1" applyFill="1" applyBorder="1" applyAlignment="1">
      <alignment horizontal="center"/>
    </xf>
    <xf numFmtId="4" fontId="3" fillId="13" borderId="36" xfId="0" applyNumberFormat="1" applyFont="1" applyFill="1" applyBorder="1" applyAlignment="1">
      <alignment horizontal="center"/>
    </xf>
    <xf numFmtId="10" fontId="3" fillId="13" borderId="37" xfId="1" applyNumberFormat="1" applyFont="1" applyFill="1" applyBorder="1" applyAlignment="1">
      <alignment horizontal="center"/>
    </xf>
    <xf numFmtId="0" fontId="23" fillId="0" borderId="58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center"/>
    </xf>
    <xf numFmtId="14" fontId="0" fillId="0" borderId="0" xfId="0" applyNumberFormat="1"/>
    <xf numFmtId="0" fontId="0" fillId="0" borderId="23" xfId="0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28" xfId="0" applyBorder="1"/>
    <xf numFmtId="0" fontId="0" fillId="0" borderId="28" xfId="0" applyBorder="1" applyAlignment="1">
      <alignment horizontal="center"/>
    </xf>
    <xf numFmtId="14" fontId="0" fillId="0" borderId="28" xfId="0" applyNumberFormat="1" applyBorder="1"/>
    <xf numFmtId="0" fontId="3" fillId="0" borderId="0" xfId="0" applyFont="1"/>
    <xf numFmtId="14" fontId="0" fillId="0" borderId="28" xfId="0" applyNumberFormat="1" applyBorder="1" applyAlignment="1">
      <alignment horizontal="center"/>
    </xf>
    <xf numFmtId="0" fontId="24" fillId="0" borderId="0" xfId="0" applyFont="1"/>
    <xf numFmtId="2" fontId="24" fillId="0" borderId="0" xfId="0" applyNumberFormat="1" applyFont="1" applyAlignment="1">
      <alignment horizontal="center"/>
    </xf>
    <xf numFmtId="4" fontId="11" fillId="8" borderId="45" xfId="0" applyNumberFormat="1" applyFont="1" applyFill="1" applyBorder="1" applyAlignment="1">
      <alignment horizontal="center"/>
    </xf>
    <xf numFmtId="4" fontId="11" fillId="8" borderId="4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1" fillId="19" borderId="45" xfId="0" applyFont="1" applyFill="1" applyBorder="1" applyAlignment="1">
      <alignment horizontal="center"/>
    </xf>
    <xf numFmtId="3" fontId="11" fillId="19" borderId="15" xfId="0" applyNumberFormat="1" applyFont="1" applyFill="1" applyBorder="1" applyAlignment="1">
      <alignment horizontal="center"/>
    </xf>
    <xf numFmtId="0" fontId="11" fillId="19" borderId="48" xfId="0" applyFont="1" applyFill="1" applyBorder="1" applyAlignment="1">
      <alignment horizontal="center"/>
    </xf>
    <xf numFmtId="3" fontId="11" fillId="19" borderId="37" xfId="0" applyNumberFormat="1" applyFont="1" applyFill="1" applyBorder="1" applyAlignment="1">
      <alignment horizontal="center"/>
    </xf>
    <xf numFmtId="0" fontId="0" fillId="0" borderId="12" xfId="0" applyBorder="1"/>
    <xf numFmtId="0" fontId="24" fillId="0" borderId="12" xfId="0" applyFont="1" applyBorder="1" applyAlignment="1">
      <alignment horizontal="center"/>
    </xf>
    <xf numFmtId="0" fontId="21" fillId="0" borderId="0" xfId="8"/>
    <xf numFmtId="0" fontId="28" fillId="0" borderId="28" xfId="8" applyFont="1" applyBorder="1" applyAlignment="1">
      <alignment horizontal="left" vertical="center" wrapText="1"/>
    </xf>
    <xf numFmtId="172" fontId="28" fillId="0" borderId="28" xfId="8" applyNumberFormat="1" applyFont="1" applyBorder="1" applyAlignment="1">
      <alignment horizontal="right" vertical="center" wrapText="1"/>
    </xf>
    <xf numFmtId="171" fontId="28" fillId="0" borderId="28" xfId="8" applyNumberFormat="1" applyFont="1" applyBorder="1" applyAlignment="1">
      <alignment horizontal="right" vertical="center" wrapText="1"/>
    </xf>
    <xf numFmtId="166" fontId="28" fillId="0" borderId="28" xfId="8" applyNumberFormat="1" applyFont="1" applyBorder="1" applyAlignment="1">
      <alignment horizontal="right" vertical="center" wrapText="1"/>
    </xf>
    <xf numFmtId="173" fontId="28" fillId="0" borderId="28" xfId="8" applyNumberFormat="1" applyFont="1" applyBorder="1" applyAlignment="1">
      <alignment horizontal="right" vertical="center" wrapText="1"/>
    </xf>
    <xf numFmtId="174" fontId="28" fillId="0" borderId="28" xfId="8" applyNumberFormat="1" applyFont="1" applyBorder="1" applyAlignment="1">
      <alignment horizontal="right" vertical="center" wrapText="1"/>
    </xf>
    <xf numFmtId="0" fontId="29" fillId="0" borderId="0" xfId="8" applyFont="1" applyBorder="1" applyAlignment="1">
      <alignment horizontal="left" vertical="top"/>
    </xf>
    <xf numFmtId="0" fontId="29" fillId="0" borderId="28" xfId="8" applyFont="1" applyBorder="1" applyAlignment="1">
      <alignment horizontal="left" vertical="center" wrapText="1"/>
    </xf>
    <xf numFmtId="0" fontId="29" fillId="0" borderId="28" xfId="8" applyFont="1" applyBorder="1" applyAlignment="1">
      <alignment horizontal="right" vertical="center" wrapText="1"/>
    </xf>
    <xf numFmtId="0" fontId="29" fillId="0" borderId="28" xfId="8" applyFont="1" applyBorder="1" applyAlignment="1">
      <alignment horizontal="right" vertical="center" wrapText="1" indent="1"/>
    </xf>
    <xf numFmtId="0" fontId="29" fillId="0" borderId="28" xfId="8" applyFont="1" applyBorder="1" applyAlignment="1">
      <alignment horizontal="right" vertical="center" wrapText="1" indent="2"/>
    </xf>
    <xf numFmtId="0" fontId="28" fillId="0" borderId="28" xfId="8" applyFont="1" applyBorder="1" applyAlignment="1">
      <alignment horizontal="left" vertical="center" wrapText="1"/>
    </xf>
    <xf numFmtId="172" fontId="28" fillId="0" borderId="28" xfId="8" applyNumberFormat="1" applyFont="1" applyBorder="1" applyAlignment="1">
      <alignment horizontal="right" vertical="center" wrapText="1"/>
    </xf>
    <xf numFmtId="171" fontId="28" fillId="0" borderId="28" xfId="8" applyNumberFormat="1" applyFont="1" applyBorder="1" applyAlignment="1">
      <alignment horizontal="right" vertical="center" wrapText="1"/>
    </xf>
    <xf numFmtId="166" fontId="28" fillId="0" borderId="28" xfId="8" applyNumberFormat="1" applyFont="1" applyBorder="1" applyAlignment="1">
      <alignment horizontal="right" vertical="center" wrapText="1"/>
    </xf>
    <xf numFmtId="173" fontId="28" fillId="0" borderId="28" xfId="8" applyNumberFormat="1" applyFont="1" applyBorder="1" applyAlignment="1">
      <alignment horizontal="right" vertical="center" wrapText="1"/>
    </xf>
    <xf numFmtId="0" fontId="29" fillId="0" borderId="28" xfId="8" applyFont="1" applyBorder="1" applyAlignment="1">
      <alignment horizontal="left" vertical="center" wrapText="1"/>
    </xf>
    <xf numFmtId="0" fontId="29" fillId="0" borderId="28" xfId="8" applyFont="1" applyBorder="1" applyAlignment="1">
      <alignment horizontal="right" vertical="center" wrapText="1"/>
    </xf>
    <xf numFmtId="0" fontId="0" fillId="0" borderId="28" xfId="0" applyBorder="1" applyAlignment="1">
      <alignment horizontal="right"/>
    </xf>
    <xf numFmtId="0" fontId="0" fillId="0" borderId="28" xfId="0" applyFill="1" applyBorder="1"/>
    <xf numFmtId="0" fontId="3" fillId="0" borderId="28" xfId="0" applyFont="1" applyBorder="1"/>
    <xf numFmtId="0" fontId="3" fillId="0" borderId="0" xfId="0" applyFont="1" applyAlignment="1">
      <alignment horizontal="right"/>
    </xf>
    <xf numFmtId="0" fontId="24" fillId="0" borderId="28" xfId="0" applyFont="1" applyBorder="1"/>
    <xf numFmtId="172" fontId="29" fillId="0" borderId="28" xfId="8" applyNumberFormat="1" applyFont="1" applyBorder="1" applyAlignment="1">
      <alignment horizontal="right" vertical="center" wrapText="1"/>
    </xf>
    <xf numFmtId="0" fontId="0" fillId="0" borderId="5" xfId="0" applyBorder="1"/>
    <xf numFmtId="0" fontId="11" fillId="19" borderId="13" xfId="0" applyFont="1" applyFill="1" applyBorder="1" applyAlignment="1">
      <alignment horizontal="center"/>
    </xf>
    <xf numFmtId="4" fontId="11" fillId="8" borderId="61" xfId="0" applyNumberFormat="1" applyFont="1" applyFill="1" applyBorder="1" applyAlignment="1">
      <alignment horizontal="center"/>
    </xf>
    <xf numFmtId="0" fontId="11" fillId="19" borderId="35" xfId="0" applyFont="1" applyFill="1" applyBorder="1" applyAlignment="1">
      <alignment horizontal="center"/>
    </xf>
    <xf numFmtId="4" fontId="11" fillId="8" borderId="62" xfId="0" applyNumberFormat="1" applyFont="1" applyFill="1" applyBorder="1" applyAlignment="1">
      <alignment horizontal="center"/>
    </xf>
    <xf numFmtId="4" fontId="0" fillId="0" borderId="0" xfId="0" applyNumberFormat="1"/>
    <xf numFmtId="166" fontId="0" fillId="0" borderId="4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/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1" fontId="11" fillId="8" borderId="14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0" fontId="0" fillId="0" borderId="33" xfId="1" applyNumberFormat="1" applyFon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3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0" fontId="0" fillId="0" borderId="23" xfId="1" applyNumberFormat="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76" fontId="0" fillId="0" borderId="0" xfId="0" applyNumberFormat="1"/>
    <xf numFmtId="0" fontId="14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25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16" borderId="30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0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textRotation="90"/>
    </xf>
    <xf numFmtId="0" fontId="8" fillId="15" borderId="0" xfId="0" applyFont="1" applyFill="1" applyBorder="1" applyAlignment="1">
      <alignment horizontal="center" vertical="center" textRotation="90"/>
    </xf>
    <xf numFmtId="0" fontId="0" fillId="16" borderId="50" xfId="0" applyFill="1" applyBorder="1" applyAlignment="1">
      <alignment horizontal="center" vertical="center" wrapText="1"/>
    </xf>
    <xf numFmtId="0" fontId="0" fillId="16" borderId="82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 wrapText="1"/>
    </xf>
    <xf numFmtId="0" fontId="7" fillId="3" borderId="32" xfId="3" applyFont="1" applyFill="1" applyBorder="1" applyAlignment="1">
      <alignment horizontal="center" vertical="center" wrapText="1"/>
    </xf>
    <xf numFmtId="0" fontId="7" fillId="3" borderId="52" xfId="3" applyFont="1" applyFill="1" applyBorder="1" applyAlignment="1">
      <alignment horizontal="center" vertical="center" wrapText="1"/>
    </xf>
    <xf numFmtId="0" fontId="7" fillId="3" borderId="56" xfId="3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0" fontId="0" fillId="0" borderId="3" xfId="1" applyNumberFormat="1" applyFont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 wrapText="1"/>
    </xf>
    <xf numFmtId="0" fontId="9" fillId="3" borderId="55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7" fillId="3" borderId="30" xfId="3" applyFont="1" applyFill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3" fontId="11" fillId="8" borderId="14" xfId="0" applyNumberFormat="1" applyFont="1" applyFill="1" applyBorder="1" applyAlignment="1">
      <alignment horizontal="center" vertical="center"/>
    </xf>
    <xf numFmtId="3" fontId="11" fillId="8" borderId="36" xfId="0" applyNumberFormat="1" applyFont="1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 wrapText="1"/>
    </xf>
    <xf numFmtId="10" fontId="0" fillId="0" borderId="33" xfId="1" applyNumberFormat="1" applyFont="1" applyFill="1" applyBorder="1" applyAlignment="1">
      <alignment horizontal="center" vertical="center"/>
    </xf>
    <xf numFmtId="10" fontId="0" fillId="0" borderId="25" xfId="1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5" fontId="0" fillId="0" borderId="31" xfId="0" applyNumberFormat="1" applyFill="1" applyBorder="1" applyAlignment="1">
      <alignment horizontal="center" vertical="center"/>
    </xf>
    <xf numFmtId="0" fontId="0" fillId="18" borderId="17" xfId="0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6" borderId="55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0" fillId="18" borderId="30" xfId="0" applyFill="1" applyBorder="1" applyAlignment="1">
      <alignment horizontal="center" vertical="center" wrapText="1"/>
    </xf>
    <xf numFmtId="0" fontId="0" fillId="18" borderId="38" xfId="0" applyFill="1" applyBorder="1" applyAlignment="1">
      <alignment horizontal="center" vertical="center" wrapText="1"/>
    </xf>
    <xf numFmtId="0" fontId="7" fillId="3" borderId="28" xfId="3" applyFont="1" applyFill="1" applyBorder="1" applyAlignment="1">
      <alignment horizontal="center" vertical="center" wrapText="1"/>
    </xf>
    <xf numFmtId="9" fontId="3" fillId="0" borderId="54" xfId="1" applyFont="1" applyBorder="1" applyAlignment="1">
      <alignment horizontal="center" vertical="center"/>
    </xf>
    <xf numFmtId="9" fontId="3" fillId="0" borderId="49" xfId="1" applyFont="1" applyBorder="1" applyAlignment="1">
      <alignment horizontal="center" vertical="center"/>
    </xf>
    <xf numFmtId="2" fontId="18" fillId="14" borderId="0" xfId="0" applyNumberFormat="1" applyFont="1" applyFill="1" applyBorder="1" applyAlignment="1">
      <alignment horizontal="center" vertical="center"/>
    </xf>
    <xf numFmtId="0" fontId="0" fillId="18" borderId="3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 textRotation="90" wrapText="1"/>
    </xf>
    <xf numFmtId="0" fontId="13" fillId="17" borderId="50" xfId="0" applyFont="1" applyFill="1" applyBorder="1" applyAlignment="1">
      <alignment horizontal="center" vertical="center" textRotation="90" wrapText="1"/>
    </xf>
    <xf numFmtId="0" fontId="13" fillId="17" borderId="4" xfId="0" applyFont="1" applyFill="1" applyBorder="1" applyAlignment="1">
      <alignment horizontal="center" vertical="center" textRotation="90" wrapText="1"/>
    </xf>
    <xf numFmtId="0" fontId="11" fillId="8" borderId="27" xfId="0" applyFont="1" applyFill="1" applyBorder="1" applyAlignment="1">
      <alignment horizontal="center" vertical="center" wrapText="1"/>
    </xf>
    <xf numFmtId="0" fontId="7" fillId="3" borderId="15" xfId="3" applyFont="1" applyFill="1" applyBorder="1" applyAlignment="1">
      <alignment horizontal="center" vertical="center" wrapText="1"/>
    </xf>
    <xf numFmtId="0" fontId="7" fillId="3" borderId="53" xfId="3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 wrapText="1"/>
    </xf>
    <xf numFmtId="3" fontId="11" fillId="8" borderId="28" xfId="0" applyNumberFormat="1" applyFont="1" applyFill="1" applyBorder="1" applyAlignment="1">
      <alignment horizontal="center" vertical="center"/>
    </xf>
    <xf numFmtId="171" fontId="3" fillId="0" borderId="17" xfId="0" applyNumberFormat="1" applyFont="1" applyBorder="1" applyAlignment="1">
      <alignment horizontal="center" vertical="center"/>
    </xf>
    <xf numFmtId="171" fontId="3" fillId="0" borderId="39" xfId="0" applyNumberFormat="1" applyFont="1" applyBorder="1" applyAlignment="1">
      <alignment horizontal="center" vertical="center"/>
    </xf>
    <xf numFmtId="171" fontId="3" fillId="0" borderId="54" xfId="0" applyNumberFormat="1" applyFont="1" applyBorder="1" applyAlignment="1">
      <alignment horizontal="center" vertical="center"/>
    </xf>
    <xf numFmtId="171" fontId="3" fillId="0" borderId="49" xfId="0" applyNumberFormat="1" applyFont="1" applyBorder="1" applyAlignment="1">
      <alignment horizontal="center" vertical="center"/>
    </xf>
    <xf numFmtId="10" fontId="0" fillId="0" borderId="63" xfId="1" applyNumberFormat="1" applyFont="1" applyFill="1" applyBorder="1" applyAlignment="1">
      <alignment horizontal="center" vertical="center"/>
    </xf>
    <xf numFmtId="0" fontId="7" fillId="3" borderId="29" xfId="3" applyFont="1" applyFill="1" applyBorder="1" applyAlignment="1">
      <alignment horizontal="center" vertical="center" wrapText="1"/>
    </xf>
    <xf numFmtId="0" fontId="7" fillId="3" borderId="27" xfId="3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3" fontId="7" fillId="19" borderId="59" xfId="0" applyNumberFormat="1" applyFont="1" applyFill="1" applyBorder="1" applyAlignment="1">
      <alignment horizontal="center" vertical="center"/>
    </xf>
    <xf numFmtId="3" fontId="7" fillId="19" borderId="60" xfId="0" applyNumberFormat="1" applyFont="1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 2" xfId="42110"/>
    <cellStyle name="Porcentaje 3" xfId="42111"/>
    <cellStyle name="Porcentual" xfId="1" builtinId="5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" xfId="10" builtinId="16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CCFF"/>
      <color rgb="FFFFFF99"/>
      <color rgb="FF70BAF8"/>
      <color rgb="FF0A72C8"/>
      <color rgb="FFE7E5E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3"/>
  <sheetViews>
    <sheetView showGridLines="0" tabSelected="1" zoomScaleNormal="100" workbookViewId="0">
      <selection activeCell="K19" sqref="K19"/>
    </sheetView>
  </sheetViews>
  <sheetFormatPr baseColWidth="10" defaultRowHeight="15"/>
  <cols>
    <col min="2" max="2" width="12.7109375" bestFit="1" customWidth="1"/>
    <col min="3" max="3" width="23.140625" customWidth="1"/>
    <col min="5" max="5" width="14.28515625" customWidth="1"/>
  </cols>
  <sheetData>
    <row r="3" spans="2:9">
      <c r="B3" s="202" t="s">
        <v>60</v>
      </c>
      <c r="C3" s="202"/>
      <c r="D3" s="202"/>
      <c r="E3" s="202"/>
      <c r="F3" s="202"/>
      <c r="G3" s="202"/>
      <c r="H3" s="202"/>
      <c r="I3" s="202"/>
    </row>
    <row r="4" spans="2:9">
      <c r="B4" s="202"/>
      <c r="C4" s="202"/>
      <c r="D4" s="202"/>
      <c r="E4" s="202"/>
      <c r="F4" s="202"/>
      <c r="G4" s="202"/>
      <c r="H4" s="202"/>
      <c r="I4" s="202"/>
    </row>
    <row r="5" spans="2:9">
      <c r="B5" s="203">
        <v>43465</v>
      </c>
      <c r="C5" s="203"/>
      <c r="D5" s="203"/>
      <c r="E5" s="203"/>
      <c r="F5" s="203"/>
      <c r="G5" s="203"/>
      <c r="H5" s="203"/>
      <c r="I5" s="203"/>
    </row>
    <row r="6" spans="2:9" s="175" customFormat="1">
      <c r="B6" s="203" t="s">
        <v>220</v>
      </c>
      <c r="C6" s="203"/>
      <c r="D6" s="203"/>
      <c r="E6" s="203"/>
      <c r="F6" s="203"/>
      <c r="G6" s="203"/>
      <c r="H6" s="203"/>
      <c r="I6" s="203"/>
    </row>
    <row r="7" spans="2:9" ht="15.75" thickBot="1">
      <c r="B7" s="45"/>
      <c r="C7" s="45"/>
      <c r="D7" s="45"/>
      <c r="E7" s="45"/>
      <c r="F7" s="45"/>
      <c r="G7" s="45"/>
      <c r="H7" s="45"/>
      <c r="I7" s="45"/>
    </row>
    <row r="8" spans="2:9" ht="32.25" thickBot="1">
      <c r="B8" s="46" t="s">
        <v>54</v>
      </c>
      <c r="C8" s="47" t="s">
        <v>55</v>
      </c>
      <c r="D8" s="48" t="s">
        <v>56</v>
      </c>
      <c r="E8" s="49" t="s">
        <v>57</v>
      </c>
      <c r="F8" s="50" t="s">
        <v>7</v>
      </c>
      <c r="G8" s="50" t="s">
        <v>58</v>
      </c>
      <c r="H8" s="50" t="s">
        <v>59</v>
      </c>
      <c r="I8" s="51" t="s">
        <v>66</v>
      </c>
    </row>
    <row r="9" spans="2:9">
      <c r="B9" s="204" t="s">
        <v>63</v>
      </c>
      <c r="C9" s="120" t="s">
        <v>61</v>
      </c>
      <c r="D9" s="57">
        <f>'Resumen periodo Merluza de cola'!E9+'Resumen periodo Merluza de cola'!E10</f>
        <v>25368.996000000006</v>
      </c>
      <c r="E9" s="57">
        <f>'Resumen periodo Merluza de cola'!F9+'Resumen periodo Merluza de cola'!F10</f>
        <v>-3150.2790000000005</v>
      </c>
      <c r="F9" s="57">
        <f>'Merluza cola Industrial'!AF12</f>
        <v>22218.717000000004</v>
      </c>
      <c r="G9" s="57">
        <f>'Resumen periodo Merluza de cola'!H9+'Resumen periodo Merluza de cola'!H10</f>
        <v>7826.3240000000005</v>
      </c>
      <c r="H9" s="57">
        <f>F9-G9</f>
        <v>14392.393000000004</v>
      </c>
      <c r="I9" s="85">
        <f>G9/F9</f>
        <v>0.35224014059857728</v>
      </c>
    </row>
    <row r="10" spans="2:9" ht="15.75" thickBot="1">
      <c r="B10" s="205"/>
      <c r="C10" s="121" t="s">
        <v>62</v>
      </c>
      <c r="D10" s="62">
        <f>'Resumen periodo Merluza de cola'!E11+'Resumen periodo Merluza de cola'!E12</f>
        <v>16911.923999999999</v>
      </c>
      <c r="E10" s="62">
        <f>'Resumen periodo Merluza de cola'!F11+'Resumen periodo Merluza de cola'!F12</f>
        <v>3150.279</v>
      </c>
      <c r="F10" s="62">
        <f>'Merluza cola Industrial'!AF57</f>
        <v>20062.202999999998</v>
      </c>
      <c r="G10" s="62">
        <f>'Resumen periodo Merluza de cola'!H11+'Resumen periodo Merluza de cola'!H12</f>
        <v>9211.4520000000011</v>
      </c>
      <c r="H10" s="63">
        <f>F10-G10</f>
        <v>10850.750999999997</v>
      </c>
      <c r="I10" s="86">
        <f>G10/F10</f>
        <v>0.45914459144890529</v>
      </c>
    </row>
    <row r="11" spans="2:9">
      <c r="B11" s="206" t="s">
        <v>113</v>
      </c>
      <c r="C11" s="111" t="s">
        <v>114</v>
      </c>
      <c r="D11" s="56">
        <f>'Resumen periodo Merluza de cola'!E13</f>
        <v>120</v>
      </c>
      <c r="E11" s="56">
        <f>'Resumen periodo Merluza de cola'!F13</f>
        <v>0</v>
      </c>
      <c r="F11" s="56">
        <f>'Resumen periodo Merluza de cola'!G13</f>
        <v>120</v>
      </c>
      <c r="G11" s="56">
        <f>'Resumen periodo Merluza de cola'!H13</f>
        <v>3.3000000000000002E-2</v>
      </c>
      <c r="H11" s="57">
        <f>'Resumen periodo Merluza de cola'!I13</f>
        <v>119.967</v>
      </c>
      <c r="I11" s="85">
        <f>'Resumen periodo Merluza de cola'!J13</f>
        <v>2.7500000000000002E-4</v>
      </c>
    </row>
    <row r="12" spans="2:9" ht="15.75" thickBot="1">
      <c r="B12" s="207"/>
      <c r="C12" s="112" t="s">
        <v>116</v>
      </c>
      <c r="D12" s="114">
        <f>'Resumen periodo Merluza de cola'!E14</f>
        <v>1080</v>
      </c>
      <c r="E12" s="114">
        <f>'Resumen periodo Merluza de cola'!F14</f>
        <v>0</v>
      </c>
      <c r="F12" s="114">
        <f>'Resumen periodo Merluza de cola'!G14</f>
        <v>1080</v>
      </c>
      <c r="G12" s="114">
        <f>'Resumen periodo Merluza de cola'!H14</f>
        <v>1.7070000000000001</v>
      </c>
      <c r="H12" s="115">
        <f>'Resumen periodo Merluza de cola'!I14</f>
        <v>1078.2929999999999</v>
      </c>
      <c r="I12" s="116">
        <f>'Resumen periodo Merluza de cola'!J14</f>
        <v>1.5805555555555555E-3</v>
      </c>
    </row>
    <row r="13" spans="2:9">
      <c r="E13" s="172">
        <f>SUM(E9:E12)</f>
        <v>-4.5474735088646412E-13</v>
      </c>
    </row>
  </sheetData>
  <mergeCells count="5">
    <mergeCell ref="B3:I4"/>
    <mergeCell ref="B5:I5"/>
    <mergeCell ref="B9:B10"/>
    <mergeCell ref="B11:B12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14"/>
  <sheetViews>
    <sheetView showGridLines="0" zoomScale="90" zoomScaleNormal="90" workbookViewId="0">
      <selection activeCell="H14" sqref="H14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</cols>
  <sheetData>
    <row r="3" spans="2:11" ht="15" customHeight="1">
      <c r="B3" s="202" t="s">
        <v>64</v>
      </c>
      <c r="C3" s="202"/>
      <c r="D3" s="202"/>
      <c r="E3" s="202"/>
      <c r="F3" s="202"/>
      <c r="G3" s="202"/>
      <c r="H3" s="202"/>
      <c r="I3" s="202"/>
      <c r="J3" s="202"/>
    </row>
    <row r="4" spans="2:11" ht="15" customHeight="1">
      <c r="B4" s="202"/>
      <c r="C4" s="202"/>
      <c r="D4" s="202"/>
      <c r="E4" s="202"/>
      <c r="F4" s="202"/>
      <c r="G4" s="202"/>
      <c r="H4" s="202"/>
      <c r="I4" s="202"/>
      <c r="J4" s="202"/>
    </row>
    <row r="5" spans="2:11">
      <c r="B5" s="203">
        <f>'Resumen anual Merluza de cola'!B5:I5</f>
        <v>43465</v>
      </c>
      <c r="C5" s="203"/>
      <c r="D5" s="203"/>
      <c r="E5" s="203"/>
      <c r="F5" s="203"/>
      <c r="G5" s="203"/>
      <c r="H5" s="203"/>
      <c r="I5" s="203"/>
      <c r="J5" s="203"/>
      <c r="K5" s="52"/>
    </row>
    <row r="7" spans="2:11" ht="15.75" thickBot="1"/>
    <row r="8" spans="2:11" ht="32.25" thickBot="1">
      <c r="B8" s="46" t="s">
        <v>54</v>
      </c>
      <c r="C8" s="47" t="s">
        <v>55</v>
      </c>
      <c r="D8" s="47" t="s">
        <v>65</v>
      </c>
      <c r="E8" s="48" t="s">
        <v>56</v>
      </c>
      <c r="F8" s="49" t="s">
        <v>57</v>
      </c>
      <c r="G8" s="50" t="s">
        <v>7</v>
      </c>
      <c r="H8" s="50" t="s">
        <v>58</v>
      </c>
      <c r="I8" s="50" t="s">
        <v>59</v>
      </c>
      <c r="J8" s="51" t="s">
        <v>66</v>
      </c>
    </row>
    <row r="9" spans="2:11">
      <c r="B9" s="204" t="s">
        <v>63</v>
      </c>
      <c r="C9" s="208" t="s">
        <v>61</v>
      </c>
      <c r="D9" s="55" t="s">
        <v>15</v>
      </c>
      <c r="E9" s="56">
        <f>'Merluza cola Industrial'!W12</f>
        <v>10146.998000000001</v>
      </c>
      <c r="F9" s="56">
        <f>'Merluza cola Industrial'!X12</f>
        <v>-0.25600000000000001</v>
      </c>
      <c r="G9" s="56">
        <f>'Merluza cola Industrial'!Y12</f>
        <v>10146.742</v>
      </c>
      <c r="H9" s="56">
        <f>'Merluza cola Industrial'!Z12</f>
        <v>3096.2169999999996</v>
      </c>
      <c r="I9" s="57">
        <f t="shared" ref="I9:I14" si="0">G9-H9</f>
        <v>7050.5250000000005</v>
      </c>
      <c r="J9" s="85">
        <f t="shared" ref="J9:J14" si="1">H9/G9</f>
        <v>0.30514395655275356</v>
      </c>
    </row>
    <row r="10" spans="2:11">
      <c r="B10" s="211"/>
      <c r="C10" s="209"/>
      <c r="D10" s="53" t="s">
        <v>20</v>
      </c>
      <c r="E10" s="58">
        <f>'Merluza cola Industrial'!W13</f>
        <v>15221.998000000005</v>
      </c>
      <c r="F10" s="58">
        <f>'Merluza cola Industrial'!X13</f>
        <v>-3150.0230000000006</v>
      </c>
      <c r="G10" s="58">
        <f>'Merluza cola Industrial'!Y13</f>
        <v>19121.484999999997</v>
      </c>
      <c r="H10" s="58">
        <f>'Merluza cola Industrial'!Z13</f>
        <v>4730.1070000000009</v>
      </c>
      <c r="I10" s="59">
        <f t="shared" si="0"/>
        <v>14391.377999999997</v>
      </c>
      <c r="J10" s="87">
        <f t="shared" si="1"/>
        <v>0.24737132079438398</v>
      </c>
    </row>
    <row r="11" spans="2:11">
      <c r="B11" s="211"/>
      <c r="C11" s="210" t="s">
        <v>62</v>
      </c>
      <c r="D11" s="54" t="s">
        <v>15</v>
      </c>
      <c r="E11" s="60">
        <f>'Merluza cola Industrial'!W57</f>
        <v>6764.9700000000012</v>
      </c>
      <c r="F11" s="60">
        <f>'Merluza cola Industrial'!X57</f>
        <v>0.25600000000000001</v>
      </c>
      <c r="G11" s="60">
        <f>'Merluza cola Industrial'!Y57</f>
        <v>6765.2260000000006</v>
      </c>
      <c r="H11" s="60">
        <f>'Merluza cola Industrial'!Z57</f>
        <v>60.878</v>
      </c>
      <c r="I11" s="61">
        <f t="shared" si="0"/>
        <v>6704.3480000000009</v>
      </c>
      <c r="J11" s="88">
        <f t="shared" si="1"/>
        <v>8.9986646418020611E-3</v>
      </c>
    </row>
    <row r="12" spans="2:11" ht="15.75" thickBot="1">
      <c r="B12" s="211"/>
      <c r="C12" s="210"/>
      <c r="D12" s="107" t="s">
        <v>20</v>
      </c>
      <c r="E12" s="108">
        <f>'Merluza cola Industrial'!W58</f>
        <v>10146.954</v>
      </c>
      <c r="F12" s="108">
        <f>'Merluza cola Industrial'!X58</f>
        <v>3150.0230000000001</v>
      </c>
      <c r="G12" s="108">
        <f>'Merluza cola Industrial'!Y58</f>
        <v>20001.324999999997</v>
      </c>
      <c r="H12" s="108">
        <f>'Merluza cola Industrial'!Z58</f>
        <v>9150.5740000000005</v>
      </c>
      <c r="I12" s="109">
        <f t="shared" si="0"/>
        <v>10850.750999999997</v>
      </c>
      <c r="J12" s="110">
        <f t="shared" si="1"/>
        <v>0.45749839073161414</v>
      </c>
    </row>
    <row r="13" spans="2:11">
      <c r="B13" s="206" t="s">
        <v>113</v>
      </c>
      <c r="C13" s="111" t="s">
        <v>114</v>
      </c>
      <c r="D13" s="55" t="s">
        <v>115</v>
      </c>
      <c r="E13" s="56">
        <v>120</v>
      </c>
      <c r="F13" s="56">
        <v>0</v>
      </c>
      <c r="G13" s="56">
        <f>E13+F13</f>
        <v>120</v>
      </c>
      <c r="H13" s="56">
        <v>3.3000000000000002E-2</v>
      </c>
      <c r="I13" s="57">
        <f t="shared" si="0"/>
        <v>119.967</v>
      </c>
      <c r="J13" s="85">
        <f t="shared" si="1"/>
        <v>2.7500000000000002E-4</v>
      </c>
    </row>
    <row r="14" spans="2:11" ht="15.75" thickBot="1">
      <c r="B14" s="207"/>
      <c r="C14" s="112" t="s">
        <v>116</v>
      </c>
      <c r="D14" s="113" t="s">
        <v>115</v>
      </c>
      <c r="E14" s="114">
        <v>1080</v>
      </c>
      <c r="F14" s="114">
        <v>0</v>
      </c>
      <c r="G14" s="114">
        <f>E14+F14</f>
        <v>1080</v>
      </c>
      <c r="H14" s="114">
        <v>1.7070000000000001</v>
      </c>
      <c r="I14" s="115">
        <f t="shared" si="0"/>
        <v>1078.2929999999999</v>
      </c>
      <c r="J14" s="116">
        <f t="shared" si="1"/>
        <v>1.5805555555555555E-3</v>
      </c>
    </row>
  </sheetData>
  <mergeCells count="6">
    <mergeCell ref="B13:B14"/>
    <mergeCell ref="C9:C10"/>
    <mergeCell ref="C11:C12"/>
    <mergeCell ref="B9:B12"/>
    <mergeCell ref="B3:J4"/>
    <mergeCell ref="B5:J5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0"/>
  <sheetViews>
    <sheetView showGridLines="0" topLeftCell="A2" zoomScaleNormal="100" workbookViewId="0">
      <selection activeCell="H66" sqref="H10:H66"/>
    </sheetView>
  </sheetViews>
  <sheetFormatPr baseColWidth="10" defaultRowHeight="15"/>
  <cols>
    <col min="2" max="2" width="12" customWidth="1"/>
    <col min="3" max="3" width="33.140625" customWidth="1"/>
    <col min="5" max="5" width="12.5703125" customWidth="1"/>
    <col min="18" max="18" width="20.28515625" customWidth="1"/>
    <col min="19" max="19" width="17.5703125" customWidth="1"/>
    <col min="22" max="22" width="15.5703125" bestFit="1" customWidth="1"/>
    <col min="30" max="33" width="11.5703125" bestFit="1" customWidth="1"/>
    <col min="34" max="34" width="12" bestFit="1" customWidth="1"/>
  </cols>
  <sheetData>
    <row r="1" spans="1:35"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5"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5" s="1" customFormat="1" ht="31.5" customHeight="1">
      <c r="A3" s="39"/>
      <c r="B3" s="267" t="s">
        <v>52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5" s="1" customFormat="1" ht="20.25" customHeight="1">
      <c r="A4" s="39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5" s="1" customFormat="1" ht="21">
      <c r="A5" s="39"/>
      <c r="B5" s="220">
        <f>'Resumen periodo Merluza de cola'!B5:J5</f>
        <v>43465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1:35" s="1" customFormat="1">
      <c r="A6" s="39"/>
      <c r="B6" s="39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1:35" s="1" customFormat="1" ht="15.75" thickBot="1">
      <c r="A7" s="39"/>
      <c r="B7" s="39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1:35" s="2" customFormat="1" ht="15.75" thickBot="1">
      <c r="A8" s="39"/>
      <c r="B8" s="39"/>
      <c r="C8" s="68"/>
      <c r="D8" s="39"/>
      <c r="E8" s="221" t="s">
        <v>0</v>
      </c>
      <c r="F8" s="222"/>
      <c r="G8" s="222"/>
      <c r="H8" s="222" t="s">
        <v>1</v>
      </c>
      <c r="I8" s="222"/>
      <c r="J8" s="222"/>
      <c r="K8" s="223" t="s">
        <v>2</v>
      </c>
      <c r="L8" s="224"/>
      <c r="M8" s="224"/>
      <c r="N8" s="224"/>
      <c r="O8" s="224"/>
      <c r="P8" s="225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1:35" s="2" customFormat="1" ht="43.5" customHeight="1" thickBot="1">
      <c r="B9" s="3" t="s">
        <v>3</v>
      </c>
      <c r="C9" s="3" t="s">
        <v>4</v>
      </c>
      <c r="D9" s="4" t="s">
        <v>5</v>
      </c>
      <c r="E9" s="5" t="s">
        <v>53</v>
      </c>
      <c r="F9" s="6" t="s">
        <v>6</v>
      </c>
      <c r="G9" s="6" t="s">
        <v>7</v>
      </c>
      <c r="H9" s="7" t="s">
        <v>8</v>
      </c>
      <c r="I9" s="8" t="s">
        <v>9</v>
      </c>
      <c r="J9" s="9" t="s">
        <v>10</v>
      </c>
      <c r="K9" s="75" t="s">
        <v>11</v>
      </c>
      <c r="L9" s="76" t="s">
        <v>6</v>
      </c>
      <c r="M9" s="76" t="s">
        <v>7</v>
      </c>
      <c r="N9" s="76" t="s">
        <v>8</v>
      </c>
      <c r="O9" s="76" t="s">
        <v>9</v>
      </c>
      <c r="P9" s="76" t="s">
        <v>10</v>
      </c>
      <c r="Q9" s="64"/>
      <c r="R9" s="72"/>
      <c r="S9" s="72"/>
      <c r="T9" s="73"/>
      <c r="U9" s="73"/>
      <c r="V9" s="73"/>
      <c r="W9" s="73"/>
      <c r="X9" s="72"/>
      <c r="Y9" s="72"/>
      <c r="Z9" s="72"/>
      <c r="AA9" s="72"/>
      <c r="AB9" s="64"/>
      <c r="AC9" s="64"/>
      <c r="AD9" s="64"/>
    </row>
    <row r="10" spans="1:35" s="2" customFormat="1" ht="15" customHeight="1">
      <c r="B10" s="228" t="s">
        <v>13</v>
      </c>
      <c r="C10" s="226" t="s">
        <v>14</v>
      </c>
      <c r="D10" s="42" t="s">
        <v>15</v>
      </c>
      <c r="E10" s="42">
        <v>1317.16</v>
      </c>
      <c r="F10" s="42"/>
      <c r="G10" s="42">
        <f>E10+F10</f>
        <v>1317.16</v>
      </c>
      <c r="H10" s="174"/>
      <c r="I10" s="11">
        <f>G10-H10</f>
        <v>1317.16</v>
      </c>
      <c r="J10" s="12">
        <f>H10/G10</f>
        <v>0</v>
      </c>
      <c r="K10" s="227">
        <f>E10+E11</f>
        <v>3293.0940000000001</v>
      </c>
      <c r="L10" s="227">
        <f>F10+F11</f>
        <v>0</v>
      </c>
      <c r="M10" s="227">
        <f>K10+L10</f>
        <v>3293.0940000000001</v>
      </c>
      <c r="N10" s="227">
        <f>H10+H11</f>
        <v>0</v>
      </c>
      <c r="O10" s="239">
        <f>M10-N10</f>
        <v>3293.0940000000001</v>
      </c>
      <c r="P10" s="240">
        <f>N10/M10</f>
        <v>0</v>
      </c>
      <c r="Q10" s="39"/>
      <c r="R10" s="39"/>
      <c r="S10" s="241" t="s">
        <v>16</v>
      </c>
      <c r="T10" s="243" t="s">
        <v>17</v>
      </c>
      <c r="U10" s="235" t="s">
        <v>18</v>
      </c>
      <c r="V10" s="245" t="s">
        <v>12</v>
      </c>
      <c r="W10" s="245"/>
      <c r="X10" s="245"/>
      <c r="Y10" s="245"/>
      <c r="Z10" s="235" t="s">
        <v>8</v>
      </c>
      <c r="AA10" s="235" t="s">
        <v>9</v>
      </c>
      <c r="AB10" s="235" t="s">
        <v>66</v>
      </c>
      <c r="AC10" s="237" t="s">
        <v>19</v>
      </c>
      <c r="AD10" s="278" t="s">
        <v>22</v>
      </c>
      <c r="AE10" s="278" t="s">
        <v>23</v>
      </c>
      <c r="AF10" s="278" t="s">
        <v>24</v>
      </c>
      <c r="AG10" s="235" t="s">
        <v>8</v>
      </c>
      <c r="AH10" s="276" t="s">
        <v>9</v>
      </c>
      <c r="AI10" s="235" t="s">
        <v>66</v>
      </c>
    </row>
    <row r="11" spans="1:35" s="2" customFormat="1" ht="15.75" thickBot="1">
      <c r="B11" s="229"/>
      <c r="C11" s="219"/>
      <c r="D11" s="41" t="s">
        <v>20</v>
      </c>
      <c r="E11" s="41">
        <v>1975.934</v>
      </c>
      <c r="F11" s="41"/>
      <c r="G11" s="178">
        <f>E11+F11+I10</f>
        <v>3293.0940000000001</v>
      </c>
      <c r="H11" s="201"/>
      <c r="I11" s="13">
        <f t="shared" ref="I11:I24" si="0">G11-H11</f>
        <v>3293.0940000000001</v>
      </c>
      <c r="J11" s="14">
        <f t="shared" ref="J11:J65" si="1">H11/G11</f>
        <v>0</v>
      </c>
      <c r="K11" s="217"/>
      <c r="L11" s="217"/>
      <c r="M11" s="217"/>
      <c r="N11" s="217"/>
      <c r="O11" s="213"/>
      <c r="P11" s="215"/>
      <c r="Q11" s="39"/>
      <c r="R11" s="39"/>
      <c r="S11" s="242"/>
      <c r="T11" s="244"/>
      <c r="U11" s="236"/>
      <c r="V11" s="97" t="s">
        <v>21</v>
      </c>
      <c r="W11" s="97" t="s">
        <v>22</v>
      </c>
      <c r="X11" s="97" t="s">
        <v>23</v>
      </c>
      <c r="Y11" s="97" t="s">
        <v>24</v>
      </c>
      <c r="Z11" s="236"/>
      <c r="AA11" s="236"/>
      <c r="AB11" s="236"/>
      <c r="AC11" s="238"/>
      <c r="AD11" s="279"/>
      <c r="AE11" s="279"/>
      <c r="AF11" s="279"/>
      <c r="AG11" s="236"/>
      <c r="AH11" s="277"/>
      <c r="AI11" s="264"/>
    </row>
    <row r="12" spans="1:35" s="2" customFormat="1" ht="26.25" customHeight="1" thickBot="1">
      <c r="B12" s="229"/>
      <c r="C12" s="218" t="s">
        <v>140</v>
      </c>
      <c r="D12" s="40" t="s">
        <v>15</v>
      </c>
      <c r="E12" s="40">
        <v>2200.4059999999999</v>
      </c>
      <c r="F12" s="40"/>
      <c r="G12" s="40">
        <f>E12+F12</f>
        <v>2200.4059999999999</v>
      </c>
      <c r="H12" s="200">
        <v>2585.9949999999999</v>
      </c>
      <c r="I12" s="16">
        <f t="shared" si="0"/>
        <v>-385.58899999999994</v>
      </c>
      <c r="J12" s="14">
        <f t="shared" si="1"/>
        <v>1.1752353883783264</v>
      </c>
      <c r="K12" s="216">
        <f>E12+E13</f>
        <v>5501.3410000000003</v>
      </c>
      <c r="L12" s="216">
        <f>F12+F13</f>
        <v>1857.7049999999999</v>
      </c>
      <c r="M12" s="216">
        <f>K12+L12</f>
        <v>7359.0460000000003</v>
      </c>
      <c r="N12" s="216">
        <f>H12+H13</f>
        <v>6042.9750000000004</v>
      </c>
      <c r="O12" s="212">
        <f>M12-N12</f>
        <v>1316.0709999999999</v>
      </c>
      <c r="P12" s="214">
        <f>N12/M12</f>
        <v>0.82116282463786749</v>
      </c>
      <c r="Q12" s="39"/>
      <c r="R12" s="39"/>
      <c r="S12" s="246" t="s">
        <v>25</v>
      </c>
      <c r="T12" s="248" t="s">
        <v>26</v>
      </c>
      <c r="U12" s="250">
        <f>E52</f>
        <v>25368.995999999999</v>
      </c>
      <c r="V12" s="98" t="s">
        <v>27</v>
      </c>
      <c r="W12" s="99">
        <f t="shared" ref="W12:Z13" si="2">E10+E12+E14+E16+E18+E20+E22+E24+E26+E28+E30+E32+E34+E36+E38+E40+E42+E44+E46</f>
        <v>10146.998000000001</v>
      </c>
      <c r="X12" s="180">
        <f>F10+F12+F14+F16+F18+F20+F22+F24+F26+F28+F30+F32+F34+F36+F38+F40+F42+F44+F46</f>
        <v>-0.25600000000000001</v>
      </c>
      <c r="Y12" s="99">
        <f t="shared" si="2"/>
        <v>10146.742</v>
      </c>
      <c r="Z12" s="99">
        <f t="shared" si="2"/>
        <v>3096.2169999999996</v>
      </c>
      <c r="AA12" s="100">
        <f>Y12-Z12</f>
        <v>7050.5250000000005</v>
      </c>
      <c r="AB12" s="101">
        <f>Z12/Y12</f>
        <v>0.30514395655275356</v>
      </c>
      <c r="AC12" s="102"/>
      <c r="AD12" s="280">
        <f>W12+W13</f>
        <v>25368.996000000006</v>
      </c>
      <c r="AE12" s="280">
        <f>X12+X13</f>
        <v>-3150.2790000000005</v>
      </c>
      <c r="AF12" s="280">
        <f>AD12+AE12</f>
        <v>22218.717000000004</v>
      </c>
      <c r="AG12" s="280">
        <f>Z12+Z13</f>
        <v>7826.3240000000005</v>
      </c>
      <c r="AH12" s="282">
        <f>AF12-AG12</f>
        <v>14392.393000000004</v>
      </c>
      <c r="AI12" s="265">
        <f>AG12/AF12</f>
        <v>0.35224014059857728</v>
      </c>
    </row>
    <row r="13" spans="1:35" s="2" customFormat="1" ht="25.5" customHeight="1" thickBot="1">
      <c r="B13" s="229"/>
      <c r="C13" s="219"/>
      <c r="D13" s="41" t="s">
        <v>20</v>
      </c>
      <c r="E13" s="44">
        <v>3300.9349999999999</v>
      </c>
      <c r="F13" s="106">
        <f>-5.074+2001.568-1039.013+900.224</f>
        <v>1857.7049999999999</v>
      </c>
      <c r="G13" s="106">
        <f>E13+F13+I12</f>
        <v>4773.0509999999995</v>
      </c>
      <c r="H13" s="201">
        <v>3456.98</v>
      </c>
      <c r="I13" s="13">
        <f>G13-H13</f>
        <v>1316.0709999999995</v>
      </c>
      <c r="J13" s="14">
        <f t="shared" si="1"/>
        <v>0.72427049281476363</v>
      </c>
      <c r="K13" s="217"/>
      <c r="L13" s="217"/>
      <c r="M13" s="217"/>
      <c r="N13" s="217"/>
      <c r="O13" s="213"/>
      <c r="P13" s="215"/>
      <c r="Q13" s="39"/>
      <c r="R13" s="39"/>
      <c r="S13" s="247"/>
      <c r="T13" s="249"/>
      <c r="U13" s="251"/>
      <c r="V13" s="22" t="s">
        <v>28</v>
      </c>
      <c r="W13" s="99">
        <f t="shared" si="2"/>
        <v>15221.998000000005</v>
      </c>
      <c r="X13" s="180">
        <f>F11+F13+F15+F17+F19+F21+F23+F25+F27+F29+F31+F33+F35+F37+F39+F41+F43+F45+F47+F49+F51</f>
        <v>-3150.0230000000006</v>
      </c>
      <c r="Y13" s="23">
        <f t="shared" si="2"/>
        <v>19121.484999999997</v>
      </c>
      <c r="Z13" s="23">
        <f t="shared" si="2"/>
        <v>4730.1070000000009</v>
      </c>
      <c r="AA13" s="74">
        <f>Y13-Z13</f>
        <v>14391.377999999997</v>
      </c>
      <c r="AB13" s="24">
        <f>Z13/Y13</f>
        <v>0.24737132079438398</v>
      </c>
      <c r="AC13" s="25"/>
      <c r="AD13" s="281"/>
      <c r="AE13" s="281"/>
      <c r="AF13" s="281"/>
      <c r="AG13" s="281"/>
      <c r="AH13" s="283"/>
      <c r="AI13" s="266"/>
    </row>
    <row r="14" spans="1:35" s="2" customFormat="1">
      <c r="B14" s="229"/>
      <c r="C14" s="218" t="s">
        <v>29</v>
      </c>
      <c r="D14" s="40" t="s">
        <v>15</v>
      </c>
      <c r="E14" s="40">
        <v>1.0149999999999999</v>
      </c>
      <c r="F14" s="40"/>
      <c r="G14" s="40">
        <f>E14+F14</f>
        <v>1.0149999999999999</v>
      </c>
      <c r="H14" s="200"/>
      <c r="I14" s="16">
        <f t="shared" si="0"/>
        <v>1.0149999999999999</v>
      </c>
      <c r="J14" s="14">
        <f t="shared" si="1"/>
        <v>0</v>
      </c>
      <c r="K14" s="216">
        <f>E14+E15</f>
        <v>2.5369999999999999</v>
      </c>
      <c r="L14" s="216">
        <f>F14+F15</f>
        <v>5.0739999999999998</v>
      </c>
      <c r="M14" s="216">
        <f>K14+L14</f>
        <v>7.6109999999999998</v>
      </c>
      <c r="N14" s="216">
        <f>H14+H15</f>
        <v>0</v>
      </c>
      <c r="O14" s="212">
        <f>M14-N14</f>
        <v>7.6109999999999998</v>
      </c>
      <c r="P14" s="214">
        <f>N14/M14</f>
        <v>0</v>
      </c>
      <c r="U14" s="2">
        <v>25369</v>
      </c>
    </row>
    <row r="15" spans="1:35" s="2" customFormat="1">
      <c r="B15" s="229"/>
      <c r="C15" s="219"/>
      <c r="D15" s="41" t="s">
        <v>20</v>
      </c>
      <c r="E15" s="41">
        <v>1.522</v>
      </c>
      <c r="F15" s="106">
        <f>5.074</f>
        <v>5.0739999999999998</v>
      </c>
      <c r="G15" s="41">
        <f>E15+F15+I14</f>
        <v>7.6109999999999998</v>
      </c>
      <c r="H15" s="201"/>
      <c r="I15" s="13">
        <f t="shared" si="0"/>
        <v>7.6109999999999998</v>
      </c>
      <c r="J15" s="14">
        <f t="shared" si="1"/>
        <v>0</v>
      </c>
      <c r="K15" s="217"/>
      <c r="L15" s="217"/>
      <c r="M15" s="217"/>
      <c r="N15" s="217"/>
      <c r="O15" s="213"/>
      <c r="P15" s="215"/>
      <c r="Q15" s="39"/>
      <c r="R15" s="39"/>
    </row>
    <row r="16" spans="1:35" s="2" customFormat="1">
      <c r="B16" s="229"/>
      <c r="C16" s="218" t="s">
        <v>30</v>
      </c>
      <c r="D16" s="40" t="s">
        <v>15</v>
      </c>
      <c r="E16" s="40">
        <f>336.795+0.203+53.877+0.233+26.095</f>
        <v>417.20299999999997</v>
      </c>
      <c r="F16" s="40"/>
      <c r="G16" s="40">
        <f>E16+F16</f>
        <v>417.20299999999997</v>
      </c>
      <c r="H16" s="200"/>
      <c r="I16" s="16">
        <f t="shared" si="0"/>
        <v>417.20299999999997</v>
      </c>
      <c r="J16" s="14">
        <f t="shared" si="1"/>
        <v>0</v>
      </c>
      <c r="K16" s="216">
        <f>E16+E17</f>
        <v>1043.069</v>
      </c>
      <c r="L16" s="216">
        <f>F16+F17</f>
        <v>0</v>
      </c>
      <c r="M16" s="216">
        <f>K16+L16</f>
        <v>1043.069</v>
      </c>
      <c r="N16" s="216">
        <f>H16+H17</f>
        <v>0</v>
      </c>
      <c r="O16" s="212">
        <f>M16-N16</f>
        <v>1043.069</v>
      </c>
      <c r="P16" s="214">
        <f>N16/M16</f>
        <v>0</v>
      </c>
      <c r="Q16" s="39"/>
      <c r="R16" s="39"/>
    </row>
    <row r="17" spans="2:20" s="2" customFormat="1">
      <c r="B17" s="229"/>
      <c r="C17" s="219"/>
      <c r="D17" s="41" t="s">
        <v>20</v>
      </c>
      <c r="E17" s="41">
        <f>505.243+0.304+80.823+0.35+39.146</f>
        <v>625.86599999999999</v>
      </c>
      <c r="F17" s="41"/>
      <c r="G17" s="41">
        <f>E17+F17+I16</f>
        <v>1043.069</v>
      </c>
      <c r="H17" s="201"/>
      <c r="I17" s="13">
        <f t="shared" si="0"/>
        <v>1043.069</v>
      </c>
      <c r="J17" s="14">
        <f t="shared" si="1"/>
        <v>0</v>
      </c>
      <c r="K17" s="217"/>
      <c r="L17" s="217"/>
      <c r="M17" s="217"/>
      <c r="N17" s="217"/>
      <c r="O17" s="213"/>
      <c r="P17" s="215"/>
      <c r="Q17" s="39"/>
      <c r="R17" s="39"/>
    </row>
    <row r="18" spans="2:20" s="2" customFormat="1">
      <c r="B18" s="229"/>
      <c r="C18" s="218" t="s">
        <v>31</v>
      </c>
      <c r="D18" s="40" t="s">
        <v>15</v>
      </c>
      <c r="E18" s="43">
        <v>55.405999999999999</v>
      </c>
      <c r="F18" s="40"/>
      <c r="G18" s="40">
        <f>E18+F18</f>
        <v>55.405999999999999</v>
      </c>
      <c r="H18" s="200"/>
      <c r="I18" s="16">
        <f t="shared" si="0"/>
        <v>55.405999999999999</v>
      </c>
      <c r="J18" s="14">
        <f t="shared" si="1"/>
        <v>0</v>
      </c>
      <c r="K18" s="216">
        <f>E18+E19</f>
        <v>138.523</v>
      </c>
      <c r="L18" s="216">
        <f>F18+F19</f>
        <v>0</v>
      </c>
      <c r="M18" s="216">
        <f>K18+L18</f>
        <v>138.523</v>
      </c>
      <c r="N18" s="216">
        <f>H18+H19</f>
        <v>0</v>
      </c>
      <c r="O18" s="212">
        <f>M18-N18</f>
        <v>138.523</v>
      </c>
      <c r="P18" s="214">
        <f>N18/M18</f>
        <v>0</v>
      </c>
      <c r="Q18" s="39"/>
      <c r="R18" s="39"/>
    </row>
    <row r="19" spans="2:20" s="2" customFormat="1">
      <c r="B19" s="229"/>
      <c r="C19" s="219"/>
      <c r="D19" s="41" t="s">
        <v>20</v>
      </c>
      <c r="E19" s="44">
        <v>83.117000000000004</v>
      </c>
      <c r="F19" s="41"/>
      <c r="G19" s="41">
        <f>I18+F19+E19</f>
        <v>138.523</v>
      </c>
      <c r="H19" s="201"/>
      <c r="I19" s="13">
        <f t="shared" si="0"/>
        <v>138.523</v>
      </c>
      <c r="J19" s="14">
        <f t="shared" si="1"/>
        <v>0</v>
      </c>
      <c r="K19" s="217"/>
      <c r="L19" s="217"/>
      <c r="M19" s="217"/>
      <c r="N19" s="217"/>
      <c r="O19" s="213"/>
      <c r="P19" s="215"/>
      <c r="Q19" s="39"/>
      <c r="R19" s="39"/>
    </row>
    <row r="20" spans="2:20" s="2" customFormat="1">
      <c r="B20" s="229"/>
      <c r="C20" s="218" t="s">
        <v>32</v>
      </c>
      <c r="D20" s="40" t="s">
        <v>15</v>
      </c>
      <c r="E20" s="40">
        <v>1285.4829999999999</v>
      </c>
      <c r="F20" s="40"/>
      <c r="G20" s="40">
        <f>E20+F20</f>
        <v>1285.4829999999999</v>
      </c>
      <c r="H20" s="200">
        <v>118.191</v>
      </c>
      <c r="I20" s="16">
        <f t="shared" si="0"/>
        <v>1167.2919999999999</v>
      </c>
      <c r="J20" s="14">
        <f t="shared" si="1"/>
        <v>9.1942872834568798E-2</v>
      </c>
      <c r="K20" s="216">
        <f>E20+E21</f>
        <v>3213.8969999999999</v>
      </c>
      <c r="L20" s="216">
        <f>F20+F21</f>
        <v>-1000</v>
      </c>
      <c r="M20" s="216">
        <f>K20+L20</f>
        <v>2213.8969999999999</v>
      </c>
      <c r="N20" s="216">
        <f>H20+H21</f>
        <v>504.72699999999998</v>
      </c>
      <c r="O20" s="212">
        <f>M20-N20</f>
        <v>1709.17</v>
      </c>
      <c r="P20" s="214">
        <f>N20/M20</f>
        <v>0.22798124754674676</v>
      </c>
      <c r="Q20" s="124"/>
      <c r="R20" s="124"/>
      <c r="S20" s="125"/>
      <c r="T20" s="125"/>
    </row>
    <row r="21" spans="2:20" s="2" customFormat="1">
      <c r="B21" s="229"/>
      <c r="C21" s="219"/>
      <c r="D21" s="41" t="s">
        <v>20</v>
      </c>
      <c r="E21" s="41">
        <v>1928.414</v>
      </c>
      <c r="F21" s="182">
        <f>-1000</f>
        <v>-1000</v>
      </c>
      <c r="G21" s="179">
        <f>E21+F21+I20</f>
        <v>2095.7060000000001</v>
      </c>
      <c r="H21" s="201">
        <v>386.536</v>
      </c>
      <c r="I21" s="13">
        <f t="shared" si="0"/>
        <v>1709.17</v>
      </c>
      <c r="J21" s="14">
        <f t="shared" si="1"/>
        <v>0.18444190167895685</v>
      </c>
      <c r="K21" s="217"/>
      <c r="L21" s="217"/>
      <c r="M21" s="217"/>
      <c r="N21" s="217"/>
      <c r="O21" s="213"/>
      <c r="P21" s="215"/>
      <c r="Q21" s="124"/>
      <c r="R21" s="124"/>
      <c r="S21" s="125"/>
      <c r="T21" s="125"/>
    </row>
    <row r="22" spans="2:20" s="2" customFormat="1" ht="15" customHeight="1">
      <c r="B22" s="229"/>
      <c r="C22" s="218" t="s">
        <v>33</v>
      </c>
      <c r="D22" s="40" t="s">
        <v>15</v>
      </c>
      <c r="E22" s="43">
        <v>96.018000000000001</v>
      </c>
      <c r="F22" s="40"/>
      <c r="G22" s="40">
        <f>E22+F22</f>
        <v>96.018000000000001</v>
      </c>
      <c r="H22" s="200"/>
      <c r="I22" s="16">
        <f t="shared" si="0"/>
        <v>96.018000000000001</v>
      </c>
      <c r="J22" s="14">
        <f t="shared" si="1"/>
        <v>0</v>
      </c>
      <c r="K22" s="216">
        <f>E22+E23</f>
        <v>240.059</v>
      </c>
      <c r="L22" s="216">
        <f>F22+F23</f>
        <v>0</v>
      </c>
      <c r="M22" s="216">
        <f>K22+L22</f>
        <v>240.059</v>
      </c>
      <c r="N22" s="216">
        <f>H22+H23</f>
        <v>18.097000000000001</v>
      </c>
      <c r="O22" s="212">
        <f>M22-N22</f>
        <v>221.96199999999999</v>
      </c>
      <c r="P22" s="214">
        <f>N22/M22</f>
        <v>7.5385634364885309E-2</v>
      </c>
      <c r="Q22" s="124"/>
      <c r="R22" s="124"/>
      <c r="S22" s="125"/>
      <c r="T22" s="125"/>
    </row>
    <row r="23" spans="2:20" s="2" customFormat="1">
      <c r="B23" s="229"/>
      <c r="C23" s="219"/>
      <c r="D23" s="41" t="s">
        <v>20</v>
      </c>
      <c r="E23" s="41">
        <v>144.041</v>
      </c>
      <c r="F23" s="41"/>
      <c r="G23" s="41">
        <f>E23+F23+I22</f>
        <v>240.059</v>
      </c>
      <c r="H23" s="201">
        <v>18.097000000000001</v>
      </c>
      <c r="I23" s="13">
        <f t="shared" si="0"/>
        <v>221.96199999999999</v>
      </c>
      <c r="J23" s="14">
        <f t="shared" si="1"/>
        <v>7.5385634364885309E-2</v>
      </c>
      <c r="K23" s="217"/>
      <c r="L23" s="217"/>
      <c r="M23" s="217"/>
      <c r="N23" s="217"/>
      <c r="O23" s="213"/>
      <c r="P23" s="215"/>
      <c r="Q23" s="124"/>
      <c r="R23" s="124"/>
      <c r="S23" s="125"/>
      <c r="T23" s="125"/>
    </row>
    <row r="24" spans="2:20" s="2" customFormat="1" ht="15" customHeight="1">
      <c r="B24" s="229"/>
      <c r="C24" s="218" t="s">
        <v>34</v>
      </c>
      <c r="D24" s="40" t="s">
        <v>15</v>
      </c>
      <c r="E24" s="43">
        <v>63.121000000000002</v>
      </c>
      <c r="F24" s="40"/>
      <c r="G24" s="40">
        <f>E24+F24</f>
        <v>63.121000000000002</v>
      </c>
      <c r="H24" s="200"/>
      <c r="I24" s="16">
        <f t="shared" si="0"/>
        <v>63.121000000000002</v>
      </c>
      <c r="J24" s="14">
        <f t="shared" si="1"/>
        <v>0</v>
      </c>
      <c r="K24" s="216">
        <f>E24+E25</f>
        <v>157.81200000000001</v>
      </c>
      <c r="L24" s="216">
        <f>F24+F25</f>
        <v>138.78899999999987</v>
      </c>
      <c r="M24" s="216">
        <f>K24+L24</f>
        <v>296.60099999999989</v>
      </c>
      <c r="N24" s="216">
        <f>H24+H25</f>
        <v>0</v>
      </c>
      <c r="O24" s="212">
        <f>M24-N24</f>
        <v>296.60099999999989</v>
      </c>
      <c r="P24" s="214">
        <v>0</v>
      </c>
      <c r="Q24" s="124"/>
      <c r="R24" s="124"/>
      <c r="S24" s="125"/>
      <c r="T24" s="125"/>
    </row>
    <row r="25" spans="2:20" s="2" customFormat="1">
      <c r="B25" s="229"/>
      <c r="C25" s="219"/>
      <c r="D25" s="41" t="s">
        <v>20</v>
      </c>
      <c r="E25" s="41">
        <v>94.691000000000003</v>
      </c>
      <c r="F25" s="106">
        <f>1039.013-900.224</f>
        <v>138.78899999999987</v>
      </c>
      <c r="G25" s="179">
        <f>E25+F25+I24</f>
        <v>296.60099999999989</v>
      </c>
      <c r="H25" s="201"/>
      <c r="I25" s="13">
        <f>G25-H25</f>
        <v>296.60099999999989</v>
      </c>
      <c r="J25" s="14">
        <v>0</v>
      </c>
      <c r="K25" s="217"/>
      <c r="L25" s="217"/>
      <c r="M25" s="217"/>
      <c r="N25" s="217"/>
      <c r="O25" s="213"/>
      <c r="P25" s="215"/>
      <c r="Q25" s="124"/>
      <c r="R25" s="124"/>
      <c r="S25" s="125"/>
      <c r="T25" s="125"/>
    </row>
    <row r="26" spans="2:20" s="2" customFormat="1" ht="15" customHeight="1">
      <c r="B26" s="229"/>
      <c r="C26" s="218" t="s">
        <v>35</v>
      </c>
      <c r="D26" s="40" t="s">
        <v>15</v>
      </c>
      <c r="E26" s="40">
        <v>302.69799999999998</v>
      </c>
      <c r="F26" s="40"/>
      <c r="G26" s="40">
        <f>E26+F26</f>
        <v>302.69799999999998</v>
      </c>
      <c r="H26" s="200"/>
      <c r="I26" s="16">
        <f>G26-H26</f>
        <v>302.69799999999998</v>
      </c>
      <c r="J26" s="14">
        <f t="shared" si="1"/>
        <v>0</v>
      </c>
      <c r="K26" s="216">
        <f>E26+E27</f>
        <v>756.79</v>
      </c>
      <c r="L26" s="216">
        <f>F26+F27</f>
        <v>0</v>
      </c>
      <c r="M26" s="216">
        <f>K26+L26</f>
        <v>756.79</v>
      </c>
      <c r="N26" s="216">
        <f>H26+H27</f>
        <v>0</v>
      </c>
      <c r="O26" s="212">
        <f>M26-N26</f>
        <v>756.79</v>
      </c>
      <c r="P26" s="214">
        <f>N26/M26</f>
        <v>0</v>
      </c>
      <c r="Q26" s="124"/>
      <c r="R26" s="124"/>
      <c r="S26" s="125"/>
      <c r="T26" s="125"/>
    </row>
    <row r="27" spans="2:20" s="2" customFormat="1">
      <c r="B27" s="229"/>
      <c r="C27" s="219"/>
      <c r="D27" s="41" t="s">
        <v>20</v>
      </c>
      <c r="E27" s="41">
        <v>454.09199999999998</v>
      </c>
      <c r="F27" s="41"/>
      <c r="G27" s="41">
        <f>E27+F27+I26</f>
        <v>756.79</v>
      </c>
      <c r="H27" s="201"/>
      <c r="I27" s="13">
        <f t="shared" ref="I27:I42" si="3">G27-H27</f>
        <v>756.79</v>
      </c>
      <c r="J27" s="14">
        <f t="shared" si="1"/>
        <v>0</v>
      </c>
      <c r="K27" s="217"/>
      <c r="L27" s="217"/>
      <c r="M27" s="217"/>
      <c r="N27" s="217"/>
      <c r="O27" s="213"/>
      <c r="P27" s="215"/>
      <c r="Q27" s="124"/>
      <c r="R27" s="124"/>
      <c r="S27" s="125"/>
      <c r="T27" s="125"/>
    </row>
    <row r="28" spans="2:20" s="2" customFormat="1" ht="15" customHeight="1">
      <c r="B28" s="229"/>
      <c r="C28" s="218" t="s">
        <v>36</v>
      </c>
      <c r="D28" s="40" t="s">
        <v>15</v>
      </c>
      <c r="E28" s="40">
        <v>0.10199999999999999</v>
      </c>
      <c r="F28" s="40"/>
      <c r="G28" s="40">
        <f>E28+F28</f>
        <v>0.10199999999999999</v>
      </c>
      <c r="H28" s="200"/>
      <c r="I28" s="16">
        <f t="shared" si="3"/>
        <v>0.10199999999999999</v>
      </c>
      <c r="J28" s="14">
        <f t="shared" si="1"/>
        <v>0</v>
      </c>
      <c r="K28" s="216">
        <f>E28+E29</f>
        <v>0.25600000000000001</v>
      </c>
      <c r="L28" s="216">
        <f>F28+F29</f>
        <v>0</v>
      </c>
      <c r="M28" s="216">
        <f>K28+L28</f>
        <v>0.25600000000000001</v>
      </c>
      <c r="N28" s="216">
        <f>H28+H29</f>
        <v>0</v>
      </c>
      <c r="O28" s="212">
        <f>M28-N28</f>
        <v>0.25600000000000001</v>
      </c>
      <c r="P28" s="214">
        <f>N28/M28</f>
        <v>0</v>
      </c>
      <c r="Q28" s="124"/>
      <c r="R28" s="124"/>
      <c r="S28" s="125"/>
      <c r="T28" s="125"/>
    </row>
    <row r="29" spans="2:20" s="2" customFormat="1">
      <c r="B29" s="229"/>
      <c r="C29" s="219"/>
      <c r="D29" s="41" t="s">
        <v>20</v>
      </c>
      <c r="E29" s="44">
        <v>0.154</v>
      </c>
      <c r="F29" s="41"/>
      <c r="G29" s="41">
        <f>E29+F29+I28</f>
        <v>0.25600000000000001</v>
      </c>
      <c r="H29" s="201"/>
      <c r="I29" s="13">
        <f t="shared" si="3"/>
        <v>0.25600000000000001</v>
      </c>
      <c r="J29" s="14">
        <f t="shared" si="1"/>
        <v>0</v>
      </c>
      <c r="K29" s="217"/>
      <c r="L29" s="217"/>
      <c r="M29" s="217"/>
      <c r="N29" s="217"/>
      <c r="O29" s="213"/>
      <c r="P29" s="215"/>
      <c r="Q29" s="124"/>
      <c r="R29" s="124"/>
      <c r="S29" s="125"/>
      <c r="T29" s="125"/>
    </row>
    <row r="30" spans="2:20" s="2" customFormat="1" ht="15" customHeight="1">
      <c r="B30" s="229"/>
      <c r="C30" s="218" t="s">
        <v>37</v>
      </c>
      <c r="D30" s="40" t="s">
        <v>15</v>
      </c>
      <c r="E30" s="40">
        <v>0.10199999999999999</v>
      </c>
      <c r="F30" s="40"/>
      <c r="G30" s="40">
        <f>E30+F30</f>
        <v>0.10199999999999999</v>
      </c>
      <c r="H30" s="200"/>
      <c r="I30" s="16">
        <f t="shared" si="3"/>
        <v>0.10199999999999999</v>
      </c>
      <c r="J30" s="14">
        <f t="shared" si="1"/>
        <v>0</v>
      </c>
      <c r="K30" s="216">
        <f>E30+E31</f>
        <v>0.25600000000000001</v>
      </c>
      <c r="L30" s="216">
        <f>F30+F31</f>
        <v>0</v>
      </c>
      <c r="M30" s="216">
        <f>K30+L30</f>
        <v>0.25600000000000001</v>
      </c>
      <c r="N30" s="216">
        <f>H30+H31</f>
        <v>0</v>
      </c>
      <c r="O30" s="212">
        <f>M30-N30</f>
        <v>0.25600000000000001</v>
      </c>
      <c r="P30" s="214">
        <f>N30/M30</f>
        <v>0</v>
      </c>
      <c r="Q30" s="124"/>
      <c r="R30" s="124"/>
      <c r="S30" s="125"/>
      <c r="T30" s="125"/>
    </row>
    <row r="31" spans="2:20" s="2" customFormat="1">
      <c r="B31" s="229"/>
      <c r="C31" s="219"/>
      <c r="D31" s="41" t="s">
        <v>20</v>
      </c>
      <c r="E31" s="41">
        <v>0.154</v>
      </c>
      <c r="F31" s="41"/>
      <c r="G31" s="41">
        <f>E31+F31+I30</f>
        <v>0.25600000000000001</v>
      </c>
      <c r="H31" s="201"/>
      <c r="I31" s="13">
        <f t="shared" si="3"/>
        <v>0.25600000000000001</v>
      </c>
      <c r="J31" s="14">
        <f t="shared" si="1"/>
        <v>0</v>
      </c>
      <c r="K31" s="217"/>
      <c r="L31" s="217"/>
      <c r="M31" s="217"/>
      <c r="N31" s="217"/>
      <c r="O31" s="213"/>
      <c r="P31" s="215"/>
      <c r="Q31" s="124"/>
      <c r="R31" s="124"/>
      <c r="S31" s="125"/>
      <c r="T31" s="125"/>
    </row>
    <row r="32" spans="2:20" s="2" customFormat="1" ht="15" customHeight="1">
      <c r="B32" s="229"/>
      <c r="C32" s="252" t="s">
        <v>38</v>
      </c>
      <c r="D32" s="40" t="s">
        <v>15</v>
      </c>
      <c r="E32" s="43">
        <v>0.10199999999999999</v>
      </c>
      <c r="F32" s="40"/>
      <c r="G32" s="40">
        <f>E32+F32</f>
        <v>0.10199999999999999</v>
      </c>
      <c r="H32" s="200"/>
      <c r="I32" s="16">
        <f t="shared" si="3"/>
        <v>0.10199999999999999</v>
      </c>
      <c r="J32" s="14">
        <v>0</v>
      </c>
      <c r="K32" s="216">
        <f>E32+E33</f>
        <v>0.25600000000000001</v>
      </c>
      <c r="L32" s="216">
        <f>F32+F33</f>
        <v>0</v>
      </c>
      <c r="M32" s="216">
        <f>K32+L32</f>
        <v>0.25600000000000001</v>
      </c>
      <c r="N32" s="216">
        <f>H32+H33</f>
        <v>0</v>
      </c>
      <c r="O32" s="212">
        <f>M32-N32</f>
        <v>0.25600000000000001</v>
      </c>
      <c r="P32" s="214">
        <v>0</v>
      </c>
      <c r="Q32" s="124"/>
      <c r="R32" s="124"/>
      <c r="S32" s="125"/>
      <c r="T32" s="125"/>
    </row>
    <row r="33" spans="2:35" s="2" customFormat="1">
      <c r="B33" s="229"/>
      <c r="C33" s="219"/>
      <c r="D33" s="41" t="s">
        <v>20</v>
      </c>
      <c r="E33" s="44">
        <v>0.154</v>
      </c>
      <c r="F33" s="41"/>
      <c r="G33" s="41">
        <f>E33+F33+I32</f>
        <v>0.25600000000000001</v>
      </c>
      <c r="H33" s="201"/>
      <c r="I33" s="13">
        <f t="shared" si="3"/>
        <v>0.25600000000000001</v>
      </c>
      <c r="J33" s="14">
        <v>0</v>
      </c>
      <c r="K33" s="217"/>
      <c r="L33" s="217"/>
      <c r="M33" s="217"/>
      <c r="N33" s="217"/>
      <c r="O33" s="213"/>
      <c r="P33" s="215"/>
      <c r="Q33" s="39"/>
      <c r="R33" s="39"/>
    </row>
    <row r="34" spans="2:35" s="2" customFormat="1">
      <c r="B34" s="229"/>
      <c r="C34" s="218" t="s">
        <v>39</v>
      </c>
      <c r="D34" s="40" t="s">
        <v>15</v>
      </c>
      <c r="E34" s="40">
        <v>72.453000000000003</v>
      </c>
      <c r="F34" s="40"/>
      <c r="G34" s="40">
        <f>E34+F34</f>
        <v>72.453000000000003</v>
      </c>
      <c r="H34" s="200"/>
      <c r="I34" s="16">
        <f t="shared" si="3"/>
        <v>72.453000000000003</v>
      </c>
      <c r="J34" s="14">
        <f t="shared" si="1"/>
        <v>0</v>
      </c>
      <c r="K34" s="216">
        <f>E34+E35</f>
        <v>181.143</v>
      </c>
      <c r="L34" s="216">
        <f>F34+F35</f>
        <v>0</v>
      </c>
      <c r="M34" s="216">
        <f>K34+L34</f>
        <v>181.143</v>
      </c>
      <c r="N34" s="216">
        <f>H34+H35</f>
        <v>0</v>
      </c>
      <c r="O34" s="212">
        <f>M34-N34</f>
        <v>181.143</v>
      </c>
      <c r="P34" s="214">
        <f>N34/M34</f>
        <v>0</v>
      </c>
      <c r="Q34" s="39"/>
      <c r="R34" s="39"/>
    </row>
    <row r="35" spans="2:35" s="2" customFormat="1">
      <c r="B35" s="229"/>
      <c r="C35" s="219"/>
      <c r="D35" s="41" t="s">
        <v>20</v>
      </c>
      <c r="E35" s="41">
        <v>108.69</v>
      </c>
      <c r="F35" s="41"/>
      <c r="G35" s="41">
        <f>E35+F35+I34</f>
        <v>181.143</v>
      </c>
      <c r="H35" s="201"/>
      <c r="I35" s="13">
        <f t="shared" si="3"/>
        <v>181.143</v>
      </c>
      <c r="J35" s="14">
        <f t="shared" si="1"/>
        <v>0</v>
      </c>
      <c r="K35" s="217"/>
      <c r="L35" s="217"/>
      <c r="M35" s="217"/>
      <c r="N35" s="217"/>
      <c r="O35" s="213"/>
      <c r="P35" s="215"/>
      <c r="Q35" s="39"/>
      <c r="R35" s="39"/>
    </row>
    <row r="36" spans="2:35" s="2" customFormat="1">
      <c r="B36" s="229"/>
      <c r="C36" s="252" t="s">
        <v>40</v>
      </c>
      <c r="D36" s="40" t="s">
        <v>15</v>
      </c>
      <c r="E36" s="43">
        <v>2137.9520000000002</v>
      </c>
      <c r="F36" s="40"/>
      <c r="G36" s="40">
        <f>E36+F36</f>
        <v>2137.9520000000002</v>
      </c>
      <c r="H36" s="200"/>
      <c r="I36" s="16">
        <f t="shared" si="3"/>
        <v>2137.9520000000002</v>
      </c>
      <c r="J36" s="14">
        <f t="shared" si="1"/>
        <v>0</v>
      </c>
      <c r="K36" s="216">
        <f>E36+E37</f>
        <v>5345.1949999999997</v>
      </c>
      <c r="L36" s="216">
        <f>F36+F37</f>
        <v>-2151.038</v>
      </c>
      <c r="M36" s="216">
        <f>K36+L36</f>
        <v>3194.1569999999997</v>
      </c>
      <c r="N36" s="216">
        <f>H36+H37</f>
        <v>0</v>
      </c>
      <c r="O36" s="212">
        <f>M36-N36</f>
        <v>3194.1569999999997</v>
      </c>
      <c r="P36" s="214">
        <f>N36/M36</f>
        <v>0</v>
      </c>
      <c r="Q36" s="39"/>
      <c r="R36" s="39"/>
    </row>
    <row r="37" spans="2:35" s="2" customFormat="1">
      <c r="B37" s="229"/>
      <c r="C37" s="252"/>
      <c r="D37" s="41" t="s">
        <v>20</v>
      </c>
      <c r="E37" s="44">
        <v>3207.2429999999999</v>
      </c>
      <c r="F37" s="106">
        <f>-2150.023-1.015</f>
        <v>-2151.038</v>
      </c>
      <c r="G37" s="41">
        <f>E37+F37+I36</f>
        <v>3194.1570000000002</v>
      </c>
      <c r="H37" s="201"/>
      <c r="I37" s="13">
        <f t="shared" si="3"/>
        <v>3194.1570000000002</v>
      </c>
      <c r="J37" s="14">
        <f t="shared" si="1"/>
        <v>0</v>
      </c>
      <c r="K37" s="217"/>
      <c r="L37" s="217"/>
      <c r="M37" s="217"/>
      <c r="N37" s="217"/>
      <c r="O37" s="213"/>
      <c r="P37" s="215"/>
      <c r="Q37" s="39"/>
      <c r="R37" s="39"/>
    </row>
    <row r="38" spans="2:35" s="2" customFormat="1" ht="15" customHeight="1">
      <c r="B38" s="229"/>
      <c r="C38" s="218" t="s">
        <v>67</v>
      </c>
      <c r="D38" s="40" t="s">
        <v>15</v>
      </c>
      <c r="E38" s="40">
        <v>36.719000000000001</v>
      </c>
      <c r="F38" s="40"/>
      <c r="G38" s="40">
        <f>E38+F38</f>
        <v>36.719000000000001</v>
      </c>
      <c r="H38" s="200"/>
      <c r="I38" s="16">
        <f t="shared" si="3"/>
        <v>36.719000000000001</v>
      </c>
      <c r="J38" s="14">
        <f t="shared" si="1"/>
        <v>0</v>
      </c>
      <c r="K38" s="216">
        <f>E38+E39</f>
        <v>91.802999999999997</v>
      </c>
      <c r="L38" s="216">
        <f>F38+F39</f>
        <v>0</v>
      </c>
      <c r="M38" s="216">
        <f>K38+L38</f>
        <v>91.802999999999997</v>
      </c>
      <c r="N38" s="216">
        <f>H38+H39</f>
        <v>0</v>
      </c>
      <c r="O38" s="212">
        <f>M38-N38</f>
        <v>91.802999999999997</v>
      </c>
      <c r="P38" s="214">
        <f>N38/M38</f>
        <v>0</v>
      </c>
      <c r="Q38" s="39"/>
      <c r="R38" s="39"/>
    </row>
    <row r="39" spans="2:35" s="2" customFormat="1">
      <c r="B39" s="229"/>
      <c r="C39" s="219"/>
      <c r="D39" s="41" t="s">
        <v>20</v>
      </c>
      <c r="E39" s="41">
        <v>55.084000000000003</v>
      </c>
      <c r="F39" s="41"/>
      <c r="G39" s="41">
        <f>E39+F39+I38</f>
        <v>91.802999999999997</v>
      </c>
      <c r="H39" s="201"/>
      <c r="I39" s="13">
        <f t="shared" si="3"/>
        <v>91.802999999999997</v>
      </c>
      <c r="J39" s="14">
        <f t="shared" si="1"/>
        <v>0</v>
      </c>
      <c r="K39" s="217"/>
      <c r="L39" s="217"/>
      <c r="M39" s="217"/>
      <c r="N39" s="217"/>
      <c r="O39" s="213"/>
      <c r="P39" s="215"/>
      <c r="Q39" s="39"/>
      <c r="R39" s="39"/>
    </row>
    <row r="40" spans="2:35" s="2" customFormat="1">
      <c r="B40" s="229"/>
      <c r="C40" s="252" t="s">
        <v>41</v>
      </c>
      <c r="D40" s="43" t="s">
        <v>15</v>
      </c>
      <c r="E40" s="43">
        <v>27.088999999999999</v>
      </c>
      <c r="F40" s="43"/>
      <c r="G40" s="43">
        <f>E40+F40</f>
        <v>27.088999999999999</v>
      </c>
      <c r="H40" s="200"/>
      <c r="I40" s="26">
        <f t="shared" si="3"/>
        <v>27.088999999999999</v>
      </c>
      <c r="J40" s="27">
        <f t="shared" si="1"/>
        <v>0</v>
      </c>
      <c r="K40" s="255">
        <f>E40+E41</f>
        <v>67.727000000000004</v>
      </c>
      <c r="L40" s="255">
        <f>F40+F41</f>
        <v>0</v>
      </c>
      <c r="M40" s="255">
        <f>K40+L40</f>
        <v>67.727000000000004</v>
      </c>
      <c r="N40" s="255">
        <f>H40+H41</f>
        <v>0</v>
      </c>
      <c r="O40" s="257">
        <f>M40-N40</f>
        <v>67.727000000000004</v>
      </c>
      <c r="P40" s="253">
        <f>N40/M40</f>
        <v>0</v>
      </c>
      <c r="Q40" s="39"/>
      <c r="R40" s="39"/>
    </row>
    <row r="41" spans="2:35" s="2" customFormat="1">
      <c r="B41" s="229"/>
      <c r="C41" s="219"/>
      <c r="D41" s="44" t="s">
        <v>20</v>
      </c>
      <c r="E41" s="44">
        <v>40.637999999999998</v>
      </c>
      <c r="F41" s="44"/>
      <c r="G41" s="44">
        <f>E41+F41+I40</f>
        <v>67.727000000000004</v>
      </c>
      <c r="H41" s="201"/>
      <c r="I41" s="28">
        <f t="shared" si="3"/>
        <v>67.727000000000004</v>
      </c>
      <c r="J41" s="27">
        <f t="shared" si="1"/>
        <v>0</v>
      </c>
      <c r="K41" s="256"/>
      <c r="L41" s="256"/>
      <c r="M41" s="256"/>
      <c r="N41" s="256"/>
      <c r="O41" s="234"/>
      <c r="P41" s="254"/>
      <c r="Q41" s="39"/>
      <c r="R41" s="39"/>
    </row>
    <row r="42" spans="2:35" s="2" customFormat="1" ht="15" customHeight="1">
      <c r="B42" s="229"/>
      <c r="C42" s="218" t="s">
        <v>42</v>
      </c>
      <c r="D42" s="40" t="s">
        <v>15</v>
      </c>
      <c r="E42" s="43">
        <v>1291.1369999999999</v>
      </c>
      <c r="F42" s="40"/>
      <c r="G42" s="40">
        <f>E42+F42</f>
        <v>1291.1369999999999</v>
      </c>
      <c r="H42" s="200">
        <v>392.03100000000001</v>
      </c>
      <c r="I42" s="16">
        <f t="shared" si="3"/>
        <v>899.10599999999999</v>
      </c>
      <c r="J42" s="14">
        <f t="shared" si="1"/>
        <v>0.30363237983265912</v>
      </c>
      <c r="K42" s="216">
        <f>E42+E43</f>
        <v>3228.0329999999999</v>
      </c>
      <c r="L42" s="216">
        <f>F42+F43</f>
        <v>0</v>
      </c>
      <c r="M42" s="216">
        <f>K42+L42</f>
        <v>3228.0329999999999</v>
      </c>
      <c r="N42" s="216">
        <f>H42+H43</f>
        <v>1260.261</v>
      </c>
      <c r="O42" s="212">
        <f>M42-N42</f>
        <v>1967.7719999999999</v>
      </c>
      <c r="P42" s="214">
        <f>N42/M42</f>
        <v>0.3904114363143128</v>
      </c>
      <c r="Q42" s="39"/>
      <c r="R42" s="39"/>
    </row>
    <row r="43" spans="2:35" s="2" customFormat="1">
      <c r="B43" s="229"/>
      <c r="C43" s="219"/>
      <c r="D43" s="41" t="s">
        <v>20</v>
      </c>
      <c r="E43" s="41">
        <v>1936.896</v>
      </c>
      <c r="F43" s="41"/>
      <c r="G43" s="41">
        <f>E43+F43+I42</f>
        <v>2836.002</v>
      </c>
      <c r="H43" s="201">
        <v>868.23</v>
      </c>
      <c r="I43" s="13">
        <f t="shared" ref="I43:I49" si="4">G43-H43</f>
        <v>1967.7719999999999</v>
      </c>
      <c r="J43" s="14">
        <f t="shared" si="1"/>
        <v>0.30614576435418595</v>
      </c>
      <c r="K43" s="217"/>
      <c r="L43" s="217"/>
      <c r="M43" s="217"/>
      <c r="N43" s="217"/>
      <c r="O43" s="213"/>
      <c r="P43" s="215"/>
      <c r="Q43" s="39"/>
      <c r="R43" s="39"/>
    </row>
    <row r="44" spans="2:35" s="2" customFormat="1">
      <c r="B44" s="229"/>
      <c r="C44" s="218" t="s">
        <v>43</v>
      </c>
      <c r="D44" s="40" t="s">
        <v>15</v>
      </c>
      <c r="E44" s="40">
        <v>842.73</v>
      </c>
      <c r="F44" s="40"/>
      <c r="G44" s="40">
        <f>E44+F44</f>
        <v>842.73</v>
      </c>
      <c r="H44" s="200"/>
      <c r="I44" s="16">
        <f t="shared" si="4"/>
        <v>842.73</v>
      </c>
      <c r="J44" s="14">
        <f t="shared" si="1"/>
        <v>0</v>
      </c>
      <c r="K44" s="216">
        <f>E44+E45</f>
        <v>2106.9490000000001</v>
      </c>
      <c r="L44" s="216">
        <f>F44+F45</f>
        <v>-2001.568</v>
      </c>
      <c r="M44" s="216">
        <f>K44+L44</f>
        <v>105.38100000000009</v>
      </c>
      <c r="N44" s="216">
        <f>H44+H45</f>
        <v>0.26400000000000001</v>
      </c>
      <c r="O44" s="212">
        <f>M44-N44</f>
        <v>105.11700000000009</v>
      </c>
      <c r="P44" s="214">
        <f>N44/M44</f>
        <v>2.5051954337119574E-3</v>
      </c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2:35" s="2" customFormat="1">
      <c r="B45" s="229"/>
      <c r="C45" s="219"/>
      <c r="D45" s="41" t="s">
        <v>20</v>
      </c>
      <c r="E45" s="41">
        <v>1264.2190000000001</v>
      </c>
      <c r="F45" s="106">
        <f>-2001.568</f>
        <v>-2001.568</v>
      </c>
      <c r="G45" s="41">
        <f>E45+F45+I44</f>
        <v>105.38100000000009</v>
      </c>
      <c r="H45" s="201">
        <v>0.26400000000000001</v>
      </c>
      <c r="I45" s="13">
        <f t="shared" si="4"/>
        <v>105.11700000000009</v>
      </c>
      <c r="J45" s="29">
        <f t="shared" si="1"/>
        <v>2.5051954337119574E-3</v>
      </c>
      <c r="K45" s="217"/>
      <c r="L45" s="217"/>
      <c r="M45" s="217"/>
      <c r="N45" s="217"/>
      <c r="O45" s="213"/>
      <c r="P45" s="215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2:35" s="2" customFormat="1">
      <c r="B46" s="229"/>
      <c r="C46" s="218" t="s">
        <v>44</v>
      </c>
      <c r="D46" s="195" t="s">
        <v>15</v>
      </c>
      <c r="E46" s="188">
        <v>0.10199999999999999</v>
      </c>
      <c r="F46" s="183">
        <f>-0.256</f>
        <v>-0.25600000000000001</v>
      </c>
      <c r="G46" s="188">
        <f>E46+F46</f>
        <v>-0.15400000000000003</v>
      </c>
      <c r="H46" s="200"/>
      <c r="I46" s="16">
        <f t="shared" si="4"/>
        <v>-0.15400000000000003</v>
      </c>
      <c r="J46" s="14">
        <f t="shared" si="1"/>
        <v>0</v>
      </c>
      <c r="K46" s="216">
        <f>E46+E47</f>
        <v>0.25600000000000001</v>
      </c>
      <c r="L46" s="216">
        <f>F46+F47</f>
        <v>-0.25600000000000001</v>
      </c>
      <c r="M46" s="216">
        <f>K46+L46</f>
        <v>0</v>
      </c>
      <c r="N46" s="216">
        <f>H46+H47</f>
        <v>0</v>
      </c>
      <c r="O46" s="257">
        <f>M46-N46</f>
        <v>0</v>
      </c>
      <c r="P46" s="253" t="e">
        <f>N46/M46</f>
        <v>#DIV/0!</v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2:35" s="2" customFormat="1">
      <c r="B47" s="229"/>
      <c r="C47" s="219"/>
      <c r="D47" s="196" t="s">
        <v>20</v>
      </c>
      <c r="E47" s="187">
        <v>0.154</v>
      </c>
      <c r="F47" s="187"/>
      <c r="G47" s="187">
        <f>E47+F47+I46</f>
        <v>0</v>
      </c>
      <c r="H47" s="201"/>
      <c r="I47" s="13">
        <f t="shared" si="4"/>
        <v>0</v>
      </c>
      <c r="J47" s="29" t="e">
        <f t="shared" si="1"/>
        <v>#DIV/0!</v>
      </c>
      <c r="K47" s="217"/>
      <c r="L47" s="217"/>
      <c r="M47" s="217"/>
      <c r="N47" s="217"/>
      <c r="O47" s="234"/>
      <c r="P47" s="254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2:35" s="2" customFormat="1">
      <c r="B48" s="229"/>
      <c r="C48" s="230" t="s">
        <v>47</v>
      </c>
      <c r="D48" s="192" t="s">
        <v>15</v>
      </c>
      <c r="E48" s="192">
        <v>0</v>
      </c>
      <c r="F48" s="192"/>
      <c r="G48" s="192">
        <f>E48+F48</f>
        <v>0</v>
      </c>
      <c r="H48" s="64"/>
      <c r="I48" s="173">
        <f t="shared" si="4"/>
        <v>0</v>
      </c>
      <c r="J48" s="194" t="e">
        <f>H48/G48</f>
        <v>#DIV/0!</v>
      </c>
      <c r="K48" s="232">
        <f>E48+E49</f>
        <v>0</v>
      </c>
      <c r="L48" s="232">
        <f>F48+F49</f>
        <v>0</v>
      </c>
      <c r="M48" s="232">
        <f>K48+L48</f>
        <v>0</v>
      </c>
      <c r="N48" s="232">
        <f>H48+H49</f>
        <v>0</v>
      </c>
      <c r="O48" s="233">
        <f>M48-N48</f>
        <v>0</v>
      </c>
      <c r="P48" s="290" t="e">
        <f>N48/M48</f>
        <v>#DIV/0!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s="2" customFormat="1">
      <c r="B49" s="229"/>
      <c r="C49" s="231"/>
      <c r="D49" s="187" t="s">
        <v>20</v>
      </c>
      <c r="E49" s="187">
        <v>0</v>
      </c>
      <c r="F49" s="106">
        <f>2150.023-2150.023</f>
        <v>0</v>
      </c>
      <c r="G49" s="187">
        <f>E49+F49+I48</f>
        <v>0</v>
      </c>
      <c r="H49" s="201"/>
      <c r="I49" s="13">
        <f t="shared" si="4"/>
        <v>0</v>
      </c>
      <c r="J49" s="29" t="e">
        <f>H49/G49</f>
        <v>#DIV/0!</v>
      </c>
      <c r="K49" s="217"/>
      <c r="L49" s="217"/>
      <c r="M49" s="217"/>
      <c r="N49" s="217"/>
      <c r="O49" s="234"/>
      <c r="P49" s="254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s="2" customFormat="1">
      <c r="B50" s="191"/>
      <c r="C50" s="260" t="s">
        <v>219</v>
      </c>
      <c r="D50" s="188" t="s">
        <v>15</v>
      </c>
      <c r="E50" s="188"/>
      <c r="F50" s="183"/>
      <c r="G50" s="188"/>
      <c r="H50" s="200"/>
      <c r="I50" s="16"/>
      <c r="J50" s="29"/>
      <c r="K50" s="188"/>
      <c r="L50" s="188"/>
      <c r="M50" s="188"/>
      <c r="N50" s="188"/>
      <c r="O50" s="189"/>
      <c r="P50" s="185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s="2" customFormat="1" ht="15.75" thickBot="1">
      <c r="B51" s="191"/>
      <c r="C51" s="261"/>
      <c r="D51" s="190" t="s">
        <v>20</v>
      </c>
      <c r="E51" s="190"/>
      <c r="F51" s="184">
        <f>1.015</f>
        <v>1.0149999999999999</v>
      </c>
      <c r="G51" s="190"/>
      <c r="H51" s="77"/>
      <c r="I51" s="80"/>
      <c r="J51" s="81"/>
      <c r="K51" s="190"/>
      <c r="L51" s="190"/>
      <c r="M51" s="190"/>
      <c r="N51" s="190"/>
      <c r="O51" s="193"/>
      <c r="P51" s="186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s="10" customFormat="1">
      <c r="A52" s="39"/>
      <c r="B52" s="82"/>
      <c r="C52" s="65"/>
      <c r="D52" s="64"/>
      <c r="E52" s="64">
        <f>SUM(E10:E47)</f>
        <v>25368.995999999999</v>
      </c>
      <c r="F52" s="181">
        <f>SUM(F10:F51)</f>
        <v>-3150.2790000000005</v>
      </c>
      <c r="G52" s="64">
        <f>SUM(G10:G49)</f>
        <v>29268.227000000003</v>
      </c>
      <c r="H52" s="64">
        <f>SUM(H10:H47)</f>
        <v>7826.3239999999996</v>
      </c>
      <c r="I52" s="181">
        <f>SUM(I10:I47)</f>
        <v>21441.902999999995</v>
      </c>
      <c r="J52" s="67">
        <f>H52/G52</f>
        <v>0.26740000342350767</v>
      </c>
      <c r="K52" s="64">
        <f>SUM(K10:K47)</f>
        <v>25368.995999999996</v>
      </c>
      <c r="L52" s="64">
        <f>SUM(L10:L49)</f>
        <v>-3151.2940000000003</v>
      </c>
      <c r="M52" s="64">
        <f>SUM(M10:M47)</f>
        <v>22217.701999999997</v>
      </c>
      <c r="N52" s="64">
        <f>SUM(N10:N47)</f>
        <v>7826.3239999999996</v>
      </c>
      <c r="O52" s="64">
        <f>SUM(O10:O47)</f>
        <v>14391.377999999999</v>
      </c>
      <c r="P52" s="67">
        <f>N52/M52</f>
        <v>0.35225623244024068</v>
      </c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s="10" customFormat="1">
      <c r="A53" s="39"/>
      <c r="B53" s="82"/>
      <c r="C53" s="65"/>
      <c r="D53" s="64"/>
      <c r="E53" s="64"/>
      <c r="F53" s="64"/>
      <c r="G53" s="64"/>
      <c r="H53" s="64"/>
      <c r="I53" s="64"/>
      <c r="J53" s="67"/>
      <c r="K53" s="64"/>
      <c r="L53" s="64"/>
      <c r="M53" s="64"/>
      <c r="N53" s="64"/>
      <c r="O53" s="66"/>
      <c r="P53" s="67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s="10" customFormat="1" ht="15.75" thickBot="1">
      <c r="A54" s="39"/>
      <c r="B54" s="39"/>
      <c r="C54" s="68"/>
      <c r="D54" s="39"/>
      <c r="E54" s="39"/>
      <c r="F54" s="83"/>
      <c r="G54" s="39"/>
      <c r="H54" s="39"/>
      <c r="I54" s="39"/>
      <c r="J54" s="64"/>
      <c r="K54" s="39"/>
      <c r="L54" s="39"/>
      <c r="M54" s="39"/>
      <c r="N54" s="39"/>
      <c r="O54" s="69"/>
      <c r="P54" s="8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s="2" customFormat="1" ht="15" customHeight="1">
      <c r="B55" s="272" t="s">
        <v>45</v>
      </c>
      <c r="C55" s="258" t="s">
        <v>46</v>
      </c>
      <c r="D55" s="42" t="s">
        <v>15</v>
      </c>
      <c r="E55" s="42">
        <v>2.56</v>
      </c>
      <c r="F55" s="42"/>
      <c r="G55" s="42">
        <f>E55+F55</f>
        <v>2.56</v>
      </c>
      <c r="H55" s="174"/>
      <c r="I55" s="30">
        <f>G55-H55</f>
        <v>2.56</v>
      </c>
      <c r="J55" s="31">
        <v>0</v>
      </c>
      <c r="K55" s="227">
        <f>E55+E56</f>
        <v>6.4</v>
      </c>
      <c r="L55" s="227">
        <f>F55+F56</f>
        <v>0</v>
      </c>
      <c r="M55" s="227">
        <f>K55+L55</f>
        <v>6.4</v>
      </c>
      <c r="N55" s="227">
        <f>H55+H56</f>
        <v>0</v>
      </c>
      <c r="O55" s="239">
        <f>M55-N55</f>
        <v>6.4</v>
      </c>
      <c r="P55" s="240">
        <v>0</v>
      </c>
      <c r="Q55" s="39"/>
      <c r="R55" s="39"/>
      <c r="S55" s="241" t="s">
        <v>16</v>
      </c>
      <c r="T55" s="243" t="s">
        <v>17</v>
      </c>
      <c r="U55" s="235" t="s">
        <v>18</v>
      </c>
      <c r="V55" s="245" t="s">
        <v>12</v>
      </c>
      <c r="W55" s="245"/>
      <c r="X55" s="245"/>
      <c r="Y55" s="245"/>
      <c r="Z55" s="235" t="s">
        <v>8</v>
      </c>
      <c r="AA55" s="235" t="s">
        <v>9</v>
      </c>
      <c r="AB55" s="235" t="s">
        <v>66</v>
      </c>
      <c r="AC55" s="276" t="s">
        <v>19</v>
      </c>
      <c r="AD55" s="278" t="s">
        <v>22</v>
      </c>
      <c r="AE55" s="278" t="s">
        <v>23</v>
      </c>
      <c r="AF55" s="278" t="s">
        <v>24</v>
      </c>
      <c r="AG55" s="235" t="s">
        <v>8</v>
      </c>
      <c r="AH55" s="276" t="s">
        <v>9</v>
      </c>
      <c r="AI55" s="235" t="s">
        <v>66</v>
      </c>
    </row>
    <row r="56" spans="1:35" s="2" customFormat="1" ht="15.75" thickBot="1">
      <c r="B56" s="273"/>
      <c r="C56" s="259"/>
      <c r="D56" s="41" t="s">
        <v>20</v>
      </c>
      <c r="E56" s="41">
        <v>3.84</v>
      </c>
      <c r="F56" s="41"/>
      <c r="G56" s="41">
        <f>E56+F56+I55</f>
        <v>6.4</v>
      </c>
      <c r="H56" s="201"/>
      <c r="I56" s="32">
        <f t="shared" ref="I56:I64" si="5">G56-H56</f>
        <v>6.4</v>
      </c>
      <c r="J56" s="14">
        <v>0</v>
      </c>
      <c r="K56" s="217"/>
      <c r="L56" s="217"/>
      <c r="M56" s="217"/>
      <c r="N56" s="217"/>
      <c r="O56" s="213"/>
      <c r="P56" s="215"/>
      <c r="Q56" s="39"/>
      <c r="R56" s="39"/>
      <c r="S56" s="284"/>
      <c r="T56" s="292"/>
      <c r="U56" s="264"/>
      <c r="V56" s="15" t="s">
        <v>21</v>
      </c>
      <c r="W56" s="15" t="s">
        <v>22</v>
      </c>
      <c r="X56" s="15" t="s">
        <v>23</v>
      </c>
      <c r="Y56" s="15" t="s">
        <v>24</v>
      </c>
      <c r="Z56" s="264"/>
      <c r="AA56" s="264"/>
      <c r="AB56" s="264"/>
      <c r="AC56" s="291"/>
      <c r="AD56" s="279"/>
      <c r="AE56" s="279"/>
      <c r="AF56" s="279"/>
      <c r="AG56" s="236"/>
      <c r="AH56" s="277"/>
      <c r="AI56" s="264"/>
    </row>
    <row r="57" spans="1:35" s="2" customFormat="1">
      <c r="B57" s="273"/>
      <c r="C57" s="263" t="s">
        <v>47</v>
      </c>
      <c r="D57" s="40" t="s">
        <v>15</v>
      </c>
      <c r="E57" s="40">
        <v>5250.35</v>
      </c>
      <c r="F57" s="40"/>
      <c r="G57" s="40">
        <f>E57+F57</f>
        <v>5250.35</v>
      </c>
      <c r="H57" s="200"/>
      <c r="I57" s="33">
        <f t="shared" si="5"/>
        <v>5250.35</v>
      </c>
      <c r="J57" s="14">
        <f t="shared" si="1"/>
        <v>0</v>
      </c>
      <c r="K57" s="216">
        <f>E57+E58</f>
        <v>13125.487000000001</v>
      </c>
      <c r="L57" s="216">
        <f>F57+F58</f>
        <v>-4161.7029999999995</v>
      </c>
      <c r="M57" s="216">
        <f>K57+L57</f>
        <v>8963.7840000000015</v>
      </c>
      <c r="N57" s="216">
        <f>H57+H58</f>
        <v>4364.7299999999996</v>
      </c>
      <c r="O57" s="212">
        <f>M57-N57</f>
        <v>4599.0540000000019</v>
      </c>
      <c r="P57" s="214">
        <f>N57/M57</f>
        <v>0.48692940392137951</v>
      </c>
      <c r="Q57" s="39"/>
      <c r="R57" s="39"/>
      <c r="S57" s="293" t="s">
        <v>25</v>
      </c>
      <c r="T57" s="275" t="s">
        <v>48</v>
      </c>
      <c r="U57" s="285">
        <f>E67</f>
        <v>16911.923999999999</v>
      </c>
      <c r="V57" s="17" t="s">
        <v>27</v>
      </c>
      <c r="W57" s="18">
        <f t="shared" ref="W57:Z58" si="6">E55+E57+E59+E61+E63+E65</f>
        <v>6764.9700000000012</v>
      </c>
      <c r="X57" s="18">
        <f>F55+F57+F59+F61+F63+F65</f>
        <v>0.25600000000000001</v>
      </c>
      <c r="Y57" s="18">
        <f t="shared" si="6"/>
        <v>6765.2260000000006</v>
      </c>
      <c r="Z57" s="18">
        <f t="shared" si="6"/>
        <v>60.878</v>
      </c>
      <c r="AA57" s="19">
        <f>Y57-Z57</f>
        <v>6704.3480000000009</v>
      </c>
      <c r="AB57" s="20">
        <f>Z57/Y57</f>
        <v>8.9986646418020611E-3</v>
      </c>
      <c r="AC57" s="21"/>
      <c r="AD57" s="286">
        <f>W57+W58</f>
        <v>16911.923999999999</v>
      </c>
      <c r="AE57" s="286">
        <f>X57+X58</f>
        <v>3150.279</v>
      </c>
      <c r="AF57" s="286">
        <f>AD57+AE57</f>
        <v>20062.202999999998</v>
      </c>
      <c r="AG57" s="286">
        <f>Z57+Z58</f>
        <v>9211.4520000000011</v>
      </c>
      <c r="AH57" s="288">
        <f>AF57-AG57</f>
        <v>10850.750999999997</v>
      </c>
      <c r="AI57" s="265">
        <f>AG57/AF57</f>
        <v>0.45914459144890529</v>
      </c>
    </row>
    <row r="58" spans="1:35" s="2" customFormat="1" ht="15.75" thickBot="1">
      <c r="B58" s="273"/>
      <c r="C58" s="259"/>
      <c r="D58" s="41" t="s">
        <v>20</v>
      </c>
      <c r="E58" s="44">
        <v>7875.1369999999997</v>
      </c>
      <c r="F58" s="41">
        <f>-2282.95-3432.29-596.486+2150.023</f>
        <v>-4161.7029999999995</v>
      </c>
      <c r="G58" s="41">
        <f>E58+F58+I57</f>
        <v>8963.7839999999997</v>
      </c>
      <c r="H58" s="201">
        <v>4364.7299999999996</v>
      </c>
      <c r="I58" s="32">
        <f t="shared" si="5"/>
        <v>4599.0540000000001</v>
      </c>
      <c r="J58" s="14">
        <f t="shared" si="1"/>
        <v>0.48692940392137962</v>
      </c>
      <c r="K58" s="217"/>
      <c r="L58" s="217"/>
      <c r="M58" s="217"/>
      <c r="N58" s="217"/>
      <c r="O58" s="213"/>
      <c r="P58" s="215"/>
      <c r="Q58" s="39"/>
      <c r="R58" s="39"/>
      <c r="S58" s="247"/>
      <c r="T58" s="249"/>
      <c r="U58" s="251"/>
      <c r="V58" s="22" t="s">
        <v>28</v>
      </c>
      <c r="W58" s="23">
        <f t="shared" si="6"/>
        <v>10146.954</v>
      </c>
      <c r="X58" s="23">
        <f>F56+F58+F60+F62+F64+F66</f>
        <v>3150.0230000000001</v>
      </c>
      <c r="Y58" s="23">
        <f t="shared" si="6"/>
        <v>20001.324999999997</v>
      </c>
      <c r="Z58" s="23">
        <f t="shared" si="6"/>
        <v>9150.5740000000005</v>
      </c>
      <c r="AA58" s="74">
        <f>Y58-Z58</f>
        <v>10850.750999999997</v>
      </c>
      <c r="AB58" s="24">
        <f>Z58/Y58</f>
        <v>0.45749839073161414</v>
      </c>
      <c r="AC58" s="25"/>
      <c r="AD58" s="287"/>
      <c r="AE58" s="287"/>
      <c r="AF58" s="287"/>
      <c r="AG58" s="287"/>
      <c r="AH58" s="289"/>
      <c r="AI58" s="266"/>
    </row>
    <row r="59" spans="1:35" s="2" customFormat="1">
      <c r="B59" s="273"/>
      <c r="C59" s="262" t="s">
        <v>32</v>
      </c>
      <c r="D59" s="43" t="s">
        <v>15</v>
      </c>
      <c r="E59" s="43">
        <v>661.39800000000002</v>
      </c>
      <c r="F59" s="43"/>
      <c r="G59" s="43">
        <f>E59+F59</f>
        <v>661.39800000000002</v>
      </c>
      <c r="H59" s="199">
        <f>34.242-9.295</f>
        <v>24.946999999999996</v>
      </c>
      <c r="I59" s="34">
        <f t="shared" si="5"/>
        <v>636.45100000000002</v>
      </c>
      <c r="J59" s="14">
        <f t="shared" si="1"/>
        <v>3.7718590016903579E-2</v>
      </c>
      <c r="K59" s="216">
        <f>E59+E60</f>
        <v>1653.4459999999999</v>
      </c>
      <c r="L59" s="216">
        <f>F59+F60</f>
        <v>1596.4859999999999</v>
      </c>
      <c r="M59" s="216">
        <f>K59+L59</f>
        <v>3249.9319999999998</v>
      </c>
      <c r="N59" s="216">
        <f>H59+H60</f>
        <v>2186.6840000000002</v>
      </c>
      <c r="O59" s="212">
        <f>M59-N59</f>
        <v>1063.2479999999996</v>
      </c>
      <c r="P59" s="214">
        <f>N59/M59</f>
        <v>0.67283992403533377</v>
      </c>
      <c r="Q59" s="39"/>
      <c r="R59" s="39"/>
      <c r="AE59" s="39"/>
      <c r="AF59" s="39"/>
      <c r="AG59" s="39"/>
      <c r="AH59" s="39"/>
      <c r="AI59" s="39"/>
    </row>
    <row r="60" spans="1:35" s="2" customFormat="1">
      <c r="B60" s="273"/>
      <c r="C60" s="259"/>
      <c r="D60" s="44" t="s">
        <v>20</v>
      </c>
      <c r="E60" s="44">
        <v>992.048</v>
      </c>
      <c r="F60" s="44">
        <f>1000+596.486</f>
        <v>1596.4859999999999</v>
      </c>
      <c r="G60" s="44">
        <f>E60+F60+I59</f>
        <v>3224.9849999999997</v>
      </c>
      <c r="H60" s="201">
        <v>2161.7370000000001</v>
      </c>
      <c r="I60" s="35">
        <f t="shared" si="5"/>
        <v>1063.2479999999996</v>
      </c>
      <c r="J60" s="14">
        <f t="shared" si="1"/>
        <v>0.67030916422867093</v>
      </c>
      <c r="K60" s="217"/>
      <c r="L60" s="217"/>
      <c r="M60" s="217"/>
      <c r="N60" s="217"/>
      <c r="O60" s="213"/>
      <c r="P60" s="215"/>
      <c r="Q60" s="39"/>
      <c r="R60" s="39"/>
    </row>
    <row r="61" spans="1:35" s="2" customFormat="1">
      <c r="B61" s="273"/>
      <c r="C61" s="262" t="s">
        <v>49</v>
      </c>
      <c r="D61" s="40" t="s">
        <v>15</v>
      </c>
      <c r="E61" s="43">
        <v>611.976</v>
      </c>
      <c r="F61" s="40"/>
      <c r="G61" s="40">
        <f>E61+F61</f>
        <v>611.976</v>
      </c>
      <c r="H61" s="200">
        <f>10.424+0.117</f>
        <v>10.541</v>
      </c>
      <c r="I61" s="33">
        <f t="shared" si="5"/>
        <v>601.43499999999995</v>
      </c>
      <c r="J61" s="14">
        <f t="shared" si="1"/>
        <v>1.7224531680980953E-2</v>
      </c>
      <c r="K61" s="216">
        <f>E61+E62</f>
        <v>1529.895</v>
      </c>
      <c r="L61" s="216">
        <f>F61+F62</f>
        <v>3432.29</v>
      </c>
      <c r="M61" s="216">
        <f>K61+L61</f>
        <v>4962.1849999999995</v>
      </c>
      <c r="N61" s="216">
        <f>H61+H62</f>
        <v>582.22500000000002</v>
      </c>
      <c r="O61" s="212">
        <f>M61-N61</f>
        <v>4379.9599999999991</v>
      </c>
      <c r="P61" s="214">
        <f>N61/M61</f>
        <v>0.1173323848264424</v>
      </c>
      <c r="Q61" s="39"/>
      <c r="R61" s="39"/>
    </row>
    <row r="62" spans="1:35" s="2" customFormat="1">
      <c r="B62" s="273"/>
      <c r="C62" s="259"/>
      <c r="D62" s="41" t="s">
        <v>20</v>
      </c>
      <c r="E62" s="44">
        <v>917.91899999999998</v>
      </c>
      <c r="F62" s="197">
        <f>3432.29</f>
        <v>3432.29</v>
      </c>
      <c r="G62" s="41">
        <f>E62+F62+I61</f>
        <v>4951.6440000000002</v>
      </c>
      <c r="H62" s="201">
        <v>571.68399999999997</v>
      </c>
      <c r="I62" s="32">
        <f t="shared" si="5"/>
        <v>4379.96</v>
      </c>
      <c r="J62" s="14">
        <f t="shared" si="1"/>
        <v>0.11545337265764662</v>
      </c>
      <c r="K62" s="217"/>
      <c r="L62" s="217"/>
      <c r="M62" s="217"/>
      <c r="N62" s="217"/>
      <c r="O62" s="213"/>
      <c r="P62" s="215"/>
      <c r="Q62" s="39"/>
      <c r="R62" s="39"/>
    </row>
    <row r="63" spans="1:35" s="2" customFormat="1" ht="15" customHeight="1">
      <c r="B63" s="273"/>
      <c r="C63" s="262" t="s">
        <v>50</v>
      </c>
      <c r="D63" s="43" t="s">
        <v>15</v>
      </c>
      <c r="E63" s="43">
        <v>6.8000000000000005E-2</v>
      </c>
      <c r="F63" s="43">
        <f>0.256</f>
        <v>0.25600000000000001</v>
      </c>
      <c r="G63" s="43">
        <f>E63+F63</f>
        <v>0.32400000000000001</v>
      </c>
      <c r="H63" s="200"/>
      <c r="I63" s="36">
        <f t="shared" si="5"/>
        <v>0.32400000000000001</v>
      </c>
      <c r="J63" s="27">
        <f t="shared" si="1"/>
        <v>0</v>
      </c>
      <c r="K63" s="255">
        <f>E63+E64</f>
        <v>0.16900000000000001</v>
      </c>
      <c r="L63" s="255">
        <f>F63+F64</f>
        <v>0.25600000000000001</v>
      </c>
      <c r="M63" s="255">
        <f>K63+L63</f>
        <v>0.42500000000000004</v>
      </c>
      <c r="N63" s="255">
        <f>H63+H64</f>
        <v>0</v>
      </c>
      <c r="O63" s="257">
        <f>M63-N63</f>
        <v>0.42500000000000004</v>
      </c>
      <c r="P63" s="253">
        <f>N63/M63</f>
        <v>0</v>
      </c>
      <c r="Q63" s="39"/>
      <c r="R63" s="39"/>
    </row>
    <row r="64" spans="1:35" s="2" customFormat="1">
      <c r="B64" s="273"/>
      <c r="C64" s="259"/>
      <c r="D64" s="44" t="s">
        <v>20</v>
      </c>
      <c r="E64" s="44">
        <v>0.10100000000000001</v>
      </c>
      <c r="F64" s="44"/>
      <c r="G64" s="44">
        <f>E64+F64+I63</f>
        <v>0.42500000000000004</v>
      </c>
      <c r="H64" s="201"/>
      <c r="I64" s="37">
        <f t="shared" si="5"/>
        <v>0.42500000000000004</v>
      </c>
      <c r="J64" s="27">
        <f t="shared" si="1"/>
        <v>0</v>
      </c>
      <c r="K64" s="256"/>
      <c r="L64" s="256"/>
      <c r="M64" s="256"/>
      <c r="N64" s="256"/>
      <c r="O64" s="234"/>
      <c r="P64" s="25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s="2" customFormat="1" ht="15" customHeight="1">
      <c r="B65" s="273"/>
      <c r="C65" s="262" t="s">
        <v>51</v>
      </c>
      <c r="D65" s="43" t="s">
        <v>15</v>
      </c>
      <c r="E65" s="43">
        <v>238.61799999999999</v>
      </c>
      <c r="F65" s="43"/>
      <c r="G65" s="43">
        <f>E65+F65</f>
        <v>238.61799999999999</v>
      </c>
      <c r="H65" s="199">
        <f>31.445-6.055</f>
        <v>25.39</v>
      </c>
      <c r="I65" s="36">
        <f>G65-H65</f>
        <v>213.22800000000001</v>
      </c>
      <c r="J65" s="27">
        <f t="shared" si="1"/>
        <v>0.1064043785464634</v>
      </c>
      <c r="K65" s="216">
        <f>E65+E66</f>
        <v>596.52700000000004</v>
      </c>
      <c r="L65" s="216">
        <f>F65+F66</f>
        <v>2282.9499999999998</v>
      </c>
      <c r="M65" s="216">
        <f>K65+L65</f>
        <v>2879.4769999999999</v>
      </c>
      <c r="N65" s="216">
        <f>H65+H66</f>
        <v>2077.8129999999996</v>
      </c>
      <c r="O65" s="212">
        <f>M65-N65</f>
        <v>801.66400000000021</v>
      </c>
      <c r="P65" s="214">
        <f>N65/M65</f>
        <v>0.72159388666761348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s="2" customFormat="1" ht="15.75" thickBot="1">
      <c r="B66" s="274"/>
      <c r="C66" s="268"/>
      <c r="D66" s="77" t="s">
        <v>20</v>
      </c>
      <c r="E66" s="77">
        <v>357.90899999999999</v>
      </c>
      <c r="F66" s="77">
        <f>2282.95</f>
        <v>2282.9499999999998</v>
      </c>
      <c r="G66" s="77">
        <f>E66+F66+I65</f>
        <v>2854.087</v>
      </c>
      <c r="H66" s="77">
        <v>2052.4229999999998</v>
      </c>
      <c r="I66" s="78">
        <f>G66-H66</f>
        <v>801.66400000000021</v>
      </c>
      <c r="J66" s="79">
        <f>H66/G66</f>
        <v>0.71911718178177464</v>
      </c>
      <c r="K66" s="269"/>
      <c r="L66" s="269"/>
      <c r="M66" s="269"/>
      <c r="N66" s="269"/>
      <c r="O66" s="270"/>
      <c r="P66" s="271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s="10" customFormat="1" ht="15" customHeight="1">
      <c r="A67" s="39"/>
      <c r="B67" s="39"/>
      <c r="C67" s="68"/>
      <c r="D67" s="39"/>
      <c r="E67" s="39">
        <f>SUM(E55:E66)</f>
        <v>16911.923999999999</v>
      </c>
      <c r="F67" s="39">
        <f>SUM(F55:F66)</f>
        <v>3150.279</v>
      </c>
      <c r="G67" s="39">
        <f>E67-F67</f>
        <v>13761.644999999999</v>
      </c>
      <c r="H67" s="39">
        <f>SUM(H55:H66)</f>
        <v>9211.4520000000011</v>
      </c>
      <c r="I67" s="39">
        <f>G67-H67</f>
        <v>4550.1929999999975</v>
      </c>
      <c r="J67" s="70">
        <f>H67/G67</f>
        <v>0.66935689737673087</v>
      </c>
      <c r="K67" s="39">
        <f>SUM(K55:K66)</f>
        <v>16911.923999999999</v>
      </c>
      <c r="L67" s="39">
        <f>SUM(L55:L66)</f>
        <v>3150.279</v>
      </c>
      <c r="M67" s="39">
        <f>SUM(M55:M66)</f>
        <v>20062.202999999998</v>
      </c>
      <c r="N67" s="39">
        <f>SUM(N55:N66)</f>
        <v>9211.4519999999993</v>
      </c>
      <c r="O67" s="39">
        <f>SUM(O55:O66)</f>
        <v>10850.751</v>
      </c>
      <c r="P67" s="70">
        <f>N67/M67</f>
        <v>0.45914459144890518</v>
      </c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s="10" customFormat="1">
      <c r="A68" s="39"/>
      <c r="B68" s="39"/>
      <c r="C68" s="6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69"/>
      <c r="P68" s="84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</row>
    <row r="70" spans="1:35"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</row>
  </sheetData>
  <mergeCells count="236">
    <mergeCell ref="O57:O58"/>
    <mergeCell ref="O55:O56"/>
    <mergeCell ref="P46:P47"/>
    <mergeCell ref="S55:S56"/>
    <mergeCell ref="U57:U58"/>
    <mergeCell ref="AI55:AI56"/>
    <mergeCell ref="AD57:AD58"/>
    <mergeCell ref="AE57:AE58"/>
    <mergeCell ref="AF57:AF58"/>
    <mergeCell ref="AG57:AG58"/>
    <mergeCell ref="AH57:AH58"/>
    <mergeCell ref="AI57:AI58"/>
    <mergeCell ref="P48:P49"/>
    <mergeCell ref="AD55:AD56"/>
    <mergeCell ref="Z55:Z56"/>
    <mergeCell ref="AA55:AA56"/>
    <mergeCell ref="AB55:AB56"/>
    <mergeCell ref="AC55:AC56"/>
    <mergeCell ref="T55:T56"/>
    <mergeCell ref="U55:U56"/>
    <mergeCell ref="V55:Y55"/>
    <mergeCell ref="S57:S58"/>
    <mergeCell ref="P57:P58"/>
    <mergeCell ref="P55:P56"/>
    <mergeCell ref="B55:B66"/>
    <mergeCell ref="T57:T58"/>
    <mergeCell ref="N55:N56"/>
    <mergeCell ref="C63:C64"/>
    <mergeCell ref="AG10:AG11"/>
    <mergeCell ref="AH10:AH11"/>
    <mergeCell ref="AD10:AD11"/>
    <mergeCell ref="AE10:AE11"/>
    <mergeCell ref="AF10:AF11"/>
    <mergeCell ref="AD12:AD13"/>
    <mergeCell ref="AE12:AE13"/>
    <mergeCell ref="AF12:AF13"/>
    <mergeCell ref="AG12:AG13"/>
    <mergeCell ref="AH12:AH13"/>
    <mergeCell ref="AE55:AE56"/>
    <mergeCell ref="AF55:AF56"/>
    <mergeCell ref="AG55:AG56"/>
    <mergeCell ref="AH55:AH56"/>
    <mergeCell ref="C46:C47"/>
    <mergeCell ref="K46:K47"/>
    <mergeCell ref="L46:L47"/>
    <mergeCell ref="M46:M47"/>
    <mergeCell ref="N46:N47"/>
    <mergeCell ref="O46:O47"/>
    <mergeCell ref="AI10:AI11"/>
    <mergeCell ref="AI12:AI13"/>
    <mergeCell ref="B3:P4"/>
    <mergeCell ref="O63:O64"/>
    <mergeCell ref="P63:P64"/>
    <mergeCell ref="C65:C66"/>
    <mergeCell ref="K65:K66"/>
    <mergeCell ref="L65:L66"/>
    <mergeCell ref="M65:M66"/>
    <mergeCell ref="N65:N66"/>
    <mergeCell ref="O65:O66"/>
    <mergeCell ref="P65:P66"/>
    <mergeCell ref="O59:O60"/>
    <mergeCell ref="P59:P60"/>
    <mergeCell ref="C61:C62"/>
    <mergeCell ref="K61:K62"/>
    <mergeCell ref="L61:L62"/>
    <mergeCell ref="M61:M62"/>
    <mergeCell ref="N61:N62"/>
    <mergeCell ref="O61:O62"/>
    <mergeCell ref="P61:P62"/>
    <mergeCell ref="L55:L56"/>
    <mergeCell ref="M55:M56"/>
    <mergeCell ref="M63:M64"/>
    <mergeCell ref="C59:C60"/>
    <mergeCell ref="K59:K60"/>
    <mergeCell ref="L59:L60"/>
    <mergeCell ref="M59:M60"/>
    <mergeCell ref="N59:N60"/>
    <mergeCell ref="N63:N64"/>
    <mergeCell ref="K63:K64"/>
    <mergeCell ref="L63:L64"/>
    <mergeCell ref="C57:C58"/>
    <mergeCell ref="K57:K58"/>
    <mergeCell ref="L57:L58"/>
    <mergeCell ref="M57:M58"/>
    <mergeCell ref="N57:N58"/>
    <mergeCell ref="C55:C56"/>
    <mergeCell ref="K55:K56"/>
    <mergeCell ref="C44:C45"/>
    <mergeCell ref="K44:K45"/>
    <mergeCell ref="L44:L45"/>
    <mergeCell ref="M44:M45"/>
    <mergeCell ref="N44:N45"/>
    <mergeCell ref="C50:C51"/>
    <mergeCell ref="O44:O45"/>
    <mergeCell ref="P40:P41"/>
    <mergeCell ref="C42:C43"/>
    <mergeCell ref="K42:K43"/>
    <mergeCell ref="L42:L43"/>
    <mergeCell ref="M42:M43"/>
    <mergeCell ref="N42:N43"/>
    <mergeCell ref="O42:O43"/>
    <mergeCell ref="P42:P43"/>
    <mergeCell ref="C40:C41"/>
    <mergeCell ref="K40:K41"/>
    <mergeCell ref="L40:L41"/>
    <mergeCell ref="M40:M41"/>
    <mergeCell ref="N40:N41"/>
    <mergeCell ref="O40:O41"/>
    <mergeCell ref="P36:P37"/>
    <mergeCell ref="C38:C39"/>
    <mergeCell ref="K38:K39"/>
    <mergeCell ref="L38:L39"/>
    <mergeCell ref="M38:M39"/>
    <mergeCell ref="N38:N39"/>
    <mergeCell ref="O38:O39"/>
    <mergeCell ref="P38:P39"/>
    <mergeCell ref="C36:C37"/>
    <mergeCell ref="K36:K37"/>
    <mergeCell ref="L36:L37"/>
    <mergeCell ref="M36:M37"/>
    <mergeCell ref="N36:N37"/>
    <mergeCell ref="O36:O37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P28:P29"/>
    <mergeCell ref="C30:C31"/>
    <mergeCell ref="K30:K31"/>
    <mergeCell ref="L30:L31"/>
    <mergeCell ref="M30:M31"/>
    <mergeCell ref="N30:N31"/>
    <mergeCell ref="O30:O31"/>
    <mergeCell ref="P30:P31"/>
    <mergeCell ref="C28:C29"/>
    <mergeCell ref="K28:K29"/>
    <mergeCell ref="L28:L29"/>
    <mergeCell ref="M28:M29"/>
    <mergeCell ref="N28:N29"/>
    <mergeCell ref="O28:O29"/>
    <mergeCell ref="P24:P25"/>
    <mergeCell ref="C26:C27"/>
    <mergeCell ref="K26:K27"/>
    <mergeCell ref="L26:L27"/>
    <mergeCell ref="M26:M27"/>
    <mergeCell ref="N26:N27"/>
    <mergeCell ref="O26:O27"/>
    <mergeCell ref="P26:P27"/>
    <mergeCell ref="C24:C25"/>
    <mergeCell ref="K24:K25"/>
    <mergeCell ref="L24:L25"/>
    <mergeCell ref="M24:M25"/>
    <mergeCell ref="N24:N25"/>
    <mergeCell ref="O24:O25"/>
    <mergeCell ref="P20:P21"/>
    <mergeCell ref="C22:C23"/>
    <mergeCell ref="K22:K23"/>
    <mergeCell ref="L22:L23"/>
    <mergeCell ref="M22:M23"/>
    <mergeCell ref="N22:N23"/>
    <mergeCell ref="O22:O23"/>
    <mergeCell ref="P22:P23"/>
    <mergeCell ref="C20:C21"/>
    <mergeCell ref="K20:K21"/>
    <mergeCell ref="L20:L21"/>
    <mergeCell ref="M20:M21"/>
    <mergeCell ref="N20:N21"/>
    <mergeCell ref="O20:O21"/>
    <mergeCell ref="AB10:AB11"/>
    <mergeCell ref="AC10:AC11"/>
    <mergeCell ref="C12:C13"/>
    <mergeCell ref="K12:K13"/>
    <mergeCell ref="L12:L13"/>
    <mergeCell ref="M12:M13"/>
    <mergeCell ref="N12:N13"/>
    <mergeCell ref="O12:O13"/>
    <mergeCell ref="O10:O11"/>
    <mergeCell ref="P10:P11"/>
    <mergeCell ref="S10:S11"/>
    <mergeCell ref="T10:T11"/>
    <mergeCell ref="U10:U11"/>
    <mergeCell ref="V10:Y10"/>
    <mergeCell ref="S12:S13"/>
    <mergeCell ref="T12:T13"/>
    <mergeCell ref="U12:U13"/>
    <mergeCell ref="P12:P13"/>
    <mergeCell ref="Z10:Z11"/>
    <mergeCell ref="AA10:AA11"/>
    <mergeCell ref="B5:P5"/>
    <mergeCell ref="E8:G8"/>
    <mergeCell ref="H8:J8"/>
    <mergeCell ref="K8:P8"/>
    <mergeCell ref="C10:C11"/>
    <mergeCell ref="K10:K11"/>
    <mergeCell ref="L10:L11"/>
    <mergeCell ref="M10:M11"/>
    <mergeCell ref="N10:N11"/>
    <mergeCell ref="B10:B49"/>
    <mergeCell ref="C48:C49"/>
    <mergeCell ref="K48:K49"/>
    <mergeCell ref="L48:L49"/>
    <mergeCell ref="M48:M49"/>
    <mergeCell ref="N48:N49"/>
    <mergeCell ref="O48:O49"/>
    <mergeCell ref="P44:P45"/>
    <mergeCell ref="C18:C19"/>
    <mergeCell ref="K18:K19"/>
    <mergeCell ref="L18:L19"/>
    <mergeCell ref="M18:M19"/>
    <mergeCell ref="N18:N19"/>
    <mergeCell ref="O18:O19"/>
    <mergeCell ref="P18:P19"/>
    <mergeCell ref="O14:O15"/>
    <mergeCell ref="P14:P15"/>
    <mergeCell ref="N16:N17"/>
    <mergeCell ref="O16:O17"/>
    <mergeCell ref="P16:P17"/>
    <mergeCell ref="C16:C17"/>
    <mergeCell ref="K16:K17"/>
    <mergeCell ref="L16:L17"/>
    <mergeCell ref="M16:M17"/>
    <mergeCell ref="C14:C15"/>
    <mergeCell ref="K14:K15"/>
    <mergeCell ref="L14:L15"/>
    <mergeCell ref="M14:M15"/>
    <mergeCell ref="N14:N15"/>
  </mergeCells>
  <conditionalFormatting sqref="Z9">
    <cfRule type="dataBar" priority="17">
      <dataBar>
        <cfvo type="min" val="0"/>
        <cfvo type="max" val="0"/>
        <color rgb="FFFFB628"/>
      </dataBar>
    </cfRule>
  </conditionalFormatting>
  <conditionalFormatting sqref="O5 O8:O68">
    <cfRule type="cellIs" dxfId="0" priority="16" operator="lessThan">
      <formula>0</formula>
    </cfRule>
  </conditionalFormatting>
  <conditionalFormatting sqref="AB12:AB13">
    <cfRule type="dataBar" priority="15">
      <dataBar>
        <cfvo type="min" val="0"/>
        <cfvo type="max" val="0"/>
        <color rgb="FFFFB628"/>
      </dataBar>
    </cfRule>
  </conditionalFormatting>
  <conditionalFormatting sqref="AB10:AB13">
    <cfRule type="dataBar" priority="14">
      <dataBar>
        <cfvo type="min" val="0"/>
        <cfvo type="max" val="0"/>
        <color rgb="FFFFB628"/>
      </dataBar>
    </cfRule>
  </conditionalFormatting>
  <conditionalFormatting sqref="AB57:AB58">
    <cfRule type="dataBar" priority="13">
      <dataBar>
        <cfvo type="min" val="0"/>
        <cfvo type="max" val="0"/>
        <color rgb="FFFFB628"/>
      </dataBar>
    </cfRule>
  </conditionalFormatting>
  <conditionalFormatting sqref="AB55:AB58">
    <cfRule type="dataBar" priority="12">
      <dataBar>
        <cfvo type="min" val="0"/>
        <cfvo type="max" val="0"/>
        <color rgb="FFFFB628"/>
      </dataBar>
    </cfRule>
  </conditionalFormatting>
  <conditionalFormatting sqref="J10:J66 P52">
    <cfRule type="dataBar" priority="9">
      <dataBar>
        <cfvo type="min" val="0"/>
        <cfvo type="max" val="0"/>
        <color rgb="FF63C384"/>
      </dataBar>
    </cfRule>
  </conditionalFormatting>
  <conditionalFormatting sqref="J55:J67">
    <cfRule type="dataBar" priority="7">
      <dataBar>
        <cfvo type="min" val="0"/>
        <cfvo type="max" val="0"/>
        <color rgb="FF63C384"/>
      </dataBar>
    </cfRule>
  </conditionalFormatting>
  <conditionalFormatting sqref="AI10:AI11">
    <cfRule type="dataBar" priority="2">
      <dataBar>
        <cfvo type="min" val="0"/>
        <cfvo type="max" val="0"/>
        <color rgb="FFFFB628"/>
      </dataBar>
    </cfRule>
  </conditionalFormatting>
  <conditionalFormatting sqref="AI55:AI56">
    <cfRule type="dataBar" priority="1">
      <dataBar>
        <cfvo type="min" val="0"/>
        <cfvo type="max" val="0"/>
        <color rgb="FFFFB628"/>
      </dataBar>
    </cfRule>
  </conditionalFormatting>
  <conditionalFormatting sqref="J10:J52">
    <cfRule type="dataBar" priority="24">
      <dataBar>
        <cfvo type="min" val="0"/>
        <cfvo type="max" val="0"/>
        <color rgb="FF63C384"/>
      </dataBar>
    </cfRule>
  </conditionalFormatting>
  <conditionalFormatting sqref="J10:J66">
    <cfRule type="dataBar" priority="28">
      <dataBar>
        <cfvo type="min" val="0"/>
        <cfvo type="max" val="0"/>
        <color rgb="FF63C384"/>
      </dataBar>
    </cfRule>
  </conditionalFormatting>
  <conditionalFormatting sqref="P10:P66">
    <cfRule type="dataBar" priority="30">
      <dataBar>
        <cfvo type="min" val="0"/>
        <cfvo type="max" val="0"/>
        <color rgb="FF63C384"/>
      </dataBar>
    </cfRule>
  </conditionalFormatting>
  <conditionalFormatting sqref="P10:P67">
    <cfRule type="dataBar" priority="32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r:id="rId1"/>
  <ignoredErrors>
    <ignoredError sqref="J48:J49" evalError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82"/>
  <sheetViews>
    <sheetView zoomScale="70" zoomScaleNormal="70" workbookViewId="0">
      <selection activeCell="Q78" sqref="Q78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14" max="14" width="19.42578125" customWidth="1"/>
    <col min="15" max="15" width="17.85546875" customWidth="1"/>
  </cols>
  <sheetData>
    <row r="1" spans="1:15" s="91" customFormat="1">
      <c r="A1" s="89" t="s">
        <v>68</v>
      </c>
      <c r="B1" s="89" t="s">
        <v>69</v>
      </c>
      <c r="C1" s="89" t="s">
        <v>70</v>
      </c>
      <c r="D1" s="89" t="s">
        <v>71</v>
      </c>
      <c r="E1" s="89" t="s">
        <v>72</v>
      </c>
      <c r="F1" s="89" t="s">
        <v>73</v>
      </c>
      <c r="G1" s="89" t="s">
        <v>74</v>
      </c>
      <c r="H1" s="89" t="s">
        <v>75</v>
      </c>
      <c r="I1" s="89" t="s">
        <v>76</v>
      </c>
      <c r="J1" s="89" t="s">
        <v>77</v>
      </c>
      <c r="K1" s="89" t="s">
        <v>78</v>
      </c>
      <c r="L1" s="89" t="s">
        <v>79</v>
      </c>
      <c r="M1" s="90" t="s">
        <v>80</v>
      </c>
      <c r="N1" s="89" t="s">
        <v>81</v>
      </c>
      <c r="O1" s="104" t="s">
        <v>82</v>
      </c>
    </row>
    <row r="2" spans="1:15" s="91" customFormat="1" ht="15.75" customHeight="1">
      <c r="A2" s="96" t="s">
        <v>84</v>
      </c>
      <c r="B2" s="92" t="s">
        <v>85</v>
      </c>
      <c r="C2" s="94" t="s">
        <v>26</v>
      </c>
      <c r="D2" s="93" t="s">
        <v>83</v>
      </c>
      <c r="E2" t="s">
        <v>90</v>
      </c>
      <c r="F2" s="92" t="s">
        <v>86</v>
      </c>
      <c r="G2" s="92" t="s">
        <v>87</v>
      </c>
      <c r="H2" s="95">
        <f>'Merluza cola Industrial'!E10</f>
        <v>1317.16</v>
      </c>
      <c r="I2" s="95">
        <f>'Merluza cola Industrial'!F10</f>
        <v>0</v>
      </c>
      <c r="J2" s="95">
        <f>'Merluza cola Industrial'!G10</f>
        <v>1317.16</v>
      </c>
      <c r="K2" s="95">
        <f>'Merluza cola Industrial'!H10</f>
        <v>0</v>
      </c>
      <c r="L2" s="95">
        <f>'Merluza cola Industrial'!I10</f>
        <v>1317.16</v>
      </c>
      <c r="M2" s="103">
        <f>'Merluza cola Industrial'!J10</f>
        <v>0</v>
      </c>
      <c r="N2" s="119" t="s">
        <v>121</v>
      </c>
      <c r="O2" s="105">
        <f>'Merluza cola Industrial'!$B$5</f>
        <v>43465</v>
      </c>
    </row>
    <row r="3" spans="1:15">
      <c r="A3" s="96" t="s">
        <v>84</v>
      </c>
      <c r="B3" s="92" t="s">
        <v>85</v>
      </c>
      <c r="C3" s="94" t="s">
        <v>26</v>
      </c>
      <c r="D3" s="93" t="s">
        <v>83</v>
      </c>
      <c r="E3" t="s">
        <v>90</v>
      </c>
      <c r="F3" t="s">
        <v>88</v>
      </c>
      <c r="G3" t="s">
        <v>89</v>
      </c>
      <c r="H3" s="95">
        <f>'Merluza cola Industrial'!E11</f>
        <v>1975.934</v>
      </c>
      <c r="I3" s="95">
        <f>'Merluza cola Industrial'!F11</f>
        <v>0</v>
      </c>
      <c r="J3" s="95">
        <f>'Merluza cola Industrial'!G11</f>
        <v>3293.0940000000001</v>
      </c>
      <c r="K3" s="95">
        <f>'Merluza cola Industrial'!H11</f>
        <v>0</v>
      </c>
      <c r="L3" s="95">
        <f>'Merluza cola Industrial'!I11</f>
        <v>3293.0940000000001</v>
      </c>
      <c r="M3" s="103">
        <f>'Merluza cola Industrial'!J11</f>
        <v>0</v>
      </c>
      <c r="N3" s="119" t="s">
        <v>121</v>
      </c>
      <c r="O3" s="105">
        <f>'Merluza cola Industrial'!$B$5</f>
        <v>43465</v>
      </c>
    </row>
    <row r="4" spans="1:15">
      <c r="A4" s="96" t="s">
        <v>84</v>
      </c>
      <c r="B4" s="92" t="s">
        <v>85</v>
      </c>
      <c r="C4" s="94" t="s">
        <v>26</v>
      </c>
      <c r="D4" s="93" t="s">
        <v>83</v>
      </c>
      <c r="E4" t="s">
        <v>90</v>
      </c>
      <c r="F4" t="s">
        <v>86</v>
      </c>
      <c r="G4" t="s">
        <v>89</v>
      </c>
      <c r="H4" s="95">
        <f>'Merluza cola Industrial'!K10</f>
        <v>3293.0940000000001</v>
      </c>
      <c r="I4" s="95">
        <f>'Merluza cola Industrial'!L10</f>
        <v>0</v>
      </c>
      <c r="J4" s="95">
        <f>'Merluza cola Industrial'!M10</f>
        <v>3293.0940000000001</v>
      </c>
      <c r="K4" s="95">
        <f>'Merluza cola Industrial'!N10</f>
        <v>0</v>
      </c>
      <c r="L4" s="95">
        <f>'Merluza cola Industrial'!O10</f>
        <v>3293.0940000000001</v>
      </c>
      <c r="M4" s="103">
        <f>'Merluza cola Industrial'!P10</f>
        <v>0</v>
      </c>
      <c r="N4" s="119" t="s">
        <v>121</v>
      </c>
      <c r="O4" s="105">
        <f>'Merluza cola Industrial'!$B$5</f>
        <v>43465</v>
      </c>
    </row>
    <row r="5" spans="1:15">
      <c r="A5" s="96" t="s">
        <v>84</v>
      </c>
      <c r="B5" s="92" t="s">
        <v>85</v>
      </c>
      <c r="C5" s="94" t="s">
        <v>26</v>
      </c>
      <c r="D5" s="93" t="s">
        <v>83</v>
      </c>
      <c r="E5" s="94" t="s">
        <v>91</v>
      </c>
      <c r="F5" s="92" t="s">
        <v>86</v>
      </c>
      <c r="G5" s="92" t="s">
        <v>87</v>
      </c>
      <c r="H5" s="95">
        <f>'Merluza cola Industrial'!E12</f>
        <v>2200.4059999999999</v>
      </c>
      <c r="I5" s="95">
        <f>'Merluza cola Industrial'!F12</f>
        <v>0</v>
      </c>
      <c r="J5" s="95">
        <f>'Merluza cola Industrial'!G12</f>
        <v>2200.4059999999999</v>
      </c>
      <c r="K5" s="95">
        <f>'Merluza cola Industrial'!H12</f>
        <v>2585.9949999999999</v>
      </c>
      <c r="L5" s="95">
        <f>'Merluza cola Industrial'!I12</f>
        <v>-385.58899999999994</v>
      </c>
      <c r="M5" s="103">
        <f>'Merluza cola Industrial'!J12</f>
        <v>1.1752353883783264</v>
      </c>
      <c r="N5" s="119" t="s">
        <v>121</v>
      </c>
      <c r="O5" s="105">
        <f>'Merluza cola Industrial'!$B$5</f>
        <v>43465</v>
      </c>
    </row>
    <row r="6" spans="1:15">
      <c r="A6" s="96" t="s">
        <v>84</v>
      </c>
      <c r="B6" s="92" t="s">
        <v>85</v>
      </c>
      <c r="C6" s="94" t="s">
        <v>26</v>
      </c>
      <c r="D6" s="93" t="s">
        <v>83</v>
      </c>
      <c r="E6" s="94" t="s">
        <v>91</v>
      </c>
      <c r="F6" t="s">
        <v>88</v>
      </c>
      <c r="G6" t="s">
        <v>89</v>
      </c>
      <c r="H6" s="95">
        <f>'Merluza cola Industrial'!E13</f>
        <v>3300.9349999999999</v>
      </c>
      <c r="I6" s="95">
        <f>'Merluza cola Industrial'!F13</f>
        <v>1857.7049999999999</v>
      </c>
      <c r="J6" s="95">
        <f>'Merluza cola Industrial'!G13</f>
        <v>4773.0509999999995</v>
      </c>
      <c r="K6" s="95">
        <f>'Merluza cola Industrial'!H13</f>
        <v>3456.98</v>
      </c>
      <c r="L6" s="95">
        <f>'Merluza cola Industrial'!I13</f>
        <v>1316.0709999999995</v>
      </c>
      <c r="M6" s="103">
        <f>'Merluza cola Industrial'!J13</f>
        <v>0.72427049281476363</v>
      </c>
      <c r="N6" s="119" t="s">
        <v>121</v>
      </c>
      <c r="O6" s="105">
        <f>'Merluza cola Industrial'!$B$5</f>
        <v>43465</v>
      </c>
    </row>
    <row r="7" spans="1:15">
      <c r="A7" s="96" t="s">
        <v>84</v>
      </c>
      <c r="B7" s="92" t="s">
        <v>85</v>
      </c>
      <c r="C7" s="94" t="s">
        <v>26</v>
      </c>
      <c r="D7" s="93" t="s">
        <v>83</v>
      </c>
      <c r="E7" s="94" t="s">
        <v>91</v>
      </c>
      <c r="F7" t="s">
        <v>86</v>
      </c>
      <c r="G7" t="s">
        <v>89</v>
      </c>
      <c r="H7" s="95">
        <f>'Merluza cola Industrial'!K12</f>
        <v>5501.3410000000003</v>
      </c>
      <c r="I7" s="95">
        <f>'Merluza cola Industrial'!L12</f>
        <v>1857.7049999999999</v>
      </c>
      <c r="J7" s="95">
        <f>'Merluza cola Industrial'!M12</f>
        <v>7359.0460000000003</v>
      </c>
      <c r="K7" s="95">
        <f>'Merluza cola Industrial'!N12</f>
        <v>6042.9750000000004</v>
      </c>
      <c r="L7" s="95">
        <f>'Merluza cola Industrial'!O12</f>
        <v>1316.0709999999999</v>
      </c>
      <c r="M7" s="103">
        <f>'Merluza cola Industrial'!P12</f>
        <v>0.82116282463786749</v>
      </c>
      <c r="N7" s="119" t="s">
        <v>121</v>
      </c>
      <c r="O7" s="105">
        <f>'Merluza cola Industrial'!$B$5</f>
        <v>43465</v>
      </c>
    </row>
    <row r="8" spans="1:15">
      <c r="A8" s="96" t="s">
        <v>84</v>
      </c>
      <c r="B8" s="92" t="s">
        <v>85</v>
      </c>
      <c r="C8" s="94" t="s">
        <v>26</v>
      </c>
      <c r="D8" s="93" t="s">
        <v>83</v>
      </c>
      <c r="E8" t="s">
        <v>92</v>
      </c>
      <c r="F8" s="92" t="s">
        <v>86</v>
      </c>
      <c r="G8" s="92" t="s">
        <v>87</v>
      </c>
      <c r="H8" s="95">
        <f>'Merluza cola Industrial'!E14</f>
        <v>1.0149999999999999</v>
      </c>
      <c r="I8" s="95">
        <f>'Merluza cola Industrial'!F14</f>
        <v>0</v>
      </c>
      <c r="J8" s="95">
        <f>'Merluza cola Industrial'!G14</f>
        <v>1.0149999999999999</v>
      </c>
      <c r="K8" s="95">
        <f>'Merluza cola Industrial'!H14</f>
        <v>0</v>
      </c>
      <c r="L8" s="95">
        <f>'Merluza cola Industrial'!I14</f>
        <v>1.0149999999999999</v>
      </c>
      <c r="M8" s="103">
        <f>'Merluza cola Industrial'!J14</f>
        <v>0</v>
      </c>
      <c r="N8" s="119" t="s">
        <v>121</v>
      </c>
      <c r="O8" s="105">
        <f>'Merluza cola Industrial'!$B$5</f>
        <v>43465</v>
      </c>
    </row>
    <row r="9" spans="1:15">
      <c r="A9" s="96" t="s">
        <v>84</v>
      </c>
      <c r="B9" s="92" t="s">
        <v>85</v>
      </c>
      <c r="C9" s="94" t="s">
        <v>26</v>
      </c>
      <c r="D9" s="93" t="s">
        <v>83</v>
      </c>
      <c r="E9" t="s">
        <v>92</v>
      </c>
      <c r="F9" t="s">
        <v>88</v>
      </c>
      <c r="G9" t="s">
        <v>89</v>
      </c>
      <c r="H9" s="95">
        <f>'Merluza cola Industrial'!E15</f>
        <v>1.522</v>
      </c>
      <c r="I9" s="95">
        <f>'Merluza cola Industrial'!F15</f>
        <v>5.0739999999999998</v>
      </c>
      <c r="J9" s="95">
        <f>'Merluza cola Industrial'!G15</f>
        <v>7.6109999999999998</v>
      </c>
      <c r="K9" s="95">
        <f>'Merluza cola Industrial'!H15</f>
        <v>0</v>
      </c>
      <c r="L9" s="95">
        <f>'Merluza cola Industrial'!I15</f>
        <v>7.6109999999999998</v>
      </c>
      <c r="M9" s="103">
        <f>'Merluza cola Industrial'!J15</f>
        <v>0</v>
      </c>
      <c r="N9" s="119" t="s">
        <v>121</v>
      </c>
      <c r="O9" s="105">
        <f>'Merluza cola Industrial'!$B$5</f>
        <v>43465</v>
      </c>
    </row>
    <row r="10" spans="1:15">
      <c r="A10" s="96" t="s">
        <v>84</v>
      </c>
      <c r="B10" s="92" t="s">
        <v>85</v>
      </c>
      <c r="C10" s="94" t="s">
        <v>26</v>
      </c>
      <c r="D10" s="93" t="s">
        <v>83</v>
      </c>
      <c r="E10" t="s">
        <v>92</v>
      </c>
      <c r="F10" t="s">
        <v>86</v>
      </c>
      <c r="G10" t="s">
        <v>89</v>
      </c>
      <c r="H10" s="95">
        <f>'Merluza cola Industrial'!K14</f>
        <v>2.5369999999999999</v>
      </c>
      <c r="I10" s="95">
        <f>'Merluza cola Industrial'!L14</f>
        <v>5.0739999999999998</v>
      </c>
      <c r="J10" s="95">
        <f>'Merluza cola Industrial'!M14</f>
        <v>7.6109999999999998</v>
      </c>
      <c r="K10" s="95">
        <f>'Merluza cola Industrial'!N14</f>
        <v>0</v>
      </c>
      <c r="L10" s="95">
        <f>'Merluza cola Industrial'!O14</f>
        <v>7.6109999999999998</v>
      </c>
      <c r="M10" s="103">
        <f>'Merluza cola Industrial'!P14</f>
        <v>0</v>
      </c>
      <c r="N10" s="119" t="s">
        <v>121</v>
      </c>
      <c r="O10" s="105">
        <f>'Merluza cola Industrial'!$B$5</f>
        <v>43465</v>
      </c>
    </row>
    <row r="11" spans="1:15">
      <c r="A11" s="96" t="s">
        <v>84</v>
      </c>
      <c r="B11" s="92" t="s">
        <v>85</v>
      </c>
      <c r="C11" s="94" t="s">
        <v>26</v>
      </c>
      <c r="D11" s="93" t="s">
        <v>83</v>
      </c>
      <c r="E11" t="s">
        <v>93</v>
      </c>
      <c r="F11" s="92" t="s">
        <v>86</v>
      </c>
      <c r="G11" s="92" t="s">
        <v>87</v>
      </c>
      <c r="H11" s="95">
        <f>'Merluza cola Industrial'!E16</f>
        <v>417.20299999999997</v>
      </c>
      <c r="I11" s="95">
        <f>'Merluza cola Industrial'!F16</f>
        <v>0</v>
      </c>
      <c r="J11" s="95">
        <f>'Merluza cola Industrial'!G16</f>
        <v>417.20299999999997</v>
      </c>
      <c r="K11" s="95">
        <f>'Merluza cola Industrial'!H16</f>
        <v>0</v>
      </c>
      <c r="L11" s="95">
        <f>'Merluza cola Industrial'!I16</f>
        <v>417.20299999999997</v>
      </c>
      <c r="M11" s="103">
        <f>'Merluza cola Industrial'!J16</f>
        <v>0</v>
      </c>
      <c r="N11" s="119" t="s">
        <v>121</v>
      </c>
      <c r="O11" s="105">
        <f>'Merluza cola Industrial'!$B$5</f>
        <v>43465</v>
      </c>
    </row>
    <row r="12" spans="1:15">
      <c r="A12" s="96" t="s">
        <v>84</v>
      </c>
      <c r="B12" s="92" t="s">
        <v>85</v>
      </c>
      <c r="C12" s="94" t="s">
        <v>26</v>
      </c>
      <c r="D12" s="93" t="s">
        <v>83</v>
      </c>
      <c r="E12" t="s">
        <v>93</v>
      </c>
      <c r="F12" t="s">
        <v>88</v>
      </c>
      <c r="G12" t="s">
        <v>89</v>
      </c>
      <c r="H12" s="95">
        <f>'Merluza cola Industrial'!E17</f>
        <v>625.86599999999999</v>
      </c>
      <c r="I12" s="95">
        <f>'Merluza cola Industrial'!F17</f>
        <v>0</v>
      </c>
      <c r="J12" s="95">
        <f>'Merluza cola Industrial'!G17</f>
        <v>1043.069</v>
      </c>
      <c r="K12" s="95">
        <f>'Merluza cola Industrial'!H17</f>
        <v>0</v>
      </c>
      <c r="L12" s="95">
        <f>'Merluza cola Industrial'!I17</f>
        <v>1043.069</v>
      </c>
      <c r="M12" s="103">
        <f>'Merluza cola Industrial'!J17</f>
        <v>0</v>
      </c>
      <c r="N12" s="119" t="s">
        <v>121</v>
      </c>
      <c r="O12" s="105">
        <f>'Merluza cola Industrial'!$B$5</f>
        <v>43465</v>
      </c>
    </row>
    <row r="13" spans="1:15">
      <c r="A13" s="96" t="s">
        <v>84</v>
      </c>
      <c r="B13" s="92" t="s">
        <v>85</v>
      </c>
      <c r="C13" s="94" t="s">
        <v>26</v>
      </c>
      <c r="D13" s="93" t="s">
        <v>83</v>
      </c>
      <c r="E13" t="s">
        <v>93</v>
      </c>
      <c r="F13" t="s">
        <v>86</v>
      </c>
      <c r="G13" t="s">
        <v>89</v>
      </c>
      <c r="H13" s="95">
        <f>'Merluza cola Industrial'!K16</f>
        <v>1043.069</v>
      </c>
      <c r="I13" s="95">
        <f>'Merluza cola Industrial'!L16</f>
        <v>0</v>
      </c>
      <c r="J13" s="95">
        <f>'Merluza cola Industrial'!M16</f>
        <v>1043.069</v>
      </c>
      <c r="K13" s="95">
        <f>'Merluza cola Industrial'!N16</f>
        <v>0</v>
      </c>
      <c r="L13" s="95">
        <f>'Merluza cola Industrial'!O16</f>
        <v>1043.069</v>
      </c>
      <c r="M13" s="103">
        <f>'Merluza cola Industrial'!P16</f>
        <v>0</v>
      </c>
      <c r="N13" s="119" t="s">
        <v>121</v>
      </c>
      <c r="O13" s="105">
        <f>'Merluza cola Industrial'!$B$5</f>
        <v>43465</v>
      </c>
    </row>
    <row r="14" spans="1:15">
      <c r="A14" s="96" t="s">
        <v>84</v>
      </c>
      <c r="B14" s="92" t="s">
        <v>85</v>
      </c>
      <c r="C14" s="94" t="s">
        <v>26</v>
      </c>
      <c r="D14" s="93" t="s">
        <v>83</v>
      </c>
      <c r="E14" t="s">
        <v>94</v>
      </c>
      <c r="F14" s="92" t="s">
        <v>86</v>
      </c>
      <c r="G14" s="92" t="s">
        <v>87</v>
      </c>
      <c r="H14" s="95">
        <f>'Merluza cola Industrial'!E18</f>
        <v>55.405999999999999</v>
      </c>
      <c r="I14" s="95">
        <f>'Merluza cola Industrial'!F18</f>
        <v>0</v>
      </c>
      <c r="J14" s="95">
        <f>'Merluza cola Industrial'!G18</f>
        <v>55.405999999999999</v>
      </c>
      <c r="K14" s="95">
        <f>'Merluza cola Industrial'!H18</f>
        <v>0</v>
      </c>
      <c r="L14" s="95">
        <f>'Merluza cola Industrial'!I18</f>
        <v>55.405999999999999</v>
      </c>
      <c r="M14" s="103">
        <f>'Merluza cola Industrial'!J18</f>
        <v>0</v>
      </c>
      <c r="N14" s="119" t="s">
        <v>121</v>
      </c>
      <c r="O14" s="105">
        <f>'Merluza cola Industrial'!$B$5</f>
        <v>43465</v>
      </c>
    </row>
    <row r="15" spans="1:15">
      <c r="A15" s="96" t="s">
        <v>84</v>
      </c>
      <c r="B15" s="92" t="s">
        <v>85</v>
      </c>
      <c r="C15" s="94" t="s">
        <v>26</v>
      </c>
      <c r="D15" s="93" t="s">
        <v>83</v>
      </c>
      <c r="E15" t="s">
        <v>94</v>
      </c>
      <c r="F15" t="s">
        <v>88</v>
      </c>
      <c r="G15" t="s">
        <v>89</v>
      </c>
      <c r="H15" s="95">
        <f>'Merluza cola Industrial'!E19</f>
        <v>83.117000000000004</v>
      </c>
      <c r="I15" s="95">
        <f>'Merluza cola Industrial'!F19</f>
        <v>0</v>
      </c>
      <c r="J15" s="95">
        <f>'Merluza cola Industrial'!G19</f>
        <v>138.523</v>
      </c>
      <c r="K15" s="95">
        <f>'Merluza cola Industrial'!H19</f>
        <v>0</v>
      </c>
      <c r="L15" s="95">
        <f>'Merluza cola Industrial'!I19</f>
        <v>138.523</v>
      </c>
      <c r="M15" s="103">
        <f>'Merluza cola Industrial'!J19</f>
        <v>0</v>
      </c>
      <c r="N15" s="119" t="s">
        <v>121</v>
      </c>
      <c r="O15" s="105">
        <f>'Merluza cola Industrial'!$B$5</f>
        <v>43465</v>
      </c>
    </row>
    <row r="16" spans="1:15">
      <c r="A16" s="96" t="s">
        <v>84</v>
      </c>
      <c r="B16" s="92" t="s">
        <v>85</v>
      </c>
      <c r="C16" s="94" t="s">
        <v>26</v>
      </c>
      <c r="D16" s="93" t="s">
        <v>83</v>
      </c>
      <c r="E16" t="s">
        <v>94</v>
      </c>
      <c r="F16" t="s">
        <v>86</v>
      </c>
      <c r="G16" t="s">
        <v>89</v>
      </c>
      <c r="H16" s="95">
        <f>'Merluza cola Industrial'!K18</f>
        <v>138.523</v>
      </c>
      <c r="I16" s="95">
        <f>'Merluza cola Industrial'!L18</f>
        <v>0</v>
      </c>
      <c r="J16" s="95">
        <f>'Merluza cola Industrial'!M18</f>
        <v>138.523</v>
      </c>
      <c r="K16" s="95">
        <f>'Merluza cola Industrial'!N18</f>
        <v>0</v>
      </c>
      <c r="L16" s="95">
        <f>'Merluza cola Industrial'!O18</f>
        <v>138.523</v>
      </c>
      <c r="M16" s="103">
        <f>'Merluza cola Industrial'!P18</f>
        <v>0</v>
      </c>
      <c r="N16" s="119" t="s">
        <v>121</v>
      </c>
      <c r="O16" s="105">
        <f>'Merluza cola Industrial'!$B$5</f>
        <v>43465</v>
      </c>
    </row>
    <row r="17" spans="1:15">
      <c r="A17" s="96" t="s">
        <v>84</v>
      </c>
      <c r="B17" s="92" t="s">
        <v>85</v>
      </c>
      <c r="C17" s="94" t="s">
        <v>26</v>
      </c>
      <c r="D17" s="93" t="s">
        <v>83</v>
      </c>
      <c r="E17" s="94" t="s">
        <v>95</v>
      </c>
      <c r="F17" s="92" t="s">
        <v>86</v>
      </c>
      <c r="G17" s="92" t="s">
        <v>87</v>
      </c>
      <c r="H17" s="95">
        <f>'Merluza cola Industrial'!E20</f>
        <v>1285.4829999999999</v>
      </c>
      <c r="I17" s="95">
        <f>'Merluza cola Industrial'!F20</f>
        <v>0</v>
      </c>
      <c r="J17" s="95">
        <f>'Merluza cola Industrial'!G20</f>
        <v>1285.4829999999999</v>
      </c>
      <c r="K17" s="95">
        <f>'Merluza cola Industrial'!H20</f>
        <v>118.191</v>
      </c>
      <c r="L17" s="95">
        <f>'Merluza cola Industrial'!I20</f>
        <v>1167.2919999999999</v>
      </c>
      <c r="M17" s="103">
        <f>'Merluza cola Industrial'!J20</f>
        <v>9.1942872834568798E-2</v>
      </c>
      <c r="N17" s="119" t="s">
        <v>121</v>
      </c>
      <c r="O17" s="105">
        <f>'Merluza cola Industrial'!$B$5</f>
        <v>43465</v>
      </c>
    </row>
    <row r="18" spans="1:15">
      <c r="A18" s="96" t="s">
        <v>84</v>
      </c>
      <c r="B18" s="92" t="s">
        <v>85</v>
      </c>
      <c r="C18" s="94" t="s">
        <v>26</v>
      </c>
      <c r="D18" s="93" t="s">
        <v>83</v>
      </c>
      <c r="E18" s="94" t="s">
        <v>95</v>
      </c>
      <c r="F18" t="s">
        <v>88</v>
      </c>
      <c r="G18" t="s">
        <v>89</v>
      </c>
      <c r="H18" s="95">
        <f>'Merluza cola Industrial'!E21</f>
        <v>1928.414</v>
      </c>
      <c r="I18" s="95">
        <f>'Merluza cola Industrial'!F21</f>
        <v>-1000</v>
      </c>
      <c r="J18" s="95">
        <f>'Merluza cola Industrial'!G21</f>
        <v>2095.7060000000001</v>
      </c>
      <c r="K18" s="95">
        <f>'Merluza cola Industrial'!H21</f>
        <v>386.536</v>
      </c>
      <c r="L18" s="95">
        <f>'Merluza cola Industrial'!I21</f>
        <v>1709.17</v>
      </c>
      <c r="M18" s="103">
        <f>'Merluza cola Industrial'!J21</f>
        <v>0.18444190167895685</v>
      </c>
      <c r="N18" s="119" t="s">
        <v>121</v>
      </c>
      <c r="O18" s="105">
        <f>'Merluza cola Industrial'!$B$5</f>
        <v>43465</v>
      </c>
    </row>
    <row r="19" spans="1:15">
      <c r="A19" s="96" t="s">
        <v>84</v>
      </c>
      <c r="B19" s="92" t="s">
        <v>85</v>
      </c>
      <c r="C19" s="94" t="s">
        <v>26</v>
      </c>
      <c r="D19" s="93" t="s">
        <v>83</v>
      </c>
      <c r="E19" s="94" t="s">
        <v>95</v>
      </c>
      <c r="F19" t="s">
        <v>86</v>
      </c>
      <c r="G19" t="s">
        <v>89</v>
      </c>
      <c r="H19" s="95">
        <f>'Merluza cola Industrial'!K20</f>
        <v>3213.8969999999999</v>
      </c>
      <c r="I19" s="95">
        <f>'Merluza cola Industrial'!L20</f>
        <v>-1000</v>
      </c>
      <c r="J19" s="95">
        <f>'Merluza cola Industrial'!M20</f>
        <v>2213.8969999999999</v>
      </c>
      <c r="K19" s="95">
        <f>'Merluza cola Industrial'!N20</f>
        <v>504.72699999999998</v>
      </c>
      <c r="L19" s="95">
        <f>'Merluza cola Industrial'!O20</f>
        <v>1709.17</v>
      </c>
      <c r="M19" s="103">
        <f>'Merluza cola Industrial'!P20</f>
        <v>0.22798124754674676</v>
      </c>
      <c r="N19" s="119" t="s">
        <v>121</v>
      </c>
      <c r="O19" s="105">
        <f>'Merluza cola Industrial'!$B$5</f>
        <v>43465</v>
      </c>
    </row>
    <row r="20" spans="1:15">
      <c r="A20" s="96" t="s">
        <v>84</v>
      </c>
      <c r="B20" s="92" t="s">
        <v>85</v>
      </c>
      <c r="C20" s="94" t="s">
        <v>26</v>
      </c>
      <c r="D20" s="93" t="s">
        <v>83</v>
      </c>
      <c r="E20" t="s">
        <v>96</v>
      </c>
      <c r="F20" s="92" t="s">
        <v>86</v>
      </c>
      <c r="G20" s="92" t="s">
        <v>87</v>
      </c>
      <c r="H20" s="95">
        <f>'Merluza cola Industrial'!E22</f>
        <v>96.018000000000001</v>
      </c>
      <c r="I20" s="95">
        <f>'Merluza cola Industrial'!F22</f>
        <v>0</v>
      </c>
      <c r="J20" s="95">
        <f>'Merluza cola Industrial'!G22</f>
        <v>96.018000000000001</v>
      </c>
      <c r="K20" s="95">
        <f>'Merluza cola Industrial'!H22</f>
        <v>0</v>
      </c>
      <c r="L20" s="95">
        <f>'Merluza cola Industrial'!I22</f>
        <v>96.018000000000001</v>
      </c>
      <c r="M20" s="103">
        <f>'Merluza cola Industrial'!J22</f>
        <v>0</v>
      </c>
      <c r="N20" s="119" t="s">
        <v>121</v>
      </c>
      <c r="O20" s="105">
        <f>'Merluza cola Industrial'!$B$5</f>
        <v>43465</v>
      </c>
    </row>
    <row r="21" spans="1:15">
      <c r="A21" s="96" t="s">
        <v>84</v>
      </c>
      <c r="B21" s="92" t="s">
        <v>85</v>
      </c>
      <c r="C21" s="94" t="s">
        <v>26</v>
      </c>
      <c r="D21" s="93" t="s">
        <v>83</v>
      </c>
      <c r="E21" t="s">
        <v>96</v>
      </c>
      <c r="F21" t="s">
        <v>88</v>
      </c>
      <c r="G21" t="s">
        <v>89</v>
      </c>
      <c r="H21" s="95">
        <f>'Merluza cola Industrial'!E23</f>
        <v>144.041</v>
      </c>
      <c r="I21" s="95">
        <f>'Merluza cola Industrial'!F23</f>
        <v>0</v>
      </c>
      <c r="J21" s="95">
        <f>'Merluza cola Industrial'!G23</f>
        <v>240.059</v>
      </c>
      <c r="K21" s="95">
        <f>'Merluza cola Industrial'!H23</f>
        <v>18.097000000000001</v>
      </c>
      <c r="L21" s="95">
        <f>'Merluza cola Industrial'!I23</f>
        <v>221.96199999999999</v>
      </c>
      <c r="M21" s="103">
        <f>'Merluza cola Industrial'!J23</f>
        <v>7.5385634364885309E-2</v>
      </c>
      <c r="N21" s="119" t="s">
        <v>121</v>
      </c>
      <c r="O21" s="105">
        <f>'Merluza cola Industrial'!$B$5</f>
        <v>43465</v>
      </c>
    </row>
    <row r="22" spans="1:15">
      <c r="A22" s="96" t="s">
        <v>84</v>
      </c>
      <c r="B22" s="92" t="s">
        <v>85</v>
      </c>
      <c r="C22" s="94" t="s">
        <v>26</v>
      </c>
      <c r="D22" s="93" t="s">
        <v>83</v>
      </c>
      <c r="E22" t="s">
        <v>96</v>
      </c>
      <c r="F22" t="s">
        <v>86</v>
      </c>
      <c r="G22" t="s">
        <v>89</v>
      </c>
      <c r="H22" s="95">
        <f>'Merluza cola Industrial'!K22</f>
        <v>240.059</v>
      </c>
      <c r="I22" s="95">
        <f>'Merluza cola Industrial'!L22</f>
        <v>0</v>
      </c>
      <c r="J22" s="95">
        <f>'Merluza cola Industrial'!M22</f>
        <v>240.059</v>
      </c>
      <c r="K22" s="95">
        <f>'Merluza cola Industrial'!N22</f>
        <v>18.097000000000001</v>
      </c>
      <c r="L22" s="95">
        <f>'Merluza cola Industrial'!O22</f>
        <v>221.96199999999999</v>
      </c>
      <c r="M22" s="103">
        <f>'Merluza cola Industrial'!P22</f>
        <v>7.5385634364885309E-2</v>
      </c>
      <c r="N22" s="119" t="s">
        <v>121</v>
      </c>
      <c r="O22" s="105">
        <f>'Merluza cola Industrial'!$B$5</f>
        <v>43465</v>
      </c>
    </row>
    <row r="23" spans="1:15">
      <c r="A23" s="96" t="s">
        <v>84</v>
      </c>
      <c r="B23" s="92" t="s">
        <v>85</v>
      </c>
      <c r="C23" s="94" t="s">
        <v>26</v>
      </c>
      <c r="D23" s="93" t="s">
        <v>83</v>
      </c>
      <c r="E23" s="94" t="s">
        <v>97</v>
      </c>
      <c r="F23" s="92" t="s">
        <v>86</v>
      </c>
      <c r="G23" s="92" t="s">
        <v>87</v>
      </c>
      <c r="H23" s="95">
        <f>'Merluza cola Industrial'!E24</f>
        <v>63.121000000000002</v>
      </c>
      <c r="I23" s="95">
        <f>'Merluza cola Industrial'!F24</f>
        <v>0</v>
      </c>
      <c r="J23" s="95">
        <f>'Merluza cola Industrial'!G24</f>
        <v>63.121000000000002</v>
      </c>
      <c r="K23" s="95">
        <f>'Merluza cola Industrial'!H24</f>
        <v>0</v>
      </c>
      <c r="L23" s="95">
        <f>'Merluza cola Industrial'!I24</f>
        <v>63.121000000000002</v>
      </c>
      <c r="M23" s="103">
        <f>'Merluza cola Industrial'!J24</f>
        <v>0</v>
      </c>
      <c r="N23" s="119" t="s">
        <v>121</v>
      </c>
      <c r="O23" s="105">
        <f>'Merluza cola Industrial'!$B$5</f>
        <v>43465</v>
      </c>
    </row>
    <row r="24" spans="1:15">
      <c r="A24" s="96" t="s">
        <v>84</v>
      </c>
      <c r="B24" s="92" t="s">
        <v>85</v>
      </c>
      <c r="C24" s="94" t="s">
        <v>26</v>
      </c>
      <c r="D24" s="93" t="s">
        <v>83</v>
      </c>
      <c r="E24" s="94" t="s">
        <v>97</v>
      </c>
      <c r="F24" t="s">
        <v>88</v>
      </c>
      <c r="G24" t="s">
        <v>89</v>
      </c>
      <c r="H24" s="95">
        <f>'Merluza cola Industrial'!E25</f>
        <v>94.691000000000003</v>
      </c>
      <c r="I24" s="95">
        <f>'Merluza cola Industrial'!F25</f>
        <v>138.78899999999987</v>
      </c>
      <c r="J24" s="95">
        <f>'Merluza cola Industrial'!G25</f>
        <v>296.60099999999989</v>
      </c>
      <c r="K24" s="95">
        <f>'Merluza cola Industrial'!H25</f>
        <v>0</v>
      </c>
      <c r="L24" s="95">
        <f>'Merluza cola Industrial'!I25</f>
        <v>296.60099999999989</v>
      </c>
      <c r="M24" s="103">
        <f>'Merluza cola Industrial'!J25</f>
        <v>0</v>
      </c>
      <c r="N24" s="119" t="s">
        <v>121</v>
      </c>
      <c r="O24" s="105">
        <f>'Merluza cola Industrial'!$B$5</f>
        <v>43465</v>
      </c>
    </row>
    <row r="25" spans="1:15">
      <c r="A25" s="96" t="s">
        <v>84</v>
      </c>
      <c r="B25" s="92" t="s">
        <v>85</v>
      </c>
      <c r="C25" s="94" t="s">
        <v>26</v>
      </c>
      <c r="D25" s="93" t="s">
        <v>83</v>
      </c>
      <c r="E25" s="94" t="s">
        <v>97</v>
      </c>
      <c r="F25" t="s">
        <v>86</v>
      </c>
      <c r="G25" t="s">
        <v>89</v>
      </c>
      <c r="H25" s="95">
        <f>'Merluza cola Industrial'!K24</f>
        <v>157.81200000000001</v>
      </c>
      <c r="I25" s="95">
        <f>'Merluza cola Industrial'!L24</f>
        <v>138.78899999999987</v>
      </c>
      <c r="J25" s="95">
        <f>'Merluza cola Industrial'!M24</f>
        <v>296.60099999999989</v>
      </c>
      <c r="K25" s="95">
        <f>'Merluza cola Industrial'!N24</f>
        <v>0</v>
      </c>
      <c r="L25" s="95">
        <f>'Merluza cola Industrial'!O24</f>
        <v>296.60099999999989</v>
      </c>
      <c r="M25" s="103">
        <f>'Merluza cola Industrial'!P24</f>
        <v>0</v>
      </c>
      <c r="N25" s="119" t="s">
        <v>121</v>
      </c>
      <c r="O25" s="105">
        <f>'Merluza cola Industrial'!$B$5</f>
        <v>43465</v>
      </c>
    </row>
    <row r="26" spans="1:15">
      <c r="A26" s="96" t="s">
        <v>84</v>
      </c>
      <c r="B26" s="92" t="s">
        <v>85</v>
      </c>
      <c r="C26" s="94" t="s">
        <v>26</v>
      </c>
      <c r="D26" s="93" t="s">
        <v>83</v>
      </c>
      <c r="E26" t="s">
        <v>98</v>
      </c>
      <c r="F26" s="92" t="s">
        <v>86</v>
      </c>
      <c r="G26" s="92" t="s">
        <v>87</v>
      </c>
      <c r="H26" s="95">
        <f>'Merluza cola Industrial'!E26</f>
        <v>302.69799999999998</v>
      </c>
      <c r="I26" s="95">
        <f>'Merluza cola Industrial'!F26</f>
        <v>0</v>
      </c>
      <c r="J26" s="95">
        <f>'Merluza cola Industrial'!G26</f>
        <v>302.69799999999998</v>
      </c>
      <c r="K26" s="95">
        <f>'Merluza cola Industrial'!H26</f>
        <v>0</v>
      </c>
      <c r="L26" s="95">
        <f>'Merluza cola Industrial'!I26</f>
        <v>302.69799999999998</v>
      </c>
      <c r="M26" s="103">
        <f>'Merluza cola Industrial'!J26</f>
        <v>0</v>
      </c>
      <c r="N26" s="119" t="s">
        <v>121</v>
      </c>
      <c r="O26" s="105">
        <f>'Merluza cola Industrial'!$B$5</f>
        <v>43465</v>
      </c>
    </row>
    <row r="27" spans="1:15">
      <c r="A27" s="96" t="s">
        <v>84</v>
      </c>
      <c r="B27" s="92" t="s">
        <v>85</v>
      </c>
      <c r="C27" s="94" t="s">
        <v>26</v>
      </c>
      <c r="D27" s="93" t="s">
        <v>83</v>
      </c>
      <c r="E27" t="s">
        <v>98</v>
      </c>
      <c r="F27" t="s">
        <v>88</v>
      </c>
      <c r="G27" t="s">
        <v>89</v>
      </c>
      <c r="H27" s="95">
        <f>'Merluza cola Industrial'!E27</f>
        <v>454.09199999999998</v>
      </c>
      <c r="I27" s="95">
        <f>'Merluza cola Industrial'!F27</f>
        <v>0</v>
      </c>
      <c r="J27" s="95">
        <f>'Merluza cola Industrial'!G27</f>
        <v>756.79</v>
      </c>
      <c r="K27" s="95">
        <f>'Merluza cola Industrial'!H27</f>
        <v>0</v>
      </c>
      <c r="L27" s="95">
        <f>'Merluza cola Industrial'!I27</f>
        <v>756.79</v>
      </c>
      <c r="M27" s="103">
        <f>'Merluza cola Industrial'!J27</f>
        <v>0</v>
      </c>
      <c r="N27" s="119" t="s">
        <v>121</v>
      </c>
      <c r="O27" s="105">
        <f>'Merluza cola Industrial'!$B$5</f>
        <v>43465</v>
      </c>
    </row>
    <row r="28" spans="1:15">
      <c r="A28" s="96" t="s">
        <v>84</v>
      </c>
      <c r="B28" s="92" t="s">
        <v>85</v>
      </c>
      <c r="C28" s="94" t="s">
        <v>26</v>
      </c>
      <c r="D28" s="93" t="s">
        <v>83</v>
      </c>
      <c r="E28" t="s">
        <v>98</v>
      </c>
      <c r="F28" t="s">
        <v>86</v>
      </c>
      <c r="G28" t="s">
        <v>89</v>
      </c>
      <c r="H28" s="95">
        <f>'Merluza cola Industrial'!K26</f>
        <v>756.79</v>
      </c>
      <c r="I28" s="95">
        <f>'Merluza cola Industrial'!L26</f>
        <v>0</v>
      </c>
      <c r="J28" s="95">
        <f>'Merluza cola Industrial'!M26</f>
        <v>756.79</v>
      </c>
      <c r="K28" s="95">
        <f>'Merluza cola Industrial'!N26</f>
        <v>0</v>
      </c>
      <c r="L28" s="95">
        <f>'Merluza cola Industrial'!O26</f>
        <v>756.79</v>
      </c>
      <c r="M28" s="103">
        <f>'Merluza cola Industrial'!P26</f>
        <v>0</v>
      </c>
      <c r="N28" s="119" t="s">
        <v>121</v>
      </c>
      <c r="O28" s="105">
        <f>'Merluza cola Industrial'!$B$5</f>
        <v>43465</v>
      </c>
    </row>
    <row r="29" spans="1:15">
      <c r="A29" s="96" t="s">
        <v>84</v>
      </c>
      <c r="B29" s="92" t="s">
        <v>85</v>
      </c>
      <c r="C29" s="94" t="s">
        <v>26</v>
      </c>
      <c r="D29" s="93" t="s">
        <v>83</v>
      </c>
      <c r="E29" s="94" t="s">
        <v>99</v>
      </c>
      <c r="F29" s="92" t="s">
        <v>86</v>
      </c>
      <c r="G29" s="92" t="s">
        <v>87</v>
      </c>
      <c r="H29" s="95">
        <f>'Merluza cola Industrial'!E28</f>
        <v>0.10199999999999999</v>
      </c>
      <c r="I29" s="95">
        <f>'Merluza cola Industrial'!F28</f>
        <v>0</v>
      </c>
      <c r="J29" s="95">
        <f>'Merluza cola Industrial'!G28</f>
        <v>0.10199999999999999</v>
      </c>
      <c r="K29" s="95">
        <f>'Merluza cola Industrial'!H28</f>
        <v>0</v>
      </c>
      <c r="L29" s="95">
        <f>'Merluza cola Industrial'!I28</f>
        <v>0.10199999999999999</v>
      </c>
      <c r="M29" s="103">
        <f>'Merluza cola Industrial'!J28</f>
        <v>0</v>
      </c>
      <c r="N29" s="119" t="s">
        <v>121</v>
      </c>
      <c r="O29" s="105">
        <f>'Merluza cola Industrial'!$B$5</f>
        <v>43465</v>
      </c>
    </row>
    <row r="30" spans="1:15">
      <c r="A30" s="96" t="s">
        <v>84</v>
      </c>
      <c r="B30" s="92" t="s">
        <v>85</v>
      </c>
      <c r="C30" s="94" t="s">
        <v>26</v>
      </c>
      <c r="D30" s="93" t="s">
        <v>83</v>
      </c>
      <c r="E30" s="94" t="s">
        <v>99</v>
      </c>
      <c r="F30" t="s">
        <v>88</v>
      </c>
      <c r="G30" t="s">
        <v>89</v>
      </c>
      <c r="H30" s="95">
        <f>'Merluza cola Industrial'!E29</f>
        <v>0.154</v>
      </c>
      <c r="I30" s="95">
        <f>'Merluza cola Industrial'!F29</f>
        <v>0</v>
      </c>
      <c r="J30" s="95">
        <f>'Merluza cola Industrial'!G29</f>
        <v>0.25600000000000001</v>
      </c>
      <c r="K30" s="95">
        <f>'Merluza cola Industrial'!H29</f>
        <v>0</v>
      </c>
      <c r="L30" s="95">
        <f>'Merluza cola Industrial'!I29</f>
        <v>0.25600000000000001</v>
      </c>
      <c r="M30" s="103">
        <f>'Merluza cola Industrial'!J29</f>
        <v>0</v>
      </c>
      <c r="N30" s="119" t="s">
        <v>121</v>
      </c>
      <c r="O30" s="105">
        <f>'Merluza cola Industrial'!$B$5</f>
        <v>43465</v>
      </c>
    </row>
    <row r="31" spans="1:15">
      <c r="A31" s="96" t="s">
        <v>84</v>
      </c>
      <c r="B31" s="92" t="s">
        <v>85</v>
      </c>
      <c r="C31" s="94" t="s">
        <v>26</v>
      </c>
      <c r="D31" s="93" t="s">
        <v>83</v>
      </c>
      <c r="E31" s="94" t="s">
        <v>99</v>
      </c>
      <c r="F31" t="s">
        <v>86</v>
      </c>
      <c r="G31" t="s">
        <v>89</v>
      </c>
      <c r="H31" s="95">
        <f>'Merluza cola Industrial'!K28</f>
        <v>0.25600000000000001</v>
      </c>
      <c r="I31" s="95">
        <f>'Merluza cola Industrial'!L28</f>
        <v>0</v>
      </c>
      <c r="J31" s="95">
        <f>'Merluza cola Industrial'!M28</f>
        <v>0.25600000000000001</v>
      </c>
      <c r="K31" s="95">
        <f>'Merluza cola Industrial'!N28</f>
        <v>0</v>
      </c>
      <c r="L31" s="95">
        <f>'Merluza cola Industrial'!O28</f>
        <v>0.25600000000000001</v>
      </c>
      <c r="M31" s="103">
        <f>'Merluza cola Industrial'!P28</f>
        <v>0</v>
      </c>
      <c r="N31" s="119" t="s">
        <v>121</v>
      </c>
      <c r="O31" s="105">
        <f>'Merluza cola Industrial'!$B$5</f>
        <v>43465</v>
      </c>
    </row>
    <row r="32" spans="1:15">
      <c r="A32" s="96" t="s">
        <v>84</v>
      </c>
      <c r="B32" s="92" t="s">
        <v>85</v>
      </c>
      <c r="C32" s="94" t="s">
        <v>26</v>
      </c>
      <c r="D32" s="93" t="s">
        <v>83</v>
      </c>
      <c r="E32" s="94" t="s">
        <v>100</v>
      </c>
      <c r="F32" s="92" t="s">
        <v>86</v>
      </c>
      <c r="G32" s="92" t="s">
        <v>87</v>
      </c>
      <c r="H32" s="95">
        <f>'Merluza cola Industrial'!E30</f>
        <v>0.10199999999999999</v>
      </c>
      <c r="I32" s="95">
        <f>'Merluza cola Industrial'!F30</f>
        <v>0</v>
      </c>
      <c r="J32" s="95">
        <f>'Merluza cola Industrial'!G30</f>
        <v>0.10199999999999999</v>
      </c>
      <c r="K32" s="95">
        <f>'Merluza cola Industrial'!H30</f>
        <v>0</v>
      </c>
      <c r="L32" s="95">
        <f>'Merluza cola Industrial'!I30</f>
        <v>0.10199999999999999</v>
      </c>
      <c r="M32" s="103">
        <f>'Merluza cola Industrial'!J30</f>
        <v>0</v>
      </c>
      <c r="N32" s="119" t="s">
        <v>121</v>
      </c>
      <c r="O32" s="105">
        <f>'Merluza cola Industrial'!$B$5</f>
        <v>43465</v>
      </c>
    </row>
    <row r="33" spans="1:15">
      <c r="A33" s="96" t="s">
        <v>84</v>
      </c>
      <c r="B33" s="92" t="s">
        <v>85</v>
      </c>
      <c r="C33" s="94" t="s">
        <v>26</v>
      </c>
      <c r="D33" s="93" t="s">
        <v>83</v>
      </c>
      <c r="E33" s="94" t="s">
        <v>100</v>
      </c>
      <c r="F33" t="s">
        <v>88</v>
      </c>
      <c r="G33" t="s">
        <v>89</v>
      </c>
      <c r="H33" s="95">
        <f>'Merluza cola Industrial'!E31</f>
        <v>0.154</v>
      </c>
      <c r="I33" s="95">
        <f>'Merluza cola Industrial'!F31</f>
        <v>0</v>
      </c>
      <c r="J33" s="95">
        <f>'Merluza cola Industrial'!G31</f>
        <v>0.25600000000000001</v>
      </c>
      <c r="K33" s="95">
        <f>'Merluza cola Industrial'!H31</f>
        <v>0</v>
      </c>
      <c r="L33" s="95">
        <f>'Merluza cola Industrial'!I31</f>
        <v>0.25600000000000001</v>
      </c>
      <c r="M33" s="103">
        <f>'Merluza cola Industrial'!J31</f>
        <v>0</v>
      </c>
      <c r="N33" s="119" t="s">
        <v>121</v>
      </c>
      <c r="O33" s="105">
        <f>'Merluza cola Industrial'!$B$5</f>
        <v>43465</v>
      </c>
    </row>
    <row r="34" spans="1:15">
      <c r="A34" s="96" t="s">
        <v>84</v>
      </c>
      <c r="B34" s="92" t="s">
        <v>85</v>
      </c>
      <c r="C34" s="94" t="s">
        <v>26</v>
      </c>
      <c r="D34" s="93" t="s">
        <v>83</v>
      </c>
      <c r="E34" s="94" t="s">
        <v>100</v>
      </c>
      <c r="F34" t="s">
        <v>86</v>
      </c>
      <c r="G34" t="s">
        <v>89</v>
      </c>
      <c r="H34" s="95">
        <f>'Merluza cola Industrial'!K30</f>
        <v>0.25600000000000001</v>
      </c>
      <c r="I34" s="95">
        <f>'Merluza cola Industrial'!L30</f>
        <v>0</v>
      </c>
      <c r="J34" s="95">
        <f>'Merluza cola Industrial'!M30</f>
        <v>0.25600000000000001</v>
      </c>
      <c r="K34" s="95">
        <f>'Merluza cola Industrial'!N30</f>
        <v>0</v>
      </c>
      <c r="L34" s="95">
        <f>'Merluza cola Industrial'!O30</f>
        <v>0.25600000000000001</v>
      </c>
      <c r="M34" s="103">
        <f>'Merluza cola Industrial'!P30</f>
        <v>0</v>
      </c>
      <c r="N34" s="119" t="s">
        <v>121</v>
      </c>
      <c r="O34" s="105">
        <f>'Merluza cola Industrial'!$B$5</f>
        <v>43465</v>
      </c>
    </row>
    <row r="35" spans="1:15">
      <c r="A35" s="96" t="s">
        <v>84</v>
      </c>
      <c r="B35" s="92" t="s">
        <v>85</v>
      </c>
      <c r="C35" s="94" t="s">
        <v>26</v>
      </c>
      <c r="D35" s="93" t="s">
        <v>83</v>
      </c>
      <c r="E35" s="94" t="s">
        <v>101</v>
      </c>
      <c r="F35" s="92" t="s">
        <v>86</v>
      </c>
      <c r="G35" s="92" t="s">
        <v>87</v>
      </c>
      <c r="H35" s="95">
        <f>'Merluza cola Industrial'!E32</f>
        <v>0.10199999999999999</v>
      </c>
      <c r="I35" s="95">
        <f>'Merluza cola Industrial'!F32</f>
        <v>0</v>
      </c>
      <c r="J35" s="95">
        <f>'Merluza cola Industrial'!G32</f>
        <v>0.10199999999999999</v>
      </c>
      <c r="K35" s="95">
        <f>'Merluza cola Industrial'!H32</f>
        <v>0</v>
      </c>
      <c r="L35" s="95">
        <f>'Merluza cola Industrial'!I32</f>
        <v>0.10199999999999999</v>
      </c>
      <c r="M35" s="103">
        <f>'Merluza cola Industrial'!J32</f>
        <v>0</v>
      </c>
      <c r="N35" s="119" t="s">
        <v>121</v>
      </c>
      <c r="O35" s="105">
        <f>'Merluza cola Industrial'!$B$5</f>
        <v>43465</v>
      </c>
    </row>
    <row r="36" spans="1:15">
      <c r="A36" s="96" t="s">
        <v>84</v>
      </c>
      <c r="B36" s="92" t="s">
        <v>85</v>
      </c>
      <c r="C36" s="94" t="s">
        <v>26</v>
      </c>
      <c r="D36" s="93" t="s">
        <v>83</v>
      </c>
      <c r="E36" s="94" t="s">
        <v>101</v>
      </c>
      <c r="F36" t="s">
        <v>88</v>
      </c>
      <c r="G36" t="s">
        <v>89</v>
      </c>
      <c r="H36" s="95">
        <f>'Merluza cola Industrial'!E33</f>
        <v>0.154</v>
      </c>
      <c r="I36" s="95">
        <f>'Merluza cola Industrial'!F33</f>
        <v>0</v>
      </c>
      <c r="J36" s="95">
        <f>'Merluza cola Industrial'!G33</f>
        <v>0.25600000000000001</v>
      </c>
      <c r="K36" s="95">
        <f>'Merluza cola Industrial'!H33</f>
        <v>0</v>
      </c>
      <c r="L36" s="95">
        <f>'Merluza cola Industrial'!I33</f>
        <v>0.25600000000000001</v>
      </c>
      <c r="M36" s="103">
        <f>'Merluza cola Industrial'!J33</f>
        <v>0</v>
      </c>
      <c r="N36" s="119" t="s">
        <v>121</v>
      </c>
      <c r="O36" s="105">
        <f>'Merluza cola Industrial'!$B$5</f>
        <v>43465</v>
      </c>
    </row>
    <row r="37" spans="1:15">
      <c r="A37" s="96" t="s">
        <v>84</v>
      </c>
      <c r="B37" s="92" t="s">
        <v>85</v>
      </c>
      <c r="C37" s="94" t="s">
        <v>26</v>
      </c>
      <c r="D37" s="93" t="s">
        <v>83</v>
      </c>
      <c r="E37" s="94" t="s">
        <v>101</v>
      </c>
      <c r="F37" t="s">
        <v>86</v>
      </c>
      <c r="G37" t="s">
        <v>89</v>
      </c>
      <c r="H37" s="95">
        <f>'Merluza cola Industrial'!K32</f>
        <v>0.25600000000000001</v>
      </c>
      <c r="I37" s="95">
        <f>'Merluza cola Industrial'!L32</f>
        <v>0</v>
      </c>
      <c r="J37" s="95">
        <f>'Merluza cola Industrial'!M32</f>
        <v>0.25600000000000001</v>
      </c>
      <c r="K37" s="95">
        <f>'Merluza cola Industrial'!N32</f>
        <v>0</v>
      </c>
      <c r="L37" s="95">
        <f>'Merluza cola Industrial'!O32</f>
        <v>0.25600000000000001</v>
      </c>
      <c r="M37" s="103">
        <f>'Merluza cola Industrial'!P32</f>
        <v>0</v>
      </c>
      <c r="N37" s="119" t="s">
        <v>121</v>
      </c>
      <c r="O37" s="105">
        <f>'Merluza cola Industrial'!$B$5</f>
        <v>43465</v>
      </c>
    </row>
    <row r="38" spans="1:15">
      <c r="A38" s="96" t="s">
        <v>84</v>
      </c>
      <c r="B38" s="92" t="s">
        <v>85</v>
      </c>
      <c r="C38" s="94" t="s">
        <v>26</v>
      </c>
      <c r="D38" s="93" t="s">
        <v>83</v>
      </c>
      <c r="E38" t="s">
        <v>102</v>
      </c>
      <c r="F38" s="92" t="s">
        <v>86</v>
      </c>
      <c r="G38" s="92" t="s">
        <v>87</v>
      </c>
      <c r="H38" s="95">
        <f>'Merluza cola Industrial'!E34</f>
        <v>72.453000000000003</v>
      </c>
      <c r="I38" s="95">
        <f>'Merluza cola Industrial'!F34</f>
        <v>0</v>
      </c>
      <c r="J38" s="95">
        <f>'Merluza cola Industrial'!G34</f>
        <v>72.453000000000003</v>
      </c>
      <c r="K38" s="95">
        <f>'Merluza cola Industrial'!H34</f>
        <v>0</v>
      </c>
      <c r="L38" s="95">
        <f>'Merluza cola Industrial'!I34</f>
        <v>72.453000000000003</v>
      </c>
      <c r="M38" s="103">
        <f>'Merluza cola Industrial'!J34</f>
        <v>0</v>
      </c>
      <c r="N38" s="119" t="s">
        <v>121</v>
      </c>
      <c r="O38" s="105">
        <f>'Merluza cola Industrial'!$B$5</f>
        <v>43465</v>
      </c>
    </row>
    <row r="39" spans="1:15">
      <c r="A39" s="96" t="s">
        <v>84</v>
      </c>
      <c r="B39" s="92" t="s">
        <v>85</v>
      </c>
      <c r="C39" s="94" t="s">
        <v>26</v>
      </c>
      <c r="D39" s="93" t="s">
        <v>83</v>
      </c>
      <c r="E39" t="s">
        <v>102</v>
      </c>
      <c r="F39" t="s">
        <v>88</v>
      </c>
      <c r="G39" t="s">
        <v>89</v>
      </c>
      <c r="H39" s="95">
        <f>'Merluza cola Industrial'!E35</f>
        <v>108.69</v>
      </c>
      <c r="I39" s="95">
        <f>'Merluza cola Industrial'!F35</f>
        <v>0</v>
      </c>
      <c r="J39" s="95">
        <f>'Merluza cola Industrial'!G35</f>
        <v>181.143</v>
      </c>
      <c r="K39" s="95">
        <f>'Merluza cola Industrial'!H35</f>
        <v>0</v>
      </c>
      <c r="L39" s="95">
        <f>'Merluza cola Industrial'!I35</f>
        <v>181.143</v>
      </c>
      <c r="M39" s="103">
        <f>'Merluza cola Industrial'!J35</f>
        <v>0</v>
      </c>
      <c r="N39" s="119" t="s">
        <v>121</v>
      </c>
      <c r="O39" s="105">
        <f>'Merluza cola Industrial'!$B$5</f>
        <v>43465</v>
      </c>
    </row>
    <row r="40" spans="1:15">
      <c r="A40" s="96" t="s">
        <v>84</v>
      </c>
      <c r="B40" s="92" t="s">
        <v>85</v>
      </c>
      <c r="C40" s="94" t="s">
        <v>26</v>
      </c>
      <c r="D40" s="93" t="s">
        <v>83</v>
      </c>
      <c r="E40" t="s">
        <v>102</v>
      </c>
      <c r="F40" t="s">
        <v>86</v>
      </c>
      <c r="G40" t="s">
        <v>89</v>
      </c>
      <c r="H40" s="95">
        <f>'Merluza cola Industrial'!K34</f>
        <v>181.143</v>
      </c>
      <c r="I40" s="95">
        <f>'Merluza cola Industrial'!L34</f>
        <v>0</v>
      </c>
      <c r="J40" s="95">
        <f>'Merluza cola Industrial'!M34</f>
        <v>181.143</v>
      </c>
      <c r="K40" s="95">
        <f>'Merluza cola Industrial'!N34</f>
        <v>0</v>
      </c>
      <c r="L40" s="95">
        <f>'Merluza cola Industrial'!O34</f>
        <v>181.143</v>
      </c>
      <c r="M40" s="103">
        <f>'Merluza cola Industrial'!P34</f>
        <v>0</v>
      </c>
      <c r="N40" s="119" t="s">
        <v>121</v>
      </c>
      <c r="O40" s="105">
        <f>'Merluza cola Industrial'!$B$5</f>
        <v>43465</v>
      </c>
    </row>
    <row r="41" spans="1:15">
      <c r="A41" s="96" t="s">
        <v>84</v>
      </c>
      <c r="B41" s="92" t="s">
        <v>85</v>
      </c>
      <c r="C41" s="94" t="s">
        <v>26</v>
      </c>
      <c r="D41" s="93" t="s">
        <v>83</v>
      </c>
      <c r="E41" t="s">
        <v>103</v>
      </c>
      <c r="F41" s="92" t="s">
        <v>86</v>
      </c>
      <c r="G41" s="92" t="s">
        <v>87</v>
      </c>
      <c r="H41" s="95">
        <f>'Merluza cola Industrial'!E36</f>
        <v>2137.9520000000002</v>
      </c>
      <c r="I41" s="95">
        <f>'Merluza cola Industrial'!F36</f>
        <v>0</v>
      </c>
      <c r="J41" s="95">
        <f>'Merluza cola Industrial'!G36</f>
        <v>2137.9520000000002</v>
      </c>
      <c r="K41" s="95">
        <f>'Merluza cola Industrial'!H36</f>
        <v>0</v>
      </c>
      <c r="L41" s="95">
        <f>'Merluza cola Industrial'!I36</f>
        <v>2137.9520000000002</v>
      </c>
      <c r="M41" s="103">
        <f>'Merluza cola Industrial'!J36</f>
        <v>0</v>
      </c>
      <c r="N41" s="119" t="s">
        <v>121</v>
      </c>
      <c r="O41" s="105">
        <f>'Merluza cola Industrial'!$B$5</f>
        <v>43465</v>
      </c>
    </row>
    <row r="42" spans="1:15">
      <c r="A42" s="96" t="s">
        <v>84</v>
      </c>
      <c r="B42" s="92" t="s">
        <v>85</v>
      </c>
      <c r="C42" s="94" t="s">
        <v>26</v>
      </c>
      <c r="D42" s="93" t="s">
        <v>83</v>
      </c>
      <c r="E42" t="s">
        <v>103</v>
      </c>
      <c r="F42" t="s">
        <v>88</v>
      </c>
      <c r="G42" t="s">
        <v>89</v>
      </c>
      <c r="H42" s="95">
        <f>'Merluza cola Industrial'!E37</f>
        <v>3207.2429999999999</v>
      </c>
      <c r="I42" s="95">
        <f>'Merluza cola Industrial'!F37</f>
        <v>-2151.038</v>
      </c>
      <c r="J42" s="95">
        <f>'Merluza cola Industrial'!G37</f>
        <v>3194.1570000000002</v>
      </c>
      <c r="K42" s="95">
        <f>'Merluza cola Industrial'!H37</f>
        <v>0</v>
      </c>
      <c r="L42" s="95">
        <f>'Merluza cola Industrial'!I37</f>
        <v>3194.1570000000002</v>
      </c>
      <c r="M42" s="103">
        <f>'Merluza cola Industrial'!J37</f>
        <v>0</v>
      </c>
      <c r="N42" s="119" t="s">
        <v>121</v>
      </c>
      <c r="O42" s="105">
        <f>'Merluza cola Industrial'!$B$5</f>
        <v>43465</v>
      </c>
    </row>
    <row r="43" spans="1:15">
      <c r="A43" s="96" t="s">
        <v>84</v>
      </c>
      <c r="B43" s="92" t="s">
        <v>85</v>
      </c>
      <c r="C43" s="94" t="s">
        <v>26</v>
      </c>
      <c r="D43" s="93" t="s">
        <v>83</v>
      </c>
      <c r="E43" t="s">
        <v>103</v>
      </c>
      <c r="F43" t="s">
        <v>86</v>
      </c>
      <c r="G43" t="s">
        <v>89</v>
      </c>
      <c r="H43" s="95">
        <f>'Merluza cola Industrial'!K36</f>
        <v>5345.1949999999997</v>
      </c>
      <c r="I43" s="95">
        <f>'Merluza cola Industrial'!L36</f>
        <v>-2151.038</v>
      </c>
      <c r="J43" s="95">
        <f>'Merluza cola Industrial'!M36</f>
        <v>3194.1569999999997</v>
      </c>
      <c r="K43" s="95">
        <f>'Merluza cola Industrial'!N36</f>
        <v>0</v>
      </c>
      <c r="L43" s="95">
        <f>'Merluza cola Industrial'!O36</f>
        <v>3194.1569999999997</v>
      </c>
      <c r="M43" s="103">
        <f>'Merluza cola Industrial'!P36</f>
        <v>0</v>
      </c>
      <c r="N43" s="119" t="s">
        <v>121</v>
      </c>
      <c r="O43" s="105">
        <f>'Merluza cola Industrial'!$B$5</f>
        <v>43465</v>
      </c>
    </row>
    <row r="44" spans="1:15">
      <c r="A44" s="96" t="s">
        <v>84</v>
      </c>
      <c r="B44" s="92" t="s">
        <v>85</v>
      </c>
      <c r="C44" s="94" t="s">
        <v>26</v>
      </c>
      <c r="D44" s="93" t="s">
        <v>83</v>
      </c>
      <c r="E44" s="94" t="s">
        <v>104</v>
      </c>
      <c r="F44" s="92" t="s">
        <v>86</v>
      </c>
      <c r="G44" s="92" t="s">
        <v>87</v>
      </c>
      <c r="H44" s="95">
        <f>'Merluza cola Industrial'!E38</f>
        <v>36.719000000000001</v>
      </c>
      <c r="I44" s="95">
        <f>'Merluza cola Industrial'!F38</f>
        <v>0</v>
      </c>
      <c r="J44" s="95">
        <f>'Merluza cola Industrial'!G38</f>
        <v>36.719000000000001</v>
      </c>
      <c r="K44" s="95">
        <f>'Merluza cola Industrial'!H38</f>
        <v>0</v>
      </c>
      <c r="L44" s="95">
        <f>'Merluza cola Industrial'!I38</f>
        <v>36.719000000000001</v>
      </c>
      <c r="M44" s="103">
        <f>'Merluza cola Industrial'!J38</f>
        <v>0</v>
      </c>
      <c r="N44" s="119" t="s">
        <v>121</v>
      </c>
      <c r="O44" s="105">
        <f>'Merluza cola Industrial'!$B$5</f>
        <v>43465</v>
      </c>
    </row>
    <row r="45" spans="1:15">
      <c r="A45" s="96" t="s">
        <v>84</v>
      </c>
      <c r="B45" s="92" t="s">
        <v>85</v>
      </c>
      <c r="C45" s="94" t="s">
        <v>26</v>
      </c>
      <c r="D45" s="93" t="s">
        <v>83</v>
      </c>
      <c r="E45" s="94" t="s">
        <v>104</v>
      </c>
      <c r="F45" t="s">
        <v>88</v>
      </c>
      <c r="G45" t="s">
        <v>89</v>
      </c>
      <c r="H45" s="95">
        <f>'Merluza cola Industrial'!E39</f>
        <v>55.084000000000003</v>
      </c>
      <c r="I45" s="95">
        <f>'Merluza cola Industrial'!F39</f>
        <v>0</v>
      </c>
      <c r="J45" s="95">
        <f>'Merluza cola Industrial'!G39</f>
        <v>91.802999999999997</v>
      </c>
      <c r="K45" s="95">
        <f>'Merluza cola Industrial'!H39</f>
        <v>0</v>
      </c>
      <c r="L45" s="95">
        <f>'Merluza cola Industrial'!I39</f>
        <v>91.802999999999997</v>
      </c>
      <c r="M45" s="103">
        <f>'Merluza cola Industrial'!J39</f>
        <v>0</v>
      </c>
      <c r="N45" s="119" t="s">
        <v>121</v>
      </c>
      <c r="O45" s="105">
        <f>'Merluza cola Industrial'!$B$5</f>
        <v>43465</v>
      </c>
    </row>
    <row r="46" spans="1:15">
      <c r="A46" s="96" t="s">
        <v>84</v>
      </c>
      <c r="B46" s="92" t="s">
        <v>85</v>
      </c>
      <c r="C46" s="94" t="s">
        <v>26</v>
      </c>
      <c r="D46" s="93" t="s">
        <v>83</v>
      </c>
      <c r="E46" s="94" t="s">
        <v>104</v>
      </c>
      <c r="F46" t="s">
        <v>86</v>
      </c>
      <c r="G46" t="s">
        <v>89</v>
      </c>
      <c r="H46" s="95">
        <f>'Merluza cola Industrial'!K38</f>
        <v>91.802999999999997</v>
      </c>
      <c r="I46" s="95">
        <f>'Merluza cola Industrial'!L38</f>
        <v>0</v>
      </c>
      <c r="J46" s="95">
        <f>'Merluza cola Industrial'!M38</f>
        <v>91.802999999999997</v>
      </c>
      <c r="K46" s="95">
        <f>'Merluza cola Industrial'!N38</f>
        <v>0</v>
      </c>
      <c r="L46" s="95">
        <f>'Merluza cola Industrial'!O38</f>
        <v>91.802999999999997</v>
      </c>
      <c r="M46" s="103">
        <f>'Merluza cola Industrial'!P38</f>
        <v>0</v>
      </c>
      <c r="N46" s="119" t="s">
        <v>121</v>
      </c>
      <c r="O46" s="105">
        <f>'Merluza cola Industrial'!$B$5</f>
        <v>43465</v>
      </c>
    </row>
    <row r="47" spans="1:15">
      <c r="A47" s="96" t="s">
        <v>84</v>
      </c>
      <c r="B47" s="92" t="s">
        <v>85</v>
      </c>
      <c r="C47" s="94" t="s">
        <v>26</v>
      </c>
      <c r="D47" s="93" t="s">
        <v>83</v>
      </c>
      <c r="E47" t="s">
        <v>105</v>
      </c>
      <c r="F47" s="92" t="s">
        <v>86</v>
      </c>
      <c r="G47" s="92" t="s">
        <v>87</v>
      </c>
      <c r="H47" s="95">
        <f>'Merluza cola Industrial'!E40</f>
        <v>27.088999999999999</v>
      </c>
      <c r="I47" s="95">
        <f>'Merluza cola Industrial'!F40</f>
        <v>0</v>
      </c>
      <c r="J47" s="95">
        <f>'Merluza cola Industrial'!G40</f>
        <v>27.088999999999999</v>
      </c>
      <c r="K47" s="95">
        <f>'Merluza cola Industrial'!H40</f>
        <v>0</v>
      </c>
      <c r="L47" s="95">
        <f>'Merluza cola Industrial'!I40</f>
        <v>27.088999999999999</v>
      </c>
      <c r="M47" s="103">
        <f>'Merluza cola Industrial'!J40</f>
        <v>0</v>
      </c>
      <c r="N47" s="119" t="s">
        <v>121</v>
      </c>
      <c r="O47" s="105">
        <f>'Merluza cola Industrial'!$B$5</f>
        <v>43465</v>
      </c>
    </row>
    <row r="48" spans="1:15">
      <c r="A48" s="96" t="s">
        <v>84</v>
      </c>
      <c r="B48" s="92" t="s">
        <v>85</v>
      </c>
      <c r="C48" s="94" t="s">
        <v>26</v>
      </c>
      <c r="D48" s="93" t="s">
        <v>83</v>
      </c>
      <c r="E48" t="s">
        <v>105</v>
      </c>
      <c r="F48" t="s">
        <v>88</v>
      </c>
      <c r="G48" t="s">
        <v>89</v>
      </c>
      <c r="H48" s="95">
        <f>'Merluza cola Industrial'!E41</f>
        <v>40.637999999999998</v>
      </c>
      <c r="I48" s="95">
        <f>'Merluza cola Industrial'!F41</f>
        <v>0</v>
      </c>
      <c r="J48" s="95">
        <f>'Merluza cola Industrial'!G41</f>
        <v>67.727000000000004</v>
      </c>
      <c r="K48" s="95">
        <f>'Merluza cola Industrial'!H41</f>
        <v>0</v>
      </c>
      <c r="L48" s="95">
        <f>'Merluza cola Industrial'!I41</f>
        <v>67.727000000000004</v>
      </c>
      <c r="M48" s="103">
        <f>'Merluza cola Industrial'!J41</f>
        <v>0</v>
      </c>
      <c r="N48" s="119" t="s">
        <v>121</v>
      </c>
      <c r="O48" s="105">
        <f>'Merluza cola Industrial'!$B$5</f>
        <v>43465</v>
      </c>
    </row>
    <row r="49" spans="1:15">
      <c r="A49" s="96" t="s">
        <v>84</v>
      </c>
      <c r="B49" s="92" t="s">
        <v>85</v>
      </c>
      <c r="C49" s="94" t="s">
        <v>26</v>
      </c>
      <c r="D49" s="93" t="s">
        <v>83</v>
      </c>
      <c r="E49" t="s">
        <v>105</v>
      </c>
      <c r="F49" t="s">
        <v>86</v>
      </c>
      <c r="G49" t="s">
        <v>89</v>
      </c>
      <c r="H49" s="95">
        <f>'Merluza cola Industrial'!K40</f>
        <v>67.727000000000004</v>
      </c>
      <c r="I49" s="95">
        <f>'Merluza cola Industrial'!L40</f>
        <v>0</v>
      </c>
      <c r="J49" s="95">
        <f>'Merluza cola Industrial'!M40</f>
        <v>67.727000000000004</v>
      </c>
      <c r="K49" s="95">
        <f>'Merluza cola Industrial'!N40</f>
        <v>0</v>
      </c>
      <c r="L49" s="95">
        <f>'Merluza cola Industrial'!O40</f>
        <v>67.727000000000004</v>
      </c>
      <c r="M49" s="103">
        <f>'Merluza cola Industrial'!P40</f>
        <v>0</v>
      </c>
      <c r="N49" s="119" t="s">
        <v>121</v>
      </c>
      <c r="O49" s="105">
        <f>'Merluza cola Industrial'!$B$5</f>
        <v>43465</v>
      </c>
    </row>
    <row r="50" spans="1:15">
      <c r="A50" s="96" t="s">
        <v>84</v>
      </c>
      <c r="B50" s="92" t="s">
        <v>85</v>
      </c>
      <c r="C50" s="94" t="s">
        <v>26</v>
      </c>
      <c r="D50" s="93" t="s">
        <v>83</v>
      </c>
      <c r="E50" t="s">
        <v>106</v>
      </c>
      <c r="F50" s="92" t="s">
        <v>86</v>
      </c>
      <c r="G50" s="92" t="s">
        <v>87</v>
      </c>
      <c r="H50" s="95">
        <f>'Merluza cola Industrial'!E42</f>
        <v>1291.1369999999999</v>
      </c>
      <c r="I50" s="95">
        <f>'Merluza cola Industrial'!F42</f>
        <v>0</v>
      </c>
      <c r="J50" s="95">
        <f>'Merluza cola Industrial'!G42</f>
        <v>1291.1369999999999</v>
      </c>
      <c r="K50" s="95">
        <f>'Merluza cola Industrial'!H42</f>
        <v>392.03100000000001</v>
      </c>
      <c r="L50" s="95">
        <f>'Merluza cola Industrial'!I42</f>
        <v>899.10599999999999</v>
      </c>
      <c r="M50" s="103">
        <f>'Merluza cola Industrial'!J42</f>
        <v>0.30363237983265912</v>
      </c>
      <c r="N50" s="119" t="s">
        <v>121</v>
      </c>
      <c r="O50" s="105">
        <f>'Merluza cola Industrial'!$B$5</f>
        <v>43465</v>
      </c>
    </row>
    <row r="51" spans="1:15">
      <c r="A51" s="96" t="s">
        <v>84</v>
      </c>
      <c r="B51" s="92" t="s">
        <v>85</v>
      </c>
      <c r="C51" s="94" t="s">
        <v>26</v>
      </c>
      <c r="D51" s="93" t="s">
        <v>83</v>
      </c>
      <c r="E51" t="s">
        <v>106</v>
      </c>
      <c r="F51" t="s">
        <v>88</v>
      </c>
      <c r="G51" t="s">
        <v>89</v>
      </c>
      <c r="H51" s="95">
        <f>'Merluza cola Industrial'!E43</f>
        <v>1936.896</v>
      </c>
      <c r="I51" s="95">
        <f>'Merluza cola Industrial'!F43</f>
        <v>0</v>
      </c>
      <c r="J51" s="95">
        <f>'Merluza cola Industrial'!G43</f>
        <v>2836.002</v>
      </c>
      <c r="K51" s="95">
        <f>'Merluza cola Industrial'!H43</f>
        <v>868.23</v>
      </c>
      <c r="L51" s="95">
        <f>'Merluza cola Industrial'!I43</f>
        <v>1967.7719999999999</v>
      </c>
      <c r="M51" s="103">
        <f>'Merluza cola Industrial'!J43</f>
        <v>0.30614576435418595</v>
      </c>
      <c r="N51" s="119" t="s">
        <v>121</v>
      </c>
      <c r="O51" s="105">
        <f>'Merluza cola Industrial'!$B$5</f>
        <v>43465</v>
      </c>
    </row>
    <row r="52" spans="1:15">
      <c r="A52" s="96" t="s">
        <v>84</v>
      </c>
      <c r="B52" s="92" t="s">
        <v>85</v>
      </c>
      <c r="C52" s="94" t="s">
        <v>26</v>
      </c>
      <c r="D52" s="93" t="s">
        <v>83</v>
      </c>
      <c r="E52" t="s">
        <v>106</v>
      </c>
      <c r="F52" t="s">
        <v>86</v>
      </c>
      <c r="G52" t="s">
        <v>89</v>
      </c>
      <c r="H52" s="95">
        <f>'Merluza cola Industrial'!K42</f>
        <v>3228.0329999999999</v>
      </c>
      <c r="I52" s="95">
        <f>'Merluza cola Industrial'!L42</f>
        <v>0</v>
      </c>
      <c r="J52" s="95">
        <f>'Merluza cola Industrial'!M42</f>
        <v>3228.0329999999999</v>
      </c>
      <c r="K52" s="95">
        <f>'Merluza cola Industrial'!N42</f>
        <v>1260.261</v>
      </c>
      <c r="L52" s="95">
        <f>'Merluza cola Industrial'!O42</f>
        <v>1967.7719999999999</v>
      </c>
      <c r="M52" s="103">
        <f>'Merluza cola Industrial'!P42</f>
        <v>0.3904114363143128</v>
      </c>
      <c r="N52" s="119" t="s">
        <v>121</v>
      </c>
      <c r="O52" s="105">
        <f>'Merluza cola Industrial'!$B$5</f>
        <v>43465</v>
      </c>
    </row>
    <row r="53" spans="1:15">
      <c r="A53" s="96" t="s">
        <v>84</v>
      </c>
      <c r="B53" s="92" t="s">
        <v>85</v>
      </c>
      <c r="C53" s="94" t="s">
        <v>26</v>
      </c>
      <c r="D53" s="93" t="s">
        <v>83</v>
      </c>
      <c r="E53" s="94" t="s">
        <v>107</v>
      </c>
      <c r="F53" s="92" t="s">
        <v>86</v>
      </c>
      <c r="G53" s="92" t="s">
        <v>87</v>
      </c>
      <c r="H53" s="95">
        <f>'Merluza cola Industrial'!E44</f>
        <v>842.73</v>
      </c>
      <c r="I53" s="95">
        <f>'Merluza cola Industrial'!F44</f>
        <v>0</v>
      </c>
      <c r="J53" s="95">
        <f>'Merluza cola Industrial'!G44</f>
        <v>842.73</v>
      </c>
      <c r="K53" s="95">
        <f>'Merluza cola Industrial'!H44</f>
        <v>0</v>
      </c>
      <c r="L53" s="95">
        <f>'Merluza cola Industrial'!I44</f>
        <v>842.73</v>
      </c>
      <c r="M53" s="103">
        <f>'Merluza cola Industrial'!J44</f>
        <v>0</v>
      </c>
      <c r="N53" s="119" t="s">
        <v>121</v>
      </c>
      <c r="O53" s="105">
        <f>'Merluza cola Industrial'!$B$5</f>
        <v>43465</v>
      </c>
    </row>
    <row r="54" spans="1:15">
      <c r="A54" s="96" t="s">
        <v>84</v>
      </c>
      <c r="B54" s="92" t="s">
        <v>85</v>
      </c>
      <c r="C54" s="94" t="s">
        <v>26</v>
      </c>
      <c r="D54" s="93" t="s">
        <v>83</v>
      </c>
      <c r="E54" s="94" t="s">
        <v>107</v>
      </c>
      <c r="F54" t="s">
        <v>88</v>
      </c>
      <c r="G54" t="s">
        <v>89</v>
      </c>
      <c r="H54" s="95">
        <f>'Merluza cola Industrial'!E45</f>
        <v>1264.2190000000001</v>
      </c>
      <c r="I54" s="95">
        <f>'Merluza cola Industrial'!F45</f>
        <v>-2001.568</v>
      </c>
      <c r="J54" s="95">
        <f>'Merluza cola Industrial'!G45</f>
        <v>105.38100000000009</v>
      </c>
      <c r="K54" s="95">
        <f>'Merluza cola Industrial'!H45</f>
        <v>0.26400000000000001</v>
      </c>
      <c r="L54" s="95">
        <f>'Merluza cola Industrial'!I45</f>
        <v>105.11700000000009</v>
      </c>
      <c r="M54" s="103">
        <f>'Merluza cola Industrial'!J45</f>
        <v>2.5051954337119574E-3</v>
      </c>
      <c r="N54" s="119" t="s">
        <v>121</v>
      </c>
      <c r="O54" s="105">
        <f>'Merluza cola Industrial'!$B$5</f>
        <v>43465</v>
      </c>
    </row>
    <row r="55" spans="1:15">
      <c r="A55" s="96" t="s">
        <v>84</v>
      </c>
      <c r="B55" s="92" t="s">
        <v>85</v>
      </c>
      <c r="C55" s="94" t="s">
        <v>26</v>
      </c>
      <c r="D55" s="93" t="s">
        <v>83</v>
      </c>
      <c r="E55" s="94" t="s">
        <v>107</v>
      </c>
      <c r="F55" t="s">
        <v>86</v>
      </c>
      <c r="G55" t="s">
        <v>89</v>
      </c>
      <c r="H55" s="95">
        <f>'Merluza cola Industrial'!K44</f>
        <v>2106.9490000000001</v>
      </c>
      <c r="I55" s="95">
        <f>'Merluza cola Industrial'!L44</f>
        <v>-2001.568</v>
      </c>
      <c r="J55" s="95">
        <f>'Merluza cola Industrial'!M44</f>
        <v>105.38100000000009</v>
      </c>
      <c r="K55" s="95">
        <f>'Merluza cola Industrial'!N44</f>
        <v>0.26400000000000001</v>
      </c>
      <c r="L55" s="95">
        <f>'Merluza cola Industrial'!O44</f>
        <v>105.11700000000009</v>
      </c>
      <c r="M55" s="103">
        <f>'Merluza cola Industrial'!P44</f>
        <v>2.5051954337119574E-3</v>
      </c>
      <c r="N55" s="119" t="s">
        <v>121</v>
      </c>
      <c r="O55" s="105">
        <f>'Merluza cola Industrial'!$B$5</f>
        <v>43465</v>
      </c>
    </row>
    <row r="56" spans="1:15">
      <c r="A56" s="96" t="s">
        <v>84</v>
      </c>
      <c r="B56" s="92" t="s">
        <v>85</v>
      </c>
      <c r="C56" s="94" t="s">
        <v>26</v>
      </c>
      <c r="D56" s="93" t="s">
        <v>83</v>
      </c>
      <c r="E56" t="s">
        <v>108</v>
      </c>
      <c r="F56" s="92" t="s">
        <v>86</v>
      </c>
      <c r="G56" s="92" t="s">
        <v>87</v>
      </c>
      <c r="H56" s="95">
        <f>'Merluza cola Industrial'!E46</f>
        <v>0.10199999999999999</v>
      </c>
      <c r="I56" s="95">
        <f>'Merluza cola Industrial'!F46</f>
        <v>-0.25600000000000001</v>
      </c>
      <c r="J56" s="95">
        <f>'Merluza cola Industrial'!G46</f>
        <v>-0.15400000000000003</v>
      </c>
      <c r="K56" s="95">
        <f>'Merluza cola Industrial'!H46</f>
        <v>0</v>
      </c>
      <c r="L56" s="95">
        <f>'Merluza cola Industrial'!I46</f>
        <v>-0.15400000000000003</v>
      </c>
      <c r="M56" s="103">
        <f>'Merluza cola Industrial'!J46</f>
        <v>0</v>
      </c>
      <c r="N56" s="119" t="s">
        <v>121</v>
      </c>
      <c r="O56" s="105">
        <f>'Merluza cola Industrial'!$B$5</f>
        <v>43465</v>
      </c>
    </row>
    <row r="57" spans="1:15">
      <c r="A57" s="96" t="s">
        <v>84</v>
      </c>
      <c r="B57" s="92" t="s">
        <v>85</v>
      </c>
      <c r="C57" s="94" t="s">
        <v>26</v>
      </c>
      <c r="D57" s="93" t="s">
        <v>83</v>
      </c>
      <c r="E57" t="s">
        <v>108</v>
      </c>
      <c r="F57" t="s">
        <v>88</v>
      </c>
      <c r="G57" t="s">
        <v>89</v>
      </c>
      <c r="H57" s="95">
        <f>'Merluza cola Industrial'!E47</f>
        <v>0.154</v>
      </c>
      <c r="I57" s="95">
        <f>'Merluza cola Industrial'!F47</f>
        <v>0</v>
      </c>
      <c r="J57" s="95">
        <f>'Merluza cola Industrial'!G47</f>
        <v>0</v>
      </c>
      <c r="K57" s="95">
        <f>'Merluza cola Industrial'!H47</f>
        <v>0</v>
      </c>
      <c r="L57" s="95">
        <f>'Merluza cola Industrial'!I47</f>
        <v>0</v>
      </c>
      <c r="M57" s="103" t="e">
        <f>'Merluza cola Industrial'!J47</f>
        <v>#DIV/0!</v>
      </c>
      <c r="N57" s="119" t="s">
        <v>121</v>
      </c>
      <c r="O57" s="105">
        <f>'Merluza cola Industrial'!$B$5</f>
        <v>43465</v>
      </c>
    </row>
    <row r="58" spans="1:15">
      <c r="A58" s="96" t="s">
        <v>84</v>
      </c>
      <c r="B58" s="92" t="s">
        <v>85</v>
      </c>
      <c r="C58" s="94" t="s">
        <v>26</v>
      </c>
      <c r="D58" s="93" t="s">
        <v>83</v>
      </c>
      <c r="E58" t="s">
        <v>108</v>
      </c>
      <c r="F58" t="s">
        <v>86</v>
      </c>
      <c r="G58" t="s">
        <v>89</v>
      </c>
      <c r="H58" s="95">
        <f>'Merluza cola Industrial'!K46</f>
        <v>0.25600000000000001</v>
      </c>
      <c r="I58" s="95">
        <f>'Merluza cola Industrial'!L46</f>
        <v>-0.25600000000000001</v>
      </c>
      <c r="J58" s="95">
        <f>'Merluza cola Industrial'!M46</f>
        <v>0</v>
      </c>
      <c r="K58" s="95">
        <f>'Merluza cola Industrial'!N46</f>
        <v>0</v>
      </c>
      <c r="L58" s="95">
        <f>'Merluza cola Industrial'!O46</f>
        <v>0</v>
      </c>
      <c r="M58" s="103" t="e">
        <f>'Merluza cola Industrial'!P46</f>
        <v>#DIV/0!</v>
      </c>
      <c r="N58" s="119" t="s">
        <v>121</v>
      </c>
      <c r="O58" s="105">
        <f>'Merluza cola Industrial'!$B$5</f>
        <v>43465</v>
      </c>
    </row>
    <row r="59" spans="1:15">
      <c r="A59" s="96" t="s">
        <v>84</v>
      </c>
      <c r="B59" s="92" t="s">
        <v>85</v>
      </c>
      <c r="C59" s="94" t="s">
        <v>26</v>
      </c>
      <c r="D59" s="93" t="s">
        <v>83</v>
      </c>
      <c r="E59" t="s">
        <v>203</v>
      </c>
      <c r="F59" s="92" t="s">
        <v>86</v>
      </c>
      <c r="G59" s="92" t="s">
        <v>87</v>
      </c>
      <c r="H59" s="95">
        <f>'Merluza cola Industrial'!E48</f>
        <v>0</v>
      </c>
      <c r="I59" s="95">
        <f>'Merluza cola Industrial'!F48</f>
        <v>0</v>
      </c>
      <c r="J59" s="95">
        <f>'Merluza cola Industrial'!G48</f>
        <v>0</v>
      </c>
      <c r="K59" s="95">
        <f>'Merluza cola Industrial'!H48</f>
        <v>0</v>
      </c>
      <c r="L59" s="95">
        <f>'Merluza cola Industrial'!I48</f>
        <v>0</v>
      </c>
      <c r="M59" s="103" t="e">
        <f>'Merluza cola Industrial'!J48</f>
        <v>#DIV/0!</v>
      </c>
      <c r="N59" s="119" t="s">
        <v>121</v>
      </c>
      <c r="O59" s="105">
        <f>'Merluza cola Industrial'!$B$5</f>
        <v>43465</v>
      </c>
    </row>
    <row r="60" spans="1:15">
      <c r="A60" s="96" t="s">
        <v>84</v>
      </c>
      <c r="B60" s="92" t="s">
        <v>85</v>
      </c>
      <c r="C60" s="94" t="s">
        <v>26</v>
      </c>
      <c r="D60" s="93" t="s">
        <v>83</v>
      </c>
      <c r="E60" t="s">
        <v>203</v>
      </c>
      <c r="F60" t="s">
        <v>88</v>
      </c>
      <c r="G60" t="s">
        <v>89</v>
      </c>
      <c r="H60" s="95">
        <f>'Merluza cola Industrial'!E49</f>
        <v>0</v>
      </c>
      <c r="I60" s="95">
        <f>'Merluza cola Industrial'!F49</f>
        <v>0</v>
      </c>
      <c r="J60" s="95">
        <f>'Merluza cola Industrial'!G49</f>
        <v>0</v>
      </c>
      <c r="K60" s="95">
        <f>'Merluza cola Industrial'!H49</f>
        <v>0</v>
      </c>
      <c r="L60" s="95">
        <f>'Merluza cola Industrial'!I49</f>
        <v>0</v>
      </c>
      <c r="M60" s="103" t="e">
        <f>'Merluza cola Industrial'!J49</f>
        <v>#DIV/0!</v>
      </c>
      <c r="N60" s="119" t="s">
        <v>121</v>
      </c>
      <c r="O60" s="105">
        <f>'Merluza cola Industrial'!$B$5</f>
        <v>43465</v>
      </c>
    </row>
    <row r="61" spans="1:15">
      <c r="A61" s="96" t="s">
        <v>84</v>
      </c>
      <c r="B61" s="92" t="s">
        <v>85</v>
      </c>
      <c r="C61" s="94" t="s">
        <v>26</v>
      </c>
      <c r="D61" s="93" t="s">
        <v>83</v>
      </c>
      <c r="E61" t="s">
        <v>203</v>
      </c>
      <c r="F61" t="s">
        <v>86</v>
      </c>
      <c r="G61" t="s">
        <v>89</v>
      </c>
      <c r="H61" s="95">
        <f>'Merluza cola Industrial'!K48</f>
        <v>0</v>
      </c>
      <c r="I61" s="95">
        <f>'Merluza cola Industrial'!L48</f>
        <v>0</v>
      </c>
      <c r="J61" s="95">
        <f>'Merluza cola Industrial'!M48</f>
        <v>0</v>
      </c>
      <c r="K61" s="95">
        <f>'Merluza cola Industrial'!N48</f>
        <v>0</v>
      </c>
      <c r="L61" s="95">
        <f>'Merluza cola Industrial'!O48</f>
        <v>0</v>
      </c>
      <c r="M61" s="103" t="e">
        <f>'Merluza cola Industrial'!P48</f>
        <v>#DIV/0!</v>
      </c>
      <c r="N61" s="119" t="s">
        <v>121</v>
      </c>
      <c r="O61" s="105">
        <f>'Merluza cola Industrial'!$B$5</f>
        <v>43465</v>
      </c>
    </row>
    <row r="62" spans="1:15">
      <c r="A62" s="96" t="s">
        <v>84</v>
      </c>
      <c r="B62" s="92" t="s">
        <v>85</v>
      </c>
      <c r="C62" s="94" t="s">
        <v>26</v>
      </c>
      <c r="D62" s="91" t="s">
        <v>109</v>
      </c>
      <c r="E62" s="91" t="s">
        <v>110</v>
      </c>
      <c r="F62" s="92" t="s">
        <v>86</v>
      </c>
      <c r="G62" s="92" t="s">
        <v>89</v>
      </c>
      <c r="H62" s="95">
        <f>'Merluza cola Industrial'!AD12</f>
        <v>25368.996000000006</v>
      </c>
      <c r="I62" s="95">
        <f>'Merluza cola Industrial'!AE12</f>
        <v>-3150.2790000000005</v>
      </c>
      <c r="J62" s="95">
        <f>'Merluza cola Industrial'!AF12</f>
        <v>22218.717000000004</v>
      </c>
      <c r="K62" s="95">
        <f>'Merluza cola Industrial'!AG12</f>
        <v>7826.3240000000005</v>
      </c>
      <c r="L62" s="95">
        <f>'Merluza cola Industrial'!AH12</f>
        <v>14392.393000000004</v>
      </c>
      <c r="M62" s="103">
        <f>'Merluza cola Industrial'!J52</f>
        <v>0.26740000342350767</v>
      </c>
      <c r="N62" s="119" t="s">
        <v>121</v>
      </c>
      <c r="O62" s="105">
        <f>'Merluza cola Industrial'!$B$5</f>
        <v>43465</v>
      </c>
    </row>
    <row r="63" spans="1:15">
      <c r="A63" s="96" t="s">
        <v>111</v>
      </c>
      <c r="B63" s="92" t="s">
        <v>85</v>
      </c>
      <c r="C63" s="94" t="s">
        <v>48</v>
      </c>
      <c r="D63" s="93" t="s">
        <v>83</v>
      </c>
      <c r="E63" s="94" t="s">
        <v>91</v>
      </c>
      <c r="F63" s="92" t="s">
        <v>86</v>
      </c>
      <c r="G63" s="92" t="s">
        <v>87</v>
      </c>
      <c r="H63" s="95">
        <f>'Merluza cola Industrial'!E55</f>
        <v>2.56</v>
      </c>
      <c r="I63" s="95">
        <f>'Merluza cola Industrial'!F55</f>
        <v>0</v>
      </c>
      <c r="J63" s="95">
        <f>'Merluza cola Industrial'!G55</f>
        <v>2.56</v>
      </c>
      <c r="K63" s="95">
        <f>'Merluza cola Industrial'!H55</f>
        <v>0</v>
      </c>
      <c r="L63" s="95">
        <f>'Merluza cola Industrial'!I55</f>
        <v>2.56</v>
      </c>
      <c r="M63" s="103">
        <f>'Merluza cola Industrial'!J53</f>
        <v>0</v>
      </c>
      <c r="N63" s="119" t="s">
        <v>121</v>
      </c>
      <c r="O63" s="105">
        <f>'Merluza cola Industrial'!$B$5</f>
        <v>43465</v>
      </c>
    </row>
    <row r="64" spans="1:15">
      <c r="A64" s="96" t="s">
        <v>111</v>
      </c>
      <c r="B64" s="92" t="s">
        <v>85</v>
      </c>
      <c r="C64" s="94" t="s">
        <v>48</v>
      </c>
      <c r="D64" s="93" t="s">
        <v>83</v>
      </c>
      <c r="E64" s="94" t="s">
        <v>91</v>
      </c>
      <c r="F64" t="s">
        <v>88</v>
      </c>
      <c r="G64" t="s">
        <v>89</v>
      </c>
      <c r="H64" s="95">
        <f>'Merluza cola Industrial'!E56</f>
        <v>3.84</v>
      </c>
      <c r="I64" s="95">
        <f>'Merluza cola Industrial'!F56</f>
        <v>0</v>
      </c>
      <c r="J64" s="95">
        <f>'Merluza cola Industrial'!G56</f>
        <v>6.4</v>
      </c>
      <c r="K64" s="95">
        <f>'Merluza cola Industrial'!H56</f>
        <v>0</v>
      </c>
      <c r="L64" s="95">
        <f>'Merluza cola Industrial'!I56</f>
        <v>6.4</v>
      </c>
      <c r="M64" s="103">
        <f>'Merluza cola Industrial'!J54</f>
        <v>0</v>
      </c>
      <c r="N64" s="119" t="s">
        <v>121</v>
      </c>
      <c r="O64" s="105">
        <f>'Merluza cola Industrial'!$B$5</f>
        <v>43465</v>
      </c>
    </row>
    <row r="65" spans="1:15">
      <c r="A65" s="96" t="s">
        <v>111</v>
      </c>
      <c r="B65" s="92" t="s">
        <v>85</v>
      </c>
      <c r="C65" s="94" t="s">
        <v>48</v>
      </c>
      <c r="D65" s="93" t="s">
        <v>83</v>
      </c>
      <c r="E65" s="94" t="s">
        <v>91</v>
      </c>
      <c r="F65" t="s">
        <v>86</v>
      </c>
      <c r="G65" t="s">
        <v>89</v>
      </c>
      <c r="H65" s="95">
        <f>'Merluza cola Industrial'!K55</f>
        <v>6.4</v>
      </c>
      <c r="I65" s="95">
        <f>'Merluza cola Industrial'!L55</f>
        <v>0</v>
      </c>
      <c r="J65" s="95">
        <f>'Merluza cola Industrial'!M55</f>
        <v>6.4</v>
      </c>
      <c r="K65" s="95">
        <f>'Merluza cola Industrial'!N55</f>
        <v>0</v>
      </c>
      <c r="L65" s="95">
        <f>'Merluza cola Industrial'!O55</f>
        <v>6.4</v>
      </c>
      <c r="M65" s="103">
        <f>'Merluza cola Industrial'!P55</f>
        <v>0</v>
      </c>
      <c r="N65" s="119" t="s">
        <v>121</v>
      </c>
      <c r="O65" s="105">
        <f>'Merluza cola Industrial'!$B$5</f>
        <v>43465</v>
      </c>
    </row>
    <row r="66" spans="1:15">
      <c r="A66" s="96" t="s">
        <v>111</v>
      </c>
      <c r="B66" s="92" t="s">
        <v>85</v>
      </c>
      <c r="C66" s="94" t="s">
        <v>48</v>
      </c>
      <c r="D66" s="93" t="s">
        <v>83</v>
      </c>
      <c r="E66" t="s">
        <v>112</v>
      </c>
      <c r="F66" s="92" t="s">
        <v>86</v>
      </c>
      <c r="G66" s="92" t="s">
        <v>87</v>
      </c>
      <c r="H66" s="95">
        <f>'Merluza cola Industrial'!E57</f>
        <v>5250.35</v>
      </c>
      <c r="I66" s="95">
        <f>'Merluza cola Industrial'!F57</f>
        <v>0</v>
      </c>
      <c r="J66" s="95">
        <f>'Merluza cola Industrial'!G57</f>
        <v>5250.35</v>
      </c>
      <c r="K66" s="95">
        <f>'Merluza cola Industrial'!H57</f>
        <v>0</v>
      </c>
      <c r="L66" s="95">
        <f>'Merluza cola Industrial'!I57</f>
        <v>5250.35</v>
      </c>
      <c r="M66" s="103">
        <f>'Merluza cola Industrial'!J55</f>
        <v>0</v>
      </c>
      <c r="N66" s="119" t="s">
        <v>121</v>
      </c>
      <c r="O66" s="105">
        <f>'Merluza cola Industrial'!$B$5</f>
        <v>43465</v>
      </c>
    </row>
    <row r="67" spans="1:15">
      <c r="A67" s="96" t="s">
        <v>111</v>
      </c>
      <c r="B67" s="92" t="s">
        <v>85</v>
      </c>
      <c r="C67" s="94" t="s">
        <v>48</v>
      </c>
      <c r="D67" s="93" t="s">
        <v>83</v>
      </c>
      <c r="E67" t="s">
        <v>112</v>
      </c>
      <c r="F67" t="s">
        <v>88</v>
      </c>
      <c r="G67" t="s">
        <v>89</v>
      </c>
      <c r="H67" s="95">
        <f>'Merluza cola Industrial'!E58</f>
        <v>7875.1369999999997</v>
      </c>
      <c r="I67" s="95">
        <f>'Merluza cola Industrial'!F58</f>
        <v>-4161.7029999999995</v>
      </c>
      <c r="J67" s="95">
        <f>'Merluza cola Industrial'!G58</f>
        <v>8963.7839999999997</v>
      </c>
      <c r="K67" s="95">
        <f>'Merluza cola Industrial'!H58</f>
        <v>4364.7299999999996</v>
      </c>
      <c r="L67" s="95">
        <f>'Merluza cola Industrial'!I58</f>
        <v>4599.0540000000001</v>
      </c>
      <c r="M67" s="103">
        <f>'Merluza cola Industrial'!J56</f>
        <v>0</v>
      </c>
      <c r="N67" s="119" t="s">
        <v>121</v>
      </c>
      <c r="O67" s="105">
        <f>'Merluza cola Industrial'!$B$5</f>
        <v>43465</v>
      </c>
    </row>
    <row r="68" spans="1:15">
      <c r="A68" s="96" t="s">
        <v>111</v>
      </c>
      <c r="B68" s="92" t="s">
        <v>85</v>
      </c>
      <c r="C68" s="94" t="s">
        <v>48</v>
      </c>
      <c r="D68" s="93" t="s">
        <v>83</v>
      </c>
      <c r="E68" t="s">
        <v>112</v>
      </c>
      <c r="F68" t="s">
        <v>86</v>
      </c>
      <c r="G68" t="s">
        <v>89</v>
      </c>
      <c r="H68" s="95">
        <f>'Merluza cola Industrial'!K57</f>
        <v>13125.487000000001</v>
      </c>
      <c r="I68" s="95">
        <f>'Merluza cola Industrial'!L57</f>
        <v>-4161.7029999999995</v>
      </c>
      <c r="J68" s="95">
        <f>'Merluza cola Industrial'!M57</f>
        <v>8963.7840000000015</v>
      </c>
      <c r="K68" s="95">
        <f>'Merluza cola Industrial'!N57</f>
        <v>4364.7299999999996</v>
      </c>
      <c r="L68" s="95">
        <f>'Merluza cola Industrial'!O57</f>
        <v>4599.0540000000019</v>
      </c>
      <c r="M68" s="103">
        <f>'Merluza cola Industrial'!P57</f>
        <v>0.48692940392137951</v>
      </c>
      <c r="N68" s="119" t="s">
        <v>121</v>
      </c>
      <c r="O68" s="105">
        <f>'Merluza cola Industrial'!$B$5</f>
        <v>43465</v>
      </c>
    </row>
    <row r="69" spans="1:15">
      <c r="A69" s="96" t="s">
        <v>111</v>
      </c>
      <c r="B69" s="92" t="s">
        <v>85</v>
      </c>
      <c r="C69" s="94" t="s">
        <v>48</v>
      </c>
      <c r="D69" s="93" t="s">
        <v>83</v>
      </c>
      <c r="E69" s="94" t="s">
        <v>95</v>
      </c>
      <c r="F69" s="92" t="s">
        <v>86</v>
      </c>
      <c r="G69" s="92" t="s">
        <v>87</v>
      </c>
      <c r="H69" s="95">
        <f>'Merluza cola Industrial'!E59</f>
        <v>661.39800000000002</v>
      </c>
      <c r="I69" s="95">
        <f>'Merluza cola Industrial'!F59</f>
        <v>0</v>
      </c>
      <c r="J69" s="95">
        <f>'Merluza cola Industrial'!G59</f>
        <v>661.39800000000002</v>
      </c>
      <c r="K69" s="95">
        <f>'Merluza cola Industrial'!H59</f>
        <v>24.946999999999996</v>
      </c>
      <c r="L69" s="95">
        <f>'Merluza cola Industrial'!I59</f>
        <v>636.45100000000002</v>
      </c>
      <c r="M69" s="103">
        <f>'Merluza cola Industrial'!J57</f>
        <v>0</v>
      </c>
      <c r="N69" s="119" t="s">
        <v>121</v>
      </c>
      <c r="O69" s="105">
        <f>'Merluza cola Industrial'!$B$5</f>
        <v>43465</v>
      </c>
    </row>
    <row r="70" spans="1:15">
      <c r="A70" s="96" t="s">
        <v>111</v>
      </c>
      <c r="B70" s="92" t="s">
        <v>85</v>
      </c>
      <c r="C70" s="94" t="s">
        <v>48</v>
      </c>
      <c r="D70" s="93" t="s">
        <v>83</v>
      </c>
      <c r="E70" s="94" t="s">
        <v>95</v>
      </c>
      <c r="F70" t="s">
        <v>88</v>
      </c>
      <c r="G70" t="s">
        <v>89</v>
      </c>
      <c r="H70" s="95">
        <f>'Merluza cola Industrial'!E60</f>
        <v>992.048</v>
      </c>
      <c r="I70" s="95">
        <f>'Merluza cola Industrial'!F60</f>
        <v>1596.4859999999999</v>
      </c>
      <c r="J70" s="95">
        <f>'Merluza cola Industrial'!G60</f>
        <v>3224.9849999999997</v>
      </c>
      <c r="K70" s="95">
        <f>'Merluza cola Industrial'!H60</f>
        <v>2161.7370000000001</v>
      </c>
      <c r="L70" s="95">
        <f>'Merluza cola Industrial'!I60</f>
        <v>1063.2479999999996</v>
      </c>
      <c r="M70" s="103">
        <f>'Merluza cola Industrial'!J58</f>
        <v>0.48692940392137962</v>
      </c>
      <c r="N70" s="119" t="s">
        <v>121</v>
      </c>
      <c r="O70" s="105">
        <f>'Merluza cola Industrial'!$B$5</f>
        <v>43465</v>
      </c>
    </row>
    <row r="71" spans="1:15">
      <c r="A71" s="96" t="s">
        <v>111</v>
      </c>
      <c r="B71" s="92" t="s">
        <v>85</v>
      </c>
      <c r="C71" s="94" t="s">
        <v>48</v>
      </c>
      <c r="D71" s="93" t="s">
        <v>83</v>
      </c>
      <c r="E71" s="94" t="s">
        <v>95</v>
      </c>
      <c r="F71" t="s">
        <v>86</v>
      </c>
      <c r="G71" t="s">
        <v>89</v>
      </c>
      <c r="H71" s="95">
        <f>'Merluza cola Industrial'!K59</f>
        <v>1653.4459999999999</v>
      </c>
      <c r="I71" s="95">
        <f>'Merluza cola Industrial'!L59</f>
        <v>1596.4859999999999</v>
      </c>
      <c r="J71" s="95">
        <f>'Merluza cola Industrial'!M59</f>
        <v>3249.9319999999998</v>
      </c>
      <c r="K71" s="95">
        <f>'Merluza cola Industrial'!N59</f>
        <v>2186.6840000000002</v>
      </c>
      <c r="L71" s="95">
        <f>'Merluza cola Industrial'!O59</f>
        <v>1063.2479999999996</v>
      </c>
      <c r="M71" s="103">
        <f>'Merluza cola Industrial'!P59</f>
        <v>0.67283992403533377</v>
      </c>
      <c r="N71" s="119" t="s">
        <v>121</v>
      </c>
      <c r="O71" s="105">
        <f>'Merluza cola Industrial'!$B$5</f>
        <v>43465</v>
      </c>
    </row>
    <row r="72" spans="1:15">
      <c r="A72" s="96" t="s">
        <v>111</v>
      </c>
      <c r="B72" s="92" t="s">
        <v>85</v>
      </c>
      <c r="C72" s="94" t="s">
        <v>48</v>
      </c>
      <c r="D72" s="93" t="s">
        <v>83</v>
      </c>
      <c r="E72" s="94" t="s">
        <v>104</v>
      </c>
      <c r="F72" s="92" t="s">
        <v>86</v>
      </c>
      <c r="G72" s="92" t="s">
        <v>87</v>
      </c>
      <c r="H72" s="95">
        <f>'Merluza cola Industrial'!E61</f>
        <v>611.976</v>
      </c>
      <c r="I72" s="95">
        <f>'Merluza cola Industrial'!F61</f>
        <v>0</v>
      </c>
      <c r="J72" s="95">
        <f>'Merluza cola Industrial'!G61</f>
        <v>611.976</v>
      </c>
      <c r="K72" s="95">
        <f>'Merluza cola Industrial'!H61</f>
        <v>10.541</v>
      </c>
      <c r="L72" s="95">
        <f>'Merluza cola Industrial'!I61</f>
        <v>601.43499999999995</v>
      </c>
      <c r="M72" s="103">
        <f>'Merluza cola Industrial'!J59</f>
        <v>3.7718590016903579E-2</v>
      </c>
      <c r="N72" s="119" t="s">
        <v>121</v>
      </c>
      <c r="O72" s="105">
        <f>'Merluza cola Industrial'!$B$5</f>
        <v>43465</v>
      </c>
    </row>
    <row r="73" spans="1:15">
      <c r="A73" s="96" t="s">
        <v>111</v>
      </c>
      <c r="B73" s="92" t="s">
        <v>85</v>
      </c>
      <c r="C73" s="94" t="s">
        <v>48</v>
      </c>
      <c r="D73" s="93" t="s">
        <v>83</v>
      </c>
      <c r="E73" s="94" t="s">
        <v>104</v>
      </c>
      <c r="F73" t="s">
        <v>88</v>
      </c>
      <c r="G73" t="s">
        <v>89</v>
      </c>
      <c r="H73" s="95">
        <f>'Merluza cola Industrial'!E62</f>
        <v>917.91899999999998</v>
      </c>
      <c r="I73" s="95">
        <f>'Merluza cola Industrial'!F62</f>
        <v>3432.29</v>
      </c>
      <c r="J73" s="95">
        <f>'Merluza cola Industrial'!G62</f>
        <v>4951.6440000000002</v>
      </c>
      <c r="K73" s="95">
        <f>'Merluza cola Industrial'!H62</f>
        <v>571.68399999999997</v>
      </c>
      <c r="L73" s="95">
        <f>'Merluza cola Industrial'!I62</f>
        <v>4379.96</v>
      </c>
      <c r="M73" s="103">
        <f>'Merluza cola Industrial'!J60</f>
        <v>0.67030916422867093</v>
      </c>
      <c r="N73" s="119" t="s">
        <v>121</v>
      </c>
      <c r="O73" s="105">
        <f>'Merluza cola Industrial'!$B$5</f>
        <v>43465</v>
      </c>
    </row>
    <row r="74" spans="1:15">
      <c r="A74" s="96" t="s">
        <v>111</v>
      </c>
      <c r="B74" s="92" t="s">
        <v>85</v>
      </c>
      <c r="C74" s="94" t="s">
        <v>48</v>
      </c>
      <c r="D74" s="93" t="s">
        <v>83</v>
      </c>
      <c r="E74" s="94" t="s">
        <v>104</v>
      </c>
      <c r="F74" t="s">
        <v>86</v>
      </c>
      <c r="G74" t="s">
        <v>89</v>
      </c>
      <c r="H74" s="95">
        <f>'Merluza cola Industrial'!K61</f>
        <v>1529.895</v>
      </c>
      <c r="I74" s="95">
        <f>'Merluza cola Industrial'!L61</f>
        <v>3432.29</v>
      </c>
      <c r="J74" s="95">
        <f>'Merluza cola Industrial'!M61</f>
        <v>4962.1849999999995</v>
      </c>
      <c r="K74" s="95">
        <f>'Merluza cola Industrial'!N61</f>
        <v>582.22500000000002</v>
      </c>
      <c r="L74" s="95">
        <f>'Merluza cola Industrial'!O61</f>
        <v>4379.9599999999991</v>
      </c>
      <c r="M74" s="103">
        <f>'Merluza cola Industrial'!P61</f>
        <v>0.1173323848264424</v>
      </c>
      <c r="N74" s="119" t="s">
        <v>121</v>
      </c>
      <c r="O74" s="105">
        <f>'Merluza cola Industrial'!$B$5</f>
        <v>43465</v>
      </c>
    </row>
    <row r="75" spans="1:15">
      <c r="A75" s="96" t="s">
        <v>111</v>
      </c>
      <c r="B75" s="92" t="s">
        <v>85</v>
      </c>
      <c r="C75" s="94" t="s">
        <v>48</v>
      </c>
      <c r="D75" s="93" t="s">
        <v>83</v>
      </c>
      <c r="E75" t="s">
        <v>108</v>
      </c>
      <c r="F75" s="92" t="s">
        <v>86</v>
      </c>
      <c r="G75" s="92" t="s">
        <v>87</v>
      </c>
      <c r="H75" s="95">
        <f>'Merluza cola Industrial'!E63</f>
        <v>6.8000000000000005E-2</v>
      </c>
      <c r="I75" s="95">
        <f>'Merluza cola Industrial'!F63</f>
        <v>0.25600000000000001</v>
      </c>
      <c r="J75" s="95">
        <f>'Merluza cola Industrial'!G63</f>
        <v>0.32400000000000001</v>
      </c>
      <c r="K75" s="95">
        <f>'Merluza cola Industrial'!H63</f>
        <v>0</v>
      </c>
      <c r="L75" s="95">
        <f>'Merluza cola Industrial'!I63</f>
        <v>0.32400000000000001</v>
      </c>
      <c r="M75" s="103">
        <f>'Merluza cola Industrial'!J61</f>
        <v>1.7224531680980953E-2</v>
      </c>
      <c r="N75" s="119" t="s">
        <v>121</v>
      </c>
      <c r="O75" s="105">
        <f>'Merluza cola Industrial'!$B$5</f>
        <v>43465</v>
      </c>
    </row>
    <row r="76" spans="1:15">
      <c r="A76" s="96" t="s">
        <v>111</v>
      </c>
      <c r="B76" s="92" t="s">
        <v>85</v>
      </c>
      <c r="C76" s="94" t="s">
        <v>48</v>
      </c>
      <c r="D76" s="93" t="s">
        <v>83</v>
      </c>
      <c r="E76" t="s">
        <v>108</v>
      </c>
      <c r="F76" t="s">
        <v>88</v>
      </c>
      <c r="G76" t="s">
        <v>89</v>
      </c>
      <c r="H76" s="95">
        <f>'Merluza cola Industrial'!E64</f>
        <v>0.10100000000000001</v>
      </c>
      <c r="I76" s="95">
        <f>'Merluza cola Industrial'!F64</f>
        <v>0</v>
      </c>
      <c r="J76" s="95">
        <f>'Merluza cola Industrial'!G64</f>
        <v>0.42500000000000004</v>
      </c>
      <c r="K76" s="95">
        <f>'Merluza cola Industrial'!H64</f>
        <v>0</v>
      </c>
      <c r="L76" s="95">
        <f>'Merluza cola Industrial'!I64</f>
        <v>0.42500000000000004</v>
      </c>
      <c r="M76" s="103">
        <f>'Merluza cola Industrial'!J62</f>
        <v>0.11545337265764662</v>
      </c>
      <c r="N76" s="119" t="s">
        <v>121</v>
      </c>
      <c r="O76" s="105">
        <f>'Merluza cola Industrial'!$B$5</f>
        <v>43465</v>
      </c>
    </row>
    <row r="77" spans="1:15">
      <c r="A77" s="96" t="s">
        <v>111</v>
      </c>
      <c r="B77" s="92" t="s">
        <v>85</v>
      </c>
      <c r="C77" s="94" t="s">
        <v>48</v>
      </c>
      <c r="D77" s="93" t="s">
        <v>83</v>
      </c>
      <c r="E77" t="s">
        <v>108</v>
      </c>
      <c r="F77" t="s">
        <v>86</v>
      </c>
      <c r="G77" t="s">
        <v>89</v>
      </c>
      <c r="H77" s="95">
        <f>'Merluza cola Industrial'!E65</f>
        <v>238.61799999999999</v>
      </c>
      <c r="I77" s="95">
        <f>'Merluza cola Industrial'!F65</f>
        <v>0</v>
      </c>
      <c r="J77" s="95">
        <f>'Merluza cola Industrial'!G65</f>
        <v>238.61799999999999</v>
      </c>
      <c r="K77" s="95">
        <f>'Merluza cola Industrial'!H65</f>
        <v>25.39</v>
      </c>
      <c r="L77" s="95">
        <f>'Merluza cola Industrial'!I65</f>
        <v>213.22800000000001</v>
      </c>
      <c r="M77" s="103">
        <f>'Merluza cola Industrial'!J63</f>
        <v>0</v>
      </c>
      <c r="N77" s="119" t="s">
        <v>121</v>
      </c>
      <c r="O77" s="105">
        <f>'Merluza cola Industrial'!$B$5</f>
        <v>43465</v>
      </c>
    </row>
    <row r="78" spans="1:15">
      <c r="A78" s="96" t="s">
        <v>111</v>
      </c>
      <c r="B78" s="92" t="s">
        <v>85</v>
      </c>
      <c r="C78" s="94" t="s">
        <v>48</v>
      </c>
      <c r="D78" s="93" t="s">
        <v>83</v>
      </c>
      <c r="E78" t="s">
        <v>106</v>
      </c>
      <c r="F78" s="92" t="s">
        <v>86</v>
      </c>
      <c r="G78" s="92" t="s">
        <v>87</v>
      </c>
      <c r="H78" s="95">
        <f>'Merluza cola Industrial'!E65</f>
        <v>238.61799999999999</v>
      </c>
      <c r="I78" s="95">
        <f>'Merluza cola Industrial'!F65</f>
        <v>0</v>
      </c>
      <c r="J78" s="95">
        <f>'Merluza cola Industrial'!G65</f>
        <v>238.61799999999999</v>
      </c>
      <c r="K78" s="95">
        <f>'Merluza cola Industrial'!H65</f>
        <v>25.39</v>
      </c>
      <c r="L78" s="95">
        <f>'Merluza cola Industrial'!I65</f>
        <v>213.22800000000001</v>
      </c>
      <c r="M78" s="103">
        <f>'Merluza cola Industrial'!J63</f>
        <v>0</v>
      </c>
      <c r="N78" s="119" t="s">
        <v>121</v>
      </c>
      <c r="O78" s="105">
        <f>'Merluza cola Industrial'!$B$5</f>
        <v>43465</v>
      </c>
    </row>
    <row r="79" spans="1:15">
      <c r="A79" s="96" t="s">
        <v>111</v>
      </c>
      <c r="B79" s="92" t="s">
        <v>85</v>
      </c>
      <c r="C79" s="94" t="s">
        <v>48</v>
      </c>
      <c r="D79" s="93" t="s">
        <v>83</v>
      </c>
      <c r="E79" t="s">
        <v>106</v>
      </c>
      <c r="F79" t="s">
        <v>88</v>
      </c>
      <c r="G79" t="s">
        <v>89</v>
      </c>
      <c r="H79" s="95">
        <f>'Merluza cola Industrial'!E66</f>
        <v>357.90899999999999</v>
      </c>
      <c r="I79" s="95">
        <f>'Merluza cola Industrial'!F66</f>
        <v>2282.9499999999998</v>
      </c>
      <c r="J79" s="95">
        <f>'Merluza cola Industrial'!G66</f>
        <v>2854.087</v>
      </c>
      <c r="K79" s="95">
        <f>'Merluza cola Industrial'!H66</f>
        <v>2052.4229999999998</v>
      </c>
      <c r="L79" s="95">
        <f>'Merluza cola Industrial'!I66</f>
        <v>801.66400000000021</v>
      </c>
      <c r="M79" s="103">
        <f>'Merluza cola Industrial'!J64</f>
        <v>0</v>
      </c>
      <c r="N79" s="119" t="s">
        <v>121</v>
      </c>
      <c r="O79" s="105">
        <f>'Merluza cola Industrial'!$B$5</f>
        <v>43465</v>
      </c>
    </row>
    <row r="80" spans="1:15">
      <c r="A80" s="96" t="s">
        <v>111</v>
      </c>
      <c r="B80" s="92" t="s">
        <v>85</v>
      </c>
      <c r="C80" s="94" t="s">
        <v>48</v>
      </c>
      <c r="D80" s="93" t="s">
        <v>83</v>
      </c>
      <c r="E80" t="s">
        <v>106</v>
      </c>
      <c r="F80" t="s">
        <v>86</v>
      </c>
      <c r="G80" t="s">
        <v>89</v>
      </c>
      <c r="H80" s="95">
        <f>'Merluza cola Industrial'!E67</f>
        <v>16911.923999999999</v>
      </c>
      <c r="I80" s="95">
        <f>'Merluza cola Industrial'!F67</f>
        <v>3150.279</v>
      </c>
      <c r="J80" s="95">
        <f>'Merluza cola Industrial'!G67</f>
        <v>13761.644999999999</v>
      </c>
      <c r="K80" s="95">
        <f>'Merluza cola Industrial'!H67</f>
        <v>9211.4520000000011</v>
      </c>
      <c r="L80" s="95">
        <f>'Merluza cola Industrial'!I67</f>
        <v>4550.1929999999975</v>
      </c>
      <c r="M80" s="103">
        <f>'Merluza cola Industrial'!J65</f>
        <v>0.1064043785464634</v>
      </c>
      <c r="N80" s="119" t="s">
        <v>121</v>
      </c>
      <c r="O80" s="105">
        <f>'Merluza cola Industrial'!$B$5</f>
        <v>43465</v>
      </c>
    </row>
    <row r="81" spans="1:15">
      <c r="A81" s="96" t="s">
        <v>111</v>
      </c>
      <c r="B81" s="92" t="s">
        <v>85</v>
      </c>
      <c r="C81" s="94" t="s">
        <v>48</v>
      </c>
      <c r="D81" s="91" t="s">
        <v>109</v>
      </c>
      <c r="E81" s="91" t="s">
        <v>110</v>
      </c>
      <c r="F81" s="92" t="s">
        <v>86</v>
      </c>
      <c r="G81" s="92" t="s">
        <v>89</v>
      </c>
      <c r="H81" s="95">
        <f>'Merluza cola Industrial'!AD57</f>
        <v>16911.923999999999</v>
      </c>
      <c r="I81" s="95">
        <f>'Merluza cola Industrial'!AE57</f>
        <v>3150.279</v>
      </c>
      <c r="J81" s="95">
        <f>'Merluza cola Industrial'!AF57</f>
        <v>20062.202999999998</v>
      </c>
      <c r="K81" s="95">
        <f>'Merluza cola Industrial'!AG57</f>
        <v>9211.4520000000011</v>
      </c>
      <c r="L81" s="95">
        <f>'Merluza cola Industrial'!AH57</f>
        <v>10850.750999999997</v>
      </c>
      <c r="M81" s="103">
        <f>'Merluza cola Industrial'!AI57</f>
        <v>0.45914459144890529</v>
      </c>
      <c r="N81" s="119" t="s">
        <v>121</v>
      </c>
      <c r="O81" s="105">
        <f>'Merluza cola Industrial'!$B$5</f>
        <v>43465</v>
      </c>
    </row>
    <row r="82" spans="1:15">
      <c r="A82" s="117" t="s">
        <v>117</v>
      </c>
      <c r="B82" s="92" t="s">
        <v>85</v>
      </c>
      <c r="C82" s="94" t="s">
        <v>118</v>
      </c>
      <c r="D82" s="93" t="s">
        <v>119</v>
      </c>
      <c r="E82" s="118" t="s">
        <v>120</v>
      </c>
      <c r="F82" s="92" t="s">
        <v>86</v>
      </c>
      <c r="G82" s="92" t="s">
        <v>89</v>
      </c>
      <c r="H82" s="95">
        <f>'Resumen periodo Merluza de cola'!E13</f>
        <v>120</v>
      </c>
      <c r="I82" s="95">
        <f>'Resumen periodo Merluza de cola'!F13</f>
        <v>0</v>
      </c>
      <c r="J82" s="95">
        <f>'Resumen periodo Merluza de cola'!G13</f>
        <v>120</v>
      </c>
      <c r="K82" s="95">
        <f>'Resumen periodo Merluza de cola'!H13</f>
        <v>3.3000000000000002E-2</v>
      </c>
      <c r="L82" s="95">
        <f>'Resumen periodo Merluza de cola'!I13</f>
        <v>119.967</v>
      </c>
      <c r="M82" s="103">
        <f>'Resumen periodo Merluza de cola'!J13</f>
        <v>2.7500000000000002E-4</v>
      </c>
      <c r="N82" s="119" t="s">
        <v>121</v>
      </c>
      <c r="O82" s="105">
        <f>'Resumen periodo Merluza de cola'!B5</f>
        <v>43465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48"/>
  <sheetViews>
    <sheetView topLeftCell="A124" zoomScale="80" zoomScaleNormal="80" workbookViewId="0">
      <selection activeCell="B40" sqref="B40"/>
    </sheetView>
  </sheetViews>
  <sheetFormatPr baseColWidth="10" defaultRowHeight="15"/>
  <cols>
    <col min="2" max="2" width="39.140625" customWidth="1"/>
    <col min="3" max="3" width="17.28515625" customWidth="1"/>
    <col min="4" max="4" width="22" bestFit="1" customWidth="1"/>
    <col min="5" max="5" width="25.7109375" customWidth="1"/>
    <col min="6" max="6" width="29.42578125" customWidth="1"/>
    <col min="7" max="7" width="22" bestFit="1" customWidth="1"/>
    <col min="8" max="8" width="16.85546875" customWidth="1"/>
    <col min="12" max="12" width="24.28515625" bestFit="1" customWidth="1"/>
  </cols>
  <sheetData>
    <row r="1" spans="2:6">
      <c r="B1" s="149" t="s">
        <v>154</v>
      </c>
      <c r="C1" s="142"/>
      <c r="D1" s="142"/>
      <c r="E1" s="142"/>
      <c r="F1" s="142"/>
    </row>
    <row r="3" spans="2:6">
      <c r="B3" s="150" t="s">
        <v>155</v>
      </c>
      <c r="C3" s="151" t="s">
        <v>156</v>
      </c>
      <c r="D3" s="151" t="s">
        <v>157</v>
      </c>
      <c r="E3" s="152" t="s">
        <v>158</v>
      </c>
      <c r="F3" s="153" t="s">
        <v>159</v>
      </c>
    </row>
    <row r="4" spans="2:6">
      <c r="B4" s="143" t="s">
        <v>160</v>
      </c>
      <c r="C4" s="144">
        <v>0.1298078</v>
      </c>
      <c r="D4" s="148">
        <v>1317.16</v>
      </c>
      <c r="E4" s="145">
        <v>1975.934</v>
      </c>
      <c r="F4" s="145">
        <v>3293.0940000000001</v>
      </c>
    </row>
    <row r="5" spans="2:6">
      <c r="B5" s="143" t="s">
        <v>161</v>
      </c>
      <c r="C5" s="144">
        <v>0.14053170000000001</v>
      </c>
      <c r="D5" s="145">
        <v>1425.9749999999999</v>
      </c>
      <c r="E5" s="145">
        <v>2139.174</v>
      </c>
      <c r="F5" s="145">
        <v>3565.1489999999999</v>
      </c>
    </row>
    <row r="6" spans="2:6">
      <c r="B6" s="143" t="s">
        <v>162</v>
      </c>
      <c r="C6" s="144">
        <v>1E-4</v>
      </c>
      <c r="D6" s="146">
        <v>1.0149999999999999</v>
      </c>
      <c r="E6" s="146">
        <v>1.522</v>
      </c>
      <c r="F6" s="146">
        <v>2.5369999999999999</v>
      </c>
    </row>
    <row r="7" spans="2:6">
      <c r="B7" s="143" t="s">
        <v>163</v>
      </c>
      <c r="C7" s="144">
        <v>7.6321200000000006E-2</v>
      </c>
      <c r="D7" s="146">
        <v>774.43100000000004</v>
      </c>
      <c r="E7" s="145">
        <v>1161.761</v>
      </c>
      <c r="F7" s="145">
        <v>1936.193</v>
      </c>
    </row>
    <row r="8" spans="2:6">
      <c r="B8" s="143" t="s">
        <v>164</v>
      </c>
      <c r="C8" s="144">
        <v>3.3191600000000002E-2</v>
      </c>
      <c r="D8" s="146">
        <v>336.79500000000002</v>
      </c>
      <c r="E8" s="146">
        <v>505.24299999999999</v>
      </c>
      <c r="F8" s="146">
        <v>842.03800000000001</v>
      </c>
    </row>
    <row r="9" spans="2:6">
      <c r="B9" s="143" t="s">
        <v>165</v>
      </c>
      <c r="C9" s="144">
        <v>2.0000000000000002E-5</v>
      </c>
      <c r="D9" s="146">
        <v>0.20300000000000001</v>
      </c>
      <c r="E9" s="146">
        <v>0.30399999999999999</v>
      </c>
      <c r="F9" s="146">
        <v>0.50700000000000001</v>
      </c>
    </row>
    <row r="10" spans="2:6">
      <c r="B10" s="143" t="s">
        <v>166</v>
      </c>
      <c r="C10" s="144">
        <v>5.4603000000000004E-3</v>
      </c>
      <c r="D10" s="146">
        <v>55.405999999999999</v>
      </c>
      <c r="E10" s="146">
        <v>83.117000000000004</v>
      </c>
      <c r="F10" s="146">
        <v>138.52199999999999</v>
      </c>
    </row>
    <row r="11" spans="2:6">
      <c r="B11" s="143" t="s">
        <v>167</v>
      </c>
      <c r="C11" s="144">
        <v>0.12668599999999999</v>
      </c>
      <c r="D11" s="145">
        <v>1285.4829999999999</v>
      </c>
      <c r="E11" s="145">
        <v>1928.414</v>
      </c>
      <c r="F11" s="145">
        <v>3213.8969999999999</v>
      </c>
    </row>
    <row r="12" spans="2:6">
      <c r="B12" s="143" t="s">
        <v>164</v>
      </c>
      <c r="C12" s="144">
        <v>5.3096000000000003E-3</v>
      </c>
      <c r="D12" s="146">
        <v>53.877000000000002</v>
      </c>
      <c r="E12" s="146">
        <v>80.822999999999993</v>
      </c>
      <c r="F12" s="146">
        <v>134.69900000000001</v>
      </c>
    </row>
    <row r="13" spans="2:6">
      <c r="B13" s="143" t="s">
        <v>164</v>
      </c>
      <c r="C13" s="144">
        <v>2.3E-5</v>
      </c>
      <c r="D13" s="146">
        <v>0.23300000000000001</v>
      </c>
      <c r="E13" s="146">
        <v>0.35</v>
      </c>
      <c r="F13" s="146">
        <v>0.58299999999999996</v>
      </c>
    </row>
    <row r="14" spans="2:6">
      <c r="B14" s="143" t="s">
        <v>168</v>
      </c>
      <c r="C14" s="144">
        <v>9.4626999999999992E-3</v>
      </c>
      <c r="D14" s="146">
        <v>96.018000000000001</v>
      </c>
      <c r="E14" s="146">
        <v>144.041</v>
      </c>
      <c r="F14" s="146">
        <v>240.059</v>
      </c>
    </row>
    <row r="15" spans="2:6">
      <c r="B15" s="143" t="s">
        <v>169</v>
      </c>
      <c r="C15" s="144">
        <v>6.2207E-3</v>
      </c>
      <c r="D15" s="146">
        <v>63.121000000000002</v>
      </c>
      <c r="E15" s="146">
        <v>94.691000000000003</v>
      </c>
      <c r="F15" s="146">
        <v>157.81299999999999</v>
      </c>
    </row>
    <row r="16" spans="2:6">
      <c r="B16" s="143" t="s">
        <v>170</v>
      </c>
      <c r="C16" s="144">
        <v>2.9831300000000002E-2</v>
      </c>
      <c r="D16" s="146">
        <v>302.69799999999998</v>
      </c>
      <c r="E16" s="146">
        <v>454.09199999999998</v>
      </c>
      <c r="F16" s="147">
        <v>756.79</v>
      </c>
    </row>
    <row r="17" spans="2:6">
      <c r="B17" s="143" t="s">
        <v>171</v>
      </c>
      <c r="C17" s="144">
        <v>1.01E-5</v>
      </c>
      <c r="D17" s="146">
        <v>0.10199999999999999</v>
      </c>
      <c r="E17" s="146">
        <v>0.154</v>
      </c>
      <c r="F17" s="146">
        <v>0.25600000000000001</v>
      </c>
    </row>
    <row r="18" spans="2:6">
      <c r="B18" s="154" t="s">
        <v>172</v>
      </c>
      <c r="C18" s="155">
        <v>1.01E-5</v>
      </c>
      <c r="D18" s="157">
        <v>0.10199999999999999</v>
      </c>
      <c r="E18" s="157">
        <v>0.154</v>
      </c>
      <c r="F18" s="157">
        <v>0.25600000000000001</v>
      </c>
    </row>
    <row r="19" spans="2:6">
      <c r="B19" s="154" t="s">
        <v>173</v>
      </c>
      <c r="C19" s="155">
        <v>1.01E-5</v>
      </c>
      <c r="D19" s="157">
        <v>0.10199999999999999</v>
      </c>
      <c r="E19" s="157">
        <v>0.154</v>
      </c>
      <c r="F19" s="157">
        <v>0.25600000000000001</v>
      </c>
    </row>
    <row r="20" spans="2:6">
      <c r="B20" s="154" t="s">
        <v>174</v>
      </c>
      <c r="C20" s="155">
        <v>7.1402999999999996E-3</v>
      </c>
      <c r="D20" s="157">
        <v>72.453000000000003</v>
      </c>
      <c r="E20" s="158">
        <v>108.69</v>
      </c>
      <c r="F20" s="157">
        <v>181.142</v>
      </c>
    </row>
    <row r="21" spans="2:6">
      <c r="B21" s="154" t="s">
        <v>175</v>
      </c>
      <c r="C21" s="155">
        <v>0.21069789999999999</v>
      </c>
      <c r="D21" s="156">
        <v>2137.9520000000002</v>
      </c>
      <c r="E21" s="156">
        <v>3207.2429999999999</v>
      </c>
      <c r="F21" s="156">
        <v>5345.1949999999997</v>
      </c>
    </row>
    <row r="22" spans="2:6">
      <c r="B22" s="154" t="s">
        <v>176</v>
      </c>
      <c r="C22" s="155">
        <v>3.6186999999999999E-3</v>
      </c>
      <c r="D22" s="157">
        <v>36.719000000000001</v>
      </c>
      <c r="E22" s="157">
        <v>55.084000000000003</v>
      </c>
      <c r="F22" s="157">
        <v>91.802999999999997</v>
      </c>
    </row>
    <row r="23" spans="2:6">
      <c r="B23" s="154" t="s">
        <v>164</v>
      </c>
      <c r="C23" s="155">
        <v>2.5717000000000001E-3</v>
      </c>
      <c r="D23" s="157">
        <v>26.094999999999999</v>
      </c>
      <c r="E23" s="157">
        <v>39.146000000000001</v>
      </c>
      <c r="F23" s="157">
        <v>65.241</v>
      </c>
    </row>
    <row r="24" spans="2:6">
      <c r="B24" s="154" t="s">
        <v>177</v>
      </c>
      <c r="C24" s="155">
        <v>2.6697000000000001E-3</v>
      </c>
      <c r="D24" s="157">
        <v>27.088999999999999</v>
      </c>
      <c r="E24" s="157">
        <v>40.637999999999998</v>
      </c>
      <c r="F24" s="157">
        <v>67.727999999999994</v>
      </c>
    </row>
    <row r="25" spans="2:6">
      <c r="B25" s="154" t="s">
        <v>178</v>
      </c>
      <c r="C25" s="155">
        <v>0.1272432</v>
      </c>
      <c r="D25" s="156">
        <v>1291.1369999999999</v>
      </c>
      <c r="E25" s="156">
        <v>1936.896</v>
      </c>
      <c r="F25" s="156">
        <v>3228.0329999999999</v>
      </c>
    </row>
    <row r="26" spans="2:6">
      <c r="B26" s="154" t="s">
        <v>179</v>
      </c>
      <c r="C26" s="155">
        <v>8.3052100000000004E-2</v>
      </c>
      <c r="D26" s="158">
        <v>842.73</v>
      </c>
      <c r="E26" s="156">
        <v>1264.2190000000001</v>
      </c>
      <c r="F26" s="156">
        <v>2106.9490000000001</v>
      </c>
    </row>
    <row r="27" spans="2:6">
      <c r="B27" s="154" t="s">
        <v>180</v>
      </c>
      <c r="C27" s="155">
        <v>1.01E-5</v>
      </c>
      <c r="D27" s="157">
        <v>0.10199999999999999</v>
      </c>
      <c r="E27" s="157">
        <v>0.154</v>
      </c>
      <c r="F27" s="157">
        <v>0.25600000000000001</v>
      </c>
    </row>
    <row r="28" spans="2:6">
      <c r="D28" s="198"/>
    </row>
    <row r="29" spans="2:6" ht="15.75" thickBot="1"/>
    <row r="30" spans="2:6" ht="15.75" thickBot="1">
      <c r="C30" s="135" t="s">
        <v>152</v>
      </c>
      <c r="F30" s="141" t="s">
        <v>193</v>
      </c>
    </row>
    <row r="31" spans="2:6">
      <c r="C31" s="294">
        <v>25368.995999999999</v>
      </c>
      <c r="D31" s="136" t="s">
        <v>27</v>
      </c>
      <c r="E31" s="137">
        <v>10146.998000000001</v>
      </c>
      <c r="F31" s="133">
        <f>D28*E31</f>
        <v>0</v>
      </c>
    </row>
    <row r="32" spans="2:6" ht="15.75" thickBot="1">
      <c r="C32" s="295"/>
      <c r="D32" s="138" t="s">
        <v>28</v>
      </c>
      <c r="E32" s="139">
        <v>15221.998000000005</v>
      </c>
      <c r="F32" s="134">
        <f>D28*E32</f>
        <v>0</v>
      </c>
    </row>
    <row r="33" spans="2:8">
      <c r="E33" s="131" t="s">
        <v>151</v>
      </c>
      <c r="F33" s="132">
        <f>SUM(F31:F32)</f>
        <v>0</v>
      </c>
    </row>
    <row r="35" spans="2:8">
      <c r="B35" s="131" t="s">
        <v>122</v>
      </c>
    </row>
    <row r="36" spans="2:8">
      <c r="B36" s="126" t="s">
        <v>146</v>
      </c>
      <c r="C36" s="126" t="s">
        <v>147</v>
      </c>
      <c r="D36" s="126" t="s">
        <v>148</v>
      </c>
      <c r="E36" s="127" t="s">
        <v>145</v>
      </c>
      <c r="F36" s="127" t="s">
        <v>142</v>
      </c>
      <c r="G36" s="127" t="s">
        <v>143</v>
      </c>
      <c r="H36" s="127" t="s">
        <v>144</v>
      </c>
    </row>
    <row r="37" spans="2:8">
      <c r="B37" s="126">
        <v>4507</v>
      </c>
      <c r="C37" s="128">
        <v>43098</v>
      </c>
      <c r="D37" s="126" t="s">
        <v>141</v>
      </c>
      <c r="E37" s="127">
        <v>0.14053170000000001</v>
      </c>
      <c r="F37" s="127">
        <v>1425.9749999999999</v>
      </c>
      <c r="G37" s="127">
        <v>2139.174</v>
      </c>
      <c r="H37" s="127">
        <f>SUM(F37+G37)</f>
        <v>3565.1489999999999</v>
      </c>
    </row>
    <row r="39" spans="2:8">
      <c r="B39" s="126" t="s">
        <v>146</v>
      </c>
      <c r="C39" s="126" t="s">
        <v>147</v>
      </c>
      <c r="D39" s="126" t="s">
        <v>148</v>
      </c>
      <c r="E39" s="126" t="s">
        <v>125</v>
      </c>
      <c r="F39" s="126" t="s">
        <v>123</v>
      </c>
      <c r="G39" s="126" t="s">
        <v>124</v>
      </c>
    </row>
    <row r="40" spans="2:8">
      <c r="B40" s="126">
        <v>25</v>
      </c>
      <c r="C40" s="128">
        <v>42741</v>
      </c>
      <c r="D40" s="128" t="s">
        <v>149</v>
      </c>
      <c r="E40" s="128" t="s">
        <v>126</v>
      </c>
      <c r="F40" s="126" t="s">
        <v>122</v>
      </c>
      <c r="G40" s="126">
        <v>1.08916E-2</v>
      </c>
    </row>
    <row r="41" spans="2:8">
      <c r="B41" s="126">
        <v>26</v>
      </c>
      <c r="C41" s="128">
        <v>42741</v>
      </c>
      <c r="D41" s="128" t="s">
        <v>149</v>
      </c>
      <c r="E41" s="128" t="s">
        <v>126</v>
      </c>
      <c r="F41" s="126" t="s">
        <v>122</v>
      </c>
      <c r="G41" s="126">
        <v>2.0423E-2</v>
      </c>
    </row>
    <row r="42" spans="2:8">
      <c r="B42" s="126">
        <v>883</v>
      </c>
      <c r="C42" s="128">
        <v>42803</v>
      </c>
      <c r="D42" s="128" t="s">
        <v>149</v>
      </c>
      <c r="E42" s="128" t="s">
        <v>127</v>
      </c>
      <c r="F42" s="126" t="s">
        <v>122</v>
      </c>
      <c r="G42" s="126">
        <v>6.8261100000000005E-2</v>
      </c>
    </row>
    <row r="43" spans="2:8">
      <c r="B43" s="126">
        <v>3358</v>
      </c>
      <c r="C43" s="128">
        <v>43026</v>
      </c>
      <c r="D43" s="128" t="s">
        <v>149</v>
      </c>
      <c r="E43" s="128" t="s">
        <v>128</v>
      </c>
      <c r="F43" s="126" t="s">
        <v>122</v>
      </c>
      <c r="G43" s="126">
        <v>4.0955999999999999E-2</v>
      </c>
    </row>
    <row r="44" spans="2:8">
      <c r="G44" s="129">
        <f>SUM(G40:G43)</f>
        <v>0.14053170000000001</v>
      </c>
    </row>
    <row r="46" spans="2:8">
      <c r="B46" s="126">
        <v>1651</v>
      </c>
      <c r="C46" s="128">
        <v>43217</v>
      </c>
      <c r="D46" s="128" t="s">
        <v>149</v>
      </c>
      <c r="E46" s="128" t="s">
        <v>129</v>
      </c>
      <c r="F46" s="126" t="s">
        <v>130</v>
      </c>
      <c r="G46" s="126">
        <v>7.8898200000000002E-2</v>
      </c>
    </row>
    <row r="47" spans="2:8">
      <c r="B47" s="126">
        <v>1709</v>
      </c>
      <c r="C47" s="128">
        <v>43225</v>
      </c>
      <c r="D47" s="128" t="s">
        <v>149</v>
      </c>
      <c r="E47" s="126" t="s">
        <v>130</v>
      </c>
      <c r="F47" s="128" t="s">
        <v>133</v>
      </c>
      <c r="G47" s="126">
        <v>2.0000000000000001E-4</v>
      </c>
    </row>
    <row r="48" spans="2:8">
      <c r="B48" s="126">
        <v>1710</v>
      </c>
      <c r="C48" s="128">
        <v>43224</v>
      </c>
      <c r="D48" s="128" t="s">
        <v>149</v>
      </c>
      <c r="E48" s="128" t="s">
        <v>131</v>
      </c>
      <c r="F48" s="126" t="s">
        <v>132</v>
      </c>
      <c r="G48" s="126">
        <v>1.0691600000000001E-2</v>
      </c>
    </row>
    <row r="50" spans="2:8">
      <c r="F50" s="131" t="s">
        <v>150</v>
      </c>
      <c r="G50" s="131">
        <f>G41+G42+G43+G46+G48</f>
        <v>0.21922990000000001</v>
      </c>
    </row>
    <row r="52" spans="2:8" s="167" customFormat="1" ht="15.75" thickBot="1"/>
    <row r="54" spans="2:8">
      <c r="B54" s="131" t="s">
        <v>127</v>
      </c>
    </row>
    <row r="55" spans="2:8">
      <c r="B55" s="127" t="s">
        <v>146</v>
      </c>
      <c r="C55" s="127" t="s">
        <v>147</v>
      </c>
      <c r="D55" s="127" t="s">
        <v>148</v>
      </c>
      <c r="E55" s="127" t="s">
        <v>145</v>
      </c>
      <c r="F55" s="127" t="s">
        <v>142</v>
      </c>
      <c r="G55" s="127" t="s">
        <v>143</v>
      </c>
      <c r="H55" s="127" t="s">
        <v>144</v>
      </c>
    </row>
    <row r="56" spans="2:8">
      <c r="B56" s="127">
        <v>4507</v>
      </c>
      <c r="C56" s="130">
        <v>43098</v>
      </c>
      <c r="D56" s="127" t="s">
        <v>141</v>
      </c>
      <c r="E56" s="127">
        <v>7.6321200000000006E-2</v>
      </c>
      <c r="F56" s="127">
        <v>774.43100000000004</v>
      </c>
      <c r="G56" s="127">
        <v>1161.761</v>
      </c>
      <c r="H56" s="127">
        <f>SUM(F56+G56)</f>
        <v>1936.192</v>
      </c>
    </row>
    <row r="59" spans="2:8">
      <c r="B59" s="126" t="s">
        <v>146</v>
      </c>
      <c r="C59" s="126" t="s">
        <v>147</v>
      </c>
      <c r="D59" s="126" t="s">
        <v>148</v>
      </c>
      <c r="E59" s="126" t="s">
        <v>125</v>
      </c>
      <c r="F59" s="126" t="s">
        <v>123</v>
      </c>
      <c r="G59" s="126" t="s">
        <v>124</v>
      </c>
    </row>
    <row r="60" spans="2:8">
      <c r="B60" s="126">
        <v>208</v>
      </c>
      <c r="C60" s="128">
        <v>42754</v>
      </c>
      <c r="D60" s="128" t="s">
        <v>149</v>
      </c>
      <c r="E60" s="128" t="s">
        <v>133</v>
      </c>
      <c r="F60" s="128" t="s">
        <v>127</v>
      </c>
      <c r="G60" s="126">
        <v>0.1445823</v>
      </c>
    </row>
    <row r="61" spans="2:8">
      <c r="B61" s="126">
        <v>883</v>
      </c>
      <c r="C61" s="128">
        <v>42803</v>
      </c>
      <c r="D61" s="128" t="s">
        <v>149</v>
      </c>
      <c r="E61" s="128" t="s">
        <v>127</v>
      </c>
      <c r="F61" s="126" t="s">
        <v>122</v>
      </c>
      <c r="G61" s="126">
        <v>6.8261100000000005E-2</v>
      </c>
    </row>
    <row r="62" spans="2:8">
      <c r="B62" s="126">
        <v>884</v>
      </c>
      <c r="C62" s="128">
        <v>42803</v>
      </c>
      <c r="D62" s="128" t="s">
        <v>149</v>
      </c>
      <c r="E62" s="128" t="s">
        <v>134</v>
      </c>
      <c r="F62" s="126" t="s">
        <v>135</v>
      </c>
      <c r="G62" s="123">
        <v>7.6321200000000006E-2</v>
      </c>
      <c r="H62" s="122"/>
    </row>
    <row r="64" spans="2:8">
      <c r="F64" s="131" t="s">
        <v>150</v>
      </c>
      <c r="G64" s="131">
        <f>G62</f>
        <v>7.6321200000000006E-2</v>
      </c>
    </row>
    <row r="68" spans="2:6">
      <c r="B68" s="131" t="s">
        <v>130</v>
      </c>
    </row>
    <row r="69" spans="2:6">
      <c r="B69" s="126" t="s">
        <v>136</v>
      </c>
      <c r="C69" s="126" t="s">
        <v>137</v>
      </c>
      <c r="D69" s="126">
        <v>0.21922990000000001</v>
      </c>
    </row>
    <row r="70" spans="2:6">
      <c r="B70" s="126" t="s">
        <v>138</v>
      </c>
      <c r="C70" s="126" t="s">
        <v>139</v>
      </c>
      <c r="D70" s="126">
        <v>7.6321200000000006E-2</v>
      </c>
    </row>
    <row r="71" spans="2:6">
      <c r="C71" s="131" t="s">
        <v>150</v>
      </c>
      <c r="D71" s="131">
        <f>SUM(D69:D70)</f>
        <v>0.29555110000000001</v>
      </c>
    </row>
    <row r="72" spans="2:6" ht="15.75" thickBot="1"/>
    <row r="73" spans="2:6" ht="15.75" thickBot="1">
      <c r="C73" s="135" t="s">
        <v>152</v>
      </c>
      <c r="E73" s="140" t="s">
        <v>196</v>
      </c>
      <c r="F73" s="141" t="s">
        <v>153</v>
      </c>
    </row>
    <row r="74" spans="2:6">
      <c r="C74" s="294">
        <v>25368.995999999999</v>
      </c>
      <c r="D74" s="136" t="s">
        <v>27</v>
      </c>
      <c r="E74" s="137">
        <v>10146.998000000001</v>
      </c>
      <c r="F74" s="133">
        <f>D71*E74</f>
        <v>2998.9564205978004</v>
      </c>
    </row>
    <row r="75" spans="2:6" ht="15.75" thickBot="1">
      <c r="C75" s="295"/>
      <c r="D75" s="138" t="s">
        <v>28</v>
      </c>
      <c r="E75" s="139">
        <v>15221.998000000005</v>
      </c>
      <c r="F75" s="134">
        <f>D71*E75</f>
        <v>4498.8782530978015</v>
      </c>
    </row>
    <row r="76" spans="2:6">
      <c r="E76" s="131" t="s">
        <v>151</v>
      </c>
      <c r="F76" s="132">
        <f>SUM(F74:F75)</f>
        <v>7497.8346736956019</v>
      </c>
    </row>
    <row r="77" spans="2:6" s="167" customFormat="1" ht="15.75" thickBot="1"/>
    <row r="79" spans="2:6">
      <c r="C79" s="164" t="s">
        <v>191</v>
      </c>
      <c r="D79" s="164" t="s">
        <v>192</v>
      </c>
    </row>
    <row r="80" spans="2:6">
      <c r="B80" s="159" t="s">
        <v>155</v>
      </c>
      <c r="C80" s="160" t="s">
        <v>156</v>
      </c>
      <c r="D80" s="160" t="s">
        <v>156</v>
      </c>
    </row>
    <row r="81" spans="2:7">
      <c r="B81" s="159" t="s">
        <v>194</v>
      </c>
      <c r="C81" s="166">
        <v>0.1298078</v>
      </c>
      <c r="D81" s="165">
        <v>0.14027119999999998</v>
      </c>
    </row>
    <row r="83" spans="2:7">
      <c r="B83" s="127" t="s">
        <v>146</v>
      </c>
      <c r="C83" s="127" t="s">
        <v>147</v>
      </c>
      <c r="D83" s="127" t="s">
        <v>148</v>
      </c>
      <c r="E83" s="126" t="s">
        <v>125</v>
      </c>
      <c r="F83" s="126" t="s">
        <v>123</v>
      </c>
      <c r="G83" s="126" t="s">
        <v>124</v>
      </c>
    </row>
    <row r="84" spans="2:7">
      <c r="B84" s="126">
        <v>2158</v>
      </c>
      <c r="C84" s="128">
        <v>41494</v>
      </c>
      <c r="D84" s="127" t="s">
        <v>141</v>
      </c>
      <c r="E84" s="126"/>
      <c r="F84" s="126"/>
      <c r="G84" s="163">
        <v>0.1298078</v>
      </c>
    </row>
    <row r="85" spans="2:7">
      <c r="B85" s="126">
        <v>2558</v>
      </c>
      <c r="C85" s="128">
        <v>41528</v>
      </c>
      <c r="D85" s="126" t="s">
        <v>181</v>
      </c>
      <c r="E85" s="126"/>
      <c r="F85" s="126"/>
      <c r="G85" s="161" t="s">
        <v>121</v>
      </c>
    </row>
    <row r="86" spans="2:7">
      <c r="B86" s="126">
        <v>1252</v>
      </c>
      <c r="C86" s="128">
        <v>41771</v>
      </c>
      <c r="D86" s="128" t="s">
        <v>149</v>
      </c>
      <c r="E86" s="126" t="s">
        <v>182</v>
      </c>
      <c r="F86" s="126" t="s">
        <v>183</v>
      </c>
      <c r="G86" s="126">
        <v>6.736E-4</v>
      </c>
    </row>
    <row r="87" spans="2:7">
      <c r="B87" s="126">
        <v>1989</v>
      </c>
      <c r="C87" s="128">
        <v>42543</v>
      </c>
      <c r="D87" s="126" t="s">
        <v>184</v>
      </c>
      <c r="E87" s="126"/>
      <c r="F87" s="126" t="s">
        <v>185</v>
      </c>
      <c r="G87" s="126">
        <v>6.6350000000000003E-4</v>
      </c>
    </row>
    <row r="88" spans="2:7">
      <c r="B88" s="126">
        <v>4347</v>
      </c>
      <c r="C88" s="128">
        <v>43091</v>
      </c>
      <c r="D88" s="126" t="s">
        <v>186</v>
      </c>
      <c r="E88" s="126" t="s">
        <v>187</v>
      </c>
      <c r="F88" s="126" t="s">
        <v>183</v>
      </c>
      <c r="G88" s="126">
        <v>7.1402999999999996E-3</v>
      </c>
    </row>
    <row r="89" spans="2:7">
      <c r="B89" s="126">
        <v>4432</v>
      </c>
      <c r="C89" s="128">
        <v>43096</v>
      </c>
      <c r="D89" s="126" t="s">
        <v>186</v>
      </c>
      <c r="E89" s="126" t="s">
        <v>188</v>
      </c>
      <c r="F89" s="126" t="s">
        <v>183</v>
      </c>
      <c r="G89" s="126">
        <v>2.6697000000000001E-3</v>
      </c>
    </row>
    <row r="90" spans="2:7">
      <c r="B90" s="126">
        <v>1988</v>
      </c>
      <c r="C90" s="128">
        <v>42543</v>
      </c>
      <c r="D90" s="126" t="s">
        <v>189</v>
      </c>
      <c r="E90" s="162" t="s">
        <v>183</v>
      </c>
      <c r="F90" s="162" t="s">
        <v>190</v>
      </c>
      <c r="G90" s="126">
        <v>1.01E-5</v>
      </c>
    </row>
    <row r="92" spans="2:7" ht="15.75" thickBot="1">
      <c r="F92" s="131" t="s">
        <v>151</v>
      </c>
      <c r="G92" s="131">
        <f>G84+G87+G88+G89-G90</f>
        <v>0.14027119999999998</v>
      </c>
    </row>
    <row r="93" spans="2:7" ht="15.75" thickBot="1">
      <c r="C93" s="140" t="s">
        <v>196</v>
      </c>
      <c r="D93" s="141" t="s">
        <v>195</v>
      </c>
    </row>
    <row r="94" spans="2:7">
      <c r="B94" s="168" t="s">
        <v>27</v>
      </c>
      <c r="C94" s="137">
        <v>10146.998000000001</v>
      </c>
      <c r="D94" s="169">
        <f>G92*C94</f>
        <v>1423.3315858576</v>
      </c>
    </row>
    <row r="95" spans="2:7" ht="15.75" thickBot="1">
      <c r="B95" s="170" t="s">
        <v>28</v>
      </c>
      <c r="C95" s="139">
        <v>15221.998000000005</v>
      </c>
      <c r="D95" s="171">
        <f>G92*C95</f>
        <v>2135.2079258576005</v>
      </c>
    </row>
    <row r="96" spans="2:7">
      <c r="D96" s="132">
        <f>SUM(D94:D95)</f>
        <v>3558.5395117152002</v>
      </c>
    </row>
    <row r="98" spans="2:14" s="167" customFormat="1" ht="15.75" thickBot="1"/>
    <row r="100" spans="2:14">
      <c r="K100" s="175"/>
    </row>
    <row r="101" spans="2:14">
      <c r="C101" s="164" t="s">
        <v>191</v>
      </c>
      <c r="D101" s="164" t="s">
        <v>192</v>
      </c>
      <c r="K101" s="175"/>
    </row>
    <row r="102" spans="2:14">
      <c r="B102" s="159" t="s">
        <v>155</v>
      </c>
      <c r="C102" s="160" t="s">
        <v>156</v>
      </c>
      <c r="D102" s="160" t="s">
        <v>156</v>
      </c>
      <c r="K102" s="175"/>
    </row>
    <row r="103" spans="2:14">
      <c r="B103" s="159" t="s">
        <v>206</v>
      </c>
      <c r="C103" s="166">
        <v>1E-4</v>
      </c>
      <c r="D103" s="165">
        <v>0.1449223</v>
      </c>
      <c r="K103" s="175"/>
    </row>
    <row r="104" spans="2:14">
      <c r="K104" s="175"/>
    </row>
    <row r="105" spans="2:14">
      <c r="B105" s="127" t="s">
        <v>146</v>
      </c>
      <c r="C105" s="127" t="s">
        <v>147</v>
      </c>
      <c r="D105" s="127" t="s">
        <v>148</v>
      </c>
      <c r="E105" s="126" t="s">
        <v>125</v>
      </c>
      <c r="F105" s="126" t="s">
        <v>123</v>
      </c>
      <c r="G105" s="126" t="s">
        <v>124</v>
      </c>
      <c r="K105" s="175"/>
    </row>
    <row r="106" spans="2:14">
      <c r="B106" s="126">
        <v>2206</v>
      </c>
      <c r="C106" s="128">
        <v>41494</v>
      </c>
      <c r="D106" s="127" t="s">
        <v>141</v>
      </c>
      <c r="E106" s="126"/>
      <c r="F106" s="126"/>
      <c r="G106" s="163">
        <v>0.22452349999999999</v>
      </c>
      <c r="I106" s="175">
        <v>2164</v>
      </c>
      <c r="J106" s="122">
        <v>41494</v>
      </c>
      <c r="K106" s="127" t="s">
        <v>141</v>
      </c>
      <c r="N106" s="177">
        <v>1.0925199999999999E-2</v>
      </c>
    </row>
    <row r="107" spans="2:14">
      <c r="B107" s="126">
        <v>3269</v>
      </c>
      <c r="C107" s="128">
        <v>41600</v>
      </c>
      <c r="D107" s="126" t="s">
        <v>181</v>
      </c>
      <c r="E107" s="126"/>
      <c r="F107" s="126"/>
      <c r="G107" s="161" t="s">
        <v>121</v>
      </c>
      <c r="I107" s="175">
        <v>2586</v>
      </c>
      <c r="J107" s="122">
        <v>41530</v>
      </c>
      <c r="K107" s="126" t="s">
        <v>181</v>
      </c>
      <c r="N107" s="176" t="s">
        <v>121</v>
      </c>
    </row>
    <row r="108" spans="2:14">
      <c r="B108" s="126">
        <v>986</v>
      </c>
      <c r="C108" s="128">
        <v>42465</v>
      </c>
      <c r="D108" s="128" t="s">
        <v>149</v>
      </c>
      <c r="E108" s="126" t="s">
        <v>198</v>
      </c>
      <c r="F108" s="126" t="s">
        <v>133</v>
      </c>
      <c r="G108" s="126">
        <v>3.0000000000000001E-5</v>
      </c>
      <c r="I108" s="175">
        <v>164</v>
      </c>
      <c r="J108" s="122">
        <v>41675</v>
      </c>
      <c r="K108" s="175" t="s">
        <v>211</v>
      </c>
      <c r="N108" s="176" t="s">
        <v>121</v>
      </c>
    </row>
    <row r="109" spans="2:14">
      <c r="B109" s="126">
        <v>101</v>
      </c>
      <c r="C109" s="128">
        <v>42389</v>
      </c>
      <c r="D109" s="126" t="s">
        <v>199</v>
      </c>
      <c r="E109" s="126"/>
      <c r="F109" s="126" t="s">
        <v>200</v>
      </c>
      <c r="G109" s="126">
        <v>0.14465230000000001</v>
      </c>
      <c r="I109" s="175">
        <v>14</v>
      </c>
      <c r="J109" s="122">
        <v>41564</v>
      </c>
      <c r="K109" s="72" t="s">
        <v>212</v>
      </c>
      <c r="L109" s="175" t="s">
        <v>43</v>
      </c>
      <c r="M109" s="175" t="s">
        <v>210</v>
      </c>
      <c r="N109">
        <v>8.2661999999999999E-2</v>
      </c>
    </row>
    <row r="110" spans="2:14">
      <c r="B110" s="126">
        <v>2942</v>
      </c>
      <c r="C110" s="128">
        <v>42648</v>
      </c>
      <c r="D110" s="126" t="s">
        <v>201</v>
      </c>
      <c r="E110" s="126"/>
      <c r="F110" s="126"/>
      <c r="G110" s="161" t="s">
        <v>121</v>
      </c>
      <c r="I110" s="175">
        <v>111</v>
      </c>
      <c r="J110" s="122">
        <v>42212</v>
      </c>
      <c r="K110" s="72" t="s">
        <v>213</v>
      </c>
      <c r="N110" s="176" t="s">
        <v>214</v>
      </c>
    </row>
    <row r="111" spans="2:14">
      <c r="B111" s="126">
        <v>209</v>
      </c>
      <c r="C111" s="128">
        <v>42754</v>
      </c>
      <c r="D111" s="126" t="s">
        <v>199</v>
      </c>
      <c r="E111" s="126"/>
      <c r="F111" s="126" t="s">
        <v>200</v>
      </c>
      <c r="G111" s="126">
        <v>6.9999999999999994E-5</v>
      </c>
      <c r="I111" s="175">
        <v>114</v>
      </c>
      <c r="J111" s="122">
        <v>42212</v>
      </c>
      <c r="K111" s="72" t="s">
        <v>215</v>
      </c>
      <c r="L111" s="175" t="s">
        <v>216</v>
      </c>
      <c r="N111" s="129">
        <v>2.0420500000000001E-2</v>
      </c>
    </row>
    <row r="112" spans="2:14">
      <c r="B112" s="126">
        <v>1709</v>
      </c>
      <c r="C112" s="128">
        <v>43224</v>
      </c>
      <c r="D112" s="128" t="s">
        <v>149</v>
      </c>
      <c r="E112" s="126" t="s">
        <v>130</v>
      </c>
      <c r="F112" s="128" t="s">
        <v>133</v>
      </c>
      <c r="G112" s="126">
        <v>2.0000000000000001E-4</v>
      </c>
      <c r="I112" s="175">
        <v>987</v>
      </c>
      <c r="J112" s="122">
        <v>42465</v>
      </c>
      <c r="K112" s="72" t="s">
        <v>217</v>
      </c>
      <c r="L112" s="175" t="s">
        <v>216</v>
      </c>
      <c r="N112" s="129">
        <v>1.0895200000000001E-2</v>
      </c>
    </row>
    <row r="113" spans="2:16">
      <c r="I113" s="175">
        <v>3198</v>
      </c>
      <c r="J113" s="122">
        <v>42664</v>
      </c>
      <c r="K113" s="128" t="s">
        <v>149</v>
      </c>
      <c r="L113" s="175" t="s">
        <v>207</v>
      </c>
      <c r="M113" s="175" t="s">
        <v>210</v>
      </c>
      <c r="N113" s="129">
        <v>3.9344700000000003E-2</v>
      </c>
    </row>
    <row r="114" spans="2:16">
      <c r="F114" s="131" t="s">
        <v>151</v>
      </c>
      <c r="G114" s="131">
        <f>+G108+G109+G111+G112</f>
        <v>0.14495230000000001</v>
      </c>
      <c r="I114" s="175">
        <v>25</v>
      </c>
      <c r="J114" s="122">
        <v>42741</v>
      </c>
      <c r="K114" s="72" t="s">
        <v>218</v>
      </c>
      <c r="L114" s="175" t="s">
        <v>210</v>
      </c>
      <c r="M114" s="175" t="s">
        <v>137</v>
      </c>
      <c r="N114" s="129">
        <v>1.08916E-2</v>
      </c>
    </row>
    <row r="115" spans="2:16">
      <c r="F115" s="131"/>
      <c r="G115" s="131"/>
    </row>
    <row r="116" spans="2:16" ht="15.75" thickBot="1">
      <c r="F116" s="131"/>
      <c r="G116" s="131"/>
      <c r="I116" s="175">
        <v>1195</v>
      </c>
      <c r="J116" s="122">
        <v>42831</v>
      </c>
      <c r="K116" s="175" t="s">
        <v>149</v>
      </c>
      <c r="L116" s="175" t="s">
        <v>210</v>
      </c>
      <c r="M116" s="175" t="s">
        <v>207</v>
      </c>
      <c r="N116">
        <v>3.93458E-2</v>
      </c>
      <c r="O116" s="122"/>
      <c r="P116" s="175"/>
    </row>
    <row r="117" spans="2:16" ht="15.75" thickBot="1">
      <c r="C117" s="140" t="s">
        <v>196</v>
      </c>
      <c r="D117" s="141" t="s">
        <v>202</v>
      </c>
      <c r="I117" s="175">
        <v>26</v>
      </c>
      <c r="J117" s="122">
        <v>42741</v>
      </c>
      <c r="K117" s="175" t="s">
        <v>205</v>
      </c>
      <c r="L117" s="175" t="s">
        <v>210</v>
      </c>
      <c r="M117" s="175" t="s">
        <v>137</v>
      </c>
      <c r="N117">
        <v>2.0423E-2</v>
      </c>
      <c r="O117" s="122"/>
      <c r="P117" s="175"/>
    </row>
    <row r="118" spans="2:16">
      <c r="B118" s="168" t="s">
        <v>27</v>
      </c>
      <c r="C118" s="137">
        <v>10146.998000000001</v>
      </c>
      <c r="D118" s="169">
        <f>G114*C118</f>
        <v>1470.8306981954004</v>
      </c>
      <c r="I118" s="175">
        <v>986</v>
      </c>
      <c r="J118" s="122">
        <v>42465</v>
      </c>
      <c r="K118" s="175" t="s">
        <v>149</v>
      </c>
      <c r="L118" s="175" t="s">
        <v>210</v>
      </c>
      <c r="M118" s="175" t="s">
        <v>208</v>
      </c>
      <c r="N118">
        <v>3.0000000000000001E-5</v>
      </c>
      <c r="O118" s="122"/>
      <c r="P118" s="175"/>
    </row>
    <row r="119" spans="2:16" ht="15.75" thickBot="1">
      <c r="B119" s="170" t="s">
        <v>28</v>
      </c>
      <c r="C119" s="139">
        <v>15221.998000000005</v>
      </c>
      <c r="D119" s="171">
        <f>G114*C119</f>
        <v>2206.463620695401</v>
      </c>
      <c r="I119" s="175">
        <v>2010</v>
      </c>
      <c r="J119" s="122">
        <v>42209</v>
      </c>
      <c r="K119" s="175" t="s">
        <v>149</v>
      </c>
      <c r="L119" s="175" t="s">
        <v>210</v>
      </c>
      <c r="M119" s="175" t="s">
        <v>209</v>
      </c>
      <c r="N119">
        <v>6.2241499999999998E-2</v>
      </c>
      <c r="O119" s="122"/>
      <c r="P119" s="175"/>
    </row>
    <row r="120" spans="2:16">
      <c r="D120" s="132">
        <f>SUM(D118:D119)</f>
        <v>3677.2943188908012</v>
      </c>
      <c r="O120" s="175"/>
      <c r="P120" s="175"/>
    </row>
    <row r="122" spans="2:16">
      <c r="N122">
        <f>N111+N112+N113-N114</f>
        <v>5.9768800000000011E-2</v>
      </c>
    </row>
    <row r="126" spans="2:16" s="167" customFormat="1" ht="15.75" thickBot="1"/>
    <row r="127" spans="2:16" s="175" customFormat="1">
      <c r="C127" s="164" t="s">
        <v>191</v>
      </c>
      <c r="D127" s="164" t="s">
        <v>192</v>
      </c>
    </row>
    <row r="128" spans="2:16" s="175" customFormat="1">
      <c r="B128" s="159" t="s">
        <v>83</v>
      </c>
      <c r="C128" s="160" t="s">
        <v>204</v>
      </c>
      <c r="D128" s="160" t="s">
        <v>204</v>
      </c>
    </row>
    <row r="129" spans="2:10" s="175" customFormat="1">
      <c r="B129" s="159" t="s">
        <v>197</v>
      </c>
      <c r="C129" s="166">
        <v>1E-4</v>
      </c>
      <c r="D129" s="165">
        <v>0.1449223</v>
      </c>
    </row>
    <row r="130" spans="2:10" s="175" customFormat="1">
      <c r="J130" s="122"/>
    </row>
    <row r="131" spans="2:10" s="175" customFormat="1">
      <c r="B131" s="127" t="s">
        <v>146</v>
      </c>
      <c r="C131" s="127" t="s">
        <v>147</v>
      </c>
      <c r="D131" s="127" t="s">
        <v>148</v>
      </c>
      <c r="E131" s="126" t="s">
        <v>125</v>
      </c>
      <c r="F131" s="126" t="s">
        <v>123</v>
      </c>
      <c r="G131" s="126" t="s">
        <v>124</v>
      </c>
      <c r="J131" s="122"/>
    </row>
    <row r="132" spans="2:10" s="175" customFormat="1">
      <c r="B132" s="126">
        <v>2206</v>
      </c>
      <c r="C132" s="128">
        <v>41494</v>
      </c>
      <c r="D132" s="127" t="s">
        <v>141</v>
      </c>
      <c r="E132" s="126"/>
      <c r="F132" s="126"/>
      <c r="G132" s="163">
        <v>0.22452349999999999</v>
      </c>
      <c r="J132" s="122"/>
    </row>
    <row r="133" spans="2:10" s="175" customFormat="1">
      <c r="B133" s="126">
        <v>3269</v>
      </c>
      <c r="C133" s="128">
        <v>41600</v>
      </c>
      <c r="D133" s="126" t="s">
        <v>181</v>
      </c>
      <c r="E133" s="126"/>
      <c r="F133" s="126"/>
      <c r="G133" s="161" t="s">
        <v>121</v>
      </c>
      <c r="J133" s="122"/>
    </row>
    <row r="134" spans="2:10" s="175" customFormat="1">
      <c r="B134" s="126">
        <v>986</v>
      </c>
      <c r="C134" s="128">
        <v>42465</v>
      </c>
      <c r="D134" s="128" t="s">
        <v>149</v>
      </c>
      <c r="E134" s="126" t="s">
        <v>198</v>
      </c>
      <c r="F134" s="126" t="s">
        <v>133</v>
      </c>
      <c r="G134" s="126">
        <v>3.0000000000000001E-5</v>
      </c>
      <c r="J134" s="122"/>
    </row>
    <row r="135" spans="2:10" s="175" customFormat="1">
      <c r="B135" s="126">
        <v>101</v>
      </c>
      <c r="C135" s="128">
        <v>42389</v>
      </c>
      <c r="D135" s="126" t="s">
        <v>199</v>
      </c>
      <c r="E135" s="126"/>
      <c r="F135" s="126" t="s">
        <v>200</v>
      </c>
      <c r="G135" s="126">
        <v>0.14465230000000001</v>
      </c>
      <c r="J135" s="122"/>
    </row>
    <row r="136" spans="2:10" s="175" customFormat="1">
      <c r="B136" s="126">
        <v>2942</v>
      </c>
      <c r="C136" s="128">
        <v>42648</v>
      </c>
      <c r="D136" s="126" t="s">
        <v>201</v>
      </c>
      <c r="E136" s="126"/>
      <c r="F136" s="126"/>
      <c r="G136" s="161" t="s">
        <v>121</v>
      </c>
      <c r="J136" s="122"/>
    </row>
    <row r="137" spans="2:10" s="175" customFormat="1">
      <c r="B137" s="126">
        <v>209</v>
      </c>
      <c r="C137" s="128">
        <v>42754</v>
      </c>
      <c r="D137" s="126" t="s">
        <v>199</v>
      </c>
      <c r="E137" s="126"/>
      <c r="F137" s="126" t="s">
        <v>200</v>
      </c>
      <c r="G137" s="126">
        <v>6.9999999999999994E-5</v>
      </c>
    </row>
    <row r="138" spans="2:10" s="175" customFormat="1">
      <c r="B138" s="126">
        <v>1709</v>
      </c>
      <c r="C138" s="128">
        <v>43224</v>
      </c>
      <c r="D138" s="128" t="s">
        <v>149</v>
      </c>
      <c r="E138" s="126" t="s">
        <v>130</v>
      </c>
      <c r="F138" s="128" t="s">
        <v>133</v>
      </c>
      <c r="G138" s="126">
        <v>2.0000000000000001E-4</v>
      </c>
    </row>
    <row r="139" spans="2:10" s="175" customFormat="1"/>
    <row r="140" spans="2:10" s="175" customFormat="1">
      <c r="F140" s="131" t="s">
        <v>151</v>
      </c>
      <c r="G140" s="131">
        <v>0.14495230000000001</v>
      </c>
    </row>
    <row r="141" spans="2:10" s="175" customFormat="1">
      <c r="F141" s="131"/>
      <c r="G141" s="131"/>
    </row>
    <row r="142" spans="2:10" s="175" customFormat="1" ht="15.75" thickBot="1">
      <c r="F142" s="131"/>
      <c r="G142" s="131"/>
    </row>
    <row r="143" spans="2:10" s="175" customFormat="1" ht="15.75" thickBot="1">
      <c r="C143" s="140" t="s">
        <v>196</v>
      </c>
      <c r="D143" s="141" t="s">
        <v>202</v>
      </c>
    </row>
    <row r="144" spans="2:10" s="175" customFormat="1">
      <c r="B144" s="168" t="s">
        <v>27</v>
      </c>
      <c r="C144" s="137">
        <v>10146.998000000001</v>
      </c>
      <c r="D144" s="169">
        <v>1470.8306981954004</v>
      </c>
    </row>
    <row r="145" spans="2:4" s="175" customFormat="1" ht="15.75" thickBot="1">
      <c r="B145" s="170" t="s">
        <v>28</v>
      </c>
      <c r="C145" s="139">
        <v>15221.998000000005</v>
      </c>
      <c r="D145" s="171">
        <v>2206.463620695401</v>
      </c>
    </row>
    <row r="146" spans="2:4" s="175" customFormat="1">
      <c r="D146" s="132">
        <v>3677.2943188908012</v>
      </c>
    </row>
    <row r="147" spans="2:4" s="175" customFormat="1"/>
    <row r="148" spans="2:4" s="175" customFormat="1"/>
  </sheetData>
  <mergeCells count="2">
    <mergeCell ref="C74:C75"/>
    <mergeCell ref="C31:C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Kamila Molina</cp:lastModifiedBy>
  <dcterms:created xsi:type="dcterms:W3CDTF">2018-02-13T19:46:54Z</dcterms:created>
  <dcterms:modified xsi:type="dcterms:W3CDTF">2019-01-04T19:15:01Z</dcterms:modified>
</cp:coreProperties>
</file>