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20" windowHeight="3855" tabRatio="809"/>
  </bookViews>
  <sheets>
    <sheet name="Resumen anual Merluza de cola" sheetId="4" r:id="rId1"/>
    <sheet name="Resumen periodo Merluza de cola" sheetId="5" r:id="rId2"/>
    <sheet name="Merluza cola Industrial" sheetId="1" r:id="rId3"/>
    <sheet name="Publicacion Web" sheetId="6" r:id="rId4"/>
    <sheet name="Coeficientes" sheetId="8" r:id="rId5"/>
  </sheets>
  <definedNames>
    <definedName name="_xlnm._FilterDatabase" localSheetId="3" hidden="1">'Publicacion Web'!$A$1:$O$79</definedName>
  </definedNames>
  <calcPr calcId="144525"/>
</workbook>
</file>

<file path=xl/calcChain.xml><?xml version="1.0" encoding="utf-8"?>
<calcChain xmlns="http://schemas.openxmlformats.org/spreadsheetml/2006/main">
  <c r="D13" i="8" l="1"/>
  <c r="H67" i="1" l="1"/>
  <c r="I48" i="1" l="1"/>
  <c r="K48" i="1"/>
  <c r="L48" i="1"/>
  <c r="N48" i="1"/>
  <c r="I49" i="1"/>
  <c r="M48" i="1" l="1"/>
  <c r="O48" i="1" s="1"/>
  <c r="H69" i="1"/>
  <c r="H68" i="1"/>
  <c r="H54" i="1"/>
  <c r="H53" i="1"/>
  <c r="H52" i="1" l="1"/>
  <c r="K46" i="1"/>
  <c r="L46" i="1"/>
  <c r="M46" i="1"/>
  <c r="O46" i="1" s="1"/>
  <c r="N46" i="1"/>
  <c r="I46" i="1"/>
  <c r="I47" i="1"/>
  <c r="E56" i="1" l="1"/>
  <c r="E55" i="1"/>
  <c r="E15" i="1"/>
  <c r="E14" i="1"/>
  <c r="E38" i="1"/>
  <c r="E37" i="1"/>
  <c r="E36" i="1"/>
  <c r="E34" i="1"/>
  <c r="E33" i="1"/>
  <c r="E32" i="1"/>
  <c r="E29" i="1"/>
  <c r="E26" i="1"/>
  <c r="E25" i="1"/>
  <c r="E24" i="1"/>
  <c r="E22" i="1"/>
  <c r="E21" i="1"/>
  <c r="E19" i="1"/>
  <c r="E18" i="1"/>
  <c r="E17" i="1"/>
  <c r="E16" i="1"/>
  <c r="E11" i="1"/>
  <c r="E10" i="1"/>
  <c r="E45" i="1"/>
  <c r="E44" i="1"/>
  <c r="N59" i="1" l="1"/>
  <c r="G59" i="1"/>
  <c r="I59" i="1" s="1"/>
  <c r="G60" i="1" s="1"/>
  <c r="I60" i="1" s="1"/>
  <c r="H54" i="6" l="1"/>
  <c r="I54" i="6"/>
  <c r="K54" i="6"/>
  <c r="I53" i="6"/>
  <c r="K53" i="6"/>
  <c r="H53" i="6"/>
  <c r="E54" i="6"/>
  <c r="E55" i="6"/>
  <c r="E53" i="6"/>
  <c r="N44" i="1"/>
  <c r="L44" i="1"/>
  <c r="I55" i="6" s="1"/>
  <c r="K44" i="1"/>
  <c r="G45" i="1"/>
  <c r="J54" i="6" s="1"/>
  <c r="G44" i="1"/>
  <c r="J44" i="1" s="1"/>
  <c r="M53" i="6" s="1"/>
  <c r="C57" i="8"/>
  <c r="C48" i="8"/>
  <c r="E47" i="8"/>
  <c r="D47" i="8"/>
  <c r="E46" i="8"/>
  <c r="D46" i="8"/>
  <c r="F46" i="8" s="1"/>
  <c r="E45" i="8"/>
  <c r="D45" i="8"/>
  <c r="E44" i="8"/>
  <c r="D44" i="8"/>
  <c r="E43" i="8"/>
  <c r="D43" i="8"/>
  <c r="F43" i="8" s="1"/>
  <c r="E42" i="8"/>
  <c r="D42" i="8"/>
  <c r="C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C7" i="8"/>
  <c r="D5" i="8"/>
  <c r="D3" i="8"/>
  <c r="K55" i="6" l="1"/>
  <c r="F45" i="8"/>
  <c r="I13" i="8"/>
  <c r="F17" i="8"/>
  <c r="F19" i="8"/>
  <c r="F21" i="8"/>
  <c r="F23" i="8"/>
  <c r="F25" i="8"/>
  <c r="F27" i="8"/>
  <c r="F33" i="8"/>
  <c r="F35" i="8"/>
  <c r="F16" i="8"/>
  <c r="F24" i="8"/>
  <c r="F42" i="8"/>
  <c r="I44" i="1"/>
  <c r="L53" i="6" s="1"/>
  <c r="M44" i="1"/>
  <c r="O44" i="1" s="1"/>
  <c r="L55" i="6" s="1"/>
  <c r="J53" i="6"/>
  <c r="F15" i="8"/>
  <c r="F31" i="8"/>
  <c r="F13" i="8"/>
  <c r="F22" i="8"/>
  <c r="F28" i="8"/>
  <c r="F32" i="8"/>
  <c r="J55" i="6"/>
  <c r="J45" i="1"/>
  <c r="M54" i="6" s="1"/>
  <c r="F26" i="8"/>
  <c r="F44" i="8"/>
  <c r="F14" i="8"/>
  <c r="F30" i="8"/>
  <c r="I45" i="1"/>
  <c r="L54" i="6" s="1"/>
  <c r="H55" i="6"/>
  <c r="E36" i="8"/>
  <c r="F18" i="8"/>
  <c r="F20" i="8"/>
  <c r="F29" i="8"/>
  <c r="F34" i="8"/>
  <c r="E48" i="8"/>
  <c r="F47" i="8"/>
  <c r="D48" i="8"/>
  <c r="J13" i="8"/>
  <c r="D36" i="8"/>
  <c r="P44" i="1" l="1"/>
  <c r="K13" i="8"/>
  <c r="M55" i="6"/>
  <c r="F48" i="8"/>
  <c r="F36" i="8"/>
  <c r="E76" i="6"/>
  <c r="E77" i="6"/>
  <c r="E75" i="6"/>
  <c r="E73" i="6"/>
  <c r="E74" i="6"/>
  <c r="E72" i="6"/>
  <c r="E70" i="6"/>
  <c r="E71" i="6"/>
  <c r="E69" i="6"/>
  <c r="E67" i="6"/>
  <c r="E68" i="6"/>
  <c r="E66" i="6"/>
  <c r="E64" i="6"/>
  <c r="E65" i="6"/>
  <c r="E63" i="6"/>
  <c r="E61" i="6"/>
  <c r="E62" i="6"/>
  <c r="E60" i="6"/>
  <c r="I56" i="6"/>
  <c r="K56" i="6"/>
  <c r="I57" i="6"/>
  <c r="K57" i="6"/>
  <c r="H57" i="6"/>
  <c r="H56" i="6"/>
  <c r="E57" i="6"/>
  <c r="E58" i="6"/>
  <c r="E56" i="6"/>
  <c r="E51" i="6"/>
  <c r="E52" i="6"/>
  <c r="E50" i="6"/>
  <c r="E48" i="6"/>
  <c r="E49" i="6"/>
  <c r="E47" i="6"/>
  <c r="E45" i="6"/>
  <c r="E46" i="6"/>
  <c r="E44" i="6"/>
  <c r="E41" i="6"/>
  <c r="E42" i="6"/>
  <c r="E43" i="6"/>
  <c r="E39" i="6"/>
  <c r="E40" i="6"/>
  <c r="E38" i="6"/>
  <c r="E36" i="6"/>
  <c r="E37" i="6"/>
  <c r="E35" i="6"/>
  <c r="E33" i="6"/>
  <c r="E34" i="6"/>
  <c r="E32" i="6"/>
  <c r="E30" i="6"/>
  <c r="E31" i="6"/>
  <c r="E29" i="6"/>
  <c r="E27" i="6"/>
  <c r="E28" i="6"/>
  <c r="E26" i="6"/>
  <c r="E24" i="6"/>
  <c r="E25" i="6"/>
  <c r="E23" i="6"/>
  <c r="E20" i="6"/>
  <c r="E21" i="6"/>
  <c r="E22" i="6"/>
  <c r="E17" i="6"/>
  <c r="E18" i="6"/>
  <c r="E19" i="6"/>
  <c r="E15" i="6"/>
  <c r="E16" i="6"/>
  <c r="E14" i="6"/>
  <c r="E12" i="6"/>
  <c r="E13" i="6"/>
  <c r="E11" i="6"/>
  <c r="E9" i="6"/>
  <c r="E10" i="6"/>
  <c r="E8" i="6"/>
  <c r="E6" i="6"/>
  <c r="E7" i="6"/>
  <c r="E5" i="6"/>
  <c r="E3" i="6"/>
  <c r="E4" i="6"/>
  <c r="E2" i="6"/>
  <c r="K76" i="6"/>
  <c r="G24" i="1" l="1"/>
  <c r="N50" i="1"/>
  <c r="L50" i="1"/>
  <c r="I58" i="6" s="1"/>
  <c r="K50" i="1"/>
  <c r="H58" i="6" s="1"/>
  <c r="K58" i="6" l="1"/>
  <c r="M50" i="1"/>
  <c r="P50" i="1" s="1"/>
  <c r="O50" i="1" l="1"/>
  <c r="L58" i="6" s="1"/>
  <c r="J58" i="6"/>
  <c r="M58" i="6"/>
  <c r="Y12" i="1"/>
  <c r="H10" i="5" s="1"/>
  <c r="Y11" i="1"/>
  <c r="H9" i="5" s="1"/>
  <c r="V57" i="1"/>
  <c r="E11" i="5" s="1"/>
  <c r="V58" i="1"/>
  <c r="E12" i="5" s="1"/>
  <c r="G51" i="1"/>
  <c r="G50" i="1"/>
  <c r="J56" i="6" s="1"/>
  <c r="G42" i="1"/>
  <c r="J50" i="6" s="1"/>
  <c r="W12" i="1"/>
  <c r="F10" i="5" s="1"/>
  <c r="W11" i="1"/>
  <c r="F9" i="5" s="1"/>
  <c r="V12" i="1"/>
  <c r="E10" i="5" s="1"/>
  <c r="G11" i="4"/>
  <c r="F67" i="1"/>
  <c r="F52" i="1"/>
  <c r="I21" i="6"/>
  <c r="I67" i="6"/>
  <c r="I64" i="6"/>
  <c r="I3" i="6"/>
  <c r="K79" i="6"/>
  <c r="I79" i="6"/>
  <c r="H79" i="6"/>
  <c r="I76" i="6"/>
  <c r="H76" i="6"/>
  <c r="K75" i="6"/>
  <c r="I75" i="6"/>
  <c r="H75" i="6"/>
  <c r="K73" i="6"/>
  <c r="I73" i="6"/>
  <c r="H73" i="6"/>
  <c r="K72" i="6"/>
  <c r="I72" i="6"/>
  <c r="H72" i="6"/>
  <c r="K70" i="6"/>
  <c r="I70" i="6"/>
  <c r="H70" i="6"/>
  <c r="K69" i="6"/>
  <c r="I69" i="6"/>
  <c r="H69" i="6"/>
  <c r="K67" i="6"/>
  <c r="H67" i="6"/>
  <c r="K66" i="6"/>
  <c r="I66" i="6"/>
  <c r="H66" i="6"/>
  <c r="M64" i="6"/>
  <c r="K64" i="6"/>
  <c r="H64" i="6"/>
  <c r="M63" i="6"/>
  <c r="K63" i="6"/>
  <c r="I63" i="6"/>
  <c r="H63" i="6"/>
  <c r="M62" i="6"/>
  <c r="M61" i="6"/>
  <c r="K61" i="6"/>
  <c r="I61" i="6"/>
  <c r="H61" i="6"/>
  <c r="M60" i="6"/>
  <c r="K60" i="6"/>
  <c r="I60" i="6"/>
  <c r="H60" i="6"/>
  <c r="K51" i="6"/>
  <c r="I51" i="6"/>
  <c r="H51" i="6"/>
  <c r="K50" i="6"/>
  <c r="I50" i="6"/>
  <c r="H50" i="6"/>
  <c r="K48" i="6"/>
  <c r="I48" i="6"/>
  <c r="H48" i="6"/>
  <c r="K47" i="6"/>
  <c r="I47" i="6"/>
  <c r="H47" i="6"/>
  <c r="K45" i="6"/>
  <c r="I45" i="6"/>
  <c r="H45" i="6"/>
  <c r="K44" i="6"/>
  <c r="I44" i="6"/>
  <c r="H44" i="6"/>
  <c r="K42" i="6"/>
  <c r="I42" i="6"/>
  <c r="H42" i="6"/>
  <c r="K41" i="6"/>
  <c r="I41" i="6"/>
  <c r="H41" i="6"/>
  <c r="K39" i="6"/>
  <c r="I39" i="6"/>
  <c r="H39" i="6"/>
  <c r="K38" i="6"/>
  <c r="I38" i="6"/>
  <c r="H38" i="6"/>
  <c r="K36" i="6"/>
  <c r="I36" i="6"/>
  <c r="H36" i="6"/>
  <c r="K35" i="6"/>
  <c r="I35" i="6"/>
  <c r="H35" i="6"/>
  <c r="M33" i="6"/>
  <c r="K33" i="6"/>
  <c r="I33" i="6"/>
  <c r="H33" i="6"/>
  <c r="M32" i="6"/>
  <c r="K32" i="6"/>
  <c r="I32" i="6"/>
  <c r="H32" i="6"/>
  <c r="K30" i="6"/>
  <c r="I30" i="6"/>
  <c r="H30" i="6"/>
  <c r="K29" i="6"/>
  <c r="I29" i="6"/>
  <c r="H29" i="6"/>
  <c r="K27" i="6"/>
  <c r="I27" i="6"/>
  <c r="H27" i="6"/>
  <c r="K26" i="6"/>
  <c r="I26" i="6"/>
  <c r="H26" i="6"/>
  <c r="K24" i="6"/>
  <c r="I24" i="6"/>
  <c r="H24" i="6"/>
  <c r="K23" i="6"/>
  <c r="I23" i="6"/>
  <c r="H23" i="6"/>
  <c r="M21" i="6"/>
  <c r="K21" i="6"/>
  <c r="H21" i="6"/>
  <c r="K20" i="6"/>
  <c r="I20" i="6"/>
  <c r="H20" i="6"/>
  <c r="K18" i="6"/>
  <c r="I18" i="6"/>
  <c r="H18" i="6"/>
  <c r="K17" i="6"/>
  <c r="I17" i="6"/>
  <c r="H17" i="6"/>
  <c r="K15" i="6"/>
  <c r="I15" i="6"/>
  <c r="H15" i="6"/>
  <c r="K14" i="6"/>
  <c r="I14" i="6"/>
  <c r="H14" i="6"/>
  <c r="K12" i="6"/>
  <c r="I12" i="6"/>
  <c r="H12" i="6"/>
  <c r="K11" i="6"/>
  <c r="I11" i="6"/>
  <c r="H11" i="6"/>
  <c r="K9" i="6"/>
  <c r="I9" i="6"/>
  <c r="H9" i="6"/>
  <c r="K8" i="6"/>
  <c r="I8" i="6"/>
  <c r="K6" i="6"/>
  <c r="I6" i="6"/>
  <c r="H6" i="6"/>
  <c r="K5" i="6"/>
  <c r="I5" i="6"/>
  <c r="H5" i="6"/>
  <c r="K3" i="6"/>
  <c r="H3" i="6"/>
  <c r="K2" i="6"/>
  <c r="I2" i="6"/>
  <c r="H2" i="6"/>
  <c r="J73" i="1"/>
  <c r="E67" i="1"/>
  <c r="N65" i="1"/>
  <c r="K77" i="6" s="1"/>
  <c r="L65" i="1"/>
  <c r="I77" i="6" s="1"/>
  <c r="K65" i="1"/>
  <c r="H77" i="6" s="1"/>
  <c r="G65" i="1"/>
  <c r="J75" i="6" s="1"/>
  <c r="N63" i="1"/>
  <c r="K74" i="6" s="1"/>
  <c r="L63" i="1"/>
  <c r="I74" i="6" s="1"/>
  <c r="K63" i="1"/>
  <c r="H74" i="6" s="1"/>
  <c r="G63" i="1"/>
  <c r="J72" i="6" s="1"/>
  <c r="N61" i="1"/>
  <c r="L61" i="1"/>
  <c r="I71" i="6" s="1"/>
  <c r="K61" i="1"/>
  <c r="H71" i="6" s="1"/>
  <c r="G61" i="1"/>
  <c r="J69" i="6" s="1"/>
  <c r="K68" i="6"/>
  <c r="L59" i="1"/>
  <c r="K59" i="1"/>
  <c r="H68" i="6" s="1"/>
  <c r="Y58" i="1"/>
  <c r="H12" i="5" s="1"/>
  <c r="Y57" i="1"/>
  <c r="H11" i="5" s="1"/>
  <c r="W57" i="1"/>
  <c r="N57" i="1"/>
  <c r="K65" i="6" s="1"/>
  <c r="L57" i="1"/>
  <c r="I65" i="6" s="1"/>
  <c r="K57" i="1"/>
  <c r="H65" i="6" s="1"/>
  <c r="G57" i="1"/>
  <c r="J57" i="1" s="1"/>
  <c r="M66" i="6" s="1"/>
  <c r="N55" i="1"/>
  <c r="K62" i="6" s="1"/>
  <c r="L55" i="1"/>
  <c r="I62" i="6" s="1"/>
  <c r="K55" i="1"/>
  <c r="G55" i="1"/>
  <c r="N42" i="1"/>
  <c r="K52" i="6" s="1"/>
  <c r="L42" i="1"/>
  <c r="I52" i="6" s="1"/>
  <c r="K42" i="1"/>
  <c r="H52" i="6" s="1"/>
  <c r="N40" i="1"/>
  <c r="K49" i="6" s="1"/>
  <c r="L40" i="1"/>
  <c r="I49" i="6" s="1"/>
  <c r="K40" i="1"/>
  <c r="H49" i="6" s="1"/>
  <c r="G40" i="1"/>
  <c r="J47" i="6" s="1"/>
  <c r="N38" i="1"/>
  <c r="L38" i="1"/>
  <c r="I46" i="6" s="1"/>
  <c r="K38" i="1"/>
  <c r="H46" i="6" s="1"/>
  <c r="G38" i="1"/>
  <c r="J44" i="6" s="1"/>
  <c r="N36" i="1"/>
  <c r="L36" i="1"/>
  <c r="I43" i="6" s="1"/>
  <c r="K36" i="1"/>
  <c r="H43" i="6" s="1"/>
  <c r="G36" i="1"/>
  <c r="J36" i="1" s="1"/>
  <c r="M41" i="6" s="1"/>
  <c r="N34" i="1"/>
  <c r="L34" i="1"/>
  <c r="I40" i="6" s="1"/>
  <c r="K34" i="1"/>
  <c r="H40" i="6" s="1"/>
  <c r="G34" i="1"/>
  <c r="J34" i="1" s="1"/>
  <c r="M38" i="6" s="1"/>
  <c r="N32" i="1"/>
  <c r="L32" i="1"/>
  <c r="I37" i="6" s="1"/>
  <c r="K32" i="1"/>
  <c r="H37" i="6" s="1"/>
  <c r="G32" i="1"/>
  <c r="J35" i="6" s="1"/>
  <c r="N30" i="1"/>
  <c r="L30" i="1"/>
  <c r="I34" i="6" s="1"/>
  <c r="K30" i="1"/>
  <c r="G30" i="1"/>
  <c r="J32" i="6" s="1"/>
  <c r="N28" i="1"/>
  <c r="L28" i="1"/>
  <c r="I31" i="6" s="1"/>
  <c r="K28" i="1"/>
  <c r="H31" i="6" s="1"/>
  <c r="G28" i="1"/>
  <c r="J29" i="6" s="1"/>
  <c r="N26" i="1"/>
  <c r="L26" i="1"/>
  <c r="I28" i="6" s="1"/>
  <c r="K26" i="1"/>
  <c r="H28" i="6" s="1"/>
  <c r="G26" i="1"/>
  <c r="J26" i="6" s="1"/>
  <c r="N24" i="1"/>
  <c r="L24" i="1"/>
  <c r="I25" i="6" s="1"/>
  <c r="K24" i="1"/>
  <c r="H25" i="6" s="1"/>
  <c r="J23" i="6"/>
  <c r="N22" i="1"/>
  <c r="L22" i="1"/>
  <c r="I22" i="6" s="1"/>
  <c r="K22" i="1"/>
  <c r="H22" i="6" s="1"/>
  <c r="G22" i="1"/>
  <c r="J20" i="6" s="1"/>
  <c r="N20" i="1"/>
  <c r="L20" i="1"/>
  <c r="I19" i="6" s="1"/>
  <c r="K20" i="1"/>
  <c r="H19" i="6" s="1"/>
  <c r="G20" i="1"/>
  <c r="J17" i="6" s="1"/>
  <c r="N18" i="1"/>
  <c r="L18" i="1"/>
  <c r="K18" i="1"/>
  <c r="H16" i="6" s="1"/>
  <c r="G18" i="1"/>
  <c r="I18" i="1" s="1"/>
  <c r="G19" i="1" s="1"/>
  <c r="N16" i="1"/>
  <c r="L16" i="1"/>
  <c r="I13" i="6" s="1"/>
  <c r="K16" i="1"/>
  <c r="H13" i="6" s="1"/>
  <c r="G16" i="1"/>
  <c r="I16" i="1" s="1"/>
  <c r="G17" i="1" s="1"/>
  <c r="N14" i="1"/>
  <c r="L14" i="1"/>
  <c r="I10" i="6" s="1"/>
  <c r="N12" i="1"/>
  <c r="L12" i="1"/>
  <c r="I7" i="6" s="1"/>
  <c r="K12" i="1"/>
  <c r="H7" i="6" s="1"/>
  <c r="G12" i="1"/>
  <c r="J12" i="1" s="1"/>
  <c r="M5" i="6" s="1"/>
  <c r="N10" i="1"/>
  <c r="K10" i="1"/>
  <c r="G10" i="1"/>
  <c r="J10" i="1" s="1"/>
  <c r="M2" i="6" s="1"/>
  <c r="G14" i="5"/>
  <c r="J14" i="5" s="1"/>
  <c r="I11" i="4" s="1"/>
  <c r="G13" i="5"/>
  <c r="J13" i="5" s="1"/>
  <c r="M79" i="6" s="1"/>
  <c r="B5" i="5"/>
  <c r="B5" i="1" s="1"/>
  <c r="E11" i="4"/>
  <c r="D11" i="4"/>
  <c r="G10" i="4"/>
  <c r="E10" i="4"/>
  <c r="D10" i="4"/>
  <c r="W58" i="1"/>
  <c r="F12" i="5" s="1"/>
  <c r="L10" i="1"/>
  <c r="K7" i="6" l="1"/>
  <c r="K10" i="6"/>
  <c r="K13" i="6"/>
  <c r="K19" i="6"/>
  <c r="K22" i="6"/>
  <c r="K25" i="6"/>
  <c r="K28" i="6"/>
  <c r="K31" i="6"/>
  <c r="K34" i="6"/>
  <c r="K37" i="6"/>
  <c r="K40" i="6"/>
  <c r="K43" i="6"/>
  <c r="K16" i="6"/>
  <c r="K46" i="6"/>
  <c r="J18" i="1"/>
  <c r="M14" i="6" s="1"/>
  <c r="I34" i="1"/>
  <c r="G35" i="1" s="1"/>
  <c r="I35" i="1" s="1"/>
  <c r="L39" i="6" s="1"/>
  <c r="J41" i="6"/>
  <c r="M32" i="1"/>
  <c r="L52" i="1"/>
  <c r="J22" i="1"/>
  <c r="M20" i="6" s="1"/>
  <c r="M24" i="1"/>
  <c r="J25" i="6" s="1"/>
  <c r="M28" i="1"/>
  <c r="J31" i="6" s="1"/>
  <c r="H4" i="6"/>
  <c r="V11" i="1"/>
  <c r="E52" i="1"/>
  <c r="T11" i="1" s="1"/>
  <c r="K4" i="6"/>
  <c r="N52" i="1"/>
  <c r="I16" i="6"/>
  <c r="M18" i="1"/>
  <c r="P18" i="1" s="1"/>
  <c r="I68" i="6"/>
  <c r="M59" i="1"/>
  <c r="O59" i="1" s="1"/>
  <c r="I51" i="1"/>
  <c r="L57" i="6" s="1"/>
  <c r="J57" i="6"/>
  <c r="M63" i="1"/>
  <c r="I32" i="1"/>
  <c r="L35" i="6" s="1"/>
  <c r="I38" i="1"/>
  <c r="G39" i="1" s="1"/>
  <c r="J45" i="6" s="1"/>
  <c r="K14" i="1"/>
  <c r="K52" i="1" s="1"/>
  <c r="M26" i="1"/>
  <c r="J28" i="6" s="1"/>
  <c r="M34" i="1"/>
  <c r="O34" i="1" s="1"/>
  <c r="L40" i="6" s="1"/>
  <c r="M38" i="1"/>
  <c r="O38" i="1" s="1"/>
  <c r="L46" i="6" s="1"/>
  <c r="O55" i="6"/>
  <c r="O53" i="6"/>
  <c r="O54" i="6"/>
  <c r="L67" i="1"/>
  <c r="J20" i="1"/>
  <c r="M17" i="6" s="1"/>
  <c r="M20" i="1"/>
  <c r="J19" i="6" s="1"/>
  <c r="O8" i="6"/>
  <c r="O56" i="6"/>
  <c r="O57" i="6"/>
  <c r="O58" i="6"/>
  <c r="N67" i="1"/>
  <c r="K71" i="6"/>
  <c r="AD57" i="1"/>
  <c r="I78" i="6" s="1"/>
  <c r="F11" i="5"/>
  <c r="E9" i="4" s="1"/>
  <c r="M42" i="1"/>
  <c r="J52" i="6" s="1"/>
  <c r="AF57" i="1"/>
  <c r="K78" i="6" s="1"/>
  <c r="H10" i="6"/>
  <c r="I63" i="1"/>
  <c r="X57" i="1"/>
  <c r="AA57" i="1" s="1"/>
  <c r="J50" i="1"/>
  <c r="M56" i="6" s="1"/>
  <c r="I50" i="1"/>
  <c r="L56" i="6" s="1"/>
  <c r="J63" i="1"/>
  <c r="J16" i="1"/>
  <c r="M11" i="6" s="1"/>
  <c r="J38" i="6"/>
  <c r="I36" i="1"/>
  <c r="G37" i="1" s="1"/>
  <c r="J37" i="1" s="1"/>
  <c r="M42" i="6" s="1"/>
  <c r="K67" i="1"/>
  <c r="G14" i="1"/>
  <c r="J14" i="1" s="1"/>
  <c r="M8" i="6" s="1"/>
  <c r="H8" i="6"/>
  <c r="I40" i="1"/>
  <c r="L47" i="6" s="1"/>
  <c r="J14" i="6"/>
  <c r="I20" i="1"/>
  <c r="J38" i="1"/>
  <c r="M44" i="6" s="1"/>
  <c r="J51" i="1"/>
  <c r="M57" i="6" s="1"/>
  <c r="G9" i="4"/>
  <c r="J2" i="6"/>
  <c r="I10" i="1"/>
  <c r="E8" i="4"/>
  <c r="H15" i="5"/>
  <c r="T57" i="1"/>
  <c r="F11" i="4"/>
  <c r="I14" i="5"/>
  <c r="H11" i="4" s="1"/>
  <c r="F10" i="4"/>
  <c r="I13" i="5"/>
  <c r="J79" i="6"/>
  <c r="AD11" i="1"/>
  <c r="I59" i="6" s="1"/>
  <c r="AF11" i="1"/>
  <c r="K59" i="6" s="1"/>
  <c r="I10" i="4"/>
  <c r="M65" i="1"/>
  <c r="O65" i="1" s="1"/>
  <c r="L77" i="6" s="1"/>
  <c r="L14" i="6"/>
  <c r="I4" i="6"/>
  <c r="D9" i="4"/>
  <c r="M30" i="1"/>
  <c r="J34" i="6" s="1"/>
  <c r="M40" i="1"/>
  <c r="M10" i="1"/>
  <c r="J11" i="6"/>
  <c r="O30" i="1"/>
  <c r="L34" i="6" s="1"/>
  <c r="H34" i="6"/>
  <c r="M22" i="1"/>
  <c r="O22" i="1" s="1"/>
  <c r="L22" i="6" s="1"/>
  <c r="I12" i="1"/>
  <c r="L5" i="6" s="1"/>
  <c r="J5" i="6"/>
  <c r="L11" i="6"/>
  <c r="I19" i="1"/>
  <c r="L15" i="6" s="1"/>
  <c r="J15" i="6"/>
  <c r="J19" i="1"/>
  <c r="M15" i="6" s="1"/>
  <c r="I30" i="1"/>
  <c r="G31" i="1" s="1"/>
  <c r="J37" i="6"/>
  <c r="M12" i="1"/>
  <c r="P12" i="1" s="1"/>
  <c r="J40" i="1"/>
  <c r="M47" i="6" s="1"/>
  <c r="M16" i="1"/>
  <c r="P16" i="1" s="1"/>
  <c r="I22" i="1"/>
  <c r="G23" i="1" s="1"/>
  <c r="J24" i="1"/>
  <c r="M23" i="6" s="1"/>
  <c r="I24" i="1"/>
  <c r="G25" i="1" s="1"/>
  <c r="J26" i="1"/>
  <c r="M26" i="6" s="1"/>
  <c r="I26" i="1"/>
  <c r="G27" i="1" s="1"/>
  <c r="J28" i="1"/>
  <c r="M29" i="6" s="1"/>
  <c r="J32" i="1"/>
  <c r="M35" i="6" s="1"/>
  <c r="M36" i="1"/>
  <c r="P36" i="1" s="1"/>
  <c r="J42" i="1"/>
  <c r="M50" i="6" s="1"/>
  <c r="I28" i="1"/>
  <c r="G29" i="1" s="1"/>
  <c r="I42" i="1"/>
  <c r="J65" i="1"/>
  <c r="M77" i="6" s="1"/>
  <c r="I65" i="1"/>
  <c r="J61" i="1"/>
  <c r="M72" i="6" s="1"/>
  <c r="I61" i="1"/>
  <c r="L66" i="6"/>
  <c r="J59" i="1"/>
  <c r="M69" i="6" s="1"/>
  <c r="J66" i="6"/>
  <c r="M61" i="1"/>
  <c r="O61" i="1" s="1"/>
  <c r="L71" i="6" s="1"/>
  <c r="AC57" i="1"/>
  <c r="H78" i="6" s="1"/>
  <c r="I57" i="1"/>
  <c r="M57" i="1"/>
  <c r="J63" i="6"/>
  <c r="I55" i="1"/>
  <c r="J60" i="6"/>
  <c r="H62" i="6"/>
  <c r="M55" i="1"/>
  <c r="G67" i="1"/>
  <c r="O79" i="6"/>
  <c r="G8" i="4"/>
  <c r="O77" i="6"/>
  <c r="O73" i="6"/>
  <c r="O69" i="6"/>
  <c r="O65" i="6"/>
  <c r="O61" i="6"/>
  <c r="O51" i="6"/>
  <c r="O47" i="6"/>
  <c r="O43" i="6"/>
  <c r="O38" i="6"/>
  <c r="O33" i="6"/>
  <c r="O29" i="6"/>
  <c r="O25" i="6"/>
  <c r="O21" i="6"/>
  <c r="O17" i="6"/>
  <c r="O13" i="6"/>
  <c r="O9" i="6"/>
  <c r="O5" i="6"/>
  <c r="O78" i="6"/>
  <c r="O74" i="6"/>
  <c r="O70" i="6"/>
  <c r="O66" i="6"/>
  <c r="O62" i="6"/>
  <c r="O52" i="6"/>
  <c r="O48" i="6"/>
  <c r="O44" i="6"/>
  <c r="O39" i="6"/>
  <c r="O35" i="6"/>
  <c r="O34" i="6"/>
  <c r="O30" i="6"/>
  <c r="O26" i="6"/>
  <c r="O22" i="6"/>
  <c r="O18" i="6"/>
  <c r="O14" i="6"/>
  <c r="O10" i="6"/>
  <c r="O6" i="6"/>
  <c r="O2" i="6"/>
  <c r="O75" i="6"/>
  <c r="O71" i="6"/>
  <c r="O67" i="6"/>
  <c r="O63" i="6"/>
  <c r="O59" i="6"/>
  <c r="O49" i="6"/>
  <c r="O45" i="6"/>
  <c r="O41" i="6"/>
  <c r="O40" i="6"/>
  <c r="O36" i="6"/>
  <c r="O31" i="6"/>
  <c r="O27" i="6"/>
  <c r="O23" i="6"/>
  <c r="O19" i="6"/>
  <c r="O15" i="6"/>
  <c r="O11" i="6"/>
  <c r="O7" i="6"/>
  <c r="O3" i="6"/>
  <c r="O76" i="6"/>
  <c r="O72" i="6"/>
  <c r="O68" i="6"/>
  <c r="O64" i="6"/>
  <c r="O60" i="6"/>
  <c r="O50" i="6"/>
  <c r="O46" i="6"/>
  <c r="O42" i="6"/>
  <c r="O37" i="6"/>
  <c r="O32" i="6"/>
  <c r="O28" i="6"/>
  <c r="O24" i="6"/>
  <c r="O20" i="6"/>
  <c r="O16" i="6"/>
  <c r="O12" i="6"/>
  <c r="O4" i="6"/>
  <c r="P38" i="1" l="1"/>
  <c r="P34" i="1"/>
  <c r="P32" i="1"/>
  <c r="M37" i="6" s="1"/>
  <c r="P30" i="1"/>
  <c r="M34" i="6" s="1"/>
  <c r="P28" i="1"/>
  <c r="P26" i="1"/>
  <c r="P24" i="1"/>
  <c r="M25" i="6" s="1"/>
  <c r="P22" i="1"/>
  <c r="M22" i="6" s="1"/>
  <c r="P20" i="1"/>
  <c r="J49" i="6"/>
  <c r="M49" i="6"/>
  <c r="O32" i="1"/>
  <c r="L37" i="6" s="1"/>
  <c r="M40" i="6"/>
  <c r="L38" i="6"/>
  <c r="J39" i="6"/>
  <c r="J35" i="1"/>
  <c r="M39" i="6" s="1"/>
  <c r="M46" i="6"/>
  <c r="M14" i="1"/>
  <c r="AC11" i="1"/>
  <c r="AE11" i="1" s="1"/>
  <c r="E9" i="5"/>
  <c r="E15" i="5" s="1"/>
  <c r="M31" i="6"/>
  <c r="O24" i="1"/>
  <c r="L25" i="6" s="1"/>
  <c r="O28" i="1"/>
  <c r="L31" i="6" s="1"/>
  <c r="O20" i="1"/>
  <c r="L19" i="6" s="1"/>
  <c r="L44" i="6"/>
  <c r="F15" i="5"/>
  <c r="M28" i="6"/>
  <c r="J46" i="6"/>
  <c r="M19" i="6"/>
  <c r="I14" i="1"/>
  <c r="G15" i="1" s="1"/>
  <c r="O10" i="1"/>
  <c r="L4" i="6" s="1"/>
  <c r="J68" i="6"/>
  <c r="L68" i="6"/>
  <c r="P59" i="1"/>
  <c r="M68" i="6" s="1"/>
  <c r="J8" i="6"/>
  <c r="X11" i="1"/>
  <c r="G9" i="5" s="1"/>
  <c r="I9" i="5" s="1"/>
  <c r="O26" i="1"/>
  <c r="L28" i="6" s="1"/>
  <c r="J40" i="6"/>
  <c r="P65" i="1"/>
  <c r="J77" i="6"/>
  <c r="G33" i="1"/>
  <c r="I33" i="1" s="1"/>
  <c r="L36" i="6" s="1"/>
  <c r="O63" i="1"/>
  <c r="L74" i="6" s="1"/>
  <c r="J74" i="6"/>
  <c r="G11" i="5"/>
  <c r="I11" i="5" s="1"/>
  <c r="P63" i="1"/>
  <c r="I39" i="1"/>
  <c r="L45" i="6" s="1"/>
  <c r="G41" i="1"/>
  <c r="Z57" i="1"/>
  <c r="E12" i="4"/>
  <c r="O42" i="1"/>
  <c r="L52" i="6" s="1"/>
  <c r="M52" i="6"/>
  <c r="P10" i="1"/>
  <c r="M4" i="6" s="1"/>
  <c r="J4" i="6"/>
  <c r="L41" i="6"/>
  <c r="G21" i="1"/>
  <c r="L17" i="6"/>
  <c r="M75" i="6"/>
  <c r="M74" i="6"/>
  <c r="J22" i="6"/>
  <c r="G64" i="1"/>
  <c r="L72" i="6"/>
  <c r="G11" i="1"/>
  <c r="I11" i="1" s="1"/>
  <c r="L3" i="6" s="1"/>
  <c r="L2" i="6"/>
  <c r="J39" i="1"/>
  <c r="M45" i="6" s="1"/>
  <c r="G12" i="4"/>
  <c r="L79" i="6"/>
  <c r="H10" i="4"/>
  <c r="I37" i="1"/>
  <c r="L42" i="6" s="1"/>
  <c r="J42" i="6"/>
  <c r="O40" i="1"/>
  <c r="L49" i="6" s="1"/>
  <c r="G13" i="1"/>
  <c r="J13" i="1" s="1"/>
  <c r="M6" i="6" s="1"/>
  <c r="L50" i="6"/>
  <c r="G43" i="1"/>
  <c r="J16" i="6"/>
  <c r="O18" i="1"/>
  <c r="L16" i="6" s="1"/>
  <c r="M16" i="6"/>
  <c r="O12" i="1"/>
  <c r="L7" i="6" s="1"/>
  <c r="J7" i="6"/>
  <c r="M7" i="6"/>
  <c r="J12" i="6"/>
  <c r="I17" i="1"/>
  <c r="L12" i="6" s="1"/>
  <c r="J17" i="1"/>
  <c r="M12" i="6" s="1"/>
  <c r="L29" i="6"/>
  <c r="O36" i="1"/>
  <c r="L43" i="6" s="1"/>
  <c r="J43" i="6"/>
  <c r="M43" i="6"/>
  <c r="L26" i="6"/>
  <c r="L23" i="6"/>
  <c r="L20" i="6"/>
  <c r="J13" i="6"/>
  <c r="O16" i="1"/>
  <c r="L13" i="6" s="1"/>
  <c r="M13" i="6"/>
  <c r="L32" i="6"/>
  <c r="L75" i="6"/>
  <c r="G66" i="1"/>
  <c r="AE57" i="1"/>
  <c r="AH57" i="1" s="1"/>
  <c r="M78" i="6" s="1"/>
  <c r="L69" i="6"/>
  <c r="G62" i="1"/>
  <c r="J60" i="1"/>
  <c r="M70" i="6" s="1"/>
  <c r="J67" i="6"/>
  <c r="L67" i="6"/>
  <c r="P61" i="1"/>
  <c r="M71" i="6" s="1"/>
  <c r="J71" i="6"/>
  <c r="L63" i="6"/>
  <c r="G58" i="1"/>
  <c r="I58" i="1" s="1"/>
  <c r="O57" i="1"/>
  <c r="L65" i="6" s="1"/>
  <c r="J65" i="6"/>
  <c r="P57" i="1"/>
  <c r="M65" i="6" s="1"/>
  <c r="J67" i="1"/>
  <c r="I67" i="1"/>
  <c r="O55" i="1"/>
  <c r="M67" i="1"/>
  <c r="P67" i="1" s="1"/>
  <c r="J62" i="6"/>
  <c r="L60" i="6"/>
  <c r="G56" i="1"/>
  <c r="J10" i="6" l="1"/>
  <c r="P14" i="1"/>
  <c r="M10" i="6" s="1"/>
  <c r="J36" i="6"/>
  <c r="L8" i="6"/>
  <c r="O14" i="1"/>
  <c r="L10" i="6" s="1"/>
  <c r="M52" i="1"/>
  <c r="P52" i="1" s="1"/>
  <c r="D8" i="4"/>
  <c r="D12" i="4" s="1"/>
  <c r="H59" i="6"/>
  <c r="J3" i="6"/>
  <c r="J78" i="6"/>
  <c r="J11" i="5"/>
  <c r="J11" i="1"/>
  <c r="M3" i="6" s="1"/>
  <c r="Z11" i="1"/>
  <c r="AA11" i="1"/>
  <c r="J33" i="1"/>
  <c r="M36" i="6" s="1"/>
  <c r="J48" i="6"/>
  <c r="I41" i="1"/>
  <c r="L48" i="6" s="1"/>
  <c r="M48" i="6"/>
  <c r="J18" i="6"/>
  <c r="J21" i="1"/>
  <c r="M18" i="6" s="1"/>
  <c r="I21" i="1"/>
  <c r="L18" i="6" s="1"/>
  <c r="G52" i="1"/>
  <c r="J52" i="1" s="1"/>
  <c r="J73" i="6"/>
  <c r="J64" i="1"/>
  <c r="M76" i="6" s="1"/>
  <c r="I64" i="1"/>
  <c r="L73" i="6" s="1"/>
  <c r="AH11" i="1"/>
  <c r="M59" i="6" s="1"/>
  <c r="X58" i="1"/>
  <c r="G12" i="5" s="1"/>
  <c r="X12" i="1"/>
  <c r="G10" i="5" s="1"/>
  <c r="I13" i="1"/>
  <c r="L6" i="6" s="1"/>
  <c r="J6" i="6"/>
  <c r="I23" i="1"/>
  <c r="L21" i="6" s="1"/>
  <c r="J21" i="6"/>
  <c r="I27" i="1"/>
  <c r="L27" i="6" s="1"/>
  <c r="J27" i="1"/>
  <c r="M27" i="6" s="1"/>
  <c r="J27" i="6"/>
  <c r="J30" i="6"/>
  <c r="I29" i="1"/>
  <c r="L30" i="6" s="1"/>
  <c r="J29" i="1"/>
  <c r="M30" i="6" s="1"/>
  <c r="M51" i="6"/>
  <c r="I43" i="1"/>
  <c r="L51" i="6" s="1"/>
  <c r="J51" i="6"/>
  <c r="I31" i="1"/>
  <c r="L33" i="6" s="1"/>
  <c r="J33" i="6"/>
  <c r="J9" i="5"/>
  <c r="J24" i="6"/>
  <c r="I25" i="1"/>
  <c r="L24" i="6" s="1"/>
  <c r="J25" i="1"/>
  <c r="M24" i="6" s="1"/>
  <c r="I15" i="1"/>
  <c r="L9" i="6" s="1"/>
  <c r="J15" i="1"/>
  <c r="M9" i="6" s="1"/>
  <c r="J9" i="6"/>
  <c r="F9" i="4"/>
  <c r="J76" i="6"/>
  <c r="J66" i="1"/>
  <c r="I66" i="1"/>
  <c r="L76" i="6" s="1"/>
  <c r="AG57" i="1"/>
  <c r="L78" i="6" s="1"/>
  <c r="I62" i="1"/>
  <c r="L70" i="6" s="1"/>
  <c r="J70" i="6"/>
  <c r="J62" i="1"/>
  <c r="M73" i="6" s="1"/>
  <c r="J58" i="1"/>
  <c r="M67" i="6" s="1"/>
  <c r="L64" i="6"/>
  <c r="J64" i="6"/>
  <c r="I56" i="1"/>
  <c r="L61" i="6" s="1"/>
  <c r="J61" i="6"/>
  <c r="L62" i="6"/>
  <c r="O67" i="1"/>
  <c r="O52" i="1" l="1"/>
  <c r="F8" i="4"/>
  <c r="F12" i="4" s="1"/>
  <c r="I12" i="4" s="1"/>
  <c r="J59" i="6"/>
  <c r="AG11" i="1"/>
  <c r="L59" i="6" s="1"/>
  <c r="G15" i="5"/>
  <c r="J15" i="5" s="1"/>
  <c r="I52" i="1"/>
  <c r="Z12" i="1"/>
  <c r="AA12" i="1"/>
  <c r="H9" i="4"/>
  <c r="I9" i="4"/>
  <c r="AA58" i="1"/>
  <c r="Z58" i="1"/>
  <c r="H12" i="4" l="1"/>
  <c r="I8" i="4"/>
  <c r="H8" i="4"/>
  <c r="I15" i="5"/>
  <c r="I10" i="5"/>
  <c r="J10" i="5"/>
  <c r="I12" i="5"/>
  <c r="J12" i="5"/>
</calcChain>
</file>

<file path=xl/comments1.xml><?xml version="1.0" encoding="utf-8"?>
<comments xmlns="http://schemas.openxmlformats.org/spreadsheetml/2006/main">
  <authors>
    <author>MOLINA SAN MARTIN, KAMILA FERNANDA</author>
    <author>gezul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Modificación de cuota. Acoge recurso de reposición Res. Ex. N° 90-19 que modifica coeficiente de participación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N°136-16 modificada por Res N° 137-16, traspaso desde la unidad de pesqueria V-X a unidad de pesqueria XI-XII, hasta el año 2031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23 traspaso de 902,672 ton, a pesqueria XI-XII</t>
        </r>
      </text>
    </comment>
    <comment ref="F57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23  traspaso de 902,672 desde ENDEPES V-X</t>
        </r>
      </text>
    </comment>
    <comment ref="F63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N°136-16 modificada por Res N° 137-16, traspaso desde la unidad de pesqueria V-X a unidad de pesqueria XI-XII, hasta el año 2031</t>
        </r>
      </text>
    </comment>
  </commentList>
</comments>
</file>

<file path=xl/sharedStrings.xml><?xml version="1.0" encoding="utf-8"?>
<sst xmlns="http://schemas.openxmlformats.org/spreadsheetml/2006/main" count="808" uniqueCount="147">
  <si>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</si>
  <si>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</si>
  <si>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</si>
  <si>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</si>
  <si>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</si>
  <si>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</si>
  <si>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</si>
  <si>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</si>
  <si>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</si>
  <si>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</si>
  <si>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</si>
  <si>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</si>
  <si>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</si>
  <si>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</si>
  <si>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</si>
  <si>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</si>
  <si>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</si>
  <si>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</si>
  <si>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</si>
  <si>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</si>
  <si>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</si>
  <si>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</si>
  <si>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</si>
  <si>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</si>
  <si>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</si>
  <si>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</si>
  <si>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ORIZON</t>
  </si>
  <si>
    <t>CAMANCHACA PESCA SUR S.A.</t>
  </si>
  <si>
    <t>PESCA CISNE S.A.</t>
  </si>
  <si>
    <t xml:space="preserve">Merluza de Cola  XI-XII Región </t>
  </si>
  <si>
    <t>XI-XII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</si>
  <si>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</si>
  <si>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</si>
  <si>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</si>
  <si>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</si>
  <si>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</si>
  <si>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</si>
  <si>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</si>
  <si>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 xml:space="preserve">V-X Región </t>
  </si>
  <si>
    <t xml:space="preserve">XI-XII Región </t>
  </si>
  <si>
    <t>Industrial</t>
  </si>
  <si>
    <t>Períodos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</si>
  <si>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</si>
  <si>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</si>
  <si>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</si>
  <si>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</si>
  <si>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</si>
  <si>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</si>
  <si>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</si>
  <si>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</si>
  <si>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</si>
  <si>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</si>
  <si>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</si>
  <si>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</si>
  <si>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</si>
  <si>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</si>
  <si>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</si>
  <si>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</si>
  <si>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</si>
  <si>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</si>
  <si>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</si>
  <si>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</si>
  <si>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</si>
  <si>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</si>
  <si>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</si>
  <si>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PESQUERA LITORAL SpA</t>
  </si>
  <si>
    <t>TOTAL LTP</t>
  </si>
  <si>
    <t>TOTAL ASIGNATARIOS LTP</t>
  </si>
  <si>
    <t>MERLUZA DE COLA XI-XII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</si>
  <si>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</si>
  <si>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</si>
  <si>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</si>
  <si>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</si>
  <si>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</si>
  <si>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</si>
  <si>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</si>
  <si>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</si>
  <si>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</si>
  <si>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</si>
  <si>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COMERCIAL Y CONSERVERA SAN LORENZO Ltda.</t>
  </si>
  <si>
    <t>Artesanal - Aguas interiores</t>
  </si>
  <si>
    <t>PACIFICBLU SpA.</t>
  </si>
  <si>
    <t xml:space="preserve">PACIFICBLU SpA </t>
  </si>
  <si>
    <t xml:space="preserve">BLUMAR S.A.                    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</si>
  <si>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</si>
  <si>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</si>
  <si>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</si>
  <si>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</si>
  <si>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</si>
  <si>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</si>
  <si>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</si>
  <si>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</si>
  <si>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</si>
  <si>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</si>
  <si>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</si>
  <si>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</si>
  <si>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</si>
  <si>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</si>
  <si>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</si>
  <si>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</si>
  <si>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</si>
  <si>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</si>
  <si>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</si>
  <si>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</si>
  <si>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</si>
  <si>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</si>
  <si>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</si>
  <si>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</si>
  <si>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</si>
  <si>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</si>
  <si>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</si>
  <si>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</si>
  <si>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</si>
  <si>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</si>
  <si>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</si>
  <si>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</si>
  <si>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</si>
  <si>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</si>
  <si>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</si>
  <si>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>Merluza de Cola V - X</t>
  </si>
  <si>
    <t>Información preliminar</t>
  </si>
  <si>
    <t>Total</t>
  </si>
  <si>
    <t xml:space="preserve">FOODCORP CHILE S.A.        </t>
  </si>
  <si>
    <t xml:space="preserve">ISLA QUIHUA S.A.     </t>
  </si>
  <si>
    <t xml:space="preserve">GRIMAR S.A.           </t>
  </si>
  <si>
    <t xml:space="preserve">LANDES S.A. </t>
  </si>
  <si>
    <t xml:space="preserve">LOTA PROTEIN S.A.            </t>
  </si>
  <si>
    <t xml:space="preserve">ANTONIO CRUZ CORDOVA NAKOUZI                             </t>
  </si>
  <si>
    <t xml:space="preserve">ANTONIO DA VENEZIA RETAMALES </t>
  </si>
  <si>
    <t xml:space="preserve">ENFERMAR LTDA. </t>
  </si>
  <si>
    <t>DERIS S.A.</t>
  </si>
  <si>
    <t xml:space="preserve">SUR AUSTRAL S.A. </t>
  </si>
  <si>
    <t xml:space="preserve">EMDEPES S.A.                      </t>
  </si>
  <si>
    <t xml:space="preserve">EMDEPES S.A.                     </t>
  </si>
  <si>
    <t xml:space="preserve">GRIMAR S.A. </t>
  </si>
  <si>
    <t xml:space="preserve">DERIS S.A.                  </t>
  </si>
  <si>
    <t xml:space="preserve">PESCA CISNE S.A.             </t>
  </si>
  <si>
    <t>Asignada</t>
  </si>
  <si>
    <t>ALIMENTOS MARINOS</t>
  </si>
  <si>
    <t>ALIMENTOS MARINOS S.A</t>
  </si>
  <si>
    <t>año</t>
  </si>
  <si>
    <t>mensaje</t>
  </si>
  <si>
    <t>ANTARTIC SEAFOOD SA</t>
  </si>
  <si>
    <t>PESQUERA QUINTERO S.A.</t>
  </si>
  <si>
    <t>RESUMEN  ANUAL CONSUMO DE CUOTA MERLUZA DE COLA 2020</t>
  </si>
  <si>
    <t>RESUMEN  POR PERIODO DEL CONSUMO DE CUOTA MERLUZA DE COLA 2020</t>
  </si>
  <si>
    <t>CONTROL DE CUOTA MERLUZA DE COLA LTP POR TITULAR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</si>
</sst>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[Red]\-0.00\ "/>
    <numFmt numFmtId="168" formatCode="0.000"/>
    <numFmt numFmtId="169" formatCode="#,##0_ ;[Red]\-#,##0\ "/>
    <numFmt numFmtId="170" formatCode="0.0000"/>
    <numFmt numFmtId="171" formatCode="0.0"/>
    <numFmt numFmtId="172" formatCode="yyyy/mm/dd"/>
    <numFmt numFmtId="173" formatCode="#,##0.000"/>
    <numFmt numFmtId="174" formatCode="_-* #,##0.00\ _p_t_a_-;\-* #,##0.00\ _p_t_a_-;_-* \-??\ _p_t_a_-;_-@_-"/>
    <numFmt numFmtId="175" formatCode="0.000%"/>
    <numFmt numFmtId="176" formatCode="0.000_ ;[Red]\-0.000\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B4CFA1"/>
        <bgColor indexed="64"/>
      </patternFill>
    </fill>
    <fill>
      <patternFill patternType="solid">
        <fgColor rgb="FFDBF67A"/>
        <bgColor indexed="64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rgb="FFDBF67A"/>
        </stop>
        <stop position="1">
          <color rgb="FFB4CFA1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E3EA86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48" applyNumberFormat="0" applyFill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51" applyNumberFormat="0" applyAlignment="0" applyProtection="0"/>
    <xf numFmtId="0" fontId="29" fillId="10" borderId="52" applyNumberFormat="0" applyAlignment="0" applyProtection="0"/>
    <xf numFmtId="0" fontId="30" fillId="10" borderId="51" applyNumberFormat="0" applyAlignment="0" applyProtection="0"/>
    <xf numFmtId="0" fontId="31" fillId="0" borderId="53" applyNumberFormat="0" applyFill="0" applyAlignment="0" applyProtection="0"/>
    <xf numFmtId="0" fontId="32" fillId="11" borderId="54" applyNumberFormat="0" applyAlignment="0" applyProtection="0"/>
    <xf numFmtId="0" fontId="14" fillId="0" borderId="0" applyNumberFormat="0" applyFill="0" applyBorder="0" applyAlignment="0" applyProtection="0"/>
    <xf numFmtId="0" fontId="1" fillId="12" borderId="55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56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12" fillId="0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169" fontId="11" fillId="5" borderId="22" xfId="0" applyNumberFormat="1" applyFont="1" applyFill="1" applyBorder="1" applyAlignment="1">
      <alignment horizontal="center"/>
    </xf>
    <xf numFmtId="10" fontId="11" fillId="5" borderId="22" xfId="6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3" fontId="11" fillId="5" borderId="28" xfId="0" applyNumberFormat="1" applyFont="1" applyFill="1" applyBorder="1" applyAlignment="1">
      <alignment horizontal="center"/>
    </xf>
    <xf numFmtId="10" fontId="11" fillId="5" borderId="28" xfId="6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10" fontId="0" fillId="0" borderId="19" xfId="1" applyNumberFormat="1" applyFont="1" applyFill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9" fontId="11" fillId="5" borderId="28" xfId="0" applyNumberFormat="1" applyFont="1" applyFill="1" applyBorder="1" applyAlignment="1">
      <alignment horizontal="center"/>
    </xf>
    <xf numFmtId="10" fontId="0" fillId="0" borderId="28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70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8" fontId="19" fillId="0" borderId="0" xfId="0" applyNumberFormat="1" applyFont="1" applyFill="1" applyAlignment="1">
      <alignment horizontal="right"/>
    </xf>
    <xf numFmtId="0" fontId="21" fillId="0" borderId="42" xfId="7" applyFont="1" applyFill="1" applyBorder="1" applyAlignment="1"/>
    <xf numFmtId="172" fontId="11" fillId="0" borderId="0" xfId="0" applyNumberFormat="1" applyFont="1" applyFill="1" applyAlignment="1"/>
    <xf numFmtId="0" fontId="21" fillId="0" borderId="47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0" fontId="15" fillId="60" borderId="9" xfId="0" applyFont="1" applyFill="1" applyBorder="1" applyAlignment="1">
      <alignment horizontal="center" vertical="center" wrapText="1"/>
    </xf>
    <xf numFmtId="0" fontId="15" fillId="60" borderId="32" xfId="0" applyFont="1" applyFill="1" applyBorder="1" applyAlignment="1">
      <alignment horizontal="center" vertical="center" wrapText="1"/>
    </xf>
    <xf numFmtId="171" fontId="15" fillId="60" borderId="5" xfId="0" applyNumberFormat="1" applyFont="1" applyFill="1" applyBorder="1" applyAlignment="1">
      <alignment horizontal="center" vertical="center" wrapText="1"/>
    </xf>
    <xf numFmtId="168" fontId="15" fillId="60" borderId="5" xfId="0" applyNumberFormat="1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horizontal="center" vertical="center" wrapText="1"/>
    </xf>
    <xf numFmtId="0" fontId="15" fillId="60" borderId="33" xfId="0" applyFont="1" applyFill="1" applyBorder="1" applyAlignment="1">
      <alignment horizontal="center" vertical="center" wrapText="1"/>
    </xf>
    <xf numFmtId="0" fontId="3" fillId="62" borderId="11" xfId="0" applyFont="1" applyFill="1" applyBorder="1" applyAlignment="1">
      <alignment horizontal="center"/>
    </xf>
    <xf numFmtId="0" fontId="3" fillId="62" borderId="28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25" xfId="0" applyFont="1" applyFill="1" applyBorder="1"/>
    <xf numFmtId="0" fontId="3" fillId="4" borderId="28" xfId="0" applyFont="1" applyFill="1" applyBorder="1"/>
    <xf numFmtId="0" fontId="5" fillId="61" borderId="9" xfId="3" applyFont="1" applyFill="1" applyBorder="1" applyAlignment="1">
      <alignment horizontal="center" vertical="center" wrapText="1"/>
    </xf>
    <xf numFmtId="10" fontId="5" fillId="61" borderId="9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7" fillId="60" borderId="22" xfId="0" applyFont="1" applyFill="1" applyBorder="1" applyAlignment="1">
      <alignment horizontal="center"/>
    </xf>
    <xf numFmtId="0" fontId="0" fillId="0" borderId="0" xfId="0"/>
    <xf numFmtId="0" fontId="0" fillId="0" borderId="22" xfId="0" applyBorder="1"/>
    <xf numFmtId="0" fontId="3" fillId="65" borderId="22" xfId="0" applyFont="1" applyFill="1" applyBorder="1" applyAlignment="1">
      <alignment horizontal="center" vertical="center"/>
    </xf>
    <xf numFmtId="171" fontId="57" fillId="5" borderId="29" xfId="0" applyNumberFormat="1" applyFont="1" applyFill="1" applyBorder="1" applyAlignment="1">
      <alignment horizontal="center"/>
    </xf>
    <xf numFmtId="0" fontId="56" fillId="5" borderId="27" xfId="0" applyFont="1" applyFill="1" applyBorder="1" applyAlignment="1">
      <alignment horizontal="center"/>
    </xf>
    <xf numFmtId="0" fontId="56" fillId="5" borderId="17" xfId="0" applyFont="1" applyFill="1" applyBorder="1" applyAlignment="1">
      <alignment horizontal="center"/>
    </xf>
    <xf numFmtId="171" fontId="57" fillId="5" borderId="37" xfId="0" applyNumberFormat="1" applyFont="1" applyFill="1" applyBorder="1" applyAlignment="1">
      <alignment horizontal="center"/>
    </xf>
    <xf numFmtId="171" fontId="3" fillId="65" borderId="9" xfId="0" applyNumberFormat="1" applyFont="1" applyFill="1" applyBorder="1"/>
    <xf numFmtId="0" fontId="57" fillId="65" borderId="33" xfId="0" applyFont="1" applyFill="1" applyBorder="1" applyAlignment="1">
      <alignment horizontal="center" vertical="center" wrapText="1"/>
    </xf>
    <xf numFmtId="168" fontId="0" fillId="0" borderId="22" xfId="0" applyNumberFormat="1" applyBorder="1"/>
    <xf numFmtId="1" fontId="3" fillId="65" borderId="22" xfId="0" applyNumberFormat="1" applyFont="1" applyFill="1" applyBorder="1"/>
    <xf numFmtId="0" fontId="3" fillId="65" borderId="22" xfId="0" applyFont="1" applyFill="1" applyBorder="1" applyAlignment="1">
      <alignment horizontal="center"/>
    </xf>
    <xf numFmtId="0" fontId="57" fillId="65" borderId="4" xfId="0" applyFont="1" applyFill="1" applyBorder="1" applyAlignment="1">
      <alignment horizontal="center" vertical="center" wrapText="1"/>
    </xf>
    <xf numFmtId="1" fontId="3" fillId="65" borderId="22" xfId="0" applyNumberFormat="1" applyFont="1" applyFill="1" applyBorder="1" applyAlignment="1">
      <alignment horizontal="center"/>
    </xf>
    <xf numFmtId="0" fontId="3" fillId="65" borderId="22" xfId="0" applyFont="1" applyFill="1" applyBorder="1"/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61" borderId="13" xfId="4" applyFont="1" applyFill="1" applyBorder="1" applyAlignment="1">
      <alignment horizontal="center" vertical="center" wrapText="1"/>
    </xf>
    <xf numFmtId="0" fontId="5" fillId="61" borderId="13" xfId="0" applyFont="1" applyFill="1" applyBorder="1" applyAlignment="1">
      <alignment horizontal="center" vertical="center" wrapText="1"/>
    </xf>
    <xf numFmtId="0" fontId="6" fillId="61" borderId="13" xfId="0" applyFont="1" applyFill="1" applyBorder="1" applyAlignment="1">
      <alignment horizontal="center" vertical="center" wrapText="1"/>
    </xf>
    <xf numFmtId="0" fontId="5" fillId="61" borderId="13" xfId="5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66" borderId="22" xfId="0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66" borderId="28" xfId="0" applyFill="1" applyBorder="1" applyAlignment="1">
      <alignment horizontal="center" vertical="center"/>
    </xf>
    <xf numFmtId="168" fontId="0" fillId="0" borderId="28" xfId="0" applyNumberFormat="1" applyFill="1" applyBorder="1" applyAlignment="1">
      <alignment horizontal="center" vertical="center"/>
    </xf>
    <xf numFmtId="0" fontId="0" fillId="66" borderId="11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62" borderId="25" xfId="0" applyFont="1" applyFill="1" applyBorder="1" applyAlignment="1">
      <alignment horizontal="center"/>
    </xf>
    <xf numFmtId="4" fontId="3" fillId="60" borderId="22" xfId="0" applyNumberFormat="1" applyFont="1" applyFill="1" applyBorder="1" applyAlignment="1">
      <alignment horizontal="center"/>
    </xf>
    <xf numFmtId="175" fontId="3" fillId="60" borderId="2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0" fillId="0" borderId="28" xfId="0" applyNumberFormat="1" applyFont="1" applyFill="1" applyBorder="1" applyAlignment="1">
      <alignment horizontal="center"/>
    </xf>
    <xf numFmtId="10" fontId="1" fillId="0" borderId="40" xfId="1" applyNumberFormat="1" applyFont="1" applyFill="1" applyBorder="1" applyAlignment="1">
      <alignment horizontal="center"/>
    </xf>
    <xf numFmtId="4" fontId="3" fillId="0" borderId="36" xfId="0" applyNumberFormat="1" applyFont="1" applyFill="1" applyBorder="1" applyAlignment="1">
      <alignment horizontal="center"/>
    </xf>
    <xf numFmtId="4" fontId="0" fillId="0" borderId="36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10" fontId="1" fillId="0" borderId="43" xfId="1" applyNumberFormat="1" applyFont="1" applyFill="1" applyBorder="1" applyAlignment="1">
      <alignment horizontal="center"/>
    </xf>
    <xf numFmtId="4" fontId="0" fillId="0" borderId="34" xfId="0" applyNumberFormat="1" applyFont="1" applyFill="1" applyBorder="1" applyAlignment="1">
      <alignment horizontal="center"/>
    </xf>
    <xf numFmtId="4" fontId="0" fillId="0" borderId="22" xfId="0" applyNumberFormat="1" applyFont="1" applyFill="1" applyBorder="1" applyAlignment="1">
      <alignment horizontal="center"/>
    </xf>
    <xf numFmtId="10" fontId="1" fillId="0" borderId="23" xfId="1" applyNumberFormat="1" applyFont="1" applyFill="1" applyBorder="1" applyAlignment="1">
      <alignment horizontal="center"/>
    </xf>
    <xf numFmtId="4" fontId="0" fillId="0" borderId="35" xfId="0" applyNumberFormat="1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10" fontId="1" fillId="0" borderId="37" xfId="1" applyNumberFormat="1" applyFont="1" applyFill="1" applyBorder="1" applyAlignment="1">
      <alignment horizontal="center"/>
    </xf>
    <xf numFmtId="10" fontId="1" fillId="0" borderId="46" xfId="1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10" fontId="1" fillId="0" borderId="29" xfId="1" applyNumberFormat="1" applyFont="1" applyFill="1" applyBorder="1" applyAlignment="1">
      <alignment horizontal="center"/>
    </xf>
    <xf numFmtId="2" fontId="3" fillId="60" borderId="22" xfId="1" applyNumberFormat="1" applyFont="1" applyFill="1" applyBorder="1" applyAlignment="1">
      <alignment horizontal="center"/>
    </xf>
    <xf numFmtId="173" fontId="3" fillId="60" borderId="22" xfId="0" applyNumberFormat="1" applyFont="1" applyFill="1" applyBorder="1" applyAlignment="1">
      <alignment horizontal="center"/>
    </xf>
    <xf numFmtId="0" fontId="5" fillId="61" borderId="13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168" fontId="3" fillId="65" borderId="22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22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67" fontId="5" fillId="61" borderId="13" xfId="5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173" fontId="0" fillId="0" borderId="11" xfId="0" applyNumberFormat="1" applyFont="1" applyFill="1" applyBorder="1" applyAlignment="1">
      <alignment horizontal="center"/>
    </xf>
    <xf numFmtId="173" fontId="0" fillId="0" borderId="28" xfId="0" applyNumberFormat="1" applyFont="1" applyFill="1" applyBorder="1" applyAlignment="1">
      <alignment horizontal="center"/>
    </xf>
    <xf numFmtId="173" fontId="0" fillId="0" borderId="0" xfId="0" applyNumberFormat="1"/>
    <xf numFmtId="173" fontId="0" fillId="0" borderId="38" xfId="0" applyNumberFormat="1" applyFont="1" applyFill="1" applyBorder="1" applyAlignment="1">
      <alignment horizontal="center"/>
    </xf>
    <xf numFmtId="173" fontId="0" fillId="0" borderId="25" xfId="0" applyNumberFormat="1" applyFont="1" applyFill="1" applyBorder="1" applyAlignment="1">
      <alignment horizontal="center"/>
    </xf>
    <xf numFmtId="173" fontId="0" fillId="0" borderId="36" xfId="0" applyNumberFormat="1" applyFont="1" applyFill="1" applyBorder="1" applyAlignment="1">
      <alignment horizontal="center"/>
    </xf>
    <xf numFmtId="173" fontId="0" fillId="0" borderId="19" xfId="0" applyNumberFormat="1" applyFon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3" fontId="3" fillId="60" borderId="22" xfId="0" applyNumberFormat="1" applyFon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8" fontId="11" fillId="0" borderId="28" xfId="0" applyNumberFormat="1" applyFont="1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5" fontId="19" fillId="0" borderId="0" xfId="1" applyNumberFormat="1" applyFont="1" applyFill="1" applyAlignment="1">
      <alignment horizontal="right"/>
    </xf>
    <xf numFmtId="168" fontId="0" fillId="0" borderId="22" xfId="0" applyNumberFormat="1" applyFont="1" applyFill="1" applyBorder="1" applyAlignment="1">
      <alignment horizontal="center" vertical="center"/>
    </xf>
    <xf numFmtId="0" fontId="3" fillId="62" borderId="68" xfId="0" applyFont="1" applyFill="1" applyBorder="1" applyAlignment="1">
      <alignment horizontal="right"/>
    </xf>
    <xf numFmtId="0" fontId="3" fillId="62" borderId="34" xfId="0" applyFont="1" applyFill="1" applyBorder="1" applyAlignment="1">
      <alignment horizontal="right"/>
    </xf>
    <xf numFmtId="0" fontId="15" fillId="59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3" fillId="62" borderId="14" xfId="0" applyFont="1" applyFill="1" applyBorder="1" applyAlignment="1">
      <alignment horizontal="center" vertical="center"/>
    </xf>
    <xf numFmtId="0" fontId="3" fillId="62" borderId="31" xfId="0" applyFont="1" applyFill="1" applyBorder="1" applyAlignment="1">
      <alignment horizontal="center" vertical="center"/>
    </xf>
    <xf numFmtId="0" fontId="3" fillId="62" borderId="14" xfId="0" applyFont="1" applyFill="1" applyBorder="1" applyAlignment="1">
      <alignment horizontal="center" vertical="center" wrapText="1"/>
    </xf>
    <xf numFmtId="0" fontId="3" fillId="62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5" fillId="63" borderId="0" xfId="0" applyFont="1" applyFill="1" applyBorder="1" applyAlignment="1">
      <alignment horizontal="center" vertical="center"/>
    </xf>
    <xf numFmtId="0" fontId="3" fillId="62" borderId="69" xfId="0" applyFont="1" applyFill="1" applyBorder="1" applyAlignment="1">
      <alignment horizontal="right"/>
    </xf>
    <xf numFmtId="0" fontId="3" fillId="62" borderId="70" xfId="0" applyFont="1" applyFill="1" applyBorder="1" applyAlignment="1">
      <alignment horizontal="right"/>
    </xf>
    <xf numFmtId="0" fontId="3" fillId="62" borderId="36" xfId="0" applyFont="1" applyFill="1" applyBorder="1" applyAlignment="1">
      <alignment horizontal="right"/>
    </xf>
    <xf numFmtId="0" fontId="3" fillId="62" borderId="15" xfId="0" applyFont="1" applyFill="1" applyBorder="1" applyAlignment="1">
      <alignment horizontal="center" vertical="center"/>
    </xf>
    <xf numFmtId="0" fontId="3" fillId="62" borderId="38" xfId="0" applyFont="1" applyFill="1" applyBorder="1" applyAlignment="1">
      <alignment horizontal="center" vertical="center"/>
    </xf>
    <xf numFmtId="0" fontId="3" fillId="62" borderId="30" xfId="0" applyFont="1" applyFill="1" applyBorder="1" applyAlignment="1">
      <alignment horizontal="center" vertical="center"/>
    </xf>
    <xf numFmtId="175" fontId="0" fillId="0" borderId="22" xfId="1" applyNumberFormat="1" applyFont="1" applyFill="1" applyBorder="1" applyAlignment="1">
      <alignment horizontal="center" vertical="center"/>
    </xf>
    <xf numFmtId="0" fontId="7" fillId="60" borderId="11" xfId="3" applyFont="1" applyFill="1" applyBorder="1" applyAlignment="1">
      <alignment horizontal="center" vertical="center" wrapText="1"/>
    </xf>
    <xf numFmtId="0" fontId="7" fillId="60" borderId="22" xfId="3" applyFont="1" applyFill="1" applyBorder="1" applyAlignment="1">
      <alignment horizontal="center" vertical="center" wrapText="1"/>
    </xf>
    <xf numFmtId="0" fontId="10" fillId="60" borderId="20" xfId="0" applyFont="1" applyFill="1" applyBorder="1" applyAlignment="1">
      <alignment horizontal="center" vertical="center" wrapText="1"/>
    </xf>
    <xf numFmtId="0" fontId="10" fillId="60" borderId="2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3" fontId="11" fillId="5" borderId="28" xfId="0" applyNumberFormat="1" applyFont="1" applyFill="1" applyBorder="1" applyAlignment="1">
      <alignment horizontal="center" vertical="center"/>
    </xf>
    <xf numFmtId="173" fontId="3" fillId="0" borderId="14" xfId="0" applyNumberFormat="1" applyFont="1" applyBorder="1" applyAlignment="1">
      <alignment horizontal="center" vertical="center"/>
    </xf>
    <xf numFmtId="173" fontId="3" fillId="0" borderId="31" xfId="0" applyNumberFormat="1" applyFont="1" applyBorder="1" applyAlignment="1">
      <alignment horizontal="center" vertical="center"/>
    </xf>
    <xf numFmtId="173" fontId="3" fillId="0" borderId="44" xfId="0" applyNumberFormat="1" applyFont="1" applyBorder="1" applyAlignment="1">
      <alignment horizontal="center" vertical="center"/>
    </xf>
    <xf numFmtId="173" fontId="3" fillId="0" borderId="40" xfId="0" applyNumberFormat="1" applyFont="1" applyBorder="1" applyAlignment="1">
      <alignment horizontal="center" vertical="center"/>
    </xf>
    <xf numFmtId="9" fontId="3" fillId="0" borderId="44" xfId="1" applyFont="1" applyBorder="1" applyAlignment="1">
      <alignment horizontal="center" vertical="center"/>
    </xf>
    <xf numFmtId="9" fontId="3" fillId="0" borderId="40" xfId="1" applyFont="1" applyBorder="1" applyAlignment="1">
      <alignment horizontal="center" vertical="center"/>
    </xf>
    <xf numFmtId="0" fontId="7" fillId="60" borderId="12" xfId="3" applyFont="1" applyFill="1" applyBorder="1" applyAlignment="1">
      <alignment horizontal="center" vertical="center" wrapText="1"/>
    </xf>
    <xf numFmtId="0" fontId="7" fillId="60" borderId="23" xfId="3" applyFont="1" applyFill="1" applyBorder="1" applyAlignment="1">
      <alignment horizontal="center" vertical="center" wrapText="1"/>
    </xf>
    <xf numFmtId="0" fontId="7" fillId="60" borderId="11" xfId="0" applyFont="1" applyFill="1" applyBorder="1" applyAlignment="1">
      <alignment horizontal="center" vertical="center"/>
    </xf>
    <xf numFmtId="0" fontId="7" fillId="60" borderId="25" xfId="0" applyFont="1" applyFill="1" applyBorder="1" applyAlignment="1">
      <alignment horizontal="center" vertical="center"/>
    </xf>
    <xf numFmtId="0" fontId="7" fillId="60" borderId="25" xfId="3" applyFont="1" applyFill="1" applyBorder="1" applyAlignment="1">
      <alignment horizontal="center" vertical="center" wrapText="1"/>
    </xf>
    <xf numFmtId="0" fontId="7" fillId="60" borderId="43" xfId="3" applyFont="1" applyFill="1" applyBorder="1" applyAlignment="1">
      <alignment horizontal="center" vertical="center" wrapText="1"/>
    </xf>
    <xf numFmtId="0" fontId="0" fillId="62" borderId="45" xfId="0" applyFill="1" applyBorder="1" applyAlignment="1">
      <alignment horizontal="left" vertical="center" wrapText="1"/>
    </xf>
    <xf numFmtId="0" fontId="0" fillId="62" borderId="65" xfId="0" applyFill="1" applyBorder="1" applyAlignment="1">
      <alignment horizontal="left" vertical="center" wrapText="1"/>
    </xf>
    <xf numFmtId="168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3" fillId="62" borderId="4" xfId="0" applyFont="1" applyFill="1" applyBorder="1" applyAlignment="1">
      <alignment horizontal="center" vertical="center"/>
    </xf>
    <xf numFmtId="0" fontId="3" fillId="62" borderId="5" xfId="0" applyFont="1" applyFill="1" applyBorder="1" applyAlignment="1">
      <alignment horizontal="center" vertical="center"/>
    </xf>
    <xf numFmtId="0" fontId="0" fillId="62" borderId="6" xfId="0" applyFill="1" applyBorder="1" applyAlignment="1">
      <alignment horizontal="center" vertical="center"/>
    </xf>
    <xf numFmtId="0" fontId="0" fillId="62" borderId="7" xfId="0" applyFill="1" applyBorder="1" applyAlignment="1">
      <alignment horizontal="center" vertical="center"/>
    </xf>
    <xf numFmtId="0" fontId="0" fillId="62" borderId="8" xfId="0" applyFill="1" applyBorder="1" applyAlignment="1">
      <alignment horizontal="center" vertical="center"/>
    </xf>
    <xf numFmtId="0" fontId="0" fillId="62" borderId="41" xfId="0" applyFill="1" applyBorder="1" applyAlignment="1">
      <alignment horizontal="left" vertical="center" wrapText="1"/>
    </xf>
    <xf numFmtId="176" fontId="0" fillId="0" borderId="22" xfId="0" applyNumberFormat="1" applyFill="1" applyBorder="1" applyAlignment="1">
      <alignment horizontal="center" vertical="center"/>
    </xf>
    <xf numFmtId="0" fontId="9" fillId="60" borderId="16" xfId="3" applyFont="1" applyFill="1" applyBorder="1" applyAlignment="1">
      <alignment horizontal="center" vertical="center" wrapText="1"/>
    </xf>
    <xf numFmtId="0" fontId="9" fillId="60" borderId="20" xfId="3" applyFont="1" applyFill="1" applyBorder="1" applyAlignment="1">
      <alignment horizontal="center" vertical="center" wrapText="1"/>
    </xf>
    <xf numFmtId="0" fontId="7" fillId="60" borderId="10" xfId="3" applyFont="1" applyFill="1" applyBorder="1" applyAlignment="1">
      <alignment horizontal="center" vertical="center" wrapText="1"/>
    </xf>
    <xf numFmtId="0" fontId="7" fillId="60" borderId="21" xfId="3" applyFont="1" applyFill="1" applyBorder="1" applyAlignment="1">
      <alignment horizontal="center" vertical="center" wrapText="1"/>
    </xf>
    <xf numFmtId="3" fontId="7" fillId="60" borderId="11" xfId="0" applyNumberFormat="1" applyFont="1" applyFill="1" applyBorder="1" applyAlignment="1">
      <alignment horizontal="center" vertical="center"/>
    </xf>
    <xf numFmtId="0" fontId="0" fillId="62" borderId="14" xfId="0" applyFill="1" applyBorder="1" applyAlignment="1">
      <alignment horizontal="left" vertical="center" wrapText="1"/>
    </xf>
    <xf numFmtId="0" fontId="0" fillId="62" borderId="17" xfId="0" applyFill="1" applyBorder="1" applyAlignment="1">
      <alignment horizontal="left" vertical="center" wrapText="1"/>
    </xf>
    <xf numFmtId="168" fontId="0" fillId="0" borderId="22" xfId="0" applyNumberFormat="1" applyBorder="1" applyAlignment="1">
      <alignment horizontal="center" vertical="center"/>
    </xf>
    <xf numFmtId="0" fontId="0" fillId="62" borderId="2" xfId="0" applyFill="1" applyBorder="1" applyAlignment="1">
      <alignment horizontal="left" vertical="center" wrapText="1"/>
    </xf>
    <xf numFmtId="0" fontId="0" fillId="62" borderId="24" xfId="0" applyFill="1" applyBorder="1" applyAlignment="1">
      <alignment horizontal="left" vertical="center" wrapText="1"/>
    </xf>
    <xf numFmtId="0" fontId="0" fillId="62" borderId="30" xfId="0" applyFill="1" applyBorder="1" applyAlignment="1">
      <alignment horizontal="left" vertical="center" wrapText="1"/>
    </xf>
    <xf numFmtId="0" fontId="0" fillId="67" borderId="24" xfId="0" applyFill="1" applyBorder="1" applyAlignment="1">
      <alignment horizontal="left" vertical="center" wrapText="1"/>
    </xf>
    <xf numFmtId="0" fontId="0" fillId="67" borderId="17" xfId="0" applyFill="1" applyBorder="1" applyAlignment="1">
      <alignment horizontal="left" vertical="center" wrapText="1"/>
    </xf>
    <xf numFmtId="2" fontId="16" fillId="64" borderId="0" xfId="0" applyNumberFormat="1" applyFont="1" applyFill="1" applyBorder="1" applyAlignment="1">
      <alignment horizontal="center" vertical="center"/>
    </xf>
    <xf numFmtId="0" fontId="0" fillId="62" borderId="31" xfId="0" applyFill="1" applyBorder="1" applyAlignment="1">
      <alignment horizontal="left" vertical="center" wrapText="1"/>
    </xf>
    <xf numFmtId="176" fontId="0" fillId="0" borderId="22" xfId="0" applyNumberFormat="1" applyBorder="1" applyAlignment="1">
      <alignment horizontal="center" vertical="center"/>
    </xf>
    <xf numFmtId="175" fontId="0" fillId="0" borderId="22" xfId="1" applyNumberFormat="1" applyFont="1" applyBorder="1" applyAlignment="1">
      <alignment horizontal="center" vertical="center"/>
    </xf>
    <xf numFmtId="0" fontId="13" fillId="61" borderId="1" xfId="0" applyFont="1" applyFill="1" applyBorder="1" applyAlignment="1">
      <alignment horizontal="center" vertical="center" textRotation="90" wrapText="1"/>
    </xf>
    <xf numFmtId="0" fontId="13" fillId="61" borderId="41" xfId="0" applyFont="1" applyFill="1" applyBorder="1" applyAlignment="1">
      <alignment horizontal="center" vertical="center" textRotation="90" wrapText="1"/>
    </xf>
    <xf numFmtId="0" fontId="13" fillId="61" borderId="2" xfId="0" applyFont="1" applyFill="1" applyBorder="1" applyAlignment="1">
      <alignment horizontal="center" vertical="center" textRotation="90" wrapText="1"/>
    </xf>
    <xf numFmtId="0" fontId="8" fillId="61" borderId="13" xfId="0" applyFont="1" applyFill="1" applyBorder="1" applyAlignment="1">
      <alignment horizontal="center" vertical="center" textRotation="90"/>
    </xf>
    <xf numFmtId="0" fontId="8" fillId="61" borderId="66" xfId="0" applyFont="1" applyFill="1" applyBorder="1" applyAlignment="1">
      <alignment horizontal="center" vertical="center" textRotation="90"/>
    </xf>
    <xf numFmtId="0" fontId="8" fillId="61" borderId="67" xfId="0" applyFont="1" applyFill="1" applyBorder="1" applyAlignment="1">
      <alignment horizontal="center" vertical="center" textRotation="90"/>
    </xf>
    <xf numFmtId="0" fontId="0" fillId="67" borderId="45" xfId="0" applyFill="1" applyBorder="1" applyAlignment="1">
      <alignment horizontal="left" vertical="center" wrapText="1"/>
    </xf>
    <xf numFmtId="0" fontId="0" fillId="67" borderId="65" xfId="0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71" fontId="3" fillId="0" borderId="13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" xfId="10" builtinId="16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showGridLines="0" tabSelected="1" zoomScaleNormal="100" workbookViewId="0">
      <selection activeCell="B14" sqref="B14"/>
    </sheetView>
  </sheetViews>
  <sheetFormatPr baseColWidth="10" defaultRowHeight="15"/>
  <cols>
    <col min="2" max="2" width="25.7109375" bestFit="1" customWidth="1"/>
    <col min="3" max="3" width="23.140625" customWidth="1"/>
    <col min="5" max="5" width="14.28515625" customWidth="1"/>
  </cols>
  <sheetData>
    <row r="3" spans="2:9">
      <c r="B3" s="159" t="s">
        <v>144</v>
      </c>
      <c r="C3" s="159"/>
      <c r="D3" s="159"/>
      <c r="E3" s="159"/>
      <c r="F3" s="159"/>
      <c r="G3" s="159"/>
      <c r="H3" s="159"/>
      <c r="I3" s="159"/>
    </row>
    <row r="4" spans="2:9">
      <c r="B4" s="159"/>
      <c r="C4" s="159"/>
      <c r="D4" s="159"/>
      <c r="E4" s="159"/>
      <c r="F4" s="159"/>
      <c r="G4" s="159"/>
      <c r="H4" s="159"/>
      <c r="I4" s="159"/>
    </row>
    <row r="5" spans="2:9">
      <c r="B5" s="160">
        <v>44020</v>
      </c>
      <c r="C5" s="160"/>
      <c r="D5" s="160"/>
      <c r="E5" s="160"/>
      <c r="F5" s="160"/>
      <c r="G5" s="160"/>
      <c r="H5" s="160"/>
      <c r="I5" s="160"/>
    </row>
    <row r="6" spans="2:9" ht="15.75" thickBot="1">
      <c r="B6" s="165" t="s">
        <v>120</v>
      </c>
      <c r="C6" s="165"/>
      <c r="D6" s="165"/>
      <c r="E6" s="165"/>
      <c r="F6" s="165"/>
      <c r="G6" s="165"/>
      <c r="H6" s="165"/>
      <c r="I6" s="165"/>
    </row>
    <row r="7" spans="2:9" ht="32.25" thickBot="1">
      <c r="B7" s="44" t="s">
        <v>32</v>
      </c>
      <c r="C7" s="45" t="s">
        <v>33</v>
      </c>
      <c r="D7" s="46" t="s">
        <v>34</v>
      </c>
      <c r="E7" s="47" t="s">
        <v>35</v>
      </c>
      <c r="F7" s="48" t="s">
        <v>7</v>
      </c>
      <c r="G7" s="48" t="s">
        <v>36</v>
      </c>
      <c r="H7" s="48" t="s">
        <v>37</v>
      </c>
      <c r="I7" s="49" t="s">
        <v>42</v>
      </c>
    </row>
    <row r="8" spans="2:9">
      <c r="B8" s="161" t="s">
        <v>40</v>
      </c>
      <c r="C8" s="50" t="s">
        <v>38</v>
      </c>
      <c r="D8" s="103">
        <f>'Resumen periodo Merluza de cola'!E9+'Resumen periodo Merluza de cola'!E10</f>
        <v>10651.273999999998</v>
      </c>
      <c r="E8" s="140">
        <f>'Resumen periodo Merluza de cola'!F9+'Resumen periodo Merluza de cola'!F10</f>
        <v>-902.78</v>
      </c>
      <c r="F8" s="104">
        <f>'Merluza cola Industrial'!AE11</f>
        <v>9748.493999999997</v>
      </c>
      <c r="G8" s="140">
        <f>'Resumen periodo Merluza de cola'!H9+'Resumen periodo Merluza de cola'!H10</f>
        <v>1810.6160000000002</v>
      </c>
      <c r="H8" s="140">
        <f>F8-G8</f>
        <v>7937.877999999997</v>
      </c>
      <c r="I8" s="105">
        <f>G8/F8</f>
        <v>0.18573289371671162</v>
      </c>
    </row>
    <row r="9" spans="2:9" ht="15.75" thickBot="1">
      <c r="B9" s="162"/>
      <c r="C9" s="51" t="s">
        <v>39</v>
      </c>
      <c r="D9" s="106">
        <f>'Resumen periodo Merluza de cola'!E11+'Resumen periodo Merluza de cola'!E12</f>
        <v>7101.0380000000005</v>
      </c>
      <c r="E9" s="141">
        <f>'Resumen periodo Merluza de cola'!F11+'Resumen periodo Merluza de cola'!F12</f>
        <v>902.78</v>
      </c>
      <c r="F9" s="107">
        <f>'Merluza cola Industrial'!AE57</f>
        <v>8003.8180000000002</v>
      </c>
      <c r="G9" s="141">
        <f>'Resumen periodo Merluza de cola'!H11+'Resumen periodo Merluza de cola'!H12</f>
        <v>4948.1109999999999</v>
      </c>
      <c r="H9" s="143">
        <f>F9-G9</f>
        <v>3055.7070000000003</v>
      </c>
      <c r="I9" s="108">
        <f>G9/F9</f>
        <v>0.61821883006335221</v>
      </c>
    </row>
    <row r="10" spans="2:9">
      <c r="B10" s="163" t="s">
        <v>80</v>
      </c>
      <c r="C10" s="50" t="s">
        <v>70</v>
      </c>
      <c r="D10" s="109">
        <f>'Resumen periodo Merluza de cola'!E13</f>
        <v>41</v>
      </c>
      <c r="E10" s="110">
        <f>'Resumen periodo Merluza de cola'!F13</f>
        <v>0</v>
      </c>
      <c r="F10" s="110">
        <f>'Resumen periodo Merluza de cola'!G13</f>
        <v>41</v>
      </c>
      <c r="G10" s="145">
        <f>'Resumen periodo Merluza de cola'!H13</f>
        <v>0</v>
      </c>
      <c r="H10" s="140">
        <f>'Resumen periodo Merluza de cola'!I13</f>
        <v>41</v>
      </c>
      <c r="I10" s="105">
        <f>'Resumen periodo Merluza de cola'!J13</f>
        <v>0</v>
      </c>
    </row>
    <row r="11" spans="2:9">
      <c r="B11" s="164"/>
      <c r="C11" s="100" t="s">
        <v>72</v>
      </c>
      <c r="D11" s="111">
        <f>'Resumen periodo Merluza de cola'!E14</f>
        <v>371</v>
      </c>
      <c r="E11" s="112">
        <f>'Resumen periodo Merluza de cola'!F14</f>
        <v>0</v>
      </c>
      <c r="F11" s="112">
        <f>'Resumen periodo Merluza de cola'!G14</f>
        <v>371</v>
      </c>
      <c r="G11" s="146">
        <f>'Resumen periodo Merluza de cola'!H14</f>
        <v>5.6000000000000001E-2</v>
      </c>
      <c r="H11" s="144">
        <f>'Resumen periodo Merluza de cola'!I14</f>
        <v>370.94400000000002</v>
      </c>
      <c r="I11" s="114">
        <f>'Resumen periodo Merluza de cola'!J14</f>
        <v>1.509433962264151E-4</v>
      </c>
    </row>
    <row r="12" spans="2:9">
      <c r="B12" s="157" t="s">
        <v>121</v>
      </c>
      <c r="C12" s="158"/>
      <c r="D12" s="149">
        <f>SUM(D8:D11)</f>
        <v>18164.311999999998</v>
      </c>
      <c r="E12" s="101">
        <f>SUM(E8:E11)</f>
        <v>0</v>
      </c>
      <c r="F12" s="101">
        <f>SUM(F8:F11)</f>
        <v>18164.311999999998</v>
      </c>
      <c r="G12" s="101">
        <f>SUM(G8:G11)</f>
        <v>6758.7829999999994</v>
      </c>
      <c r="H12" s="101">
        <f>F12-G12</f>
        <v>11405.528999999999</v>
      </c>
      <c r="I12" s="102">
        <f>G12/F12</f>
        <v>0.37209132941561451</v>
      </c>
    </row>
    <row r="14" spans="2:9">
      <c r="D14" s="142"/>
    </row>
    <row r="15" spans="2:9">
      <c r="G15" s="142"/>
    </row>
  </sheetData>
  <mergeCells count="6">
    <mergeCell ref="B12:C12"/>
    <mergeCell ref="B3:I4"/>
    <mergeCell ref="B5:I5"/>
    <mergeCell ref="B8:B9"/>
    <mergeCell ref="B10:B11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zoomScaleNormal="100" workbookViewId="0">
      <selection activeCell="B5" sqref="B5:J5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  <col min="9" max="9" width="13.140625" bestFit="1" customWidth="1"/>
  </cols>
  <sheetData>
    <row r="3" spans="2:11" ht="15" customHeight="1">
      <c r="B3" s="166" t="s">
        <v>145</v>
      </c>
      <c r="C3" s="166"/>
      <c r="D3" s="166"/>
      <c r="E3" s="166"/>
      <c r="F3" s="166"/>
      <c r="G3" s="166"/>
      <c r="H3" s="166"/>
      <c r="I3" s="166"/>
      <c r="J3" s="166"/>
    </row>
    <row r="4" spans="2:11" ht="15" customHeight="1">
      <c r="B4" s="166"/>
      <c r="C4" s="166"/>
      <c r="D4" s="166"/>
      <c r="E4" s="166"/>
      <c r="F4" s="166"/>
      <c r="G4" s="166"/>
      <c r="H4" s="166"/>
      <c r="I4" s="166"/>
      <c r="J4" s="166"/>
    </row>
    <row r="5" spans="2:11">
      <c r="B5" s="160">
        <f>'Resumen anual Merluza de cola'!B5:I5</f>
        <v>44020</v>
      </c>
      <c r="C5" s="160"/>
      <c r="D5" s="160"/>
      <c r="E5" s="160"/>
      <c r="F5" s="160"/>
      <c r="G5" s="160"/>
      <c r="H5" s="160"/>
      <c r="I5" s="160"/>
      <c r="J5" s="160"/>
      <c r="K5" s="16"/>
    </row>
    <row r="7" spans="2:11" ht="15.75" thickBot="1"/>
    <row r="8" spans="2:11" ht="32.25" thickBot="1">
      <c r="B8" s="44" t="s">
        <v>32</v>
      </c>
      <c r="C8" s="45" t="s">
        <v>33</v>
      </c>
      <c r="D8" s="46" t="s">
        <v>41</v>
      </c>
      <c r="E8" s="47" t="s">
        <v>34</v>
      </c>
      <c r="F8" s="48" t="s">
        <v>35</v>
      </c>
      <c r="G8" s="48" t="s">
        <v>7</v>
      </c>
      <c r="H8" s="48" t="s">
        <v>36</v>
      </c>
      <c r="I8" s="49" t="s">
        <v>37</v>
      </c>
      <c r="J8" s="44" t="s">
        <v>42</v>
      </c>
    </row>
    <row r="9" spans="2:11">
      <c r="B9" s="161" t="s">
        <v>40</v>
      </c>
      <c r="C9" s="170" t="s">
        <v>38</v>
      </c>
      <c r="D9" s="52" t="s">
        <v>13</v>
      </c>
      <c r="E9" s="110">
        <f>'Merluza cola Industrial'!V11</f>
        <v>4260.2720000000008</v>
      </c>
      <c r="F9" s="110">
        <f>'Merluza cola Industrial'!W11</f>
        <v>-902.78</v>
      </c>
      <c r="G9" s="110">
        <f>'Merluza cola Industrial'!X11</f>
        <v>3357.2790000000005</v>
      </c>
      <c r="H9" s="110">
        <f>'Merluza cola Industrial'!Y11</f>
        <v>745.16100000000006</v>
      </c>
      <c r="I9" s="104">
        <f>G9-H9</f>
        <v>2612.1180000000004</v>
      </c>
      <c r="J9" s="105">
        <f t="shared" ref="J9:J14" si="0">H9/G9</f>
        <v>0.22195385012684379</v>
      </c>
    </row>
    <row r="10" spans="2:11" ht="15.75" thickBot="1">
      <c r="B10" s="172"/>
      <c r="C10" s="171"/>
      <c r="D10" s="53" t="s">
        <v>18</v>
      </c>
      <c r="E10" s="115">
        <f>'Merluza cola Industrial'!V12</f>
        <v>6391.0019999999977</v>
      </c>
      <c r="F10" s="115">
        <f>'Merluza cola Industrial'!W12</f>
        <v>0</v>
      </c>
      <c r="G10" s="115">
        <f>'Merluza cola Industrial'!X12</f>
        <v>9002.6299999999992</v>
      </c>
      <c r="H10" s="115">
        <f>'Merluza cola Industrial'!Y12</f>
        <v>1065.4550000000002</v>
      </c>
      <c r="I10" s="116">
        <f t="shared" ref="I10:I14" si="1">G10-H10</f>
        <v>7937.1749999999993</v>
      </c>
      <c r="J10" s="117">
        <f t="shared" si="0"/>
        <v>0.11834930459210256</v>
      </c>
    </row>
    <row r="11" spans="2:11">
      <c r="B11" s="172"/>
      <c r="C11" s="170" t="s">
        <v>39</v>
      </c>
      <c r="D11" s="54" t="s">
        <v>13</v>
      </c>
      <c r="E11" s="118">
        <f>'Merluza cola Industrial'!V57</f>
        <v>2839.9874</v>
      </c>
      <c r="F11" s="118">
        <f>'Merluza cola Industrial'!W57</f>
        <v>902.78</v>
      </c>
      <c r="G11" s="118">
        <f>'Merluza cola Industrial'!X57</f>
        <v>3742.7674000000002</v>
      </c>
      <c r="H11" s="118">
        <f>'Merluza cola Industrial'!Y57</f>
        <v>1043.4639999999999</v>
      </c>
      <c r="I11" s="119">
        <f t="shared" si="1"/>
        <v>2699.3034000000002</v>
      </c>
      <c r="J11" s="120">
        <f t="shared" si="0"/>
        <v>0.27879477629307126</v>
      </c>
    </row>
    <row r="12" spans="2:11" ht="15.75" thickBot="1">
      <c r="B12" s="162"/>
      <c r="C12" s="171"/>
      <c r="D12" s="55" t="s">
        <v>18</v>
      </c>
      <c r="E12" s="112">
        <f>'Merluza cola Industrial'!V58</f>
        <v>4261.0506000000005</v>
      </c>
      <c r="F12" s="112">
        <f>'Merluza cola Industrial'!W58</f>
        <v>0</v>
      </c>
      <c r="G12" s="112">
        <f>'Merluza cola Industrial'!X58</f>
        <v>6960.3539999999994</v>
      </c>
      <c r="H12" s="112">
        <f>'Merluza cola Industrial'!Y58</f>
        <v>3904.6469999999999</v>
      </c>
      <c r="I12" s="113">
        <f t="shared" si="1"/>
        <v>3055.7069999999994</v>
      </c>
      <c r="J12" s="121">
        <f t="shared" si="0"/>
        <v>0.56098396719477206</v>
      </c>
    </row>
    <row r="13" spans="2:11">
      <c r="B13" s="161" t="s">
        <v>69</v>
      </c>
      <c r="C13" s="50" t="s">
        <v>70</v>
      </c>
      <c r="D13" s="52" t="s">
        <v>71</v>
      </c>
      <c r="E13" s="110">
        <v>41</v>
      </c>
      <c r="F13" s="110">
        <v>0</v>
      </c>
      <c r="G13" s="110">
        <f>E13+F13</f>
        <v>41</v>
      </c>
      <c r="H13" s="110">
        <v>0</v>
      </c>
      <c r="I13" s="104">
        <f t="shared" si="1"/>
        <v>41</v>
      </c>
      <c r="J13" s="105">
        <f t="shared" si="0"/>
        <v>0</v>
      </c>
    </row>
    <row r="14" spans="2:11" ht="15.75" thickBot="1">
      <c r="B14" s="162"/>
      <c r="C14" s="51" t="s">
        <v>72</v>
      </c>
      <c r="D14" s="56" t="s">
        <v>71</v>
      </c>
      <c r="E14" s="122">
        <v>371</v>
      </c>
      <c r="F14" s="122">
        <v>0</v>
      </c>
      <c r="G14" s="122">
        <f>E14+F14</f>
        <v>371</v>
      </c>
      <c r="H14" s="122">
        <v>5.6000000000000001E-2</v>
      </c>
      <c r="I14" s="107">
        <f t="shared" si="1"/>
        <v>370.94400000000002</v>
      </c>
      <c r="J14" s="123">
        <f t="shared" si="0"/>
        <v>1.509433962264151E-4</v>
      </c>
    </row>
    <row r="15" spans="2:11">
      <c r="B15" s="167" t="s">
        <v>121</v>
      </c>
      <c r="C15" s="168"/>
      <c r="D15" s="169"/>
      <c r="E15" s="101">
        <f>SUM(E9:E14)</f>
        <v>18164.311999999998</v>
      </c>
      <c r="F15" s="101">
        <f>SUM(F9:F14)</f>
        <v>0</v>
      </c>
      <c r="G15" s="101">
        <f>SUM(G9:G14)</f>
        <v>23475.0304</v>
      </c>
      <c r="H15" s="125">
        <f>SUM(H9:H14)</f>
        <v>6758.7829999999994</v>
      </c>
      <c r="I15" s="124">
        <f>G15-H15</f>
        <v>16716.2474</v>
      </c>
      <c r="J15" s="102">
        <f>H15/G15</f>
        <v>0.28791370596052557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9:I14">
    <cfRule type="cellIs" dxfId="1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78"/>
  <sheetViews>
    <sheetView showGridLines="0" zoomScale="90" zoomScaleNormal="90" workbookViewId="0">
      <selection activeCell="B5" sqref="B5:P5"/>
    </sheetView>
  </sheetViews>
  <sheetFormatPr baseColWidth="10" defaultRowHeight="15"/>
  <cols>
    <col min="1" max="1" width="5.140625" customWidth="1"/>
    <col min="2" max="2" width="12" customWidth="1"/>
    <col min="3" max="3" width="25.28515625" customWidth="1"/>
    <col min="5" max="5" width="12.5703125" customWidth="1"/>
    <col min="8" max="8" width="11.5703125" bestFit="1" customWidth="1"/>
    <col min="14" max="14" width="11.5703125" bestFit="1" customWidth="1"/>
    <col min="18" max="18" width="17.5703125" customWidth="1"/>
    <col min="21" max="21" width="15.5703125" bestFit="1" customWidth="1"/>
    <col min="29" max="32" width="11.5703125" bestFit="1" customWidth="1"/>
    <col min="33" max="33" width="12" bestFit="1" customWidth="1"/>
    <col min="35" max="16384" width="11.42578125" style="14"/>
  </cols>
  <sheetData>
    <row r="1" spans="1:127" customFormat="1"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127" customFormat="1"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127" s="1" customFormat="1" ht="31.5" customHeight="1">
      <c r="A3" s="15"/>
      <c r="B3" s="219" t="s">
        <v>146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</row>
    <row r="4" spans="1:127" s="1" customFormat="1" ht="20.25" customHeight="1">
      <c r="A4" s="15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</row>
    <row r="5" spans="1:127" s="1" customFormat="1" ht="21">
      <c r="A5" s="15"/>
      <c r="B5" s="198">
        <f>'Resumen periodo Merluza de cola'!B5:J5</f>
        <v>44020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</row>
    <row r="6" spans="1:127" s="1" customFormat="1">
      <c r="A6" s="15"/>
      <c r="B6" s="1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</row>
    <row r="7" spans="1:127" s="1" customFormat="1" ht="15.75" thickBot="1">
      <c r="A7" s="15"/>
      <c r="B7" s="1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</row>
    <row r="8" spans="1:127" s="2" customFormat="1" ht="15.75" thickBot="1">
      <c r="A8" s="15"/>
      <c r="B8" s="15"/>
      <c r="C8" s="21"/>
      <c r="D8" s="15"/>
      <c r="E8" s="199" t="s">
        <v>0</v>
      </c>
      <c r="F8" s="200"/>
      <c r="G8" s="200"/>
      <c r="H8" s="200" t="s">
        <v>1</v>
      </c>
      <c r="I8" s="200"/>
      <c r="J8" s="200"/>
      <c r="K8" s="201" t="s">
        <v>2</v>
      </c>
      <c r="L8" s="202"/>
      <c r="M8" s="202"/>
      <c r="N8" s="202"/>
      <c r="O8" s="202"/>
      <c r="P8" s="203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127" s="2" customFormat="1" ht="43.5" customHeight="1" thickBot="1">
      <c r="B9" s="57" t="s">
        <v>3</v>
      </c>
      <c r="C9" s="57" t="s">
        <v>4</v>
      </c>
      <c r="D9" s="80" t="s">
        <v>5</v>
      </c>
      <c r="E9" s="81" t="s">
        <v>31</v>
      </c>
      <c r="F9" s="82" t="s">
        <v>6</v>
      </c>
      <c r="G9" s="82" t="s">
        <v>7</v>
      </c>
      <c r="H9" s="83" t="s">
        <v>8</v>
      </c>
      <c r="I9" s="137" t="s">
        <v>9</v>
      </c>
      <c r="J9" s="58" t="s">
        <v>10</v>
      </c>
      <c r="K9" s="126" t="s">
        <v>11</v>
      </c>
      <c r="L9" s="83" t="s">
        <v>6</v>
      </c>
      <c r="M9" s="83" t="s">
        <v>7</v>
      </c>
      <c r="N9" s="83" t="s">
        <v>8</v>
      </c>
      <c r="O9" s="83" t="s">
        <v>9</v>
      </c>
      <c r="P9" s="83" t="s">
        <v>10</v>
      </c>
      <c r="Q9" s="17"/>
      <c r="R9" s="206" t="s">
        <v>14</v>
      </c>
      <c r="S9" s="208" t="s">
        <v>15</v>
      </c>
      <c r="T9" s="174" t="s">
        <v>16</v>
      </c>
      <c r="U9" s="210" t="s">
        <v>12</v>
      </c>
      <c r="V9" s="210"/>
      <c r="W9" s="210"/>
      <c r="X9" s="210"/>
      <c r="Y9" s="174" t="s">
        <v>8</v>
      </c>
      <c r="Z9" s="174" t="s">
        <v>9</v>
      </c>
      <c r="AA9" s="174" t="s">
        <v>42</v>
      </c>
      <c r="AB9" s="188" t="s">
        <v>17</v>
      </c>
      <c r="AC9" s="190" t="s">
        <v>137</v>
      </c>
      <c r="AD9" s="190" t="s">
        <v>20</v>
      </c>
      <c r="AE9" s="190" t="s">
        <v>21</v>
      </c>
      <c r="AF9" s="174" t="s">
        <v>8</v>
      </c>
      <c r="AG9" s="188" t="s">
        <v>9</v>
      </c>
      <c r="AH9" s="174" t="s">
        <v>42</v>
      </c>
    </row>
    <row r="10" spans="1:127" s="2" customFormat="1" ht="15.75" thickBot="1">
      <c r="B10" s="226" t="s">
        <v>119</v>
      </c>
      <c r="C10" s="194" t="s">
        <v>82</v>
      </c>
      <c r="D10" s="86" t="s">
        <v>13</v>
      </c>
      <c r="E10" s="148">
        <f>1084.575</f>
        <v>1084.575</v>
      </c>
      <c r="F10" s="85"/>
      <c r="G10" s="85">
        <f>E10+F10</f>
        <v>1084.575</v>
      </c>
      <c r="H10" s="127">
        <v>699.96600000000001</v>
      </c>
      <c r="I10" s="135">
        <f>G10-H10</f>
        <v>384.60900000000004</v>
      </c>
      <c r="J10" s="12">
        <f t="shared" ref="J10:J65" si="0">H10/G10</f>
        <v>0.64538275361316644</v>
      </c>
      <c r="K10" s="196">
        <f>E10+E11</f>
        <v>2711.692</v>
      </c>
      <c r="L10" s="197">
        <f>F10+F11</f>
        <v>0</v>
      </c>
      <c r="M10" s="197">
        <f>K10+L10</f>
        <v>2711.692</v>
      </c>
      <c r="N10" s="197">
        <f>H10+H11</f>
        <v>1637.9569999999999</v>
      </c>
      <c r="O10" s="205">
        <f>M10-N10</f>
        <v>1073.7350000000001</v>
      </c>
      <c r="P10" s="173">
        <f>N10/M10</f>
        <v>0.60403504527800356</v>
      </c>
      <c r="Q10" s="15"/>
      <c r="R10" s="207"/>
      <c r="S10" s="209"/>
      <c r="T10" s="175"/>
      <c r="U10" s="60" t="s">
        <v>19</v>
      </c>
      <c r="V10" s="60" t="s">
        <v>137</v>
      </c>
      <c r="W10" s="60" t="s">
        <v>20</v>
      </c>
      <c r="X10" s="60" t="s">
        <v>21</v>
      </c>
      <c r="Y10" s="175"/>
      <c r="Z10" s="175"/>
      <c r="AA10" s="175"/>
      <c r="AB10" s="189"/>
      <c r="AC10" s="191"/>
      <c r="AD10" s="191"/>
      <c r="AE10" s="191"/>
      <c r="AF10" s="192"/>
      <c r="AG10" s="193"/>
      <c r="AH10" s="175"/>
    </row>
    <row r="11" spans="1:127" s="2" customFormat="1" ht="15.75" customHeight="1">
      <c r="B11" s="227"/>
      <c r="C11" s="195"/>
      <c r="D11" s="86" t="s">
        <v>18</v>
      </c>
      <c r="E11" s="148">
        <f>1627.117</f>
        <v>1627.117</v>
      </c>
      <c r="F11" s="87"/>
      <c r="G11" s="87">
        <f>E11+F11+I10</f>
        <v>2011.7260000000001</v>
      </c>
      <c r="H11" s="127">
        <v>937.99099999999999</v>
      </c>
      <c r="I11" s="135">
        <f>G11-H11</f>
        <v>1073.7350000000001</v>
      </c>
      <c r="J11" s="12">
        <f t="shared" si="0"/>
        <v>0.46626180702540998</v>
      </c>
      <c r="K11" s="196"/>
      <c r="L11" s="197"/>
      <c r="M11" s="197"/>
      <c r="N11" s="197"/>
      <c r="O11" s="205"/>
      <c r="P11" s="173"/>
      <c r="Q11" s="15"/>
      <c r="R11" s="176" t="s">
        <v>22</v>
      </c>
      <c r="S11" s="178" t="s">
        <v>23</v>
      </c>
      <c r="T11" s="180">
        <f>E52</f>
        <v>10651.273999999998</v>
      </c>
      <c r="U11" s="4" t="s">
        <v>24</v>
      </c>
      <c r="V11" s="5">
        <f>E10+E12+E14+E16+E18+E20+E22+E24+E26+E28+E30+E32+E34+E36+E38+E40+E42+E44+E50</f>
        <v>4260.2720000000008</v>
      </c>
      <c r="W11" s="5">
        <f t="shared" ref="W11:Y12" si="1">F10+F12+F14+F16+F18+F20+F22+F24+F26+F28+F30+F32+F34+F36+F38+F40+F42+F50</f>
        <v>-902.78</v>
      </c>
      <c r="X11" s="5">
        <f t="shared" si="1"/>
        <v>3357.2790000000005</v>
      </c>
      <c r="Y11" s="5">
        <f t="shared" si="1"/>
        <v>745.16100000000006</v>
      </c>
      <c r="Z11" s="6">
        <f>X11-Y11</f>
        <v>2612.1180000000004</v>
      </c>
      <c r="AA11" s="7">
        <f>Y11/X11</f>
        <v>0.22195385012684379</v>
      </c>
      <c r="AB11" s="59"/>
      <c r="AC11" s="182">
        <f>V11+V12</f>
        <v>10651.273999999998</v>
      </c>
      <c r="AD11" s="182">
        <f>W11+W12</f>
        <v>-902.78</v>
      </c>
      <c r="AE11" s="182">
        <f>+AC11+AD11</f>
        <v>9748.493999999997</v>
      </c>
      <c r="AF11" s="182">
        <f>Y11+Y12</f>
        <v>1810.6160000000002</v>
      </c>
      <c r="AG11" s="184">
        <f>AE11-AF11</f>
        <v>7937.877999999997</v>
      </c>
      <c r="AH11" s="186">
        <f>AF11/AE11</f>
        <v>0.18573289371671162</v>
      </c>
    </row>
    <row r="12" spans="1:127" s="2" customFormat="1" ht="15.75" thickBot="1">
      <c r="B12" s="227"/>
      <c r="C12" s="194" t="s">
        <v>83</v>
      </c>
      <c r="D12" s="86" t="s">
        <v>13</v>
      </c>
      <c r="E12" s="148">
        <v>1.278</v>
      </c>
      <c r="F12" s="85"/>
      <c r="G12" s="85">
        <f>E12+F12</f>
        <v>1.278</v>
      </c>
      <c r="H12" s="138"/>
      <c r="I12" s="135">
        <f t="shared" ref="I12:I22" si="2">G12-H12</f>
        <v>1.278</v>
      </c>
      <c r="J12" s="12">
        <f t="shared" si="0"/>
        <v>0</v>
      </c>
      <c r="K12" s="196">
        <f>E12+E13</f>
        <v>3.1950000000000003</v>
      </c>
      <c r="L12" s="197">
        <f>F12+F13</f>
        <v>0</v>
      </c>
      <c r="M12" s="197">
        <f>K12+L12</f>
        <v>3.1950000000000003</v>
      </c>
      <c r="N12" s="197">
        <f>H12+H13</f>
        <v>0</v>
      </c>
      <c r="O12" s="205">
        <f>M12-N12</f>
        <v>3.1950000000000003</v>
      </c>
      <c r="P12" s="173">
        <f t="shared" ref="P12" si="3">N12/M12</f>
        <v>0</v>
      </c>
      <c r="R12" s="177"/>
      <c r="S12" s="179"/>
      <c r="T12" s="181"/>
      <c r="U12" s="8" t="s">
        <v>25</v>
      </c>
      <c r="V12" s="9">
        <f>E11+E13+E15+E17+E19+E21+E23+E25+E27+E29+E31+E33+E35+E37+E39+E41+E43+E45+E51</f>
        <v>6391.0019999999977</v>
      </c>
      <c r="W12" s="9">
        <f t="shared" si="1"/>
        <v>0</v>
      </c>
      <c r="X12" s="9">
        <f t="shared" si="1"/>
        <v>9002.6299999999992</v>
      </c>
      <c r="Y12" s="9">
        <f t="shared" si="1"/>
        <v>1065.4550000000002</v>
      </c>
      <c r="Z12" s="26">
        <f>X12-Y12</f>
        <v>7937.1749999999993</v>
      </c>
      <c r="AA12" s="10">
        <f>Y12/X12</f>
        <v>0.11834930459210256</v>
      </c>
      <c r="AB12" s="11"/>
      <c r="AC12" s="183"/>
      <c r="AD12" s="183"/>
      <c r="AE12" s="183"/>
      <c r="AF12" s="183"/>
      <c r="AG12" s="185"/>
      <c r="AH12" s="187"/>
    </row>
    <row r="13" spans="1:127" s="2" customFormat="1">
      <c r="B13" s="227"/>
      <c r="C13" s="195"/>
      <c r="D13" s="86" t="s">
        <v>18</v>
      </c>
      <c r="E13" s="148">
        <v>1.917</v>
      </c>
      <c r="F13" s="87"/>
      <c r="G13" s="85">
        <f>E13+F13+I12</f>
        <v>3.1950000000000003</v>
      </c>
      <c r="H13" s="138"/>
      <c r="I13" s="135">
        <f t="shared" si="2"/>
        <v>3.1950000000000003</v>
      </c>
      <c r="J13" s="12">
        <f t="shared" si="0"/>
        <v>0</v>
      </c>
      <c r="K13" s="196"/>
      <c r="L13" s="197"/>
      <c r="M13" s="197"/>
      <c r="N13" s="197"/>
      <c r="O13" s="205"/>
      <c r="P13" s="173"/>
      <c r="Q13" s="15"/>
    </row>
    <row r="14" spans="1:127" s="2" customFormat="1">
      <c r="B14" s="227"/>
      <c r="C14" s="194" t="s">
        <v>65</v>
      </c>
      <c r="D14" s="86" t="s">
        <v>13</v>
      </c>
      <c r="E14" s="148">
        <f>141.396+0.085+22.619+0.098+10.955</f>
        <v>175.15300000000002</v>
      </c>
      <c r="F14" s="85"/>
      <c r="G14" s="85">
        <f>E14+F14</f>
        <v>175.15300000000002</v>
      </c>
      <c r="H14" s="138"/>
      <c r="I14" s="135">
        <f t="shared" si="2"/>
        <v>175.15300000000002</v>
      </c>
      <c r="J14" s="12">
        <f t="shared" si="0"/>
        <v>0</v>
      </c>
      <c r="K14" s="196">
        <f>E14+E15</f>
        <v>437.92599999999999</v>
      </c>
      <c r="L14" s="197">
        <f>F14+F15</f>
        <v>0</v>
      </c>
      <c r="M14" s="197">
        <f>K14+L14</f>
        <v>437.92599999999999</v>
      </c>
      <c r="N14" s="197">
        <f>H14+H15</f>
        <v>0</v>
      </c>
      <c r="O14" s="205">
        <f>M14-N14</f>
        <v>437.92599999999999</v>
      </c>
      <c r="P14" s="173">
        <f t="shared" ref="P14" si="4">N14/M14</f>
        <v>0</v>
      </c>
      <c r="Q14" s="15"/>
    </row>
    <row r="15" spans="1:127" s="2" customFormat="1">
      <c r="B15" s="227"/>
      <c r="C15" s="195"/>
      <c r="D15" s="86" t="s">
        <v>18</v>
      </c>
      <c r="E15" s="148">
        <f>212.128+0.128+33.934+0.147+16.436</f>
        <v>262.77299999999997</v>
      </c>
      <c r="F15" s="85"/>
      <c r="G15" s="87">
        <f>E15+F15+I14</f>
        <v>437.92599999999999</v>
      </c>
      <c r="H15" s="138"/>
      <c r="I15" s="135">
        <f t="shared" si="2"/>
        <v>437.92599999999999</v>
      </c>
      <c r="J15" s="12">
        <f t="shared" si="0"/>
        <v>0</v>
      </c>
      <c r="K15" s="196"/>
      <c r="L15" s="197"/>
      <c r="M15" s="197"/>
      <c r="N15" s="197"/>
      <c r="O15" s="205"/>
      <c r="P15" s="173"/>
      <c r="Q15" s="15"/>
    </row>
    <row r="16" spans="1:127" s="2" customFormat="1">
      <c r="B16" s="227"/>
      <c r="C16" s="194" t="s">
        <v>122</v>
      </c>
      <c r="D16" s="86" t="s">
        <v>13</v>
      </c>
      <c r="E16" s="148">
        <f>23.261</f>
        <v>23.260999999999999</v>
      </c>
      <c r="F16" s="85"/>
      <c r="G16" s="85">
        <f>E16+F16</f>
        <v>23.260999999999999</v>
      </c>
      <c r="H16" s="138"/>
      <c r="I16" s="135">
        <f t="shared" si="2"/>
        <v>23.260999999999999</v>
      </c>
      <c r="J16" s="12">
        <f t="shared" si="0"/>
        <v>0</v>
      </c>
      <c r="K16" s="196">
        <f>E16+E17</f>
        <v>58.158000000000001</v>
      </c>
      <c r="L16" s="197">
        <f>F16+F17</f>
        <v>0</v>
      </c>
      <c r="M16" s="197">
        <f>K16+L16</f>
        <v>58.158000000000001</v>
      </c>
      <c r="N16" s="197">
        <f>H16+H17</f>
        <v>0</v>
      </c>
      <c r="O16" s="205">
        <f>M16-N16</f>
        <v>58.158000000000001</v>
      </c>
      <c r="P16" s="173">
        <f t="shared" ref="P16" si="5">N16/M16</f>
        <v>0</v>
      </c>
      <c r="Q16" s="15"/>
    </row>
    <row r="17" spans="2:19" s="2" customFormat="1">
      <c r="B17" s="227"/>
      <c r="C17" s="195"/>
      <c r="D17" s="86" t="s">
        <v>18</v>
      </c>
      <c r="E17" s="148">
        <f>34.897</f>
        <v>34.896999999999998</v>
      </c>
      <c r="F17" s="85"/>
      <c r="G17" s="87">
        <f>I16+F17+E17</f>
        <v>58.158000000000001</v>
      </c>
      <c r="H17" s="138"/>
      <c r="I17" s="135">
        <f t="shared" si="2"/>
        <v>58.158000000000001</v>
      </c>
      <c r="J17" s="12">
        <f t="shared" si="0"/>
        <v>0</v>
      </c>
      <c r="K17" s="196"/>
      <c r="L17" s="197"/>
      <c r="M17" s="197"/>
      <c r="N17" s="197"/>
      <c r="O17" s="205"/>
      <c r="P17" s="173"/>
      <c r="Q17" s="15"/>
    </row>
    <row r="18" spans="2:19" s="2" customFormat="1">
      <c r="B18" s="227"/>
      <c r="C18" s="194" t="s">
        <v>124</v>
      </c>
      <c r="D18" s="86" t="s">
        <v>13</v>
      </c>
      <c r="E18" s="148">
        <f>539.682</f>
        <v>539.68200000000002</v>
      </c>
      <c r="F18" s="85"/>
      <c r="G18" s="85">
        <f>E18+F18</f>
        <v>539.68200000000002</v>
      </c>
      <c r="H18" s="127"/>
      <c r="I18" s="135">
        <f t="shared" si="2"/>
        <v>539.68200000000002</v>
      </c>
      <c r="J18" s="12">
        <f t="shared" si="0"/>
        <v>0</v>
      </c>
      <c r="K18" s="196">
        <f>E18+E19</f>
        <v>1349.3319999999999</v>
      </c>
      <c r="L18" s="197">
        <f>F18+F19</f>
        <v>0</v>
      </c>
      <c r="M18" s="197">
        <f>K18+L18</f>
        <v>1349.3319999999999</v>
      </c>
      <c r="N18" s="197">
        <f>H18+H19</f>
        <v>62.58</v>
      </c>
      <c r="O18" s="205">
        <f>M18-N18</f>
        <v>1286.752</v>
      </c>
      <c r="P18" s="173">
        <f t="shared" ref="P18" si="6">N18/M18</f>
        <v>4.6378504326585308E-2</v>
      </c>
      <c r="Q18" s="41"/>
      <c r="R18" s="42"/>
      <c r="S18" s="42"/>
    </row>
    <row r="19" spans="2:19" s="2" customFormat="1">
      <c r="B19" s="227"/>
      <c r="C19" s="195"/>
      <c r="D19" s="86" t="s">
        <v>18</v>
      </c>
      <c r="E19" s="148">
        <f>809.65</f>
        <v>809.65</v>
      </c>
      <c r="F19" s="88"/>
      <c r="G19" s="87">
        <f>E19+F19+I18</f>
        <v>1349.3319999999999</v>
      </c>
      <c r="H19" s="156">
        <v>62.58</v>
      </c>
      <c r="I19" s="135">
        <f t="shared" si="2"/>
        <v>1286.752</v>
      </c>
      <c r="J19" s="12">
        <f t="shared" si="0"/>
        <v>4.6378504326585308E-2</v>
      </c>
      <c r="K19" s="196"/>
      <c r="L19" s="197"/>
      <c r="M19" s="197"/>
      <c r="N19" s="197"/>
      <c r="O19" s="205"/>
      <c r="P19" s="173"/>
      <c r="Q19" s="41"/>
      <c r="R19" s="42"/>
      <c r="S19" s="42"/>
    </row>
    <row r="20" spans="2:19" s="2" customFormat="1" ht="15" customHeight="1">
      <c r="B20" s="227"/>
      <c r="C20" s="194" t="s">
        <v>123</v>
      </c>
      <c r="D20" s="86" t="s">
        <v>13</v>
      </c>
      <c r="E20" s="148">
        <v>634.87</v>
      </c>
      <c r="F20" s="85"/>
      <c r="G20" s="85">
        <f>E20+F20</f>
        <v>634.87</v>
      </c>
      <c r="H20" s="138"/>
      <c r="I20" s="135">
        <f t="shared" si="2"/>
        <v>634.87</v>
      </c>
      <c r="J20" s="12">
        <f t="shared" si="0"/>
        <v>0</v>
      </c>
      <c r="K20" s="196">
        <f>E20+E21</f>
        <v>1587.3240000000001</v>
      </c>
      <c r="L20" s="197">
        <f>F20+F21</f>
        <v>0</v>
      </c>
      <c r="M20" s="197">
        <f>K20+L20</f>
        <v>1587.3240000000001</v>
      </c>
      <c r="N20" s="197">
        <f>H20+H21</f>
        <v>0</v>
      </c>
      <c r="O20" s="205">
        <f>M20-N20</f>
        <v>1587.3240000000001</v>
      </c>
      <c r="P20" s="173">
        <f t="shared" ref="P20" si="7">N20/M20</f>
        <v>0</v>
      </c>
      <c r="Q20" s="41"/>
      <c r="R20" s="42"/>
      <c r="S20" s="42"/>
    </row>
    <row r="21" spans="2:19" s="2" customFormat="1">
      <c r="B21" s="227"/>
      <c r="C21" s="195"/>
      <c r="D21" s="86" t="s">
        <v>18</v>
      </c>
      <c r="E21" s="148">
        <f>952.454</f>
        <v>952.45399999999995</v>
      </c>
      <c r="F21" s="85"/>
      <c r="G21" s="87">
        <f>E21+F21+I20</f>
        <v>1587.3240000000001</v>
      </c>
      <c r="H21" s="138"/>
      <c r="I21" s="135">
        <f t="shared" si="2"/>
        <v>1587.3240000000001</v>
      </c>
      <c r="J21" s="12">
        <f t="shared" si="0"/>
        <v>0</v>
      </c>
      <c r="K21" s="196"/>
      <c r="L21" s="197"/>
      <c r="M21" s="197"/>
      <c r="N21" s="197"/>
      <c r="O21" s="205"/>
      <c r="P21" s="173"/>
      <c r="Q21" s="41"/>
      <c r="R21" s="42"/>
      <c r="S21" s="42"/>
    </row>
    <row r="22" spans="2:19" s="2" customFormat="1" ht="15" customHeight="1">
      <c r="B22" s="227"/>
      <c r="C22" s="194" t="s">
        <v>125</v>
      </c>
      <c r="D22" s="86" t="s">
        <v>13</v>
      </c>
      <c r="E22" s="148">
        <f>200.973</f>
        <v>200.97300000000001</v>
      </c>
      <c r="F22" s="85"/>
      <c r="G22" s="85">
        <f>E22+F22</f>
        <v>200.97300000000001</v>
      </c>
      <c r="H22" s="138"/>
      <c r="I22" s="135">
        <f t="shared" si="2"/>
        <v>200.97300000000001</v>
      </c>
      <c r="J22" s="12">
        <f t="shared" si="0"/>
        <v>0</v>
      </c>
      <c r="K22" s="196">
        <f>E22+E23</f>
        <v>502.47899999999998</v>
      </c>
      <c r="L22" s="197">
        <f>F22+F23</f>
        <v>0</v>
      </c>
      <c r="M22" s="197">
        <f>K22+L22</f>
        <v>502.47899999999998</v>
      </c>
      <c r="N22" s="197">
        <f>H22+H23</f>
        <v>0</v>
      </c>
      <c r="O22" s="205">
        <f>M22-N22</f>
        <v>502.47899999999998</v>
      </c>
      <c r="P22" s="173">
        <f t="shared" ref="P22" si="8">N22/M22</f>
        <v>0</v>
      </c>
      <c r="Q22" s="41"/>
      <c r="R22" s="42"/>
      <c r="S22" s="42"/>
    </row>
    <row r="23" spans="2:19" s="2" customFormat="1">
      <c r="B23" s="227"/>
      <c r="C23" s="195"/>
      <c r="D23" s="86" t="s">
        <v>18</v>
      </c>
      <c r="E23" s="148">
        <v>301.50599999999997</v>
      </c>
      <c r="F23" s="87"/>
      <c r="G23" s="87">
        <f>E23+F23+I22</f>
        <v>502.47899999999998</v>
      </c>
      <c r="H23" s="138"/>
      <c r="I23" s="135">
        <f>G23-H23</f>
        <v>502.47899999999998</v>
      </c>
      <c r="J23" s="12">
        <v>0</v>
      </c>
      <c r="K23" s="196"/>
      <c r="L23" s="197"/>
      <c r="M23" s="197"/>
      <c r="N23" s="197"/>
      <c r="O23" s="205"/>
      <c r="P23" s="173"/>
      <c r="Q23" s="41"/>
      <c r="R23" s="42"/>
      <c r="S23" s="42"/>
    </row>
    <row r="24" spans="2:19" s="2" customFormat="1" ht="15" customHeight="1">
      <c r="B24" s="227"/>
      <c r="C24" s="194" t="s">
        <v>126</v>
      </c>
      <c r="D24" s="86" t="s">
        <v>13</v>
      </c>
      <c r="E24" s="148">
        <f>127.081</f>
        <v>127.081</v>
      </c>
      <c r="F24" s="85"/>
      <c r="G24" s="85">
        <f>E24+F24</f>
        <v>127.081</v>
      </c>
      <c r="H24" s="138"/>
      <c r="I24" s="135">
        <f>G24-H24</f>
        <v>127.081</v>
      </c>
      <c r="J24" s="12">
        <f t="shared" si="0"/>
        <v>0</v>
      </c>
      <c r="K24" s="196">
        <f>E24+E25</f>
        <v>317.733</v>
      </c>
      <c r="L24" s="197">
        <f>F24+F25</f>
        <v>0</v>
      </c>
      <c r="M24" s="197">
        <f>K24+L24</f>
        <v>317.733</v>
      </c>
      <c r="N24" s="197">
        <f>H24+H25</f>
        <v>0</v>
      </c>
      <c r="O24" s="205">
        <f>M24-N24</f>
        <v>317.733</v>
      </c>
      <c r="P24" s="173">
        <f t="shared" ref="P24" si="9">N24/M24</f>
        <v>0</v>
      </c>
      <c r="Q24" s="41"/>
      <c r="R24" s="42"/>
      <c r="S24" s="42"/>
    </row>
    <row r="25" spans="2:19" s="2" customFormat="1">
      <c r="B25" s="227"/>
      <c r="C25" s="195"/>
      <c r="D25" s="86" t="s">
        <v>18</v>
      </c>
      <c r="E25" s="148">
        <f>190.652</f>
        <v>190.65199999999999</v>
      </c>
      <c r="F25" s="85"/>
      <c r="G25" s="87">
        <f>E25+F25+I24</f>
        <v>317.733</v>
      </c>
      <c r="H25" s="138"/>
      <c r="I25" s="135">
        <f t="shared" ref="I25:I36" si="10">G25-H25</f>
        <v>317.733</v>
      </c>
      <c r="J25" s="12">
        <f t="shared" si="0"/>
        <v>0</v>
      </c>
      <c r="K25" s="196"/>
      <c r="L25" s="197"/>
      <c r="M25" s="197"/>
      <c r="N25" s="197"/>
      <c r="O25" s="205"/>
      <c r="P25" s="173"/>
      <c r="Q25" s="41"/>
      <c r="R25" s="42"/>
      <c r="S25" s="42"/>
    </row>
    <row r="26" spans="2:19" s="2" customFormat="1" ht="15" customHeight="1">
      <c r="B26" s="227"/>
      <c r="C26" s="194" t="s">
        <v>127</v>
      </c>
      <c r="D26" s="86" t="s">
        <v>13</v>
      </c>
      <c r="E26" s="148">
        <f>0.043</f>
        <v>4.2999999999999997E-2</v>
      </c>
      <c r="F26" s="85"/>
      <c r="G26" s="85">
        <f>E26+F26</f>
        <v>4.2999999999999997E-2</v>
      </c>
      <c r="H26" s="138"/>
      <c r="I26" s="135">
        <f t="shared" si="10"/>
        <v>4.2999999999999997E-2</v>
      </c>
      <c r="J26" s="12">
        <f t="shared" si="0"/>
        <v>0</v>
      </c>
      <c r="K26" s="196">
        <f>E26+E27</f>
        <v>0.108</v>
      </c>
      <c r="L26" s="197">
        <f>F26+F27</f>
        <v>0</v>
      </c>
      <c r="M26" s="197">
        <f>K26+L26</f>
        <v>0.108</v>
      </c>
      <c r="N26" s="197">
        <f>H26+H27</f>
        <v>0</v>
      </c>
      <c r="O26" s="205">
        <f>M26-N26</f>
        <v>0.108</v>
      </c>
      <c r="P26" s="173">
        <f t="shared" ref="P26" si="11">N26/M26</f>
        <v>0</v>
      </c>
      <c r="Q26" s="41"/>
      <c r="R26" s="42"/>
      <c r="S26" s="42"/>
    </row>
    <row r="27" spans="2:19" s="2" customFormat="1">
      <c r="B27" s="227"/>
      <c r="C27" s="195"/>
      <c r="D27" s="86" t="s">
        <v>18</v>
      </c>
      <c r="E27" s="148">
        <v>6.5000000000000002E-2</v>
      </c>
      <c r="F27" s="85"/>
      <c r="G27" s="87">
        <f>E27+F27+I26</f>
        <v>0.108</v>
      </c>
      <c r="H27" s="138"/>
      <c r="I27" s="135">
        <f t="shared" si="10"/>
        <v>0.108</v>
      </c>
      <c r="J27" s="12">
        <f t="shared" si="0"/>
        <v>0</v>
      </c>
      <c r="K27" s="196"/>
      <c r="L27" s="197"/>
      <c r="M27" s="197"/>
      <c r="N27" s="197"/>
      <c r="O27" s="205"/>
      <c r="P27" s="173"/>
      <c r="Q27" s="41"/>
      <c r="R27" s="42"/>
      <c r="S27" s="42"/>
    </row>
    <row r="28" spans="2:19" s="2" customFormat="1" ht="15" customHeight="1">
      <c r="B28" s="227"/>
      <c r="C28" s="194" t="s">
        <v>128</v>
      </c>
      <c r="D28" s="86" t="s">
        <v>13</v>
      </c>
      <c r="E28" s="148">
        <v>4.2999999999999997E-2</v>
      </c>
      <c r="F28" s="85"/>
      <c r="G28" s="85">
        <f>E28+F28</f>
        <v>4.2999999999999997E-2</v>
      </c>
      <c r="H28" s="138"/>
      <c r="I28" s="135">
        <f t="shared" si="10"/>
        <v>4.2999999999999997E-2</v>
      </c>
      <c r="J28" s="12">
        <f t="shared" si="0"/>
        <v>0</v>
      </c>
      <c r="K28" s="196">
        <f>E28+E29</f>
        <v>0.108</v>
      </c>
      <c r="L28" s="197">
        <f>F28+F29</f>
        <v>0</v>
      </c>
      <c r="M28" s="197">
        <f>K28+L28</f>
        <v>0.108</v>
      </c>
      <c r="N28" s="197">
        <f>H28+H29</f>
        <v>0</v>
      </c>
      <c r="O28" s="205">
        <f>M28-N28</f>
        <v>0.108</v>
      </c>
      <c r="P28" s="173">
        <f t="shared" ref="P28" si="12">N28/M28</f>
        <v>0</v>
      </c>
      <c r="Q28" s="41"/>
      <c r="R28" s="42"/>
      <c r="S28" s="42"/>
    </row>
    <row r="29" spans="2:19" s="2" customFormat="1">
      <c r="B29" s="227"/>
      <c r="C29" s="195"/>
      <c r="D29" s="86" t="s">
        <v>18</v>
      </c>
      <c r="E29" s="148">
        <f>0.065</f>
        <v>6.5000000000000002E-2</v>
      </c>
      <c r="F29" s="85"/>
      <c r="G29" s="87">
        <f>E29+F29+I28</f>
        <v>0.108</v>
      </c>
      <c r="H29" s="138"/>
      <c r="I29" s="135">
        <f t="shared" si="10"/>
        <v>0.108</v>
      </c>
      <c r="J29" s="12">
        <f t="shared" si="0"/>
        <v>0</v>
      </c>
      <c r="K29" s="196"/>
      <c r="L29" s="197"/>
      <c r="M29" s="197"/>
      <c r="N29" s="197"/>
      <c r="O29" s="205"/>
      <c r="P29" s="173"/>
      <c r="Q29" s="41"/>
      <c r="R29" s="42"/>
      <c r="S29" s="42"/>
    </row>
    <row r="30" spans="2:19" s="2" customFormat="1" ht="15" customHeight="1">
      <c r="B30" s="227"/>
      <c r="C30" s="204" t="s">
        <v>129</v>
      </c>
      <c r="D30" s="86" t="s">
        <v>13</v>
      </c>
      <c r="E30" s="148">
        <v>4.2999999999999997E-2</v>
      </c>
      <c r="F30" s="85"/>
      <c r="G30" s="85">
        <f>E30+F30</f>
        <v>4.2999999999999997E-2</v>
      </c>
      <c r="H30" s="138"/>
      <c r="I30" s="135">
        <f t="shared" si="10"/>
        <v>4.2999999999999997E-2</v>
      </c>
      <c r="J30" s="12">
        <v>0</v>
      </c>
      <c r="K30" s="196">
        <f>E30+E31</f>
        <v>0.108</v>
      </c>
      <c r="L30" s="197">
        <f>F30+F31</f>
        <v>0</v>
      </c>
      <c r="M30" s="197">
        <f>K30+L30</f>
        <v>0.108</v>
      </c>
      <c r="N30" s="197">
        <f>H30+H31</f>
        <v>0</v>
      </c>
      <c r="O30" s="205">
        <f>M30-N30</f>
        <v>0.108</v>
      </c>
      <c r="P30" s="173">
        <f t="shared" ref="P30" si="13">N30/M30</f>
        <v>0</v>
      </c>
      <c r="Q30" s="41"/>
      <c r="R30" s="42"/>
      <c r="S30" s="42"/>
    </row>
    <row r="31" spans="2:19" s="2" customFormat="1">
      <c r="B31" s="227"/>
      <c r="C31" s="195"/>
      <c r="D31" s="86" t="s">
        <v>18</v>
      </c>
      <c r="E31" s="148">
        <v>6.5000000000000002E-2</v>
      </c>
      <c r="F31" s="85"/>
      <c r="G31" s="87">
        <f>E31+F31+I30</f>
        <v>0.108</v>
      </c>
      <c r="H31" s="138"/>
      <c r="I31" s="135">
        <f t="shared" si="10"/>
        <v>0.108</v>
      </c>
      <c r="J31" s="12">
        <v>0</v>
      </c>
      <c r="K31" s="196"/>
      <c r="L31" s="197"/>
      <c r="M31" s="197"/>
      <c r="N31" s="197"/>
      <c r="O31" s="205"/>
      <c r="P31" s="173"/>
      <c r="Q31" s="15"/>
    </row>
    <row r="32" spans="2:19" s="2" customFormat="1">
      <c r="B32" s="227"/>
      <c r="C32" s="204" t="s">
        <v>26</v>
      </c>
      <c r="D32" s="86" t="s">
        <v>13</v>
      </c>
      <c r="E32" s="148">
        <f>536.368</f>
        <v>536.36800000000005</v>
      </c>
      <c r="F32" s="85"/>
      <c r="G32" s="85">
        <f>E32+F32</f>
        <v>536.36800000000005</v>
      </c>
      <c r="H32" s="138"/>
      <c r="I32" s="135">
        <f t="shared" si="10"/>
        <v>536.36800000000005</v>
      </c>
      <c r="J32" s="12">
        <f t="shared" si="0"/>
        <v>0</v>
      </c>
      <c r="K32" s="196">
        <f>E32+E33</f>
        <v>1341.0450000000001</v>
      </c>
      <c r="L32" s="197">
        <f>F32+F33</f>
        <v>0</v>
      </c>
      <c r="M32" s="197">
        <f>K32+L32</f>
        <v>1341.0450000000001</v>
      </c>
      <c r="N32" s="197">
        <f>H32+H33</f>
        <v>0</v>
      </c>
      <c r="O32" s="205">
        <f>M32-N32</f>
        <v>1341.0450000000001</v>
      </c>
      <c r="P32" s="173">
        <f t="shared" ref="P32" si="14">N32/M32</f>
        <v>0</v>
      </c>
      <c r="Q32" s="15"/>
    </row>
    <row r="33" spans="2:34" s="2" customFormat="1">
      <c r="B33" s="227"/>
      <c r="C33" s="204"/>
      <c r="D33" s="86" t="s">
        <v>18</v>
      </c>
      <c r="E33" s="148">
        <f>804.677</f>
        <v>804.67700000000002</v>
      </c>
      <c r="F33" s="87"/>
      <c r="G33" s="87">
        <f>E33+F33+I32</f>
        <v>1341.0450000000001</v>
      </c>
      <c r="H33" s="138"/>
      <c r="I33" s="135">
        <f t="shared" si="10"/>
        <v>1341.0450000000001</v>
      </c>
      <c r="J33" s="12">
        <f t="shared" si="0"/>
        <v>0</v>
      </c>
      <c r="K33" s="196"/>
      <c r="L33" s="197"/>
      <c r="M33" s="197"/>
      <c r="N33" s="197"/>
      <c r="O33" s="205"/>
      <c r="P33" s="173"/>
      <c r="Q33" s="15"/>
    </row>
    <row r="34" spans="2:34" s="2" customFormat="1" ht="15" customHeight="1">
      <c r="B34" s="227"/>
      <c r="C34" s="194" t="s">
        <v>130</v>
      </c>
      <c r="D34" s="86" t="s">
        <v>13</v>
      </c>
      <c r="E34" s="139">
        <f>15.416</f>
        <v>15.416</v>
      </c>
      <c r="F34" s="85"/>
      <c r="G34" s="85">
        <f>E34+F34</f>
        <v>15.416</v>
      </c>
      <c r="H34" s="138"/>
      <c r="I34" s="135">
        <f t="shared" si="10"/>
        <v>15.416</v>
      </c>
      <c r="J34" s="12">
        <f t="shared" si="0"/>
        <v>0</v>
      </c>
      <c r="K34" s="196">
        <f>E34+E35</f>
        <v>38.542999999999999</v>
      </c>
      <c r="L34" s="197">
        <f>F34+F35</f>
        <v>0</v>
      </c>
      <c r="M34" s="197">
        <f>K34+L34</f>
        <v>38.542999999999999</v>
      </c>
      <c r="N34" s="197">
        <f>H34+H35</f>
        <v>0</v>
      </c>
      <c r="O34" s="205">
        <f>M34-N34</f>
        <v>38.542999999999999</v>
      </c>
      <c r="P34" s="173">
        <f t="shared" ref="P34" si="15">N34/M34</f>
        <v>0</v>
      </c>
      <c r="Q34" s="15"/>
    </row>
    <row r="35" spans="2:34" s="2" customFormat="1">
      <c r="B35" s="227"/>
      <c r="C35" s="195"/>
      <c r="D35" s="86" t="s">
        <v>18</v>
      </c>
      <c r="E35" s="139">
        <v>23.126999999999999</v>
      </c>
      <c r="F35" s="85"/>
      <c r="G35" s="87">
        <f>E35+F35+I34</f>
        <v>38.542999999999999</v>
      </c>
      <c r="H35" s="138"/>
      <c r="I35" s="135">
        <f t="shared" si="10"/>
        <v>38.542999999999999</v>
      </c>
      <c r="J35" s="12">
        <f t="shared" si="0"/>
        <v>0</v>
      </c>
      <c r="K35" s="196"/>
      <c r="L35" s="197"/>
      <c r="M35" s="197"/>
      <c r="N35" s="197"/>
      <c r="O35" s="205"/>
      <c r="P35" s="173"/>
      <c r="Q35" s="15"/>
    </row>
    <row r="36" spans="2:34" s="2" customFormat="1" ht="15" customHeight="1">
      <c r="B36" s="227"/>
      <c r="C36" s="194" t="s">
        <v>131</v>
      </c>
      <c r="D36" s="86" t="s">
        <v>13</v>
      </c>
      <c r="E36" s="139">
        <f>542.056</f>
        <v>542.05600000000004</v>
      </c>
      <c r="F36" s="85"/>
      <c r="G36" s="85">
        <f>E36+F36</f>
        <v>542.05600000000004</v>
      </c>
      <c r="H36" s="127">
        <v>45.195</v>
      </c>
      <c r="I36" s="135">
        <f t="shared" si="10"/>
        <v>496.86100000000005</v>
      </c>
      <c r="J36" s="12">
        <f t="shared" si="0"/>
        <v>8.3376994258895748E-2</v>
      </c>
      <c r="K36" s="196">
        <f>E36+E37</f>
        <v>1355.2670000000001</v>
      </c>
      <c r="L36" s="197">
        <f>F36+F37</f>
        <v>0</v>
      </c>
      <c r="M36" s="197">
        <f>K36+L36</f>
        <v>1355.2670000000001</v>
      </c>
      <c r="N36" s="196">
        <f>H36+H37</f>
        <v>109.98699999999999</v>
      </c>
      <c r="O36" s="205">
        <f>M36-N36</f>
        <v>1245.28</v>
      </c>
      <c r="P36" s="173">
        <f t="shared" ref="P36" si="16">N36/M36</f>
        <v>8.1155226239552791E-2</v>
      </c>
      <c r="Q36" s="15"/>
    </row>
    <row r="37" spans="2:34" s="2" customFormat="1">
      <c r="B37" s="227"/>
      <c r="C37" s="195"/>
      <c r="D37" s="86" t="s">
        <v>18</v>
      </c>
      <c r="E37" s="139">
        <f>813.211</f>
        <v>813.21100000000001</v>
      </c>
      <c r="F37" s="85"/>
      <c r="G37" s="87">
        <f>E37+F37+I36</f>
        <v>1310.0720000000001</v>
      </c>
      <c r="H37" s="156">
        <v>64.792000000000002</v>
      </c>
      <c r="I37" s="135">
        <f t="shared" ref="I37:I43" si="17">G37-H37</f>
        <v>1245.2800000000002</v>
      </c>
      <c r="J37" s="12">
        <f t="shared" si="0"/>
        <v>4.945682374709176E-2</v>
      </c>
      <c r="K37" s="196"/>
      <c r="L37" s="197"/>
      <c r="M37" s="197"/>
      <c r="N37" s="196"/>
      <c r="O37" s="205"/>
      <c r="P37" s="173"/>
      <c r="Q37" s="15"/>
    </row>
    <row r="38" spans="2:34" s="2" customFormat="1">
      <c r="B38" s="227"/>
      <c r="C38" s="194" t="s">
        <v>27</v>
      </c>
      <c r="D38" s="86" t="s">
        <v>13</v>
      </c>
      <c r="E38" s="139">
        <f>17.969</f>
        <v>17.969000000000001</v>
      </c>
      <c r="F38" s="85"/>
      <c r="G38" s="85">
        <f>E38+F38</f>
        <v>17.969000000000001</v>
      </c>
      <c r="H38" s="127"/>
      <c r="I38" s="135">
        <f t="shared" si="17"/>
        <v>17.969000000000001</v>
      </c>
      <c r="J38" s="12">
        <f t="shared" si="0"/>
        <v>0</v>
      </c>
      <c r="K38" s="196">
        <f>E38+E39</f>
        <v>44.516999999999996</v>
      </c>
      <c r="L38" s="197">
        <f>F38+F39</f>
        <v>0</v>
      </c>
      <c r="M38" s="197">
        <f>K38+L38</f>
        <v>44.516999999999996</v>
      </c>
      <c r="N38" s="197">
        <f>H38+H39</f>
        <v>9.1999999999999998E-2</v>
      </c>
      <c r="O38" s="205">
        <f>M38-N38</f>
        <v>44.424999999999997</v>
      </c>
      <c r="P38" s="173">
        <f t="shared" ref="P38" si="18">N38/M38</f>
        <v>2.066626232675158E-3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2:34" s="2" customFormat="1">
      <c r="B39" s="227"/>
      <c r="C39" s="195"/>
      <c r="D39" s="86" t="s">
        <v>18</v>
      </c>
      <c r="E39" s="139">
        <v>26.547999999999998</v>
      </c>
      <c r="F39" s="87"/>
      <c r="G39" s="87">
        <f>E39+F39+I38</f>
        <v>44.516999999999996</v>
      </c>
      <c r="H39" s="138">
        <v>9.1999999999999998E-2</v>
      </c>
      <c r="I39" s="135">
        <f t="shared" si="17"/>
        <v>44.424999999999997</v>
      </c>
      <c r="J39" s="89">
        <f t="shared" si="0"/>
        <v>2.066626232675158E-3</v>
      </c>
      <c r="K39" s="196"/>
      <c r="L39" s="197"/>
      <c r="M39" s="197"/>
      <c r="N39" s="197"/>
      <c r="O39" s="205"/>
      <c r="P39" s="17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2:34" s="2" customFormat="1">
      <c r="B40" s="227"/>
      <c r="C40" s="229" t="s">
        <v>28</v>
      </c>
      <c r="D40" s="86" t="s">
        <v>13</v>
      </c>
      <c r="E40" s="139">
        <v>4.2999999999999997E-2</v>
      </c>
      <c r="F40" s="87">
        <v>-0.108</v>
      </c>
      <c r="G40" s="85">
        <f>E40+F40</f>
        <v>-6.5000000000000002E-2</v>
      </c>
      <c r="H40" s="138"/>
      <c r="I40" s="135">
        <f t="shared" si="17"/>
        <v>-6.5000000000000002E-2</v>
      </c>
      <c r="J40" s="12">
        <f t="shared" si="0"/>
        <v>0</v>
      </c>
      <c r="K40" s="196">
        <f>E40+E41</f>
        <v>0.108</v>
      </c>
      <c r="L40" s="197">
        <f>F40+F41</f>
        <v>-0.108</v>
      </c>
      <c r="M40" s="197">
        <f>K40+L40</f>
        <v>0</v>
      </c>
      <c r="N40" s="197">
        <f>H40+H41</f>
        <v>0</v>
      </c>
      <c r="O40" s="205">
        <f>M40-N40</f>
        <v>0</v>
      </c>
      <c r="P40" s="173">
        <v>0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2:34" s="2" customFormat="1">
      <c r="B41" s="227"/>
      <c r="C41" s="230"/>
      <c r="D41" s="86" t="s">
        <v>18</v>
      </c>
      <c r="E41" s="139">
        <v>6.5000000000000002E-2</v>
      </c>
      <c r="F41" s="85"/>
      <c r="G41" s="87">
        <f>E41+F41+I40</f>
        <v>0</v>
      </c>
      <c r="H41" s="138"/>
      <c r="I41" s="135">
        <f t="shared" si="17"/>
        <v>0</v>
      </c>
      <c r="J41" s="89">
        <v>0</v>
      </c>
      <c r="K41" s="196"/>
      <c r="L41" s="197"/>
      <c r="M41" s="197"/>
      <c r="N41" s="197"/>
      <c r="O41" s="205"/>
      <c r="P41" s="173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2:34" s="2" customFormat="1">
      <c r="B42" s="227"/>
      <c r="C42" s="204" t="s">
        <v>132</v>
      </c>
      <c r="D42" s="86" t="s">
        <v>13</v>
      </c>
      <c r="E42" s="139">
        <v>361.03500000000003</v>
      </c>
      <c r="F42" s="85">
        <v>-902.67200000000003</v>
      </c>
      <c r="G42" s="85">
        <f>E42+F42</f>
        <v>-541.63699999999994</v>
      </c>
      <c r="H42" s="138"/>
      <c r="I42" s="135">
        <f t="shared" si="17"/>
        <v>-541.63699999999994</v>
      </c>
      <c r="J42" s="90">
        <f>H42/G42</f>
        <v>0</v>
      </c>
      <c r="K42" s="196">
        <f>E42+E43</f>
        <v>902.67200000000003</v>
      </c>
      <c r="L42" s="197">
        <f>F42+F43</f>
        <v>-902.67200000000003</v>
      </c>
      <c r="M42" s="197">
        <f>K42+L42</f>
        <v>0</v>
      </c>
      <c r="N42" s="197">
        <f>H42+H43</f>
        <v>0</v>
      </c>
      <c r="O42" s="205">
        <f>M42-N42</f>
        <v>0</v>
      </c>
      <c r="P42" s="173">
        <v>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2:34" s="2" customFormat="1">
      <c r="B43" s="227"/>
      <c r="C43" s="195"/>
      <c r="D43" s="86" t="s">
        <v>18</v>
      </c>
      <c r="E43" s="139">
        <v>541.63699999999994</v>
      </c>
      <c r="F43" s="87"/>
      <c r="G43" s="85">
        <f>E43+F43+I42</f>
        <v>0</v>
      </c>
      <c r="H43" s="138"/>
      <c r="I43" s="135">
        <f t="shared" si="17"/>
        <v>0</v>
      </c>
      <c r="J43" s="89">
        <v>0</v>
      </c>
      <c r="K43" s="196"/>
      <c r="L43" s="197"/>
      <c r="M43" s="197"/>
      <c r="N43" s="197"/>
      <c r="O43" s="205"/>
      <c r="P43" s="173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s="2" customFormat="1">
      <c r="B44" s="227"/>
      <c r="C44" s="215" t="s">
        <v>139</v>
      </c>
      <c r="D44" s="86" t="s">
        <v>13</v>
      </c>
      <c r="E44" s="148">
        <f>0.213</f>
        <v>0.21299999999999999</v>
      </c>
      <c r="F44" s="129"/>
      <c r="G44" s="129">
        <f>E44+F44</f>
        <v>0.21299999999999999</v>
      </c>
      <c r="H44" s="138"/>
      <c r="I44" s="135">
        <f t="shared" ref="I44:I49" si="19">+G44-H44</f>
        <v>0.21299999999999999</v>
      </c>
      <c r="J44" s="128">
        <f>+H44/G44</f>
        <v>0</v>
      </c>
      <c r="K44" s="196">
        <f>E44+E45</f>
        <v>0.53300000000000003</v>
      </c>
      <c r="L44" s="196">
        <f>F44+F45</f>
        <v>0</v>
      </c>
      <c r="M44" s="196">
        <f>K44+L44</f>
        <v>0.53300000000000003</v>
      </c>
      <c r="N44" s="197">
        <f>H44+H45</f>
        <v>0</v>
      </c>
      <c r="O44" s="205">
        <f>M44-N44</f>
        <v>0.53300000000000003</v>
      </c>
      <c r="P44" s="173">
        <f t="shared" ref="P44" si="20">N44/M44</f>
        <v>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2:34" s="2" customFormat="1">
      <c r="B45" s="227"/>
      <c r="C45" s="212"/>
      <c r="D45" s="86" t="s">
        <v>18</v>
      </c>
      <c r="E45" s="148">
        <f>0.32</f>
        <v>0.32</v>
      </c>
      <c r="F45" s="129"/>
      <c r="G45" s="129">
        <f>E45+F45</f>
        <v>0.32</v>
      </c>
      <c r="H45" s="138"/>
      <c r="I45" s="135">
        <f t="shared" si="19"/>
        <v>0.32</v>
      </c>
      <c r="J45" s="128">
        <f>+H45/G45</f>
        <v>0</v>
      </c>
      <c r="K45" s="196"/>
      <c r="L45" s="197"/>
      <c r="M45" s="197"/>
      <c r="N45" s="197"/>
      <c r="O45" s="205"/>
      <c r="P45" s="173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2:34" s="2" customFormat="1">
      <c r="B46" s="227"/>
      <c r="C46" s="215" t="s">
        <v>142</v>
      </c>
      <c r="D46" s="86" t="s">
        <v>13</v>
      </c>
      <c r="E46" s="150"/>
      <c r="F46" s="150"/>
      <c r="G46" s="150"/>
      <c r="H46" s="151">
        <v>8.0000000000000002E-3</v>
      </c>
      <c r="I46" s="150">
        <f t="shared" si="19"/>
        <v>-8.0000000000000002E-3</v>
      </c>
      <c r="J46" s="128">
        <v>0</v>
      </c>
      <c r="K46" s="196">
        <f>E46+E47</f>
        <v>0</v>
      </c>
      <c r="L46" s="196">
        <f>F46+F47</f>
        <v>0</v>
      </c>
      <c r="M46" s="196">
        <f>K46+L46</f>
        <v>0</v>
      </c>
      <c r="N46" s="197">
        <f>H46+H47</f>
        <v>8.0000000000000002E-3</v>
      </c>
      <c r="O46" s="205">
        <f>M46-N46</f>
        <v>-8.0000000000000002E-3</v>
      </c>
      <c r="P46" s="173">
        <v>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2:34" s="2" customFormat="1">
      <c r="B47" s="227"/>
      <c r="C47" s="212"/>
      <c r="D47" s="86" t="s">
        <v>18</v>
      </c>
      <c r="E47" s="150"/>
      <c r="F47" s="150"/>
      <c r="G47" s="150"/>
      <c r="H47" s="151"/>
      <c r="I47" s="150">
        <f t="shared" si="19"/>
        <v>0</v>
      </c>
      <c r="J47" s="128">
        <v>0</v>
      </c>
      <c r="K47" s="196"/>
      <c r="L47" s="197"/>
      <c r="M47" s="197"/>
      <c r="N47" s="197"/>
      <c r="O47" s="205"/>
      <c r="P47" s="173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2:34" s="2" customFormat="1">
      <c r="B48" s="227"/>
      <c r="C48" s="215" t="s">
        <v>143</v>
      </c>
      <c r="D48" s="86" t="s">
        <v>13</v>
      </c>
      <c r="E48" s="153"/>
      <c r="F48" s="153"/>
      <c r="G48" s="153"/>
      <c r="H48" s="154">
        <v>0</v>
      </c>
      <c r="I48" s="153">
        <f t="shared" si="19"/>
        <v>0</v>
      </c>
      <c r="J48" s="128">
        <v>0</v>
      </c>
      <c r="K48" s="196">
        <f>E48+E49</f>
        <v>0</v>
      </c>
      <c r="L48" s="196">
        <f>F48+F49</f>
        <v>0</v>
      </c>
      <c r="M48" s="196">
        <f>K48+L48</f>
        <v>0</v>
      </c>
      <c r="N48" s="197">
        <f>H48+H49</f>
        <v>4.0000000000000001E-3</v>
      </c>
      <c r="O48" s="205">
        <f>M48-N48</f>
        <v>-4.0000000000000001E-3</v>
      </c>
      <c r="P48" s="173">
        <v>0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4" s="2" customFormat="1">
      <c r="B49" s="227"/>
      <c r="C49" s="212"/>
      <c r="D49" s="86" t="s">
        <v>18</v>
      </c>
      <c r="E49" s="153"/>
      <c r="F49" s="153"/>
      <c r="G49" s="153"/>
      <c r="H49" s="154">
        <v>4.0000000000000001E-3</v>
      </c>
      <c r="I49" s="153">
        <f t="shared" si="19"/>
        <v>-4.0000000000000001E-3</v>
      </c>
      <c r="J49" s="128">
        <v>0</v>
      </c>
      <c r="K49" s="196"/>
      <c r="L49" s="197"/>
      <c r="M49" s="197"/>
      <c r="N49" s="197"/>
      <c r="O49" s="205"/>
      <c r="P49" s="173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2:34" s="2" customFormat="1">
      <c r="B50" s="227"/>
      <c r="C50" s="194" t="s">
        <v>79</v>
      </c>
      <c r="D50" s="86" t="s">
        <v>13</v>
      </c>
      <c r="E50" s="139">
        <v>0.17</v>
      </c>
      <c r="F50" s="87"/>
      <c r="G50" s="87">
        <f>E50+F50</f>
        <v>0.17</v>
      </c>
      <c r="H50" s="85"/>
      <c r="I50" s="135">
        <f>G50-H50</f>
        <v>0.17</v>
      </c>
      <c r="J50" s="89">
        <f>H50/G50</f>
        <v>0</v>
      </c>
      <c r="K50" s="196">
        <f>E50+E51</f>
        <v>0.42600000000000005</v>
      </c>
      <c r="L50" s="196">
        <f>F50+F51</f>
        <v>0</v>
      </c>
      <c r="M50" s="197">
        <f>K50+L50</f>
        <v>0.42600000000000005</v>
      </c>
      <c r="N50" s="197">
        <f>H50+H51</f>
        <v>0</v>
      </c>
      <c r="O50" s="205">
        <f>M50-N50</f>
        <v>0.42600000000000005</v>
      </c>
      <c r="P50" s="173">
        <f t="shared" ref="P50" si="21">N50/M50</f>
        <v>0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2:34" s="2" customFormat="1" ht="15.75" thickBot="1">
      <c r="B51" s="228"/>
      <c r="C51" s="214"/>
      <c r="D51" s="95" t="s">
        <v>18</v>
      </c>
      <c r="E51" s="96">
        <v>0.25600000000000001</v>
      </c>
      <c r="F51" s="96"/>
      <c r="G51" s="96">
        <f>E51+F51</f>
        <v>0.25600000000000001</v>
      </c>
      <c r="H51" s="94"/>
      <c r="I51" s="135">
        <f>G51-H51</f>
        <v>0.25600000000000001</v>
      </c>
      <c r="J51" s="27">
        <f>H51/G51</f>
        <v>0</v>
      </c>
      <c r="K51" s="196"/>
      <c r="L51" s="197"/>
      <c r="M51" s="197"/>
      <c r="N51" s="197"/>
      <c r="O51" s="205"/>
      <c r="P51" s="173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2:34" s="15" customFormat="1">
      <c r="B52" s="28"/>
      <c r="C52" s="18"/>
      <c r="D52" s="17"/>
      <c r="E52" s="43">
        <f>SUM(E10:E51)</f>
        <v>10651.273999999998</v>
      </c>
      <c r="F52" s="43">
        <f>SUM(F10:F51)</f>
        <v>-902.78</v>
      </c>
      <c r="G52" s="17">
        <f>SUM(G10:G51)</f>
        <v>12360.441999999995</v>
      </c>
      <c r="H52" s="17">
        <f>SUM(H10:H51)</f>
        <v>1810.6279999999997</v>
      </c>
      <c r="I52" s="43">
        <f>SUM(I10:I51)</f>
        <v>10549.813999999997</v>
      </c>
      <c r="J52" s="20">
        <f>H52/G52</f>
        <v>0.14648570010684087</v>
      </c>
      <c r="K52" s="43">
        <f>SUM(K10:K51)</f>
        <v>10651.274000000001</v>
      </c>
      <c r="L52" s="17">
        <f>SUM(L10:L51)</f>
        <v>-902.78</v>
      </c>
      <c r="M52" s="17">
        <f>SUM(M10:M51)</f>
        <v>9748.4940000000006</v>
      </c>
      <c r="N52" s="17">
        <f>SUM(N10:N51)</f>
        <v>1810.6279999999999</v>
      </c>
      <c r="O52" s="147">
        <f>SUM(O10:O51)</f>
        <v>7937.8660000000018</v>
      </c>
      <c r="P52" s="20">
        <f>N52/M52</f>
        <v>0.18573412467607817</v>
      </c>
    </row>
    <row r="53" spans="2:34" s="15" customFormat="1">
      <c r="B53" s="28"/>
      <c r="C53" s="18"/>
      <c r="D53" s="17"/>
      <c r="E53" s="17"/>
      <c r="F53" s="17"/>
      <c r="G53" s="17"/>
      <c r="H53" s="17">
        <f>H10+H12+H14+H16+H18+H20+H22+H24+H26+H28+H30+H32+H34+H36+H38+H40+H42+H44+H46+H50</f>
        <v>745.1690000000001</v>
      </c>
      <c r="I53" s="17"/>
      <c r="J53" s="20"/>
      <c r="K53" s="17"/>
      <c r="L53" s="17"/>
      <c r="M53" s="17"/>
      <c r="N53" s="17"/>
      <c r="O53" s="19"/>
      <c r="P53" s="20"/>
    </row>
    <row r="54" spans="2:34" s="15" customFormat="1" ht="15.75" thickBot="1">
      <c r="C54" s="21"/>
      <c r="F54" s="29"/>
      <c r="H54" s="17">
        <f>H11+H13+H15+H17+H19+H21+H23+H25+H27+H29+H31+H33+H35+H37+H39+H41+H43+H45+H47+H51</f>
        <v>1065.4550000000002</v>
      </c>
      <c r="J54" s="17"/>
      <c r="O54" s="22"/>
      <c r="P54" s="30"/>
    </row>
    <row r="55" spans="2:34" s="2" customFormat="1" ht="15" customHeight="1">
      <c r="B55" s="223" t="s">
        <v>29</v>
      </c>
      <c r="C55" s="211" t="s">
        <v>81</v>
      </c>
      <c r="D55" s="97" t="s">
        <v>13</v>
      </c>
      <c r="E55" s="93">
        <f>1.075</f>
        <v>1.075</v>
      </c>
      <c r="F55" s="92"/>
      <c r="G55" s="92">
        <f>E55+F55</f>
        <v>1.075</v>
      </c>
      <c r="H55" s="98"/>
      <c r="I55" s="133">
        <f>G55-H55</f>
        <v>1.075</v>
      </c>
      <c r="J55" s="13">
        <v>0</v>
      </c>
      <c r="K55" s="213">
        <f>E55+E56</f>
        <v>2.6870000000000003</v>
      </c>
      <c r="L55" s="213">
        <f>F55+F56</f>
        <v>0</v>
      </c>
      <c r="M55" s="213">
        <f>K55+L55</f>
        <v>2.6870000000000003</v>
      </c>
      <c r="N55" s="213">
        <f>H55+H56</f>
        <v>0</v>
      </c>
      <c r="O55" s="221">
        <f>M55-N55</f>
        <v>2.6870000000000003</v>
      </c>
      <c r="P55" s="222">
        <v>0</v>
      </c>
      <c r="Q55" s="15"/>
      <c r="R55" s="206" t="s">
        <v>14</v>
      </c>
      <c r="S55" s="208" t="s">
        <v>15</v>
      </c>
      <c r="T55" s="174" t="s">
        <v>16</v>
      </c>
      <c r="U55" s="210" t="s">
        <v>12</v>
      </c>
      <c r="V55" s="210"/>
      <c r="W55" s="210"/>
      <c r="X55" s="210"/>
      <c r="Y55" s="174" t="s">
        <v>8</v>
      </c>
      <c r="Z55" s="174" t="s">
        <v>9</v>
      </c>
      <c r="AA55" s="174" t="s">
        <v>42</v>
      </c>
      <c r="AB55" s="188" t="s">
        <v>17</v>
      </c>
      <c r="AC55" s="190" t="s">
        <v>137</v>
      </c>
      <c r="AD55" s="190" t="s">
        <v>20</v>
      </c>
      <c r="AE55" s="190" t="s">
        <v>21</v>
      </c>
      <c r="AF55" s="174" t="s">
        <v>8</v>
      </c>
      <c r="AG55" s="188" t="s">
        <v>9</v>
      </c>
      <c r="AH55" s="174" t="s">
        <v>42</v>
      </c>
    </row>
    <row r="56" spans="2:34" s="2" customFormat="1" ht="15.75" thickBot="1">
      <c r="B56" s="224"/>
      <c r="C56" s="212"/>
      <c r="D56" s="86" t="s">
        <v>18</v>
      </c>
      <c r="E56" s="85">
        <f>1.612</f>
        <v>1.6120000000000001</v>
      </c>
      <c r="F56" s="84"/>
      <c r="G56" s="84">
        <f>E56+F56+I55</f>
        <v>2.6870000000000003</v>
      </c>
      <c r="H56" s="99"/>
      <c r="I56" s="133">
        <f t="shared" ref="I56:I64" si="22">G56-H56</f>
        <v>2.6870000000000003</v>
      </c>
      <c r="J56" s="3">
        <v>0</v>
      </c>
      <c r="K56" s="213"/>
      <c r="L56" s="213"/>
      <c r="M56" s="213"/>
      <c r="N56" s="213"/>
      <c r="O56" s="221"/>
      <c r="P56" s="222"/>
      <c r="Q56" s="15"/>
      <c r="R56" s="207"/>
      <c r="S56" s="209"/>
      <c r="T56" s="175"/>
      <c r="U56" s="60" t="s">
        <v>19</v>
      </c>
      <c r="V56" s="60" t="s">
        <v>137</v>
      </c>
      <c r="W56" s="60" t="s">
        <v>20</v>
      </c>
      <c r="X56" s="60" t="s">
        <v>21</v>
      </c>
      <c r="Y56" s="175"/>
      <c r="Z56" s="175"/>
      <c r="AA56" s="175"/>
      <c r="AB56" s="189"/>
      <c r="AC56" s="191"/>
      <c r="AD56" s="191"/>
      <c r="AE56" s="191"/>
      <c r="AF56" s="192"/>
      <c r="AG56" s="193"/>
      <c r="AH56" s="175"/>
    </row>
    <row r="57" spans="2:34" s="2" customFormat="1">
      <c r="B57" s="224"/>
      <c r="C57" s="216" t="s">
        <v>133</v>
      </c>
      <c r="D57" s="86" t="s">
        <v>13</v>
      </c>
      <c r="E57" s="85">
        <v>1144.222</v>
      </c>
      <c r="F57" s="84">
        <v>902.67200000000003</v>
      </c>
      <c r="G57" s="84">
        <f>E57+F57</f>
        <v>2046.894</v>
      </c>
      <c r="H57" s="99">
        <v>920.79</v>
      </c>
      <c r="I57" s="133">
        <f t="shared" si="22"/>
        <v>1126.104</v>
      </c>
      <c r="J57" s="3">
        <f t="shared" si="0"/>
        <v>0.44984742737044514</v>
      </c>
      <c r="K57" s="213">
        <f>E57+E58</f>
        <v>2860.9580000000001</v>
      </c>
      <c r="L57" s="213">
        <f>F57+F58</f>
        <v>902.67200000000003</v>
      </c>
      <c r="M57" s="213">
        <f>K57+L57</f>
        <v>3763.63</v>
      </c>
      <c r="N57" s="213">
        <f>H57+H58</f>
        <v>3195.567</v>
      </c>
      <c r="O57" s="221">
        <f>M57-N57</f>
        <v>568.0630000000001</v>
      </c>
      <c r="P57" s="222">
        <f>N57/M57</f>
        <v>0.84906513126954564</v>
      </c>
      <c r="Q57" s="15"/>
      <c r="R57" s="176" t="s">
        <v>22</v>
      </c>
      <c r="S57" s="178" t="s">
        <v>30</v>
      </c>
      <c r="T57" s="180">
        <f>E67</f>
        <v>7101.0380000000005</v>
      </c>
      <c r="U57" s="4" t="s">
        <v>24</v>
      </c>
      <c r="V57" s="5">
        <f t="shared" ref="V57:X58" si="23">E55+E57+E59+E61+E63+E65</f>
        <v>2839.9874</v>
      </c>
      <c r="W57" s="5">
        <f t="shared" si="23"/>
        <v>902.78</v>
      </c>
      <c r="X57" s="5">
        <f t="shared" si="23"/>
        <v>3742.7674000000002</v>
      </c>
      <c r="Y57" s="5">
        <f t="shared" ref="Y57:Y58" si="24">H55+H57+H59+H61+H63+H65</f>
        <v>1043.4639999999999</v>
      </c>
      <c r="Z57" s="6">
        <f>X57-Y57</f>
        <v>2699.3034000000002</v>
      </c>
      <c r="AA57" s="7">
        <f>Y57/X57</f>
        <v>0.27879477629307126</v>
      </c>
      <c r="AB57" s="59"/>
      <c r="AC57" s="182">
        <f>V57+V58</f>
        <v>7101.0380000000005</v>
      </c>
      <c r="AD57" s="182">
        <f>W57+W58</f>
        <v>902.78</v>
      </c>
      <c r="AE57" s="182">
        <f>AC57+AD57</f>
        <v>8003.8180000000002</v>
      </c>
      <c r="AF57" s="182">
        <f>Y57+Y58</f>
        <v>4948.1109999999999</v>
      </c>
      <c r="AG57" s="184">
        <f>AE57-AF57</f>
        <v>3055.7070000000003</v>
      </c>
      <c r="AH57" s="186">
        <f>AF57/AE57</f>
        <v>0.61821883006335221</v>
      </c>
    </row>
    <row r="58" spans="2:34" s="2" customFormat="1" ht="15.75" thickBot="1">
      <c r="B58" s="224"/>
      <c r="C58" s="212"/>
      <c r="D58" s="86" t="s">
        <v>18</v>
      </c>
      <c r="E58" s="85">
        <v>1716.7360000000001</v>
      </c>
      <c r="F58" s="84"/>
      <c r="G58" s="84">
        <f>E58+F58+I57</f>
        <v>2842.84</v>
      </c>
      <c r="H58" s="99">
        <v>2274.777</v>
      </c>
      <c r="I58" s="133">
        <f>G58-H58</f>
        <v>568.0630000000001</v>
      </c>
      <c r="J58" s="3">
        <f t="shared" si="0"/>
        <v>0.80017763926214625</v>
      </c>
      <c r="K58" s="213"/>
      <c r="L58" s="213"/>
      <c r="M58" s="213"/>
      <c r="N58" s="213"/>
      <c r="O58" s="221"/>
      <c r="P58" s="222"/>
      <c r="Q58" s="15"/>
      <c r="R58" s="177"/>
      <c r="S58" s="179"/>
      <c r="T58" s="181"/>
      <c r="U58" s="8" t="s">
        <v>25</v>
      </c>
      <c r="V58" s="9">
        <f t="shared" si="23"/>
        <v>4261.0506000000005</v>
      </c>
      <c r="W58" s="9">
        <f t="shared" si="23"/>
        <v>0</v>
      </c>
      <c r="X58" s="9">
        <f t="shared" si="23"/>
        <v>6960.3539999999994</v>
      </c>
      <c r="Y58" s="9">
        <f t="shared" si="24"/>
        <v>3904.6469999999999</v>
      </c>
      <c r="Z58" s="26">
        <f>X58-Y58</f>
        <v>3055.7069999999994</v>
      </c>
      <c r="AA58" s="10">
        <f>Y58/X58</f>
        <v>0.56098396719477206</v>
      </c>
      <c r="AB58" s="11"/>
      <c r="AC58" s="183"/>
      <c r="AD58" s="183"/>
      <c r="AE58" s="183"/>
      <c r="AF58" s="183"/>
      <c r="AG58" s="185"/>
      <c r="AH58" s="187"/>
    </row>
    <row r="59" spans="2:34" s="2" customFormat="1">
      <c r="B59" s="224"/>
      <c r="C59" s="215" t="s">
        <v>134</v>
      </c>
      <c r="D59" s="86" t="s">
        <v>13</v>
      </c>
      <c r="E59" s="85">
        <v>377.827</v>
      </c>
      <c r="F59" s="85"/>
      <c r="G59" s="85">
        <f>E59+F59</f>
        <v>377.827</v>
      </c>
      <c r="H59" s="99">
        <v>83.918999999999997</v>
      </c>
      <c r="I59" s="136">
        <f>G59-H59</f>
        <v>293.90800000000002</v>
      </c>
      <c r="J59" s="3">
        <f t="shared" si="0"/>
        <v>0.22210958983873572</v>
      </c>
      <c r="K59" s="213">
        <f>E59+E60</f>
        <v>944.7</v>
      </c>
      <c r="L59" s="213">
        <f>F59+F60</f>
        <v>0</v>
      </c>
      <c r="M59" s="213">
        <f>K59+L59</f>
        <v>944.7</v>
      </c>
      <c r="N59" s="213">
        <f>H59+H60</f>
        <v>1049.229</v>
      </c>
      <c r="O59" s="221">
        <f>M59-N59</f>
        <v>-104.529</v>
      </c>
      <c r="P59" s="222">
        <f>N59/M59</f>
        <v>1.1106478247062559</v>
      </c>
      <c r="Q59" s="15"/>
      <c r="AD59" s="15"/>
      <c r="AE59" s="15"/>
      <c r="AF59" s="15"/>
      <c r="AG59" s="15"/>
      <c r="AH59" s="15"/>
    </row>
    <row r="60" spans="2:34" s="2" customFormat="1">
      <c r="B60" s="224"/>
      <c r="C60" s="212"/>
      <c r="D60" s="86" t="s">
        <v>18</v>
      </c>
      <c r="E60" s="85">
        <v>566.87300000000005</v>
      </c>
      <c r="F60" s="85"/>
      <c r="G60" s="85">
        <f>E60+F60+I59</f>
        <v>860.78100000000006</v>
      </c>
      <c r="H60" s="99">
        <v>965.31</v>
      </c>
      <c r="I60" s="136">
        <f>G60-H60</f>
        <v>-104.52899999999988</v>
      </c>
      <c r="J60" s="3">
        <f t="shared" si="0"/>
        <v>1.121435068850265</v>
      </c>
      <c r="K60" s="213"/>
      <c r="L60" s="213"/>
      <c r="M60" s="213"/>
      <c r="N60" s="213"/>
      <c r="O60" s="221"/>
      <c r="P60" s="222"/>
      <c r="Q60" s="15"/>
    </row>
    <row r="61" spans="2:34" s="2" customFormat="1">
      <c r="B61" s="224"/>
      <c r="C61" s="215" t="s">
        <v>135</v>
      </c>
      <c r="D61" s="86" t="s">
        <v>13</v>
      </c>
      <c r="E61" s="85">
        <v>833.29</v>
      </c>
      <c r="F61" s="84"/>
      <c r="G61" s="84">
        <f>E61+F61</f>
        <v>833.29</v>
      </c>
      <c r="H61" s="99">
        <v>3.1880000000000002</v>
      </c>
      <c r="I61" s="133">
        <f t="shared" si="22"/>
        <v>830.10199999999998</v>
      </c>
      <c r="J61" s="3">
        <f t="shared" si="0"/>
        <v>3.8257989415449605E-3</v>
      </c>
      <c r="K61" s="213">
        <f>E61+E62</f>
        <v>2083.5889999999999</v>
      </c>
      <c r="L61" s="213">
        <f>F61+F62</f>
        <v>0</v>
      </c>
      <c r="M61" s="213">
        <f>K61+L61</f>
        <v>2083.5889999999999</v>
      </c>
      <c r="N61" s="213">
        <f>H61+H62</f>
        <v>4.6610000000000005</v>
      </c>
      <c r="O61" s="221">
        <f>M61-N61</f>
        <v>2078.9279999999999</v>
      </c>
      <c r="P61" s="222">
        <f>N61/M61</f>
        <v>2.2370054746881467E-3</v>
      </c>
      <c r="Q61" s="15"/>
    </row>
    <row r="62" spans="2:34" s="2" customFormat="1">
      <c r="B62" s="224"/>
      <c r="C62" s="212"/>
      <c r="D62" s="86" t="s">
        <v>18</v>
      </c>
      <c r="E62" s="85">
        <v>1250.299</v>
      </c>
      <c r="F62" s="91"/>
      <c r="G62" s="84">
        <f>E62+F62+I61</f>
        <v>2080.4009999999998</v>
      </c>
      <c r="H62" s="99">
        <v>1.4730000000000001</v>
      </c>
      <c r="I62" s="133">
        <f t="shared" si="22"/>
        <v>2078.9279999999999</v>
      </c>
      <c r="J62" s="3">
        <f t="shared" si="0"/>
        <v>7.0803657564094625E-4</v>
      </c>
      <c r="K62" s="213"/>
      <c r="L62" s="213"/>
      <c r="M62" s="213"/>
      <c r="N62" s="213"/>
      <c r="O62" s="221"/>
      <c r="P62" s="222"/>
      <c r="Q62" s="15"/>
    </row>
    <row r="63" spans="2:34" s="2" customFormat="1" ht="15" customHeight="1">
      <c r="B63" s="224"/>
      <c r="C63" s="217" t="s">
        <v>136</v>
      </c>
      <c r="D63" s="86" t="s">
        <v>13</v>
      </c>
      <c r="E63" s="85">
        <v>2.8400000000000002E-2</v>
      </c>
      <c r="F63" s="85">
        <v>0.108</v>
      </c>
      <c r="G63" s="85">
        <f>E63+F63</f>
        <v>0.13639999999999999</v>
      </c>
      <c r="H63" s="99">
        <v>0.14899999999999999</v>
      </c>
      <c r="I63" s="134">
        <f t="shared" si="22"/>
        <v>-1.26E-2</v>
      </c>
      <c r="J63" s="12">
        <f t="shared" si="0"/>
        <v>1.0923753665689149</v>
      </c>
      <c r="K63" s="196">
        <f>E63+E64</f>
        <v>7.1000000000000008E-2</v>
      </c>
      <c r="L63" s="196">
        <f>F63+F64</f>
        <v>0.108</v>
      </c>
      <c r="M63" s="196">
        <f>K63+L63</f>
        <v>0.17899999999999999</v>
      </c>
      <c r="N63" s="196">
        <f>H63+H64</f>
        <v>0.14899999999999999</v>
      </c>
      <c r="O63" s="205">
        <f>M63-N63</f>
        <v>0.03</v>
      </c>
      <c r="P63" s="173">
        <f>N63/M63</f>
        <v>0.83240223463687146</v>
      </c>
      <c r="Q63" s="15"/>
    </row>
    <row r="64" spans="2:34" s="2" customFormat="1">
      <c r="B64" s="224"/>
      <c r="C64" s="218"/>
      <c r="D64" s="86" t="s">
        <v>18</v>
      </c>
      <c r="E64" s="85">
        <v>4.2599999999999999E-2</v>
      </c>
      <c r="F64" s="85"/>
      <c r="G64" s="85">
        <f>E64+F64+I63</f>
        <v>0.03</v>
      </c>
      <c r="H64" s="78"/>
      <c r="I64" s="134">
        <f t="shared" si="22"/>
        <v>0.03</v>
      </c>
      <c r="J64" s="12">
        <f t="shared" si="0"/>
        <v>0</v>
      </c>
      <c r="K64" s="196"/>
      <c r="L64" s="196"/>
      <c r="M64" s="196"/>
      <c r="N64" s="196"/>
      <c r="O64" s="205"/>
      <c r="P64" s="173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2:34" s="2" customFormat="1" ht="15" customHeight="1">
      <c r="B65" s="224"/>
      <c r="C65" s="215" t="s">
        <v>131</v>
      </c>
      <c r="D65" s="86" t="s">
        <v>13</v>
      </c>
      <c r="E65" s="85">
        <v>483.54500000000002</v>
      </c>
      <c r="F65" s="85"/>
      <c r="G65" s="85">
        <f>E65+F65</f>
        <v>483.54500000000002</v>
      </c>
      <c r="H65" s="99">
        <v>35.417999999999999</v>
      </c>
      <c r="I65" s="134">
        <f>G65-H65</f>
        <v>448.12700000000001</v>
      </c>
      <c r="J65" s="12">
        <f t="shared" si="0"/>
        <v>7.3246543754976259E-2</v>
      </c>
      <c r="K65" s="213">
        <f>E65+E66</f>
        <v>1209.0330000000001</v>
      </c>
      <c r="L65" s="213">
        <f>F65+F66</f>
        <v>0</v>
      </c>
      <c r="M65" s="213">
        <f>K65+L65</f>
        <v>1209.0330000000001</v>
      </c>
      <c r="N65" s="213">
        <f>H65+H66</f>
        <v>698.505</v>
      </c>
      <c r="O65" s="221">
        <f>M65-N65</f>
        <v>510.52800000000013</v>
      </c>
      <c r="P65" s="222">
        <f>N65/M65</f>
        <v>0.57773857289255126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2:34" s="2" customFormat="1" ht="15.75" thickBot="1">
      <c r="B66" s="225"/>
      <c r="C66" s="220"/>
      <c r="D66" s="95" t="s">
        <v>18</v>
      </c>
      <c r="E66" s="94">
        <v>725.48800000000006</v>
      </c>
      <c r="F66" s="94"/>
      <c r="G66" s="94">
        <f>E66+F66+I65</f>
        <v>1173.615</v>
      </c>
      <c r="H66" s="152">
        <v>663.08699999999999</v>
      </c>
      <c r="I66" s="134">
        <f>G66-H66</f>
        <v>510.52800000000002</v>
      </c>
      <c r="J66" s="27">
        <f>H66/G66</f>
        <v>0.56499533492670084</v>
      </c>
      <c r="K66" s="213"/>
      <c r="L66" s="213"/>
      <c r="M66" s="213"/>
      <c r="N66" s="213"/>
      <c r="O66" s="221"/>
      <c r="P66" s="222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2:34" s="15" customFormat="1" ht="15" customHeight="1">
      <c r="C67" s="21"/>
      <c r="E67" s="15">
        <f>SUM(E55:E66)</f>
        <v>7101.0380000000005</v>
      </c>
      <c r="F67" s="15">
        <f>SUM(F55:F66)</f>
        <v>902.78</v>
      </c>
      <c r="G67" s="15">
        <f>E67-F67</f>
        <v>6198.2580000000007</v>
      </c>
      <c r="H67" s="15">
        <f>SUM(H55:H66)</f>
        <v>4948.1110000000008</v>
      </c>
      <c r="I67" s="15">
        <f>G67-H67</f>
        <v>1250.1469999999999</v>
      </c>
      <c r="J67" s="23">
        <f>H67/G67</f>
        <v>0.79830671779070828</v>
      </c>
      <c r="K67" s="15">
        <f>SUM(K55:K66)</f>
        <v>7101.0380000000005</v>
      </c>
      <c r="L67" s="15">
        <f>SUM(L55:L66)</f>
        <v>902.78</v>
      </c>
      <c r="M67" s="15">
        <f>SUM(M55:M66)</f>
        <v>8003.8180000000002</v>
      </c>
      <c r="N67" s="15">
        <f>SUM(N55:N66)</f>
        <v>4948.1110000000008</v>
      </c>
      <c r="O67" s="15">
        <f>SUM(O55:O66)</f>
        <v>3055.7070000000003</v>
      </c>
      <c r="P67" s="23">
        <f>N67/M67</f>
        <v>0.61821883006335232</v>
      </c>
    </row>
    <row r="68" spans="2:34" s="15" customFormat="1">
      <c r="C68" s="21"/>
      <c r="H68" s="15">
        <f>H55+H57+H59+H61+H63+H65</f>
        <v>1043.4639999999999</v>
      </c>
      <c r="O68" s="22"/>
      <c r="P68" s="30"/>
    </row>
    <row r="69" spans="2:34">
      <c r="H69" s="15">
        <f>H56+H58+H60+H62+H64+H66</f>
        <v>3904.6469999999999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2:34"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3" spans="2:34">
      <c r="J73">
        <f>H67+H52</f>
        <v>6758.7390000000005</v>
      </c>
    </row>
    <row r="78" spans="2:34">
      <c r="AB78" s="14"/>
      <c r="AC78" s="14"/>
      <c r="AD78" s="14"/>
      <c r="AE78" s="14"/>
      <c r="AF78" s="14"/>
      <c r="AG78" s="14"/>
      <c r="AH78" s="14"/>
    </row>
  </sheetData>
  <mergeCells count="242">
    <mergeCell ref="AH55:AH56"/>
    <mergeCell ref="AC57:AC58"/>
    <mergeCell ref="AD57:AD58"/>
    <mergeCell ref="AE57:AE58"/>
    <mergeCell ref="AF57:AF58"/>
    <mergeCell ref="AG57:AG58"/>
    <mergeCell ref="AH57:AH58"/>
    <mergeCell ref="P42:P43"/>
    <mergeCell ref="AC55:AC56"/>
    <mergeCell ref="Y55:Y56"/>
    <mergeCell ref="Z55:Z56"/>
    <mergeCell ref="AA55:AA56"/>
    <mergeCell ref="AB55:AB56"/>
    <mergeCell ref="S55:S56"/>
    <mergeCell ref="T55:T56"/>
    <mergeCell ref="U55:X55"/>
    <mergeCell ref="R57:R58"/>
    <mergeCell ref="P57:P58"/>
    <mergeCell ref="P55:P56"/>
    <mergeCell ref="S57:S58"/>
    <mergeCell ref="AD55:AD56"/>
    <mergeCell ref="AE55:AE56"/>
    <mergeCell ref="AF55:AF56"/>
    <mergeCell ref="AG55:AG56"/>
    <mergeCell ref="O57:O58"/>
    <mergeCell ref="O55:O56"/>
    <mergeCell ref="P40:P41"/>
    <mergeCell ref="R55:R56"/>
    <mergeCell ref="T57:T58"/>
    <mergeCell ref="C59:C60"/>
    <mergeCell ref="K59:K60"/>
    <mergeCell ref="L59:L60"/>
    <mergeCell ref="M59:M60"/>
    <mergeCell ref="N59:N60"/>
    <mergeCell ref="C40:C41"/>
    <mergeCell ref="K40:K41"/>
    <mergeCell ref="L40:L41"/>
    <mergeCell ref="M40:M41"/>
    <mergeCell ref="N40:N41"/>
    <mergeCell ref="O40:O41"/>
    <mergeCell ref="C46:C47"/>
    <mergeCell ref="K46:K47"/>
    <mergeCell ref="L46:L47"/>
    <mergeCell ref="M46:M47"/>
    <mergeCell ref="N46:N47"/>
    <mergeCell ref="O46:O47"/>
    <mergeCell ref="P46:P47"/>
    <mergeCell ref="O48:O49"/>
    <mergeCell ref="B3:P4"/>
    <mergeCell ref="O63:O64"/>
    <mergeCell ref="P63:P64"/>
    <mergeCell ref="C65:C66"/>
    <mergeCell ref="K65:K66"/>
    <mergeCell ref="L65:L66"/>
    <mergeCell ref="M65:M66"/>
    <mergeCell ref="N65:N66"/>
    <mergeCell ref="O65:O66"/>
    <mergeCell ref="P65:P66"/>
    <mergeCell ref="O59:O60"/>
    <mergeCell ref="P59:P60"/>
    <mergeCell ref="C61:C62"/>
    <mergeCell ref="K61:K62"/>
    <mergeCell ref="L61:L62"/>
    <mergeCell ref="M61:M62"/>
    <mergeCell ref="N61:N62"/>
    <mergeCell ref="O61:O62"/>
    <mergeCell ref="P61:P62"/>
    <mergeCell ref="L55:L56"/>
    <mergeCell ref="M55:M56"/>
    <mergeCell ref="M63:M64"/>
    <mergeCell ref="B55:B66"/>
    <mergeCell ref="B10:B51"/>
    <mergeCell ref="L63:L64"/>
    <mergeCell ref="C57:C58"/>
    <mergeCell ref="K57:K58"/>
    <mergeCell ref="L57:L58"/>
    <mergeCell ref="M57:M58"/>
    <mergeCell ref="N57:N58"/>
    <mergeCell ref="C36:C37"/>
    <mergeCell ref="K36:K37"/>
    <mergeCell ref="L36:L37"/>
    <mergeCell ref="M36:M37"/>
    <mergeCell ref="N36:N37"/>
    <mergeCell ref="N55:N56"/>
    <mergeCell ref="C63:C64"/>
    <mergeCell ref="N63:N64"/>
    <mergeCell ref="K63:K64"/>
    <mergeCell ref="C48:C49"/>
    <mergeCell ref="K48:K49"/>
    <mergeCell ref="L48:L49"/>
    <mergeCell ref="M48:M49"/>
    <mergeCell ref="N48:N49"/>
    <mergeCell ref="O36:O37"/>
    <mergeCell ref="P36:P37"/>
    <mergeCell ref="C55:C56"/>
    <mergeCell ref="K55:K56"/>
    <mergeCell ref="C38:C39"/>
    <mergeCell ref="K38:K39"/>
    <mergeCell ref="L38:L39"/>
    <mergeCell ref="M38:M39"/>
    <mergeCell ref="N38:N39"/>
    <mergeCell ref="C50:C51"/>
    <mergeCell ref="O38:O39"/>
    <mergeCell ref="K50:K51"/>
    <mergeCell ref="L50:L51"/>
    <mergeCell ref="M50:M51"/>
    <mergeCell ref="N50:N51"/>
    <mergeCell ref="O50:O51"/>
    <mergeCell ref="P50:P51"/>
    <mergeCell ref="C44:C45"/>
    <mergeCell ref="K44:K45"/>
    <mergeCell ref="L44:L45"/>
    <mergeCell ref="M44:M45"/>
    <mergeCell ref="N44:N45"/>
    <mergeCell ref="O44:O45"/>
    <mergeCell ref="P44:P45"/>
    <mergeCell ref="C30:C31"/>
    <mergeCell ref="K30:K31"/>
    <mergeCell ref="L30:L31"/>
    <mergeCell ref="M30:M31"/>
    <mergeCell ref="N30:N31"/>
    <mergeCell ref="O30:O31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O10:O11"/>
    <mergeCell ref="P10:P11"/>
    <mergeCell ref="R9:R10"/>
    <mergeCell ref="S9:S10"/>
    <mergeCell ref="T9:T10"/>
    <mergeCell ref="U9:X9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N14:N15"/>
    <mergeCell ref="O14:O15"/>
    <mergeCell ref="P14:P15"/>
    <mergeCell ref="B5:P5"/>
    <mergeCell ref="E8:G8"/>
    <mergeCell ref="H8:J8"/>
    <mergeCell ref="K8:P8"/>
    <mergeCell ref="C42:C43"/>
    <mergeCell ref="K42:K43"/>
    <mergeCell ref="L42:L43"/>
    <mergeCell ref="M42:M43"/>
    <mergeCell ref="N42:N43"/>
    <mergeCell ref="O42:O43"/>
    <mergeCell ref="P38:P39"/>
    <mergeCell ref="C16:C17"/>
    <mergeCell ref="K16:K17"/>
    <mergeCell ref="L16:L17"/>
    <mergeCell ref="M16:M17"/>
    <mergeCell ref="N16:N17"/>
    <mergeCell ref="O16:O17"/>
    <mergeCell ref="P16:P17"/>
    <mergeCell ref="C10:C11"/>
    <mergeCell ref="K10:K11"/>
    <mergeCell ref="L10:L11"/>
    <mergeCell ref="M10:M11"/>
    <mergeCell ref="N10:N11"/>
    <mergeCell ref="O12:O13"/>
    <mergeCell ref="C14:C15"/>
    <mergeCell ref="K14:K15"/>
    <mergeCell ref="L14:L15"/>
    <mergeCell ref="M14:M15"/>
    <mergeCell ref="C12:C13"/>
    <mergeCell ref="K12:K13"/>
    <mergeCell ref="L12:L13"/>
    <mergeCell ref="M12:M13"/>
    <mergeCell ref="N12:N13"/>
    <mergeCell ref="P48:P49"/>
    <mergeCell ref="AH9:AH10"/>
    <mergeCell ref="R11:R12"/>
    <mergeCell ref="S11:S12"/>
    <mergeCell ref="T11:T12"/>
    <mergeCell ref="AC11:AC12"/>
    <mergeCell ref="AD11:AD12"/>
    <mergeCell ref="AE11:AE12"/>
    <mergeCell ref="AF11:AF12"/>
    <mergeCell ref="AG11:AG12"/>
    <mergeCell ref="AH11:AH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P22:P23"/>
    <mergeCell ref="P26:P27"/>
    <mergeCell ref="P30:P31"/>
  </mergeCells>
  <conditionalFormatting sqref="Y9">
    <cfRule type="dataBar" priority="36">
      <dataBar>
        <cfvo type="min"/>
        <cfvo type="max"/>
        <color rgb="FFFFB628"/>
      </dataBar>
    </cfRule>
  </conditionalFormatting>
  <conditionalFormatting sqref="O5 H55:H66 I10:I67 O8:O68">
    <cfRule type="cellIs" dxfId="0" priority="35" operator="lessThan">
      <formula>0</formula>
    </cfRule>
  </conditionalFormatting>
  <conditionalFormatting sqref="AA10:AA11">
    <cfRule type="dataBar" priority="34">
      <dataBar>
        <cfvo type="min"/>
        <cfvo type="max"/>
        <color rgb="FFFFB628"/>
      </dataBar>
    </cfRule>
  </conditionalFormatting>
  <conditionalFormatting sqref="AA57:AA58">
    <cfRule type="dataBar" priority="32">
      <dataBar>
        <cfvo type="min"/>
        <cfvo type="max"/>
        <color rgb="FFFFB628"/>
      </dataBar>
    </cfRule>
  </conditionalFormatting>
  <conditionalFormatting sqref="AA55:AA58">
    <cfRule type="dataBar" priority="31">
      <dataBar>
        <cfvo type="min"/>
        <cfvo type="max"/>
        <color rgb="FFFFB628"/>
      </dataBar>
    </cfRule>
  </conditionalFormatting>
  <conditionalFormatting sqref="J10:J66 P52">
    <cfRule type="dataBar" priority="28">
      <dataBar>
        <cfvo type="min"/>
        <cfvo type="max"/>
        <color rgb="FF63C384"/>
      </dataBar>
    </cfRule>
  </conditionalFormatting>
  <conditionalFormatting sqref="J55:J67">
    <cfRule type="dataBar" priority="26">
      <dataBar>
        <cfvo type="min"/>
        <cfvo type="max"/>
        <color rgb="FF63C384"/>
      </dataBar>
    </cfRule>
  </conditionalFormatting>
  <conditionalFormatting sqref="AH55:AH56">
    <cfRule type="dataBar" priority="20">
      <dataBar>
        <cfvo type="min"/>
        <cfvo type="max"/>
        <color rgb="FFFFB628"/>
      </dataBar>
    </cfRule>
  </conditionalFormatting>
  <conditionalFormatting sqref="J10:J52">
    <cfRule type="dataBar" priority="85">
      <dataBar>
        <cfvo type="min"/>
        <cfvo type="max"/>
        <color rgb="FF63C384"/>
      </dataBar>
    </cfRule>
  </conditionalFormatting>
  <conditionalFormatting sqref="J10:J66">
    <cfRule type="dataBar" priority="87">
      <dataBar>
        <cfvo type="min"/>
        <cfvo type="max"/>
        <color rgb="FF63C384"/>
      </dataBar>
    </cfRule>
  </conditionalFormatting>
  <conditionalFormatting sqref="P10:P66">
    <cfRule type="dataBar" priority="89">
      <dataBar>
        <cfvo type="min"/>
        <cfvo type="max"/>
        <color rgb="FF63C384"/>
      </dataBar>
    </cfRule>
  </conditionalFormatting>
  <conditionalFormatting sqref="P10:P67">
    <cfRule type="dataBar" priority="91">
      <dataBar>
        <cfvo type="min"/>
        <cfvo type="max"/>
        <color rgb="FF63C384"/>
      </dataBar>
    </cfRule>
  </conditionalFormatting>
  <conditionalFormatting sqref="AA11:AA12">
    <cfRule type="dataBar" priority="19">
      <dataBar>
        <cfvo type="min"/>
        <cfvo type="max"/>
        <color rgb="FFFFB628"/>
      </dataBar>
    </cfRule>
  </conditionalFormatting>
  <conditionalFormatting sqref="AA9:AA12">
    <cfRule type="dataBar" priority="18">
      <dataBar>
        <cfvo type="min"/>
        <cfvo type="max"/>
        <color rgb="FFFFB628"/>
      </dataBar>
    </cfRule>
  </conditionalFormatting>
  <conditionalFormatting sqref="AH9:AH10">
    <cfRule type="dataBar" priority="17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r:id="rId1"/>
  <ignoredErrors>
    <ignoredError sqref="J42" evalError="1"/>
    <ignoredError sqref="G11:G16 G56:G58 G18 G20 G22 G26 G28 G30 G32 G34 G36 G38 G50:G51 G40:G43 G61:G67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C1" zoomScale="80" zoomScaleNormal="80" workbookViewId="0">
      <selection activeCell="N20" sqref="N20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79" customFormat="1">
      <c r="A1" s="76" t="s">
        <v>43</v>
      </c>
      <c r="B1" s="76" t="s">
        <v>44</v>
      </c>
      <c r="C1" s="76" t="s">
        <v>45</v>
      </c>
      <c r="D1" s="76" t="s">
        <v>46</v>
      </c>
      <c r="E1" s="76" t="s">
        <v>47</v>
      </c>
      <c r="F1" s="76" t="s">
        <v>48</v>
      </c>
      <c r="G1" s="76" t="s">
        <v>49</v>
      </c>
      <c r="H1" s="76" t="s">
        <v>50</v>
      </c>
      <c r="I1" s="76" t="s">
        <v>51</v>
      </c>
      <c r="J1" s="76" t="s">
        <v>52</v>
      </c>
      <c r="K1" s="76" t="s">
        <v>53</v>
      </c>
      <c r="L1" s="76" t="s">
        <v>54</v>
      </c>
      <c r="M1" s="77" t="s">
        <v>55</v>
      </c>
      <c r="N1" s="76" t="s">
        <v>56</v>
      </c>
      <c r="O1" s="78" t="s">
        <v>57</v>
      </c>
      <c r="P1" s="78" t="s">
        <v>140</v>
      </c>
      <c r="Q1" s="78" t="s">
        <v>141</v>
      </c>
    </row>
    <row r="2" spans="1:17">
      <c r="A2" s="36" t="s">
        <v>59</v>
      </c>
      <c r="B2" s="32" t="s">
        <v>60</v>
      </c>
      <c r="C2" s="34" t="s">
        <v>23</v>
      </c>
      <c r="D2" s="33" t="s">
        <v>58</v>
      </c>
      <c r="E2" s="34" t="str">
        <f>+'Merluza cola Industrial'!C$10</f>
        <v xml:space="preserve">PACIFICBLU SpA </v>
      </c>
      <c r="F2" s="32" t="s">
        <v>61</v>
      </c>
      <c r="G2" s="32" t="s">
        <v>62</v>
      </c>
      <c r="H2" s="35">
        <f>'Merluza cola Industrial'!E10</f>
        <v>1084.575</v>
      </c>
      <c r="I2" s="35">
        <f>'Merluza cola Industrial'!F10</f>
        <v>0</v>
      </c>
      <c r="J2" s="35">
        <f>'Merluza cola Industrial'!G10</f>
        <v>1084.575</v>
      </c>
      <c r="K2" s="35">
        <f>'Merluza cola Industrial'!H10</f>
        <v>699.96600000000001</v>
      </c>
      <c r="L2" s="35">
        <f>'Merluza cola Industrial'!I10</f>
        <v>384.60900000000004</v>
      </c>
      <c r="M2" s="155">
        <f>'Merluza cola Industrial'!J10</f>
        <v>0.64538275361316644</v>
      </c>
      <c r="N2" s="40" t="s">
        <v>77</v>
      </c>
      <c r="O2" s="37">
        <f>'Merluza cola Industrial'!$B$5</f>
        <v>44020</v>
      </c>
      <c r="P2">
        <v>2020</v>
      </c>
    </row>
    <row r="3" spans="1:17">
      <c r="A3" s="36" t="s">
        <v>59</v>
      </c>
      <c r="B3" s="32" t="s">
        <v>60</v>
      </c>
      <c r="C3" s="34" t="s">
        <v>23</v>
      </c>
      <c r="D3" s="33" t="s">
        <v>58</v>
      </c>
      <c r="E3" s="34" t="str">
        <f>+'Merluza cola Industrial'!C$10</f>
        <v xml:space="preserve">PACIFICBLU SpA </v>
      </c>
      <c r="F3" t="s">
        <v>63</v>
      </c>
      <c r="G3" t="s">
        <v>64</v>
      </c>
      <c r="H3" s="35">
        <f>'Merluza cola Industrial'!E11</f>
        <v>1627.117</v>
      </c>
      <c r="I3" s="35">
        <f>'Merluza cola Industrial'!F11</f>
        <v>0</v>
      </c>
      <c r="J3" s="35">
        <f>'Merluza cola Industrial'!G11</f>
        <v>2011.7260000000001</v>
      </c>
      <c r="K3" s="35">
        <f>'Merluza cola Industrial'!H11</f>
        <v>937.99099999999999</v>
      </c>
      <c r="L3" s="35">
        <f>'Merluza cola Industrial'!I11</f>
        <v>1073.7350000000001</v>
      </c>
      <c r="M3" s="155">
        <f>'Merluza cola Industrial'!J11</f>
        <v>0.46626180702540998</v>
      </c>
      <c r="N3" s="40" t="s">
        <v>77</v>
      </c>
      <c r="O3" s="37">
        <f>'Merluza cola Industrial'!$B$5</f>
        <v>44020</v>
      </c>
      <c r="P3" s="61">
        <v>2020</v>
      </c>
    </row>
    <row r="4" spans="1:17">
      <c r="A4" s="36" t="s">
        <v>59</v>
      </c>
      <c r="B4" s="32" t="s">
        <v>60</v>
      </c>
      <c r="C4" s="34" t="s">
        <v>23</v>
      </c>
      <c r="D4" s="33" t="s">
        <v>58</v>
      </c>
      <c r="E4" s="34" t="str">
        <f>+'Merluza cola Industrial'!C$10</f>
        <v xml:space="preserve">PACIFICBLU SpA </v>
      </c>
      <c r="F4" t="s">
        <v>61</v>
      </c>
      <c r="G4" t="s">
        <v>64</v>
      </c>
      <c r="H4" s="35">
        <f>'Merluza cola Industrial'!K10</f>
        <v>2711.692</v>
      </c>
      <c r="I4" s="35">
        <f>'Merluza cola Industrial'!L10</f>
        <v>0</v>
      </c>
      <c r="J4" s="35">
        <f>'Merluza cola Industrial'!M10</f>
        <v>2711.692</v>
      </c>
      <c r="K4" s="35">
        <f>'Merluza cola Industrial'!N10</f>
        <v>1637.9569999999999</v>
      </c>
      <c r="L4" s="35">
        <f>'Merluza cola Industrial'!O10</f>
        <v>1073.7350000000001</v>
      </c>
      <c r="M4" s="155">
        <f>'Merluza cola Industrial'!P10</f>
        <v>0.60403504527800356</v>
      </c>
      <c r="N4" s="40" t="s">
        <v>77</v>
      </c>
      <c r="O4" s="37">
        <f>'Merluza cola Industrial'!$B$5</f>
        <v>44020</v>
      </c>
      <c r="P4" s="61">
        <v>2020</v>
      </c>
    </row>
    <row r="5" spans="1:17">
      <c r="A5" s="36" t="s">
        <v>59</v>
      </c>
      <c r="B5" s="32" t="s">
        <v>60</v>
      </c>
      <c r="C5" s="34" t="s">
        <v>23</v>
      </c>
      <c r="D5" s="33" t="s">
        <v>58</v>
      </c>
      <c r="E5" s="34" t="str">
        <f>+'Merluza cola Industrial'!C$12</f>
        <v xml:space="preserve">BLUMAR S.A.                    </v>
      </c>
      <c r="F5" s="32" t="s">
        <v>61</v>
      </c>
      <c r="G5" s="32" t="s">
        <v>62</v>
      </c>
      <c r="H5" s="35">
        <f>'Merluza cola Industrial'!E12</f>
        <v>1.278</v>
      </c>
      <c r="I5" s="35">
        <f>'Merluza cola Industrial'!F12</f>
        <v>0</v>
      </c>
      <c r="J5" s="35">
        <f>'Merluza cola Industrial'!G12</f>
        <v>1.278</v>
      </c>
      <c r="K5" s="35">
        <f>'Merluza cola Industrial'!H12</f>
        <v>0</v>
      </c>
      <c r="L5" s="35">
        <f>'Merluza cola Industrial'!I12</f>
        <v>1.278</v>
      </c>
      <c r="M5" s="155">
        <f>'Merluza cola Industrial'!J12</f>
        <v>0</v>
      </c>
      <c r="N5" s="40" t="s">
        <v>77</v>
      </c>
      <c r="O5" s="37">
        <f>'Merluza cola Industrial'!$B$5</f>
        <v>44020</v>
      </c>
      <c r="P5" s="61">
        <v>2020</v>
      </c>
    </row>
    <row r="6" spans="1:17">
      <c r="A6" s="36" t="s">
        <v>59</v>
      </c>
      <c r="B6" s="32" t="s">
        <v>60</v>
      </c>
      <c r="C6" s="34" t="s">
        <v>23</v>
      </c>
      <c r="D6" s="33" t="s">
        <v>58</v>
      </c>
      <c r="E6" s="34" t="str">
        <f>+'Merluza cola Industrial'!C$12</f>
        <v xml:space="preserve">BLUMAR S.A.                    </v>
      </c>
      <c r="F6" t="s">
        <v>63</v>
      </c>
      <c r="G6" t="s">
        <v>64</v>
      </c>
      <c r="H6" s="35">
        <f>'Merluza cola Industrial'!E13</f>
        <v>1.917</v>
      </c>
      <c r="I6" s="35">
        <f>'Merluza cola Industrial'!F13</f>
        <v>0</v>
      </c>
      <c r="J6" s="35">
        <f>'Merluza cola Industrial'!G13</f>
        <v>3.1950000000000003</v>
      </c>
      <c r="K6" s="35">
        <f>'Merluza cola Industrial'!H13</f>
        <v>0</v>
      </c>
      <c r="L6" s="35">
        <f>'Merluza cola Industrial'!I13</f>
        <v>3.1950000000000003</v>
      </c>
      <c r="M6" s="155">
        <f>'Merluza cola Industrial'!J13</f>
        <v>0</v>
      </c>
      <c r="N6" s="40" t="s">
        <v>77</v>
      </c>
      <c r="O6" s="37">
        <f>'Merluza cola Industrial'!$B$5</f>
        <v>44020</v>
      </c>
      <c r="P6" s="61">
        <v>2020</v>
      </c>
    </row>
    <row r="7" spans="1:17">
      <c r="A7" s="36" t="s">
        <v>59</v>
      </c>
      <c r="B7" s="32" t="s">
        <v>60</v>
      </c>
      <c r="C7" s="34" t="s">
        <v>23</v>
      </c>
      <c r="D7" s="33" t="s">
        <v>58</v>
      </c>
      <c r="E7" s="34" t="str">
        <f>+'Merluza cola Industrial'!C$12</f>
        <v xml:space="preserve">BLUMAR S.A.                    </v>
      </c>
      <c r="F7" t="s">
        <v>61</v>
      </c>
      <c r="G7" t="s">
        <v>64</v>
      </c>
      <c r="H7" s="35">
        <f>'Merluza cola Industrial'!K12</f>
        <v>3.1950000000000003</v>
      </c>
      <c r="I7" s="35">
        <f>'Merluza cola Industrial'!L12</f>
        <v>0</v>
      </c>
      <c r="J7" s="35">
        <f>'Merluza cola Industrial'!M12</f>
        <v>3.1950000000000003</v>
      </c>
      <c r="K7" s="35">
        <f>'Merluza cola Industrial'!N12</f>
        <v>0</v>
      </c>
      <c r="L7" s="35">
        <f>'Merluza cola Industrial'!O12</f>
        <v>3.1950000000000003</v>
      </c>
      <c r="M7" s="155">
        <f>'Merluza cola Industrial'!P12</f>
        <v>0</v>
      </c>
      <c r="N7" s="40" t="s">
        <v>77</v>
      </c>
      <c r="O7" s="37">
        <f>'Merluza cola Industrial'!$B$5</f>
        <v>44020</v>
      </c>
      <c r="P7" s="61">
        <v>2020</v>
      </c>
    </row>
    <row r="8" spans="1:17">
      <c r="A8" s="36" t="s">
        <v>59</v>
      </c>
      <c r="B8" s="32" t="s">
        <v>60</v>
      </c>
      <c r="C8" s="34" t="s">
        <v>23</v>
      </c>
      <c r="D8" s="33" t="s">
        <v>58</v>
      </c>
      <c r="E8" s="34" t="str">
        <f>+'Merluza cola Industrial'!C$14</f>
        <v>PESQUERA LITORAL SpA</v>
      </c>
      <c r="F8" s="32" t="s">
        <v>61</v>
      </c>
      <c r="G8" s="32" t="s">
        <v>62</v>
      </c>
      <c r="H8" s="35">
        <f>'Merluza cola Industrial'!E14</f>
        <v>175.15300000000002</v>
      </c>
      <c r="I8" s="35">
        <f>'Merluza cola Industrial'!F14</f>
        <v>0</v>
      </c>
      <c r="J8" s="35">
        <f>'Merluza cola Industrial'!G14</f>
        <v>175.15300000000002</v>
      </c>
      <c r="K8" s="35">
        <f>'Merluza cola Industrial'!H14</f>
        <v>0</v>
      </c>
      <c r="L8" s="35">
        <f>'Merluza cola Industrial'!I14</f>
        <v>175.15300000000002</v>
      </c>
      <c r="M8" s="155">
        <f>'Merluza cola Industrial'!J14</f>
        <v>0</v>
      </c>
      <c r="N8" s="40" t="s">
        <v>77</v>
      </c>
      <c r="O8" s="37">
        <f>'Merluza cola Industrial'!$B$5</f>
        <v>44020</v>
      </c>
      <c r="P8" s="61">
        <v>2020</v>
      </c>
    </row>
    <row r="9" spans="1:17">
      <c r="A9" s="36" t="s">
        <v>59</v>
      </c>
      <c r="B9" s="32" t="s">
        <v>60</v>
      </c>
      <c r="C9" s="34" t="s">
        <v>23</v>
      </c>
      <c r="D9" s="33" t="s">
        <v>58</v>
      </c>
      <c r="E9" s="34" t="str">
        <f>+'Merluza cola Industrial'!C$14</f>
        <v>PESQUERA LITORAL SpA</v>
      </c>
      <c r="F9" t="s">
        <v>63</v>
      </c>
      <c r="G9" t="s">
        <v>64</v>
      </c>
      <c r="H9" s="35">
        <f>'Merluza cola Industrial'!E15</f>
        <v>262.77299999999997</v>
      </c>
      <c r="I9" s="35">
        <f>'Merluza cola Industrial'!F15</f>
        <v>0</v>
      </c>
      <c r="J9" s="35">
        <f>'Merluza cola Industrial'!G15</f>
        <v>437.92599999999999</v>
      </c>
      <c r="K9" s="35">
        <f>'Merluza cola Industrial'!H15</f>
        <v>0</v>
      </c>
      <c r="L9" s="35">
        <f>'Merluza cola Industrial'!I15</f>
        <v>437.92599999999999</v>
      </c>
      <c r="M9" s="155">
        <f>'Merluza cola Industrial'!J15</f>
        <v>0</v>
      </c>
      <c r="N9" s="40" t="s">
        <v>77</v>
      </c>
      <c r="O9" s="37">
        <f>'Merluza cola Industrial'!$B$5</f>
        <v>44020</v>
      </c>
      <c r="P9" s="61">
        <v>2020</v>
      </c>
    </row>
    <row r="10" spans="1:17">
      <c r="A10" s="36" t="s">
        <v>59</v>
      </c>
      <c r="B10" s="32" t="s">
        <v>60</v>
      </c>
      <c r="C10" s="34" t="s">
        <v>23</v>
      </c>
      <c r="D10" s="33" t="s">
        <v>58</v>
      </c>
      <c r="E10" s="34" t="str">
        <f>+'Merluza cola Industrial'!C$14</f>
        <v>PESQUERA LITORAL SpA</v>
      </c>
      <c r="F10" t="s">
        <v>61</v>
      </c>
      <c r="G10" t="s">
        <v>64</v>
      </c>
      <c r="H10" s="35">
        <f>'Merluza cola Industrial'!K14</f>
        <v>437.92599999999999</v>
      </c>
      <c r="I10" s="35">
        <f>'Merluza cola Industrial'!L14</f>
        <v>0</v>
      </c>
      <c r="J10" s="35">
        <f>'Merluza cola Industrial'!M14</f>
        <v>437.92599999999999</v>
      </c>
      <c r="K10" s="35">
        <f>'Merluza cola Industrial'!N14</f>
        <v>0</v>
      </c>
      <c r="L10" s="35">
        <f>'Merluza cola Industrial'!O14</f>
        <v>437.92599999999999</v>
      </c>
      <c r="M10" s="155">
        <f>'Merluza cola Industrial'!P14</f>
        <v>0</v>
      </c>
      <c r="N10" s="40" t="s">
        <v>77</v>
      </c>
      <c r="O10" s="37">
        <f>'Merluza cola Industrial'!$B$5</f>
        <v>44020</v>
      </c>
      <c r="P10" s="61">
        <v>2020</v>
      </c>
    </row>
    <row r="11" spans="1:17">
      <c r="A11" s="36" t="s">
        <v>59</v>
      </c>
      <c r="B11" s="32" t="s">
        <v>60</v>
      </c>
      <c r="C11" s="34" t="s">
        <v>23</v>
      </c>
      <c r="D11" s="33" t="s">
        <v>58</v>
      </c>
      <c r="E11" s="34" t="str">
        <f>+'Merluza cola Industrial'!C$16</f>
        <v xml:space="preserve">FOODCORP CHILE S.A.        </v>
      </c>
      <c r="F11" s="32" t="s">
        <v>61</v>
      </c>
      <c r="G11" s="32" t="s">
        <v>62</v>
      </c>
      <c r="H11" s="35">
        <f>'Merluza cola Industrial'!E16</f>
        <v>23.260999999999999</v>
      </c>
      <c r="I11" s="35">
        <f>'Merluza cola Industrial'!F16</f>
        <v>0</v>
      </c>
      <c r="J11" s="35">
        <f>'Merluza cola Industrial'!G16</f>
        <v>23.260999999999999</v>
      </c>
      <c r="K11" s="35">
        <f>'Merluza cola Industrial'!H16</f>
        <v>0</v>
      </c>
      <c r="L11" s="35">
        <f>'Merluza cola Industrial'!I16</f>
        <v>23.260999999999999</v>
      </c>
      <c r="M11" s="155">
        <f>'Merluza cola Industrial'!J16</f>
        <v>0</v>
      </c>
      <c r="N11" s="40" t="s">
        <v>77</v>
      </c>
      <c r="O11" s="37">
        <f>'Merluza cola Industrial'!$B$5</f>
        <v>44020</v>
      </c>
      <c r="P11" s="61">
        <v>2020</v>
      </c>
    </row>
    <row r="12" spans="1:17">
      <c r="A12" s="36" t="s">
        <v>59</v>
      </c>
      <c r="B12" s="32" t="s">
        <v>60</v>
      </c>
      <c r="C12" s="34" t="s">
        <v>23</v>
      </c>
      <c r="D12" s="33" t="s">
        <v>58</v>
      </c>
      <c r="E12" s="34" t="str">
        <f>+'Merluza cola Industrial'!C$16</f>
        <v xml:space="preserve">FOODCORP CHILE S.A.        </v>
      </c>
      <c r="F12" t="s">
        <v>63</v>
      </c>
      <c r="G12" t="s">
        <v>64</v>
      </c>
      <c r="H12" s="35">
        <f>'Merluza cola Industrial'!E17</f>
        <v>34.896999999999998</v>
      </c>
      <c r="I12" s="35">
        <f>'Merluza cola Industrial'!F17</f>
        <v>0</v>
      </c>
      <c r="J12" s="35">
        <f>'Merluza cola Industrial'!G17</f>
        <v>58.158000000000001</v>
      </c>
      <c r="K12" s="35">
        <f>'Merluza cola Industrial'!H17</f>
        <v>0</v>
      </c>
      <c r="L12" s="35">
        <f>'Merluza cola Industrial'!I17</f>
        <v>58.158000000000001</v>
      </c>
      <c r="M12" s="155">
        <f>'Merluza cola Industrial'!J17</f>
        <v>0</v>
      </c>
      <c r="N12" s="40" t="s">
        <v>77</v>
      </c>
      <c r="O12" s="37">
        <f>'Merluza cola Industrial'!$B$5</f>
        <v>44020</v>
      </c>
      <c r="P12" s="61">
        <v>2020</v>
      </c>
    </row>
    <row r="13" spans="1:17">
      <c r="A13" s="36" t="s">
        <v>59</v>
      </c>
      <c r="B13" s="32" t="s">
        <v>60</v>
      </c>
      <c r="C13" s="34" t="s">
        <v>23</v>
      </c>
      <c r="D13" s="33" t="s">
        <v>58</v>
      </c>
      <c r="E13" s="34" t="str">
        <f>+'Merluza cola Industrial'!C$16</f>
        <v xml:space="preserve">FOODCORP CHILE S.A.        </v>
      </c>
      <c r="F13" t="s">
        <v>61</v>
      </c>
      <c r="G13" t="s">
        <v>64</v>
      </c>
      <c r="H13" s="35">
        <f>'Merluza cola Industrial'!K16</f>
        <v>58.158000000000001</v>
      </c>
      <c r="I13" s="35">
        <f>'Merluza cola Industrial'!L16</f>
        <v>0</v>
      </c>
      <c r="J13" s="35">
        <f>'Merluza cola Industrial'!M16</f>
        <v>58.158000000000001</v>
      </c>
      <c r="K13" s="35">
        <f>'Merluza cola Industrial'!N16</f>
        <v>0</v>
      </c>
      <c r="L13" s="35">
        <f>'Merluza cola Industrial'!O16</f>
        <v>58.158000000000001</v>
      </c>
      <c r="M13" s="155">
        <f>'Merluza cola Industrial'!P16</f>
        <v>0</v>
      </c>
      <c r="N13" s="40" t="s">
        <v>77</v>
      </c>
      <c r="O13" s="37">
        <f>'Merluza cola Industrial'!$B$5</f>
        <v>44020</v>
      </c>
      <c r="P13" s="61">
        <v>2020</v>
      </c>
    </row>
    <row r="14" spans="1:17">
      <c r="A14" s="36" t="s">
        <v>59</v>
      </c>
      <c r="B14" s="32" t="s">
        <v>60</v>
      </c>
      <c r="C14" s="34" t="s">
        <v>23</v>
      </c>
      <c r="D14" s="33" t="s">
        <v>58</v>
      </c>
      <c r="E14" s="34" t="str">
        <f>+'Merluza cola Industrial'!C$18</f>
        <v xml:space="preserve">GRIMAR S.A.           </v>
      </c>
      <c r="F14" s="32" t="s">
        <v>61</v>
      </c>
      <c r="G14" s="32" t="s">
        <v>62</v>
      </c>
      <c r="H14" s="35">
        <f>'Merluza cola Industrial'!E18</f>
        <v>539.68200000000002</v>
      </c>
      <c r="I14" s="35">
        <f>'Merluza cola Industrial'!F18</f>
        <v>0</v>
      </c>
      <c r="J14" s="35">
        <f>'Merluza cola Industrial'!G18</f>
        <v>539.68200000000002</v>
      </c>
      <c r="K14" s="35">
        <f>'Merluza cola Industrial'!H18</f>
        <v>0</v>
      </c>
      <c r="L14" s="35">
        <f>'Merluza cola Industrial'!I18</f>
        <v>539.68200000000002</v>
      </c>
      <c r="M14" s="155">
        <f>'Merluza cola Industrial'!J18</f>
        <v>0</v>
      </c>
      <c r="N14" s="40" t="s">
        <v>77</v>
      </c>
      <c r="O14" s="37">
        <f>'Merluza cola Industrial'!$B$5</f>
        <v>44020</v>
      </c>
      <c r="P14" s="61">
        <v>2020</v>
      </c>
    </row>
    <row r="15" spans="1:17">
      <c r="A15" s="36" t="s">
        <v>59</v>
      </c>
      <c r="B15" s="32" t="s">
        <v>60</v>
      </c>
      <c r="C15" s="34" t="s">
        <v>23</v>
      </c>
      <c r="D15" s="33" t="s">
        <v>58</v>
      </c>
      <c r="E15" s="34" t="str">
        <f>+'Merluza cola Industrial'!C$18</f>
        <v xml:space="preserve">GRIMAR S.A.           </v>
      </c>
      <c r="F15" t="s">
        <v>63</v>
      </c>
      <c r="G15" t="s">
        <v>64</v>
      </c>
      <c r="H15" s="35">
        <f>'Merluza cola Industrial'!E19</f>
        <v>809.65</v>
      </c>
      <c r="I15" s="35">
        <f>'Merluza cola Industrial'!F19</f>
        <v>0</v>
      </c>
      <c r="J15" s="35">
        <f>'Merluza cola Industrial'!G19</f>
        <v>1349.3319999999999</v>
      </c>
      <c r="K15" s="35">
        <f>'Merluza cola Industrial'!H19</f>
        <v>62.58</v>
      </c>
      <c r="L15" s="35">
        <f>'Merluza cola Industrial'!I19</f>
        <v>1286.752</v>
      </c>
      <c r="M15" s="155">
        <f>'Merluza cola Industrial'!J19</f>
        <v>4.6378504326585308E-2</v>
      </c>
      <c r="N15" s="40" t="s">
        <v>77</v>
      </c>
      <c r="O15" s="37">
        <f>'Merluza cola Industrial'!$B$5</f>
        <v>44020</v>
      </c>
      <c r="P15" s="61">
        <v>2020</v>
      </c>
    </row>
    <row r="16" spans="1:17">
      <c r="A16" s="36" t="s">
        <v>59</v>
      </c>
      <c r="B16" s="32" t="s">
        <v>60</v>
      </c>
      <c r="C16" s="34" t="s">
        <v>23</v>
      </c>
      <c r="D16" s="33" t="s">
        <v>58</v>
      </c>
      <c r="E16" s="34" t="str">
        <f>+'Merluza cola Industrial'!C$18</f>
        <v xml:space="preserve">GRIMAR S.A.           </v>
      </c>
      <c r="F16" t="s">
        <v>61</v>
      </c>
      <c r="G16" t="s">
        <v>64</v>
      </c>
      <c r="H16" s="35">
        <f>'Merluza cola Industrial'!K18</f>
        <v>1349.3319999999999</v>
      </c>
      <c r="I16" s="35">
        <f>'Merluza cola Industrial'!L18</f>
        <v>0</v>
      </c>
      <c r="J16" s="35">
        <f>'Merluza cola Industrial'!M18</f>
        <v>1349.3319999999999</v>
      </c>
      <c r="K16" s="35">
        <f>'Merluza cola Industrial'!N18</f>
        <v>62.58</v>
      </c>
      <c r="L16" s="35">
        <f>'Merluza cola Industrial'!O18</f>
        <v>1286.752</v>
      </c>
      <c r="M16" s="155">
        <f>'Merluza cola Industrial'!P18</f>
        <v>4.6378504326585308E-2</v>
      </c>
      <c r="N16" s="40" t="s">
        <v>77</v>
      </c>
      <c r="O16" s="37">
        <f>'Merluza cola Industrial'!$B$5</f>
        <v>44020</v>
      </c>
      <c r="P16" s="61">
        <v>2020</v>
      </c>
    </row>
    <row r="17" spans="1:16">
      <c r="A17" s="36" t="s">
        <v>59</v>
      </c>
      <c r="B17" s="32" t="s">
        <v>60</v>
      </c>
      <c r="C17" s="34" t="s">
        <v>23</v>
      </c>
      <c r="D17" s="33" t="s">
        <v>58</v>
      </c>
      <c r="E17" s="34" t="str">
        <f>+'Merluza cola Industrial'!C$20</f>
        <v xml:space="preserve">ISLA QUIHUA S.A.     </v>
      </c>
      <c r="F17" s="32" t="s">
        <v>61</v>
      </c>
      <c r="G17" s="32" t="s">
        <v>62</v>
      </c>
      <c r="H17" s="35">
        <f>'Merluza cola Industrial'!E20</f>
        <v>634.87</v>
      </c>
      <c r="I17" s="35">
        <f>'Merluza cola Industrial'!F20</f>
        <v>0</v>
      </c>
      <c r="J17" s="35">
        <f>'Merluza cola Industrial'!G20</f>
        <v>634.87</v>
      </c>
      <c r="K17" s="35">
        <f>'Merluza cola Industrial'!H20</f>
        <v>0</v>
      </c>
      <c r="L17" s="35">
        <f>'Merluza cola Industrial'!I20</f>
        <v>634.87</v>
      </c>
      <c r="M17" s="155">
        <f>'Merluza cola Industrial'!J20</f>
        <v>0</v>
      </c>
      <c r="N17" s="40" t="s">
        <v>77</v>
      </c>
      <c r="O17" s="37">
        <f>'Merluza cola Industrial'!$B$5</f>
        <v>44020</v>
      </c>
      <c r="P17" s="61">
        <v>2020</v>
      </c>
    </row>
    <row r="18" spans="1:16">
      <c r="A18" s="36" t="s">
        <v>59</v>
      </c>
      <c r="B18" s="32" t="s">
        <v>60</v>
      </c>
      <c r="C18" s="34" t="s">
        <v>23</v>
      </c>
      <c r="D18" s="33" t="s">
        <v>58</v>
      </c>
      <c r="E18" s="34" t="str">
        <f>+'Merluza cola Industrial'!C$20</f>
        <v xml:space="preserve">ISLA QUIHUA S.A.     </v>
      </c>
      <c r="F18" t="s">
        <v>63</v>
      </c>
      <c r="G18" t="s">
        <v>64</v>
      </c>
      <c r="H18" s="35">
        <f>'Merluza cola Industrial'!E21</f>
        <v>952.45399999999995</v>
      </c>
      <c r="I18" s="35">
        <f>'Merluza cola Industrial'!F21</f>
        <v>0</v>
      </c>
      <c r="J18" s="35">
        <f>'Merluza cola Industrial'!G21</f>
        <v>1587.3240000000001</v>
      </c>
      <c r="K18" s="35">
        <f>'Merluza cola Industrial'!H21</f>
        <v>0</v>
      </c>
      <c r="L18" s="35">
        <f>'Merluza cola Industrial'!I21</f>
        <v>1587.3240000000001</v>
      </c>
      <c r="M18" s="155">
        <f>'Merluza cola Industrial'!J21</f>
        <v>0</v>
      </c>
      <c r="N18" s="40" t="s">
        <v>77</v>
      </c>
      <c r="O18" s="37">
        <f>'Merluza cola Industrial'!$B$5</f>
        <v>44020</v>
      </c>
      <c r="P18" s="61">
        <v>2020</v>
      </c>
    </row>
    <row r="19" spans="1:16">
      <c r="A19" s="36" t="s">
        <v>59</v>
      </c>
      <c r="B19" s="32" t="s">
        <v>60</v>
      </c>
      <c r="C19" s="34" t="s">
        <v>23</v>
      </c>
      <c r="D19" s="33" t="s">
        <v>58</v>
      </c>
      <c r="E19" s="34" t="str">
        <f>+'Merluza cola Industrial'!C$20</f>
        <v xml:space="preserve">ISLA QUIHUA S.A.     </v>
      </c>
      <c r="F19" t="s">
        <v>61</v>
      </c>
      <c r="G19" t="s">
        <v>64</v>
      </c>
      <c r="H19" s="35">
        <f>'Merluza cola Industrial'!K20</f>
        <v>1587.3240000000001</v>
      </c>
      <c r="I19" s="35">
        <f>'Merluza cola Industrial'!L20</f>
        <v>0</v>
      </c>
      <c r="J19" s="35">
        <f>'Merluza cola Industrial'!M20</f>
        <v>1587.3240000000001</v>
      </c>
      <c r="K19" s="35">
        <f>'Merluza cola Industrial'!N20</f>
        <v>0</v>
      </c>
      <c r="L19" s="35">
        <f>'Merluza cola Industrial'!O20</f>
        <v>1587.3240000000001</v>
      </c>
      <c r="M19" s="155">
        <f>'Merluza cola Industrial'!P20</f>
        <v>0</v>
      </c>
      <c r="N19" s="40" t="s">
        <v>77</v>
      </c>
      <c r="O19" s="37">
        <f>'Merluza cola Industrial'!$B$5</f>
        <v>44020</v>
      </c>
      <c r="P19" s="61">
        <v>2020</v>
      </c>
    </row>
    <row r="20" spans="1:16">
      <c r="A20" s="36" t="s">
        <v>59</v>
      </c>
      <c r="B20" s="32" t="s">
        <v>60</v>
      </c>
      <c r="C20" s="34" t="s">
        <v>23</v>
      </c>
      <c r="D20" s="33" t="s">
        <v>58</v>
      </c>
      <c r="E20" s="34" t="str">
        <f>+'Merluza cola Industrial'!C$22</f>
        <v xml:space="preserve">LANDES S.A. </v>
      </c>
      <c r="F20" s="32" t="s">
        <v>61</v>
      </c>
      <c r="G20" s="32" t="s">
        <v>62</v>
      </c>
      <c r="H20" s="35">
        <f>'Merluza cola Industrial'!E22</f>
        <v>200.97300000000001</v>
      </c>
      <c r="I20" s="35">
        <f>'Merluza cola Industrial'!F22</f>
        <v>0</v>
      </c>
      <c r="J20" s="35">
        <f>'Merluza cola Industrial'!G22</f>
        <v>200.97300000000001</v>
      </c>
      <c r="K20" s="35">
        <f>'Merluza cola Industrial'!H22</f>
        <v>0</v>
      </c>
      <c r="L20" s="35">
        <f>'Merluza cola Industrial'!I22</f>
        <v>200.97300000000001</v>
      </c>
      <c r="M20" s="155">
        <f>'Merluza cola Industrial'!J22</f>
        <v>0</v>
      </c>
      <c r="N20" s="40" t="s">
        <v>77</v>
      </c>
      <c r="O20" s="37">
        <f>'Merluza cola Industrial'!$B$5</f>
        <v>44020</v>
      </c>
      <c r="P20" s="61">
        <v>2020</v>
      </c>
    </row>
    <row r="21" spans="1:16">
      <c r="A21" s="36" t="s">
        <v>59</v>
      </c>
      <c r="B21" s="32" t="s">
        <v>60</v>
      </c>
      <c r="C21" s="34" t="s">
        <v>23</v>
      </c>
      <c r="D21" s="33" t="s">
        <v>58</v>
      </c>
      <c r="E21" s="34" t="str">
        <f>+'Merluza cola Industrial'!C$22</f>
        <v xml:space="preserve">LANDES S.A. </v>
      </c>
      <c r="F21" t="s">
        <v>63</v>
      </c>
      <c r="G21" t="s">
        <v>64</v>
      </c>
      <c r="H21" s="35">
        <f>'Merluza cola Industrial'!E23</f>
        <v>301.50599999999997</v>
      </c>
      <c r="I21" s="35">
        <f>'Merluza cola Industrial'!F23</f>
        <v>0</v>
      </c>
      <c r="J21" s="35">
        <f>'Merluza cola Industrial'!G23</f>
        <v>502.47899999999998</v>
      </c>
      <c r="K21" s="35">
        <f>'Merluza cola Industrial'!H23</f>
        <v>0</v>
      </c>
      <c r="L21" s="35">
        <f>'Merluza cola Industrial'!I23</f>
        <v>502.47899999999998</v>
      </c>
      <c r="M21" s="155">
        <f>'Merluza cola Industrial'!J23</f>
        <v>0</v>
      </c>
      <c r="N21" s="40" t="s">
        <v>77</v>
      </c>
      <c r="O21" s="37">
        <f>'Merluza cola Industrial'!$B$5</f>
        <v>44020</v>
      </c>
      <c r="P21" s="61">
        <v>2020</v>
      </c>
    </row>
    <row r="22" spans="1:16">
      <c r="A22" s="36" t="s">
        <v>59</v>
      </c>
      <c r="B22" s="32" t="s">
        <v>60</v>
      </c>
      <c r="C22" s="34" t="s">
        <v>23</v>
      </c>
      <c r="D22" s="33" t="s">
        <v>58</v>
      </c>
      <c r="E22" s="34" t="str">
        <f>+'Merluza cola Industrial'!C$22</f>
        <v xml:space="preserve">LANDES S.A. </v>
      </c>
      <c r="F22" t="s">
        <v>61</v>
      </c>
      <c r="G22" t="s">
        <v>64</v>
      </c>
      <c r="H22" s="35">
        <f>'Merluza cola Industrial'!K22</f>
        <v>502.47899999999998</v>
      </c>
      <c r="I22" s="35">
        <f>'Merluza cola Industrial'!L22</f>
        <v>0</v>
      </c>
      <c r="J22" s="35">
        <f>'Merluza cola Industrial'!M22</f>
        <v>502.47899999999998</v>
      </c>
      <c r="K22" s="35">
        <f>'Merluza cola Industrial'!N22</f>
        <v>0</v>
      </c>
      <c r="L22" s="35">
        <f>'Merluza cola Industrial'!O22</f>
        <v>502.47899999999998</v>
      </c>
      <c r="M22" s="155">
        <f>'Merluza cola Industrial'!P22</f>
        <v>0</v>
      </c>
      <c r="N22" s="40" t="s">
        <v>77</v>
      </c>
      <c r="O22" s="37">
        <f>'Merluza cola Industrial'!$B$5</f>
        <v>44020</v>
      </c>
      <c r="P22" s="61">
        <v>2020</v>
      </c>
    </row>
    <row r="23" spans="1:16">
      <c r="A23" s="36" t="s">
        <v>59</v>
      </c>
      <c r="B23" s="32" t="s">
        <v>60</v>
      </c>
      <c r="C23" s="34" t="s">
        <v>23</v>
      </c>
      <c r="D23" s="33" t="s">
        <v>58</v>
      </c>
      <c r="E23" s="34" t="str">
        <f>+'Merluza cola Industrial'!C$24</f>
        <v xml:space="preserve">LOTA PROTEIN S.A.            </v>
      </c>
      <c r="F23" s="32" t="s">
        <v>61</v>
      </c>
      <c r="G23" s="32" t="s">
        <v>62</v>
      </c>
      <c r="H23" s="35">
        <f>'Merluza cola Industrial'!E24</f>
        <v>127.081</v>
      </c>
      <c r="I23" s="35">
        <f>'Merluza cola Industrial'!F24</f>
        <v>0</v>
      </c>
      <c r="J23" s="35">
        <f>'Merluza cola Industrial'!G24</f>
        <v>127.081</v>
      </c>
      <c r="K23" s="35">
        <f>'Merluza cola Industrial'!H24</f>
        <v>0</v>
      </c>
      <c r="L23" s="35">
        <f>'Merluza cola Industrial'!I24</f>
        <v>127.081</v>
      </c>
      <c r="M23" s="155">
        <f>'Merluza cola Industrial'!J24</f>
        <v>0</v>
      </c>
      <c r="N23" s="40" t="s">
        <v>77</v>
      </c>
      <c r="O23" s="37">
        <f>'Merluza cola Industrial'!$B$5</f>
        <v>44020</v>
      </c>
      <c r="P23" s="61">
        <v>2020</v>
      </c>
    </row>
    <row r="24" spans="1:16">
      <c r="A24" s="36" t="s">
        <v>59</v>
      </c>
      <c r="B24" s="32" t="s">
        <v>60</v>
      </c>
      <c r="C24" s="34" t="s">
        <v>23</v>
      </c>
      <c r="D24" s="33" t="s">
        <v>58</v>
      </c>
      <c r="E24" s="34" t="str">
        <f>+'Merluza cola Industrial'!C$24</f>
        <v xml:space="preserve">LOTA PROTEIN S.A.            </v>
      </c>
      <c r="F24" t="s">
        <v>63</v>
      </c>
      <c r="G24" t="s">
        <v>64</v>
      </c>
      <c r="H24" s="35">
        <f>'Merluza cola Industrial'!E25</f>
        <v>190.65199999999999</v>
      </c>
      <c r="I24" s="35">
        <f>'Merluza cola Industrial'!F25</f>
        <v>0</v>
      </c>
      <c r="J24" s="35">
        <f>'Merluza cola Industrial'!G25</f>
        <v>317.733</v>
      </c>
      <c r="K24" s="35">
        <f>'Merluza cola Industrial'!H25</f>
        <v>0</v>
      </c>
      <c r="L24" s="35">
        <f>'Merluza cola Industrial'!I25</f>
        <v>317.733</v>
      </c>
      <c r="M24" s="155">
        <f>'Merluza cola Industrial'!J25</f>
        <v>0</v>
      </c>
      <c r="N24" s="40" t="s">
        <v>77</v>
      </c>
      <c r="O24" s="37">
        <f>'Merluza cola Industrial'!$B$5</f>
        <v>44020</v>
      </c>
      <c r="P24" s="61">
        <v>2020</v>
      </c>
    </row>
    <row r="25" spans="1:16">
      <c r="A25" s="36" t="s">
        <v>59</v>
      </c>
      <c r="B25" s="32" t="s">
        <v>60</v>
      </c>
      <c r="C25" s="34" t="s">
        <v>23</v>
      </c>
      <c r="D25" s="33" t="s">
        <v>58</v>
      </c>
      <c r="E25" s="34" t="str">
        <f>+'Merluza cola Industrial'!C$24</f>
        <v xml:space="preserve">LOTA PROTEIN S.A.            </v>
      </c>
      <c r="F25" t="s">
        <v>61</v>
      </c>
      <c r="G25" t="s">
        <v>64</v>
      </c>
      <c r="H25" s="35">
        <f>'Merluza cola Industrial'!K24</f>
        <v>317.733</v>
      </c>
      <c r="I25" s="35">
        <f>'Merluza cola Industrial'!L24</f>
        <v>0</v>
      </c>
      <c r="J25" s="35">
        <f>'Merluza cola Industrial'!M24</f>
        <v>317.733</v>
      </c>
      <c r="K25" s="35">
        <f>'Merluza cola Industrial'!N24</f>
        <v>0</v>
      </c>
      <c r="L25" s="35">
        <f>'Merluza cola Industrial'!O24</f>
        <v>317.733</v>
      </c>
      <c r="M25" s="155">
        <f>'Merluza cola Industrial'!P24</f>
        <v>0</v>
      </c>
      <c r="N25" s="40" t="s">
        <v>77</v>
      </c>
      <c r="O25" s="37">
        <f>'Merluza cola Industrial'!$B$5</f>
        <v>44020</v>
      </c>
      <c r="P25" s="61">
        <v>2020</v>
      </c>
    </row>
    <row r="26" spans="1:16">
      <c r="A26" s="36" t="s">
        <v>59</v>
      </c>
      <c r="B26" s="32" t="s">
        <v>60</v>
      </c>
      <c r="C26" s="34" t="s">
        <v>23</v>
      </c>
      <c r="D26" s="33" t="s">
        <v>58</v>
      </c>
      <c r="E26" s="34" t="str">
        <f>+'Merluza cola Industrial'!C$26</f>
        <v xml:space="preserve">ANTONIO CRUZ CORDOVA NAKOUZI                             </v>
      </c>
      <c r="F26" s="32" t="s">
        <v>61</v>
      </c>
      <c r="G26" s="32" t="s">
        <v>62</v>
      </c>
      <c r="H26" s="35">
        <f>'Merluza cola Industrial'!E26</f>
        <v>4.2999999999999997E-2</v>
      </c>
      <c r="I26" s="35">
        <f>'Merluza cola Industrial'!F26</f>
        <v>0</v>
      </c>
      <c r="J26" s="35">
        <f>'Merluza cola Industrial'!G26</f>
        <v>4.2999999999999997E-2</v>
      </c>
      <c r="K26" s="35">
        <f>'Merluza cola Industrial'!H26</f>
        <v>0</v>
      </c>
      <c r="L26" s="35">
        <f>'Merluza cola Industrial'!I26</f>
        <v>4.2999999999999997E-2</v>
      </c>
      <c r="M26" s="155">
        <f>'Merluza cola Industrial'!J26</f>
        <v>0</v>
      </c>
      <c r="N26" s="40" t="s">
        <v>77</v>
      </c>
      <c r="O26" s="37">
        <f>'Merluza cola Industrial'!$B$5</f>
        <v>44020</v>
      </c>
      <c r="P26" s="61">
        <v>2020</v>
      </c>
    </row>
    <row r="27" spans="1:16">
      <c r="A27" s="36" t="s">
        <v>59</v>
      </c>
      <c r="B27" s="32" t="s">
        <v>60</v>
      </c>
      <c r="C27" s="34" t="s">
        <v>23</v>
      </c>
      <c r="D27" s="33" t="s">
        <v>58</v>
      </c>
      <c r="E27" s="34" t="str">
        <f>+'Merluza cola Industrial'!C$26</f>
        <v xml:space="preserve">ANTONIO CRUZ CORDOVA NAKOUZI                             </v>
      </c>
      <c r="F27" t="s">
        <v>63</v>
      </c>
      <c r="G27" t="s">
        <v>64</v>
      </c>
      <c r="H27" s="35">
        <f>'Merluza cola Industrial'!E27</f>
        <v>6.5000000000000002E-2</v>
      </c>
      <c r="I27" s="35">
        <f>'Merluza cola Industrial'!F27</f>
        <v>0</v>
      </c>
      <c r="J27" s="35">
        <f>'Merluza cola Industrial'!G27</f>
        <v>0.108</v>
      </c>
      <c r="K27" s="35">
        <f>'Merluza cola Industrial'!H27</f>
        <v>0</v>
      </c>
      <c r="L27" s="35">
        <f>'Merluza cola Industrial'!I27</f>
        <v>0.108</v>
      </c>
      <c r="M27" s="155">
        <f>'Merluza cola Industrial'!J27</f>
        <v>0</v>
      </c>
      <c r="N27" s="40" t="s">
        <v>77</v>
      </c>
      <c r="O27" s="37">
        <f>'Merluza cola Industrial'!$B$5</f>
        <v>44020</v>
      </c>
      <c r="P27" s="61">
        <v>2020</v>
      </c>
    </row>
    <row r="28" spans="1:16">
      <c r="A28" s="36" t="s">
        <v>59</v>
      </c>
      <c r="B28" s="32" t="s">
        <v>60</v>
      </c>
      <c r="C28" s="34" t="s">
        <v>23</v>
      </c>
      <c r="D28" s="33" t="s">
        <v>58</v>
      </c>
      <c r="E28" s="34" t="str">
        <f>+'Merluza cola Industrial'!C$26</f>
        <v xml:space="preserve">ANTONIO CRUZ CORDOVA NAKOUZI                             </v>
      </c>
      <c r="F28" t="s">
        <v>61</v>
      </c>
      <c r="G28" t="s">
        <v>64</v>
      </c>
      <c r="H28" s="35">
        <f>'Merluza cola Industrial'!K26</f>
        <v>0.108</v>
      </c>
      <c r="I28" s="35">
        <f>'Merluza cola Industrial'!L26</f>
        <v>0</v>
      </c>
      <c r="J28" s="35">
        <f>'Merluza cola Industrial'!M26</f>
        <v>0.108</v>
      </c>
      <c r="K28" s="35">
        <f>'Merluza cola Industrial'!N26</f>
        <v>0</v>
      </c>
      <c r="L28" s="35">
        <f>'Merluza cola Industrial'!O26</f>
        <v>0.108</v>
      </c>
      <c r="M28" s="155">
        <f>'Merluza cola Industrial'!P26</f>
        <v>0</v>
      </c>
      <c r="N28" s="40" t="s">
        <v>77</v>
      </c>
      <c r="O28" s="37">
        <f>'Merluza cola Industrial'!$B$5</f>
        <v>44020</v>
      </c>
      <c r="P28" s="61">
        <v>2020</v>
      </c>
    </row>
    <row r="29" spans="1:16">
      <c r="A29" s="36" t="s">
        <v>59</v>
      </c>
      <c r="B29" s="32" t="s">
        <v>60</v>
      </c>
      <c r="C29" s="34" t="s">
        <v>23</v>
      </c>
      <c r="D29" s="33" t="s">
        <v>58</v>
      </c>
      <c r="E29" s="34" t="str">
        <f>+'Merluza cola Industrial'!C$28</f>
        <v xml:space="preserve">ANTONIO DA VENEZIA RETAMALES </v>
      </c>
      <c r="F29" s="32" t="s">
        <v>61</v>
      </c>
      <c r="G29" s="32" t="s">
        <v>62</v>
      </c>
      <c r="H29" s="35">
        <f>'Merluza cola Industrial'!E28</f>
        <v>4.2999999999999997E-2</v>
      </c>
      <c r="I29" s="35">
        <f>'Merluza cola Industrial'!F28</f>
        <v>0</v>
      </c>
      <c r="J29" s="35">
        <f>'Merluza cola Industrial'!G28</f>
        <v>4.2999999999999997E-2</v>
      </c>
      <c r="K29" s="35">
        <f>'Merluza cola Industrial'!H28</f>
        <v>0</v>
      </c>
      <c r="L29" s="35">
        <f>'Merluza cola Industrial'!I28</f>
        <v>4.2999999999999997E-2</v>
      </c>
      <c r="M29" s="155">
        <f>'Merluza cola Industrial'!J28</f>
        <v>0</v>
      </c>
      <c r="N29" s="40" t="s">
        <v>77</v>
      </c>
      <c r="O29" s="37">
        <f>'Merluza cola Industrial'!$B$5</f>
        <v>44020</v>
      </c>
      <c r="P29" s="61">
        <v>2020</v>
      </c>
    </row>
    <row r="30" spans="1:16">
      <c r="A30" s="36" t="s">
        <v>59</v>
      </c>
      <c r="B30" s="32" t="s">
        <v>60</v>
      </c>
      <c r="C30" s="34" t="s">
        <v>23</v>
      </c>
      <c r="D30" s="33" t="s">
        <v>58</v>
      </c>
      <c r="E30" s="34" t="str">
        <f>+'Merluza cola Industrial'!C$28</f>
        <v xml:space="preserve">ANTONIO DA VENEZIA RETAMALES </v>
      </c>
      <c r="F30" t="s">
        <v>63</v>
      </c>
      <c r="G30" t="s">
        <v>64</v>
      </c>
      <c r="H30" s="35">
        <f>'Merluza cola Industrial'!E29</f>
        <v>6.5000000000000002E-2</v>
      </c>
      <c r="I30" s="35">
        <f>'Merluza cola Industrial'!F29</f>
        <v>0</v>
      </c>
      <c r="J30" s="35">
        <f>'Merluza cola Industrial'!G29</f>
        <v>0.108</v>
      </c>
      <c r="K30" s="35">
        <f>'Merluza cola Industrial'!H29</f>
        <v>0</v>
      </c>
      <c r="L30" s="35">
        <f>'Merluza cola Industrial'!I29</f>
        <v>0.108</v>
      </c>
      <c r="M30" s="155">
        <f>'Merluza cola Industrial'!J29</f>
        <v>0</v>
      </c>
      <c r="N30" s="40" t="s">
        <v>77</v>
      </c>
      <c r="O30" s="37">
        <f>'Merluza cola Industrial'!$B$5</f>
        <v>44020</v>
      </c>
      <c r="P30" s="61">
        <v>2020</v>
      </c>
    </row>
    <row r="31" spans="1:16">
      <c r="A31" s="36" t="s">
        <v>59</v>
      </c>
      <c r="B31" s="32" t="s">
        <v>60</v>
      </c>
      <c r="C31" s="34" t="s">
        <v>23</v>
      </c>
      <c r="D31" s="33" t="s">
        <v>58</v>
      </c>
      <c r="E31" s="34" t="str">
        <f>+'Merluza cola Industrial'!C$28</f>
        <v xml:space="preserve">ANTONIO DA VENEZIA RETAMALES </v>
      </c>
      <c r="F31" t="s">
        <v>61</v>
      </c>
      <c r="G31" t="s">
        <v>64</v>
      </c>
      <c r="H31" s="35">
        <f>'Merluza cola Industrial'!K28</f>
        <v>0.108</v>
      </c>
      <c r="I31" s="35">
        <f>'Merluza cola Industrial'!L28</f>
        <v>0</v>
      </c>
      <c r="J31" s="35">
        <f>'Merluza cola Industrial'!M28</f>
        <v>0.108</v>
      </c>
      <c r="K31" s="35">
        <f>'Merluza cola Industrial'!N28</f>
        <v>0</v>
      </c>
      <c r="L31" s="35">
        <f>'Merluza cola Industrial'!O28</f>
        <v>0.108</v>
      </c>
      <c r="M31" s="155">
        <f>'Merluza cola Industrial'!P28</f>
        <v>0</v>
      </c>
      <c r="N31" s="40" t="s">
        <v>77</v>
      </c>
      <c r="O31" s="37">
        <f>'Merluza cola Industrial'!$B$5</f>
        <v>44020</v>
      </c>
      <c r="P31" s="61">
        <v>2020</v>
      </c>
    </row>
    <row r="32" spans="1:16">
      <c r="A32" s="36" t="s">
        <v>59</v>
      </c>
      <c r="B32" s="32" t="s">
        <v>60</v>
      </c>
      <c r="C32" s="34" t="s">
        <v>23</v>
      </c>
      <c r="D32" s="33" t="s">
        <v>58</v>
      </c>
      <c r="E32" s="34" t="str">
        <f>+'Merluza cola Industrial'!C$30</f>
        <v xml:space="preserve">ENFERMAR LTDA. </v>
      </c>
      <c r="F32" s="32" t="s">
        <v>61</v>
      </c>
      <c r="G32" s="32" t="s">
        <v>62</v>
      </c>
      <c r="H32" s="35">
        <f>'Merluza cola Industrial'!E30</f>
        <v>4.2999999999999997E-2</v>
      </c>
      <c r="I32" s="35">
        <f>'Merluza cola Industrial'!F30</f>
        <v>0</v>
      </c>
      <c r="J32" s="35">
        <f>'Merluza cola Industrial'!G30</f>
        <v>4.2999999999999997E-2</v>
      </c>
      <c r="K32" s="35">
        <f>'Merluza cola Industrial'!H30</f>
        <v>0</v>
      </c>
      <c r="L32" s="35">
        <f>'Merluza cola Industrial'!I30</f>
        <v>4.2999999999999997E-2</v>
      </c>
      <c r="M32" s="155">
        <f>'Merluza cola Industrial'!J30</f>
        <v>0</v>
      </c>
      <c r="N32" s="40" t="s">
        <v>77</v>
      </c>
      <c r="O32" s="37">
        <f>'Merluza cola Industrial'!$B$5</f>
        <v>44020</v>
      </c>
      <c r="P32" s="61">
        <v>2020</v>
      </c>
    </row>
    <row r="33" spans="1:16">
      <c r="A33" s="36" t="s">
        <v>59</v>
      </c>
      <c r="B33" s="32" t="s">
        <v>60</v>
      </c>
      <c r="C33" s="34" t="s">
        <v>23</v>
      </c>
      <c r="D33" s="33" t="s">
        <v>58</v>
      </c>
      <c r="E33" s="34" t="str">
        <f>+'Merluza cola Industrial'!C$30</f>
        <v xml:space="preserve">ENFERMAR LTDA. </v>
      </c>
      <c r="F33" t="s">
        <v>63</v>
      </c>
      <c r="G33" t="s">
        <v>64</v>
      </c>
      <c r="H33" s="35">
        <f>'Merluza cola Industrial'!E31</f>
        <v>6.5000000000000002E-2</v>
      </c>
      <c r="I33" s="35">
        <f>'Merluza cola Industrial'!F31</f>
        <v>0</v>
      </c>
      <c r="J33" s="35">
        <f>'Merluza cola Industrial'!G31</f>
        <v>0.108</v>
      </c>
      <c r="K33" s="35">
        <f>'Merluza cola Industrial'!H31</f>
        <v>0</v>
      </c>
      <c r="L33" s="35">
        <f>'Merluza cola Industrial'!I31</f>
        <v>0.108</v>
      </c>
      <c r="M33" s="155">
        <f>'Merluza cola Industrial'!J31</f>
        <v>0</v>
      </c>
      <c r="N33" s="40" t="s">
        <v>77</v>
      </c>
      <c r="O33" s="37">
        <f>'Merluza cola Industrial'!$B$5</f>
        <v>44020</v>
      </c>
      <c r="P33" s="61">
        <v>2020</v>
      </c>
    </row>
    <row r="34" spans="1:16">
      <c r="A34" s="36" t="s">
        <v>59</v>
      </c>
      <c r="B34" s="32" t="s">
        <v>60</v>
      </c>
      <c r="C34" s="34" t="s">
        <v>23</v>
      </c>
      <c r="D34" s="33" t="s">
        <v>58</v>
      </c>
      <c r="E34" s="34" t="str">
        <f>+'Merluza cola Industrial'!C$30</f>
        <v xml:space="preserve">ENFERMAR LTDA. </v>
      </c>
      <c r="F34" t="s">
        <v>61</v>
      </c>
      <c r="G34" t="s">
        <v>64</v>
      </c>
      <c r="H34" s="35">
        <f>'Merluza cola Industrial'!K30</f>
        <v>0.108</v>
      </c>
      <c r="I34" s="35">
        <f>'Merluza cola Industrial'!L30</f>
        <v>0</v>
      </c>
      <c r="J34" s="35">
        <f>'Merluza cola Industrial'!M30</f>
        <v>0.108</v>
      </c>
      <c r="K34" s="35">
        <f>'Merluza cola Industrial'!N30</f>
        <v>0</v>
      </c>
      <c r="L34" s="35">
        <f>'Merluza cola Industrial'!O30</f>
        <v>0.108</v>
      </c>
      <c r="M34" s="155">
        <f>'Merluza cola Industrial'!P30</f>
        <v>0</v>
      </c>
      <c r="N34" s="40" t="s">
        <v>77</v>
      </c>
      <c r="O34" s="37">
        <f>'Merluza cola Industrial'!$B$5</f>
        <v>44020</v>
      </c>
      <c r="P34" s="61">
        <v>2020</v>
      </c>
    </row>
    <row r="35" spans="1:16">
      <c r="A35" s="36" t="s">
        <v>59</v>
      </c>
      <c r="B35" s="32" t="s">
        <v>60</v>
      </c>
      <c r="C35" s="34" t="s">
        <v>23</v>
      </c>
      <c r="D35" s="33" t="s">
        <v>58</v>
      </c>
      <c r="E35" s="34" t="str">
        <f>+'Merluza cola Industrial'!C$32</f>
        <v>ORIZON</v>
      </c>
      <c r="F35" s="32" t="s">
        <v>61</v>
      </c>
      <c r="G35" s="32" t="s">
        <v>62</v>
      </c>
      <c r="H35" s="35">
        <f>'Merluza cola Industrial'!E32</f>
        <v>536.36800000000005</v>
      </c>
      <c r="I35" s="35">
        <f>'Merluza cola Industrial'!F32</f>
        <v>0</v>
      </c>
      <c r="J35" s="35">
        <f>'Merluza cola Industrial'!G32</f>
        <v>536.36800000000005</v>
      </c>
      <c r="K35" s="35">
        <f>'Merluza cola Industrial'!H32</f>
        <v>0</v>
      </c>
      <c r="L35" s="35">
        <f>'Merluza cola Industrial'!I32</f>
        <v>536.36800000000005</v>
      </c>
      <c r="M35" s="155">
        <f>'Merluza cola Industrial'!J32</f>
        <v>0</v>
      </c>
      <c r="N35" s="40" t="s">
        <v>77</v>
      </c>
      <c r="O35" s="37">
        <f>'Merluza cola Industrial'!$B$5</f>
        <v>44020</v>
      </c>
      <c r="P35" s="61">
        <v>2020</v>
      </c>
    </row>
    <row r="36" spans="1:16">
      <c r="A36" s="36" t="s">
        <v>59</v>
      </c>
      <c r="B36" s="32" t="s">
        <v>60</v>
      </c>
      <c r="C36" s="34" t="s">
        <v>23</v>
      </c>
      <c r="D36" s="33" t="s">
        <v>58</v>
      </c>
      <c r="E36" s="34" t="str">
        <f>+'Merluza cola Industrial'!C$32</f>
        <v>ORIZON</v>
      </c>
      <c r="F36" t="s">
        <v>63</v>
      </c>
      <c r="G36" t="s">
        <v>64</v>
      </c>
      <c r="H36" s="35">
        <f>'Merluza cola Industrial'!E33</f>
        <v>804.67700000000002</v>
      </c>
      <c r="I36" s="35">
        <f>'Merluza cola Industrial'!F33</f>
        <v>0</v>
      </c>
      <c r="J36" s="35">
        <f>'Merluza cola Industrial'!G33</f>
        <v>1341.0450000000001</v>
      </c>
      <c r="K36" s="35">
        <f>'Merluza cola Industrial'!H33</f>
        <v>0</v>
      </c>
      <c r="L36" s="35">
        <f>'Merluza cola Industrial'!I33</f>
        <v>1341.0450000000001</v>
      </c>
      <c r="M36" s="155">
        <f>'Merluza cola Industrial'!J33</f>
        <v>0</v>
      </c>
      <c r="N36" s="40" t="s">
        <v>77</v>
      </c>
      <c r="O36" s="37">
        <f>'Merluza cola Industrial'!$B$5</f>
        <v>44020</v>
      </c>
      <c r="P36" s="61">
        <v>2020</v>
      </c>
    </row>
    <row r="37" spans="1:16">
      <c r="A37" s="36" t="s">
        <v>59</v>
      </c>
      <c r="B37" s="32" t="s">
        <v>60</v>
      </c>
      <c r="C37" s="34" t="s">
        <v>23</v>
      </c>
      <c r="D37" s="33" t="s">
        <v>58</v>
      </c>
      <c r="E37" s="34" t="str">
        <f>+'Merluza cola Industrial'!C$32</f>
        <v>ORIZON</v>
      </c>
      <c r="F37" t="s">
        <v>61</v>
      </c>
      <c r="G37" t="s">
        <v>64</v>
      </c>
      <c r="H37" s="35">
        <f>'Merluza cola Industrial'!K32</f>
        <v>1341.0450000000001</v>
      </c>
      <c r="I37" s="35">
        <f>'Merluza cola Industrial'!L32</f>
        <v>0</v>
      </c>
      <c r="J37" s="35">
        <f>'Merluza cola Industrial'!M32</f>
        <v>1341.0450000000001</v>
      </c>
      <c r="K37" s="35">
        <f>'Merluza cola Industrial'!N32</f>
        <v>0</v>
      </c>
      <c r="L37" s="35">
        <f>'Merluza cola Industrial'!O32</f>
        <v>1341.0450000000001</v>
      </c>
      <c r="M37" s="155">
        <f>'Merluza cola Industrial'!P32</f>
        <v>0</v>
      </c>
      <c r="N37" s="40" t="s">
        <v>77</v>
      </c>
      <c r="O37" s="37">
        <f>'Merluza cola Industrial'!$B$5</f>
        <v>44020</v>
      </c>
      <c r="P37" s="61">
        <v>2020</v>
      </c>
    </row>
    <row r="38" spans="1:16">
      <c r="A38" s="36" t="s">
        <v>59</v>
      </c>
      <c r="B38" s="32" t="s">
        <v>60</v>
      </c>
      <c r="C38" s="34" t="s">
        <v>23</v>
      </c>
      <c r="D38" s="33" t="s">
        <v>58</v>
      </c>
      <c r="E38" s="34" t="str">
        <f>+'Merluza cola Industrial'!C$34</f>
        <v>DERIS S.A.</v>
      </c>
      <c r="F38" s="32" t="s">
        <v>61</v>
      </c>
      <c r="G38" s="32" t="s">
        <v>62</v>
      </c>
      <c r="H38" s="35">
        <f>'Merluza cola Industrial'!E34</f>
        <v>15.416</v>
      </c>
      <c r="I38" s="35">
        <f>'Merluza cola Industrial'!F34</f>
        <v>0</v>
      </c>
      <c r="J38" s="35">
        <f>'Merluza cola Industrial'!G34</f>
        <v>15.416</v>
      </c>
      <c r="K38" s="35">
        <f>'Merluza cola Industrial'!H34</f>
        <v>0</v>
      </c>
      <c r="L38" s="35">
        <f>'Merluza cola Industrial'!I34</f>
        <v>15.416</v>
      </c>
      <c r="M38" s="155">
        <f>'Merluza cola Industrial'!J34</f>
        <v>0</v>
      </c>
      <c r="N38" s="40" t="s">
        <v>77</v>
      </c>
      <c r="O38" s="37">
        <f>'Merluza cola Industrial'!$B$5</f>
        <v>44020</v>
      </c>
      <c r="P38" s="61">
        <v>2020</v>
      </c>
    </row>
    <row r="39" spans="1:16">
      <c r="A39" s="36" t="s">
        <v>59</v>
      </c>
      <c r="B39" s="32" t="s">
        <v>60</v>
      </c>
      <c r="C39" s="34" t="s">
        <v>23</v>
      </c>
      <c r="D39" s="33" t="s">
        <v>58</v>
      </c>
      <c r="E39" s="34" t="str">
        <f>+'Merluza cola Industrial'!C$34</f>
        <v>DERIS S.A.</v>
      </c>
      <c r="F39" t="s">
        <v>63</v>
      </c>
      <c r="G39" t="s">
        <v>64</v>
      </c>
      <c r="H39" s="35">
        <f>'Merluza cola Industrial'!E35</f>
        <v>23.126999999999999</v>
      </c>
      <c r="I39" s="35">
        <f>'Merluza cola Industrial'!F35</f>
        <v>0</v>
      </c>
      <c r="J39" s="35">
        <f>'Merluza cola Industrial'!G35</f>
        <v>38.542999999999999</v>
      </c>
      <c r="K39" s="35">
        <f>'Merluza cola Industrial'!H35</f>
        <v>0</v>
      </c>
      <c r="L39" s="35">
        <f>'Merluza cola Industrial'!I35</f>
        <v>38.542999999999999</v>
      </c>
      <c r="M39" s="155">
        <f>'Merluza cola Industrial'!J35</f>
        <v>0</v>
      </c>
      <c r="N39" s="40" t="s">
        <v>77</v>
      </c>
      <c r="O39" s="37">
        <f>'Merluza cola Industrial'!$B$5</f>
        <v>44020</v>
      </c>
      <c r="P39" s="61">
        <v>2020</v>
      </c>
    </row>
    <row r="40" spans="1:16">
      <c r="A40" s="36" t="s">
        <v>59</v>
      </c>
      <c r="B40" s="32" t="s">
        <v>60</v>
      </c>
      <c r="C40" s="34" t="s">
        <v>23</v>
      </c>
      <c r="D40" s="33" t="s">
        <v>58</v>
      </c>
      <c r="E40" s="34" t="str">
        <f>+'Merluza cola Industrial'!C$34</f>
        <v>DERIS S.A.</v>
      </c>
      <c r="F40" t="s">
        <v>61</v>
      </c>
      <c r="G40" t="s">
        <v>64</v>
      </c>
      <c r="H40" s="35">
        <f>'Merluza cola Industrial'!K34</f>
        <v>38.542999999999999</v>
      </c>
      <c r="I40" s="35">
        <f>'Merluza cola Industrial'!L34</f>
        <v>0</v>
      </c>
      <c r="J40" s="35">
        <f>'Merluza cola Industrial'!M34</f>
        <v>38.542999999999999</v>
      </c>
      <c r="K40" s="35">
        <f>'Merluza cola Industrial'!N34</f>
        <v>0</v>
      </c>
      <c r="L40" s="35">
        <f>'Merluza cola Industrial'!O34</f>
        <v>38.542999999999999</v>
      </c>
      <c r="M40" s="155">
        <f>'Merluza cola Industrial'!P34</f>
        <v>0</v>
      </c>
      <c r="N40" s="40" t="s">
        <v>77</v>
      </c>
      <c r="O40" s="37">
        <f>'Merluza cola Industrial'!$B$5</f>
        <v>44020</v>
      </c>
      <c r="P40" s="61">
        <v>2020</v>
      </c>
    </row>
    <row r="41" spans="1:16">
      <c r="A41" s="36" t="s">
        <v>59</v>
      </c>
      <c r="B41" s="32" t="s">
        <v>60</v>
      </c>
      <c r="C41" s="34" t="s">
        <v>23</v>
      </c>
      <c r="D41" s="33" t="s">
        <v>58</v>
      </c>
      <c r="E41" s="34" t="str">
        <f>+'Merluza cola Industrial'!C$36</f>
        <v xml:space="preserve">SUR AUSTRAL S.A. </v>
      </c>
      <c r="F41" s="32" t="s">
        <v>61</v>
      </c>
      <c r="G41" s="32" t="s">
        <v>62</v>
      </c>
      <c r="H41" s="35">
        <f>'Merluza cola Industrial'!E36</f>
        <v>542.05600000000004</v>
      </c>
      <c r="I41" s="35">
        <f>'Merluza cola Industrial'!F36</f>
        <v>0</v>
      </c>
      <c r="J41" s="35">
        <f>'Merluza cola Industrial'!G36</f>
        <v>542.05600000000004</v>
      </c>
      <c r="K41" s="35">
        <f>'Merluza cola Industrial'!H36</f>
        <v>45.195</v>
      </c>
      <c r="L41" s="35">
        <f>'Merluza cola Industrial'!I36</f>
        <v>496.86100000000005</v>
      </c>
      <c r="M41" s="155">
        <f>'Merluza cola Industrial'!J36</f>
        <v>8.3376994258895748E-2</v>
      </c>
      <c r="N41" s="40" t="s">
        <v>77</v>
      </c>
      <c r="O41" s="37">
        <f>'Merluza cola Industrial'!$B$5</f>
        <v>44020</v>
      </c>
      <c r="P41" s="61">
        <v>2020</v>
      </c>
    </row>
    <row r="42" spans="1:16">
      <c r="A42" s="36" t="s">
        <v>59</v>
      </c>
      <c r="B42" s="32" t="s">
        <v>60</v>
      </c>
      <c r="C42" s="34" t="s">
        <v>23</v>
      </c>
      <c r="D42" s="33" t="s">
        <v>58</v>
      </c>
      <c r="E42" s="34" t="str">
        <f>+'Merluza cola Industrial'!C$36</f>
        <v xml:space="preserve">SUR AUSTRAL S.A. </v>
      </c>
      <c r="F42" t="s">
        <v>63</v>
      </c>
      <c r="G42" t="s">
        <v>64</v>
      </c>
      <c r="H42" s="35">
        <f>'Merluza cola Industrial'!E37</f>
        <v>813.21100000000001</v>
      </c>
      <c r="I42" s="35">
        <f>'Merluza cola Industrial'!F37</f>
        <v>0</v>
      </c>
      <c r="J42" s="35">
        <f>'Merluza cola Industrial'!G37</f>
        <v>1310.0720000000001</v>
      </c>
      <c r="K42" s="35">
        <f>'Merluza cola Industrial'!H37</f>
        <v>64.792000000000002</v>
      </c>
      <c r="L42" s="35">
        <f>'Merluza cola Industrial'!I37</f>
        <v>1245.2800000000002</v>
      </c>
      <c r="M42" s="155">
        <f>'Merluza cola Industrial'!J37</f>
        <v>4.945682374709176E-2</v>
      </c>
      <c r="N42" s="40" t="s">
        <v>77</v>
      </c>
      <c r="O42" s="37">
        <f>'Merluza cola Industrial'!$B$5</f>
        <v>44020</v>
      </c>
      <c r="P42" s="61">
        <v>2020</v>
      </c>
    </row>
    <row r="43" spans="1:16">
      <c r="A43" s="36" t="s">
        <v>59</v>
      </c>
      <c r="B43" s="32" t="s">
        <v>60</v>
      </c>
      <c r="C43" s="34" t="s">
        <v>23</v>
      </c>
      <c r="D43" s="33" t="s">
        <v>58</v>
      </c>
      <c r="E43" s="34" t="str">
        <f>+'Merluza cola Industrial'!C$36</f>
        <v xml:space="preserve">SUR AUSTRAL S.A. </v>
      </c>
      <c r="F43" t="s">
        <v>61</v>
      </c>
      <c r="G43" t="s">
        <v>64</v>
      </c>
      <c r="H43" s="35">
        <f>'Merluza cola Industrial'!K36</f>
        <v>1355.2670000000001</v>
      </c>
      <c r="I43" s="35">
        <f>'Merluza cola Industrial'!L36</f>
        <v>0</v>
      </c>
      <c r="J43" s="35">
        <f>'Merluza cola Industrial'!M36</f>
        <v>1355.2670000000001</v>
      </c>
      <c r="K43" s="35">
        <f>'Merluza cola Industrial'!N36</f>
        <v>109.98699999999999</v>
      </c>
      <c r="L43" s="35">
        <f>'Merluza cola Industrial'!O36</f>
        <v>1245.28</v>
      </c>
      <c r="M43" s="155">
        <f>'Merluza cola Industrial'!P36</f>
        <v>8.1155226239552791E-2</v>
      </c>
      <c r="N43" s="40" t="s">
        <v>77</v>
      </c>
      <c r="O43" s="37">
        <f>'Merluza cola Industrial'!$B$5</f>
        <v>44020</v>
      </c>
      <c r="P43" s="61">
        <v>2020</v>
      </c>
    </row>
    <row r="44" spans="1:16">
      <c r="A44" s="36" t="s">
        <v>59</v>
      </c>
      <c r="B44" s="32" t="s">
        <v>60</v>
      </c>
      <c r="C44" s="34" t="s">
        <v>23</v>
      </c>
      <c r="D44" s="33" t="s">
        <v>58</v>
      </c>
      <c r="E44" s="34" t="str">
        <f>+'Merluza cola Industrial'!C$38</f>
        <v>CAMANCHACA PESCA SUR S.A.</v>
      </c>
      <c r="F44" s="32" t="s">
        <v>61</v>
      </c>
      <c r="G44" s="32" t="s">
        <v>62</v>
      </c>
      <c r="H44" s="35">
        <f>'Merluza cola Industrial'!E38</f>
        <v>17.969000000000001</v>
      </c>
      <c r="I44" s="35">
        <f>'Merluza cola Industrial'!F38</f>
        <v>0</v>
      </c>
      <c r="J44" s="35">
        <f>'Merluza cola Industrial'!G38</f>
        <v>17.969000000000001</v>
      </c>
      <c r="K44" s="35">
        <f>'Merluza cola Industrial'!H38</f>
        <v>0</v>
      </c>
      <c r="L44" s="35">
        <f>'Merluza cola Industrial'!I38</f>
        <v>17.969000000000001</v>
      </c>
      <c r="M44" s="155">
        <f>'Merluza cola Industrial'!J38</f>
        <v>0</v>
      </c>
      <c r="N44" s="40" t="s">
        <v>77</v>
      </c>
      <c r="O44" s="37">
        <f>'Merluza cola Industrial'!$B$5</f>
        <v>44020</v>
      </c>
      <c r="P44" s="61">
        <v>2020</v>
      </c>
    </row>
    <row r="45" spans="1:16">
      <c r="A45" s="36" t="s">
        <v>59</v>
      </c>
      <c r="B45" s="32" t="s">
        <v>60</v>
      </c>
      <c r="C45" s="34" t="s">
        <v>23</v>
      </c>
      <c r="D45" s="33" t="s">
        <v>58</v>
      </c>
      <c r="E45" s="34" t="str">
        <f>+'Merluza cola Industrial'!C$38</f>
        <v>CAMANCHACA PESCA SUR S.A.</v>
      </c>
      <c r="F45" t="s">
        <v>63</v>
      </c>
      <c r="G45" t="s">
        <v>64</v>
      </c>
      <c r="H45" s="35">
        <f>'Merluza cola Industrial'!E39</f>
        <v>26.547999999999998</v>
      </c>
      <c r="I45" s="35">
        <f>'Merluza cola Industrial'!F39</f>
        <v>0</v>
      </c>
      <c r="J45" s="35">
        <f>'Merluza cola Industrial'!G39</f>
        <v>44.516999999999996</v>
      </c>
      <c r="K45" s="35">
        <f>'Merluza cola Industrial'!H39</f>
        <v>9.1999999999999998E-2</v>
      </c>
      <c r="L45" s="35">
        <f>'Merluza cola Industrial'!I39</f>
        <v>44.424999999999997</v>
      </c>
      <c r="M45" s="155">
        <f>'Merluza cola Industrial'!J39</f>
        <v>2.066626232675158E-3</v>
      </c>
      <c r="N45" s="40" t="s">
        <v>77</v>
      </c>
      <c r="O45" s="37">
        <f>'Merluza cola Industrial'!$B$5</f>
        <v>44020</v>
      </c>
      <c r="P45" s="61">
        <v>2020</v>
      </c>
    </row>
    <row r="46" spans="1:16">
      <c r="A46" s="36" t="s">
        <v>59</v>
      </c>
      <c r="B46" s="32" t="s">
        <v>60</v>
      </c>
      <c r="C46" s="34" t="s">
        <v>23</v>
      </c>
      <c r="D46" s="33" t="s">
        <v>58</v>
      </c>
      <c r="E46" s="34" t="str">
        <f>+'Merluza cola Industrial'!C$38</f>
        <v>CAMANCHACA PESCA SUR S.A.</v>
      </c>
      <c r="F46" t="s">
        <v>61</v>
      </c>
      <c r="G46" t="s">
        <v>64</v>
      </c>
      <c r="H46" s="35">
        <f>'Merluza cola Industrial'!K38</f>
        <v>44.516999999999996</v>
      </c>
      <c r="I46" s="35">
        <f>'Merluza cola Industrial'!L38</f>
        <v>0</v>
      </c>
      <c r="J46" s="35">
        <f>'Merluza cola Industrial'!M38</f>
        <v>44.516999999999996</v>
      </c>
      <c r="K46" s="35">
        <f>'Merluza cola Industrial'!N38</f>
        <v>9.1999999999999998E-2</v>
      </c>
      <c r="L46" s="35">
        <f>'Merluza cola Industrial'!O38</f>
        <v>44.424999999999997</v>
      </c>
      <c r="M46" s="155">
        <f>'Merluza cola Industrial'!P38</f>
        <v>2.066626232675158E-3</v>
      </c>
      <c r="N46" s="40" t="s">
        <v>77</v>
      </c>
      <c r="O46" s="37">
        <f>'Merluza cola Industrial'!$B$5</f>
        <v>44020</v>
      </c>
      <c r="P46" s="61">
        <v>2020</v>
      </c>
    </row>
    <row r="47" spans="1:16">
      <c r="A47" s="36" t="s">
        <v>59</v>
      </c>
      <c r="B47" s="32" t="s">
        <v>60</v>
      </c>
      <c r="C47" s="34" t="s">
        <v>23</v>
      </c>
      <c r="D47" s="33" t="s">
        <v>58</v>
      </c>
      <c r="E47" s="34" t="str">
        <f>+'Merluza cola Industrial'!C$40</f>
        <v>PESCA CISNE S.A.</v>
      </c>
      <c r="F47" s="32" t="s">
        <v>61</v>
      </c>
      <c r="G47" s="32" t="s">
        <v>62</v>
      </c>
      <c r="H47" s="35">
        <f>'Merluza cola Industrial'!E40</f>
        <v>4.2999999999999997E-2</v>
      </c>
      <c r="I47" s="35">
        <f>'Merluza cola Industrial'!F40</f>
        <v>-0.108</v>
      </c>
      <c r="J47" s="35">
        <f>'Merluza cola Industrial'!G40</f>
        <v>-6.5000000000000002E-2</v>
      </c>
      <c r="K47" s="35">
        <f>'Merluza cola Industrial'!H40</f>
        <v>0</v>
      </c>
      <c r="L47" s="35">
        <f>'Merluza cola Industrial'!I40</f>
        <v>-6.5000000000000002E-2</v>
      </c>
      <c r="M47" s="155">
        <f>'Merluza cola Industrial'!J40</f>
        <v>0</v>
      </c>
      <c r="N47" s="40" t="s">
        <v>77</v>
      </c>
      <c r="O47" s="37">
        <f>'Merluza cola Industrial'!$B$5</f>
        <v>44020</v>
      </c>
      <c r="P47" s="61">
        <v>2020</v>
      </c>
    </row>
    <row r="48" spans="1:16">
      <c r="A48" s="36" t="s">
        <v>59</v>
      </c>
      <c r="B48" s="32" t="s">
        <v>60</v>
      </c>
      <c r="C48" s="34" t="s">
        <v>23</v>
      </c>
      <c r="D48" s="33" t="s">
        <v>58</v>
      </c>
      <c r="E48" s="34" t="str">
        <f>+'Merluza cola Industrial'!C$40</f>
        <v>PESCA CISNE S.A.</v>
      </c>
      <c r="F48" t="s">
        <v>63</v>
      </c>
      <c r="G48" t="s">
        <v>64</v>
      </c>
      <c r="H48" s="35">
        <f>'Merluza cola Industrial'!E41</f>
        <v>6.5000000000000002E-2</v>
      </c>
      <c r="I48" s="35">
        <f>'Merluza cola Industrial'!F41</f>
        <v>0</v>
      </c>
      <c r="J48" s="35">
        <f>'Merluza cola Industrial'!G41</f>
        <v>0</v>
      </c>
      <c r="K48" s="35">
        <f>'Merluza cola Industrial'!H41</f>
        <v>0</v>
      </c>
      <c r="L48" s="35">
        <f>'Merluza cola Industrial'!I41</f>
        <v>0</v>
      </c>
      <c r="M48" s="155">
        <f>'Merluza cola Industrial'!J41</f>
        <v>0</v>
      </c>
      <c r="N48" s="40" t="s">
        <v>77</v>
      </c>
      <c r="O48" s="37">
        <f>'Merluza cola Industrial'!$B$5</f>
        <v>44020</v>
      </c>
      <c r="P48" s="61">
        <v>2020</v>
      </c>
    </row>
    <row r="49" spans="1:16">
      <c r="A49" s="36" t="s">
        <v>59</v>
      </c>
      <c r="B49" s="32" t="s">
        <v>60</v>
      </c>
      <c r="C49" s="34" t="s">
        <v>23</v>
      </c>
      <c r="D49" s="33" t="s">
        <v>58</v>
      </c>
      <c r="E49" s="34" t="str">
        <f>+'Merluza cola Industrial'!C$40</f>
        <v>PESCA CISNE S.A.</v>
      </c>
      <c r="F49" t="s">
        <v>61</v>
      </c>
      <c r="G49" t="s">
        <v>64</v>
      </c>
      <c r="H49" s="35">
        <f>'Merluza cola Industrial'!K40</f>
        <v>0.108</v>
      </c>
      <c r="I49" s="35">
        <f>'Merluza cola Industrial'!L40</f>
        <v>-0.108</v>
      </c>
      <c r="J49" s="35">
        <f>'Merluza cola Industrial'!M40</f>
        <v>0</v>
      </c>
      <c r="K49" s="35">
        <f>'Merluza cola Industrial'!N40</f>
        <v>0</v>
      </c>
      <c r="L49" s="35">
        <f>'Merluza cola Industrial'!O40</f>
        <v>0</v>
      </c>
      <c r="M49" s="155">
        <f>'Merluza cola Industrial'!P40</f>
        <v>0</v>
      </c>
      <c r="N49" s="40" t="s">
        <v>77</v>
      </c>
      <c r="O49" s="37">
        <f>'Merluza cola Industrial'!$B$5</f>
        <v>44020</v>
      </c>
      <c r="P49" s="61">
        <v>2020</v>
      </c>
    </row>
    <row r="50" spans="1:16">
      <c r="A50" s="36" t="s">
        <v>59</v>
      </c>
      <c r="B50" s="32" t="s">
        <v>60</v>
      </c>
      <c r="C50" s="34" t="s">
        <v>23</v>
      </c>
      <c r="D50" s="33" t="s">
        <v>58</v>
      </c>
      <c r="E50" s="34" t="str">
        <f>+'Merluza cola Industrial'!C$42</f>
        <v xml:space="preserve">EMDEPES S.A.                      </v>
      </c>
      <c r="F50" s="32" t="s">
        <v>61</v>
      </c>
      <c r="G50" s="32" t="s">
        <v>62</v>
      </c>
      <c r="H50" s="35">
        <f>'Merluza cola Industrial'!E42</f>
        <v>361.03500000000003</v>
      </c>
      <c r="I50" s="35">
        <f>'Merluza cola Industrial'!F42</f>
        <v>-902.67200000000003</v>
      </c>
      <c r="J50" s="35">
        <f>'Merluza cola Industrial'!G42</f>
        <v>-541.63699999999994</v>
      </c>
      <c r="K50" s="35">
        <f>'Merluza cola Industrial'!H42</f>
        <v>0</v>
      </c>
      <c r="L50" s="35">
        <f>'Merluza cola Industrial'!I42</f>
        <v>-541.63699999999994</v>
      </c>
      <c r="M50" s="155">
        <f>'Merluza cola Industrial'!J42</f>
        <v>0</v>
      </c>
      <c r="N50" s="40" t="s">
        <v>77</v>
      </c>
      <c r="O50" s="37">
        <f>'Merluza cola Industrial'!$B$5</f>
        <v>44020</v>
      </c>
      <c r="P50" s="61">
        <v>2020</v>
      </c>
    </row>
    <row r="51" spans="1:16">
      <c r="A51" s="36" t="s">
        <v>59</v>
      </c>
      <c r="B51" s="32" t="s">
        <v>60</v>
      </c>
      <c r="C51" s="34" t="s">
        <v>23</v>
      </c>
      <c r="D51" s="33" t="s">
        <v>58</v>
      </c>
      <c r="E51" s="34" t="str">
        <f>+'Merluza cola Industrial'!C$42</f>
        <v xml:space="preserve">EMDEPES S.A.                      </v>
      </c>
      <c r="F51" t="s">
        <v>63</v>
      </c>
      <c r="G51" t="s">
        <v>64</v>
      </c>
      <c r="H51" s="35">
        <f>'Merluza cola Industrial'!E43</f>
        <v>541.63699999999994</v>
      </c>
      <c r="I51" s="35">
        <f>'Merluza cola Industrial'!F43</f>
        <v>0</v>
      </c>
      <c r="J51" s="35">
        <f>'Merluza cola Industrial'!G43</f>
        <v>0</v>
      </c>
      <c r="K51" s="35">
        <f>'Merluza cola Industrial'!H43</f>
        <v>0</v>
      </c>
      <c r="L51" s="35">
        <f>'Merluza cola Industrial'!I43</f>
        <v>0</v>
      </c>
      <c r="M51" s="155">
        <f>'Merluza cola Industrial'!J43</f>
        <v>0</v>
      </c>
      <c r="N51" s="40" t="s">
        <v>77</v>
      </c>
      <c r="O51" s="37">
        <f>'Merluza cola Industrial'!$B$5</f>
        <v>44020</v>
      </c>
      <c r="P51" s="61">
        <v>2020</v>
      </c>
    </row>
    <row r="52" spans="1:16">
      <c r="A52" s="36" t="s">
        <v>59</v>
      </c>
      <c r="B52" s="32" t="s">
        <v>60</v>
      </c>
      <c r="C52" s="34" t="s">
        <v>23</v>
      </c>
      <c r="D52" s="33" t="s">
        <v>58</v>
      </c>
      <c r="E52" s="34" t="str">
        <f>+'Merluza cola Industrial'!C$42</f>
        <v xml:space="preserve">EMDEPES S.A.                      </v>
      </c>
      <c r="F52" t="s">
        <v>61</v>
      </c>
      <c r="G52" t="s">
        <v>64</v>
      </c>
      <c r="H52" s="35">
        <f>'Merluza cola Industrial'!K42</f>
        <v>902.67200000000003</v>
      </c>
      <c r="I52" s="35">
        <f>'Merluza cola Industrial'!L42</f>
        <v>-902.67200000000003</v>
      </c>
      <c r="J52" s="35">
        <f>'Merluza cola Industrial'!M42</f>
        <v>0</v>
      </c>
      <c r="K52" s="35">
        <f>'Merluza cola Industrial'!N42</f>
        <v>0</v>
      </c>
      <c r="L52" s="35">
        <f>'Merluza cola Industrial'!O42</f>
        <v>0</v>
      </c>
      <c r="M52" s="155">
        <f>'Merluza cola Industrial'!P42</f>
        <v>0</v>
      </c>
      <c r="N52" s="40" t="s">
        <v>77</v>
      </c>
      <c r="O52" s="37">
        <f>'Merluza cola Industrial'!$B$5</f>
        <v>44020</v>
      </c>
      <c r="P52" s="61">
        <v>2020</v>
      </c>
    </row>
    <row r="53" spans="1:16" s="61" customFormat="1">
      <c r="A53" s="36" t="s">
        <v>59</v>
      </c>
      <c r="B53" s="32" t="s">
        <v>60</v>
      </c>
      <c r="C53" s="34" t="s">
        <v>23</v>
      </c>
      <c r="D53" s="33" t="s">
        <v>58</v>
      </c>
      <c r="E53" s="34" t="str">
        <f>+'Merluza cola Industrial'!C$44</f>
        <v>ALIMENTOS MARINOS S.A</v>
      </c>
      <c r="F53" s="32" t="s">
        <v>61</v>
      </c>
      <c r="G53" s="32" t="s">
        <v>62</v>
      </c>
      <c r="H53" s="35">
        <f>+'Merluza cola Industrial'!E44</f>
        <v>0.21299999999999999</v>
      </c>
      <c r="I53" s="35">
        <f>+'Merluza cola Industrial'!F44</f>
        <v>0</v>
      </c>
      <c r="J53" s="35">
        <f>+'Merluza cola Industrial'!G44</f>
        <v>0.21299999999999999</v>
      </c>
      <c r="K53" s="35">
        <f>+'Merluza cola Industrial'!H44</f>
        <v>0</v>
      </c>
      <c r="L53" s="35">
        <f>+'Merluza cola Industrial'!I44</f>
        <v>0.21299999999999999</v>
      </c>
      <c r="M53" s="155">
        <f>+'Merluza cola Industrial'!J44</f>
        <v>0</v>
      </c>
      <c r="N53" s="40" t="s">
        <v>77</v>
      </c>
      <c r="O53" s="37">
        <f>'Merluza cola Industrial'!$B$5</f>
        <v>44020</v>
      </c>
      <c r="P53" s="61">
        <v>2020</v>
      </c>
    </row>
    <row r="54" spans="1:16" s="61" customFormat="1">
      <c r="A54" s="36" t="s">
        <v>59</v>
      </c>
      <c r="B54" s="32" t="s">
        <v>60</v>
      </c>
      <c r="C54" s="34" t="s">
        <v>23</v>
      </c>
      <c r="D54" s="33" t="s">
        <v>58</v>
      </c>
      <c r="E54" s="34" t="str">
        <f>+'Merluza cola Industrial'!C$44</f>
        <v>ALIMENTOS MARINOS S.A</v>
      </c>
      <c r="F54" s="61" t="s">
        <v>63</v>
      </c>
      <c r="G54" s="61" t="s">
        <v>64</v>
      </c>
      <c r="H54" s="35">
        <f>+'Merluza cola Industrial'!E45</f>
        <v>0.32</v>
      </c>
      <c r="I54" s="35">
        <f>+'Merluza cola Industrial'!F45</f>
        <v>0</v>
      </c>
      <c r="J54" s="35">
        <f>+'Merluza cola Industrial'!G45</f>
        <v>0.32</v>
      </c>
      <c r="K54" s="35">
        <f>+'Merluza cola Industrial'!H45</f>
        <v>0</v>
      </c>
      <c r="L54" s="35">
        <f>+'Merluza cola Industrial'!I45</f>
        <v>0.32</v>
      </c>
      <c r="M54" s="155">
        <f>+'Merluza cola Industrial'!J45</f>
        <v>0</v>
      </c>
      <c r="N54" s="40" t="s">
        <v>77</v>
      </c>
      <c r="O54" s="37">
        <f>'Merluza cola Industrial'!$B$5</f>
        <v>44020</v>
      </c>
      <c r="P54" s="61">
        <v>2020</v>
      </c>
    </row>
    <row r="55" spans="1:16" s="61" customFormat="1">
      <c r="A55" s="36" t="s">
        <v>59</v>
      </c>
      <c r="B55" s="32" t="s">
        <v>60</v>
      </c>
      <c r="C55" s="34" t="s">
        <v>23</v>
      </c>
      <c r="D55" s="33" t="s">
        <v>58</v>
      </c>
      <c r="E55" s="34" t="str">
        <f>+'Merluza cola Industrial'!C$44</f>
        <v>ALIMENTOS MARINOS S.A</v>
      </c>
      <c r="F55" s="61" t="s">
        <v>61</v>
      </c>
      <c r="G55" s="61" t="s">
        <v>64</v>
      </c>
      <c r="H55" s="35">
        <f>'Merluza cola Industrial'!K44</f>
        <v>0.53300000000000003</v>
      </c>
      <c r="I55" s="35">
        <f>'Merluza cola Industrial'!L44</f>
        <v>0</v>
      </c>
      <c r="J55" s="35">
        <f>'Merluza cola Industrial'!M44</f>
        <v>0.53300000000000003</v>
      </c>
      <c r="K55" s="35">
        <f>'Merluza cola Industrial'!N44</f>
        <v>0</v>
      </c>
      <c r="L55" s="35">
        <f>'Merluza cola Industrial'!O44</f>
        <v>0.53300000000000003</v>
      </c>
      <c r="M55" s="155">
        <f>'Merluza cola Industrial'!P44</f>
        <v>0</v>
      </c>
      <c r="N55" s="40" t="s">
        <v>77</v>
      </c>
      <c r="O55" s="37">
        <f>'Merluza cola Industrial'!$B$5</f>
        <v>44020</v>
      </c>
      <c r="P55" s="61">
        <v>2020</v>
      </c>
    </row>
    <row r="56" spans="1:16" s="61" customFormat="1">
      <c r="A56" s="36" t="s">
        <v>59</v>
      </c>
      <c r="B56" s="32" t="s">
        <v>60</v>
      </c>
      <c r="C56" s="34" t="s">
        <v>23</v>
      </c>
      <c r="D56" s="33" t="s">
        <v>58</v>
      </c>
      <c r="E56" s="34" t="str">
        <f>+'Merluza cola Industrial'!C$50</f>
        <v>COMERCIAL Y CONSERVERA SAN LORENZO Ltda.</v>
      </c>
      <c r="F56" s="32" t="s">
        <v>61</v>
      </c>
      <c r="G56" s="32" t="s">
        <v>62</v>
      </c>
      <c r="H56" s="35">
        <f>'Merluza cola Industrial'!E50</f>
        <v>0.17</v>
      </c>
      <c r="I56" s="35">
        <f>'Merluza cola Industrial'!F50</f>
        <v>0</v>
      </c>
      <c r="J56" s="35">
        <f>'Merluza cola Industrial'!G50</f>
        <v>0.17</v>
      </c>
      <c r="K56" s="35">
        <f>'Merluza cola Industrial'!H50</f>
        <v>0</v>
      </c>
      <c r="L56" s="35">
        <f>'Merluza cola Industrial'!I50</f>
        <v>0.17</v>
      </c>
      <c r="M56" s="155">
        <f>'Merluza cola Industrial'!J50</f>
        <v>0</v>
      </c>
      <c r="N56" s="40" t="s">
        <v>77</v>
      </c>
      <c r="O56" s="37">
        <f>'Merluza cola Industrial'!$B$5</f>
        <v>44020</v>
      </c>
      <c r="P56" s="61">
        <v>2020</v>
      </c>
    </row>
    <row r="57" spans="1:16" s="61" customFormat="1">
      <c r="A57" s="36" t="s">
        <v>59</v>
      </c>
      <c r="B57" s="32" t="s">
        <v>60</v>
      </c>
      <c r="C57" s="34" t="s">
        <v>23</v>
      </c>
      <c r="D57" s="33" t="s">
        <v>58</v>
      </c>
      <c r="E57" s="34" t="str">
        <f>+'Merluza cola Industrial'!C$50</f>
        <v>COMERCIAL Y CONSERVERA SAN LORENZO Ltda.</v>
      </c>
      <c r="F57" s="61" t="s">
        <v>63</v>
      </c>
      <c r="G57" s="61" t="s">
        <v>64</v>
      </c>
      <c r="H57" s="35">
        <f>'Merluza cola Industrial'!E51</f>
        <v>0.25600000000000001</v>
      </c>
      <c r="I57" s="35">
        <f>'Merluza cola Industrial'!F51</f>
        <v>0</v>
      </c>
      <c r="J57" s="35">
        <f>'Merluza cola Industrial'!G51</f>
        <v>0.25600000000000001</v>
      </c>
      <c r="K57" s="35">
        <f>'Merluza cola Industrial'!H51</f>
        <v>0</v>
      </c>
      <c r="L57" s="35">
        <f>'Merluza cola Industrial'!I51</f>
        <v>0.25600000000000001</v>
      </c>
      <c r="M57" s="155">
        <f>'Merluza cola Industrial'!J51</f>
        <v>0</v>
      </c>
      <c r="N57" s="40" t="s">
        <v>77</v>
      </c>
      <c r="O57" s="37">
        <f>'Merluza cola Industrial'!$B$5</f>
        <v>44020</v>
      </c>
      <c r="P57" s="61">
        <v>2020</v>
      </c>
    </row>
    <row r="58" spans="1:16" s="61" customFormat="1">
      <c r="A58" s="36" t="s">
        <v>59</v>
      </c>
      <c r="B58" s="32" t="s">
        <v>60</v>
      </c>
      <c r="C58" s="34" t="s">
        <v>23</v>
      </c>
      <c r="D58" s="33" t="s">
        <v>58</v>
      </c>
      <c r="E58" s="34" t="str">
        <f>+'Merluza cola Industrial'!C$50</f>
        <v>COMERCIAL Y CONSERVERA SAN LORENZO Ltda.</v>
      </c>
      <c r="F58" s="61" t="s">
        <v>61</v>
      </c>
      <c r="G58" s="61" t="s">
        <v>64</v>
      </c>
      <c r="H58" s="35">
        <f>'Merluza cola Industrial'!K50</f>
        <v>0.42600000000000005</v>
      </c>
      <c r="I58" s="35">
        <f>'Merluza cola Industrial'!L50</f>
        <v>0</v>
      </c>
      <c r="J58" s="35">
        <f>'Merluza cola Industrial'!M50</f>
        <v>0.42600000000000005</v>
      </c>
      <c r="K58" s="35">
        <f>'Merluza cola Industrial'!N50</f>
        <v>0</v>
      </c>
      <c r="L58" s="35">
        <f>'Merluza cola Industrial'!O50</f>
        <v>0.42600000000000005</v>
      </c>
      <c r="M58" s="155">
        <f>'Merluza cola Industrial'!P50</f>
        <v>0</v>
      </c>
      <c r="N58" s="40" t="s">
        <v>77</v>
      </c>
      <c r="O58" s="37">
        <f>'Merluza cola Industrial'!$B$5</f>
        <v>44020</v>
      </c>
      <c r="P58" s="61">
        <v>2020</v>
      </c>
    </row>
    <row r="59" spans="1:16">
      <c r="A59" s="36" t="s">
        <v>59</v>
      </c>
      <c r="B59" s="32" t="s">
        <v>60</v>
      </c>
      <c r="C59" s="34" t="s">
        <v>23</v>
      </c>
      <c r="D59" s="31" t="s">
        <v>66</v>
      </c>
      <c r="E59" s="31" t="s">
        <v>67</v>
      </c>
      <c r="F59" s="32" t="s">
        <v>61</v>
      </c>
      <c r="G59" s="32" t="s">
        <v>64</v>
      </c>
      <c r="H59" s="35">
        <f>'Merluza cola Industrial'!AC11</f>
        <v>10651.273999999998</v>
      </c>
      <c r="I59" s="35">
        <f>'Merluza cola Industrial'!AD11</f>
        <v>-902.78</v>
      </c>
      <c r="J59" s="35">
        <f>'Merluza cola Industrial'!AE11</f>
        <v>9748.493999999997</v>
      </c>
      <c r="K59" s="35">
        <f>'Merluza cola Industrial'!AF11</f>
        <v>1810.6160000000002</v>
      </c>
      <c r="L59" s="35">
        <f>'Merluza cola Industrial'!AG11</f>
        <v>7937.877999999997</v>
      </c>
      <c r="M59" s="155">
        <f>'Merluza cola Industrial'!AH11</f>
        <v>0.18573289371671162</v>
      </c>
      <c r="N59" s="40" t="s">
        <v>77</v>
      </c>
      <c r="O59" s="37">
        <f>'Merluza cola Industrial'!$B$5</f>
        <v>44020</v>
      </c>
      <c r="P59" s="61">
        <v>2020</v>
      </c>
    </row>
    <row r="60" spans="1:16">
      <c r="A60" s="36" t="s">
        <v>68</v>
      </c>
      <c r="B60" s="32" t="s">
        <v>60</v>
      </c>
      <c r="C60" s="34" t="s">
        <v>30</v>
      </c>
      <c r="D60" s="33" t="s">
        <v>58</v>
      </c>
      <c r="E60" s="34" t="str">
        <f>+'Merluza cola Industrial'!C$55</f>
        <v>PACIFICBLU SpA.</v>
      </c>
      <c r="F60" s="32" t="s">
        <v>61</v>
      </c>
      <c r="G60" s="32" t="s">
        <v>62</v>
      </c>
      <c r="H60" s="35">
        <f>'Merluza cola Industrial'!E55</f>
        <v>1.075</v>
      </c>
      <c r="I60" s="35">
        <f>'Merluza cola Industrial'!F55</f>
        <v>0</v>
      </c>
      <c r="J60" s="35">
        <f>'Merluza cola Industrial'!G55</f>
        <v>1.075</v>
      </c>
      <c r="K60" s="35">
        <f>'Merluza cola Industrial'!H55</f>
        <v>0</v>
      </c>
      <c r="L60" s="35">
        <f>'Merluza cola Industrial'!I55</f>
        <v>1.075</v>
      </c>
      <c r="M60" s="155">
        <f>'Merluza cola Industrial'!J53</f>
        <v>0</v>
      </c>
      <c r="N60" s="40" t="s">
        <v>77</v>
      </c>
      <c r="O60" s="37">
        <f>'Merluza cola Industrial'!$B$5</f>
        <v>44020</v>
      </c>
      <c r="P60" s="61">
        <v>2020</v>
      </c>
    </row>
    <row r="61" spans="1:16">
      <c r="A61" s="36" t="s">
        <v>68</v>
      </c>
      <c r="B61" s="32" t="s">
        <v>60</v>
      </c>
      <c r="C61" s="34" t="s">
        <v>30</v>
      </c>
      <c r="D61" s="33" t="s">
        <v>58</v>
      </c>
      <c r="E61" s="34" t="str">
        <f>+'Merluza cola Industrial'!C$55</f>
        <v>PACIFICBLU SpA.</v>
      </c>
      <c r="F61" t="s">
        <v>63</v>
      </c>
      <c r="G61" t="s">
        <v>64</v>
      </c>
      <c r="H61" s="35">
        <f>'Merluza cola Industrial'!E56</f>
        <v>1.6120000000000001</v>
      </c>
      <c r="I61" s="35">
        <f>'Merluza cola Industrial'!F56</f>
        <v>0</v>
      </c>
      <c r="J61" s="35">
        <f>'Merluza cola Industrial'!G56</f>
        <v>2.6870000000000003</v>
      </c>
      <c r="K61" s="35">
        <f>'Merluza cola Industrial'!H56</f>
        <v>0</v>
      </c>
      <c r="L61" s="35">
        <f>'Merluza cola Industrial'!I56</f>
        <v>2.6870000000000003</v>
      </c>
      <c r="M61" s="155">
        <f>'Merluza cola Industrial'!J54</f>
        <v>0</v>
      </c>
      <c r="N61" s="40" t="s">
        <v>77</v>
      </c>
      <c r="O61" s="37">
        <f>'Merluza cola Industrial'!$B$5</f>
        <v>44020</v>
      </c>
      <c r="P61" s="61">
        <v>2020</v>
      </c>
    </row>
    <row r="62" spans="1:16">
      <c r="A62" s="36" t="s">
        <v>68</v>
      </c>
      <c r="B62" s="32" t="s">
        <v>60</v>
      </c>
      <c r="C62" s="34" t="s">
        <v>30</v>
      </c>
      <c r="D62" s="33" t="s">
        <v>58</v>
      </c>
      <c r="E62" s="34" t="str">
        <f>+'Merluza cola Industrial'!C$55</f>
        <v>PACIFICBLU SpA.</v>
      </c>
      <c r="F62" t="s">
        <v>61</v>
      </c>
      <c r="G62" t="s">
        <v>64</v>
      </c>
      <c r="H62" s="35">
        <f>'Merluza cola Industrial'!K55</f>
        <v>2.6870000000000003</v>
      </c>
      <c r="I62" s="35">
        <f>'Merluza cola Industrial'!L55</f>
        <v>0</v>
      </c>
      <c r="J62" s="35">
        <f>'Merluza cola Industrial'!M55</f>
        <v>2.6870000000000003</v>
      </c>
      <c r="K62" s="35">
        <f>'Merluza cola Industrial'!N55</f>
        <v>0</v>
      </c>
      <c r="L62" s="35">
        <f>'Merluza cola Industrial'!O55</f>
        <v>2.6870000000000003</v>
      </c>
      <c r="M62" s="155">
        <f>'Merluza cola Industrial'!P55</f>
        <v>0</v>
      </c>
      <c r="N62" s="40" t="s">
        <v>77</v>
      </c>
      <c r="O62" s="37">
        <f>'Merluza cola Industrial'!$B$5</f>
        <v>44020</v>
      </c>
      <c r="P62" s="61">
        <v>2020</v>
      </c>
    </row>
    <row r="63" spans="1:16">
      <c r="A63" s="36" t="s">
        <v>68</v>
      </c>
      <c r="B63" s="32" t="s">
        <v>60</v>
      </c>
      <c r="C63" s="34" t="s">
        <v>30</v>
      </c>
      <c r="D63" s="33" t="s">
        <v>58</v>
      </c>
      <c r="E63" s="34" t="str">
        <f>+'Merluza cola Industrial'!C$57</f>
        <v xml:space="preserve">EMDEPES S.A.                     </v>
      </c>
      <c r="F63" s="32" t="s">
        <v>61</v>
      </c>
      <c r="G63" s="32" t="s">
        <v>62</v>
      </c>
      <c r="H63" s="35">
        <f>'Merluza cola Industrial'!E57</f>
        <v>1144.222</v>
      </c>
      <c r="I63" s="35">
        <f>'Merluza cola Industrial'!F57</f>
        <v>902.67200000000003</v>
      </c>
      <c r="J63" s="35">
        <f>'Merluza cola Industrial'!G57</f>
        <v>2046.894</v>
      </c>
      <c r="K63" s="35">
        <f>'Merluza cola Industrial'!H57</f>
        <v>920.79</v>
      </c>
      <c r="L63" s="35">
        <f>'Merluza cola Industrial'!I57</f>
        <v>1126.104</v>
      </c>
      <c r="M63" s="155">
        <f>'Merluza cola Industrial'!J55</f>
        <v>0</v>
      </c>
      <c r="N63" s="40" t="s">
        <v>77</v>
      </c>
      <c r="O63" s="37">
        <f>'Merluza cola Industrial'!$B$5</f>
        <v>44020</v>
      </c>
      <c r="P63" s="61">
        <v>2020</v>
      </c>
    </row>
    <row r="64" spans="1:16">
      <c r="A64" s="36" t="s">
        <v>68</v>
      </c>
      <c r="B64" s="32" t="s">
        <v>60</v>
      </c>
      <c r="C64" s="34" t="s">
        <v>30</v>
      </c>
      <c r="D64" s="33" t="s">
        <v>58</v>
      </c>
      <c r="E64" s="34" t="str">
        <f>+'Merluza cola Industrial'!C$57</f>
        <v xml:space="preserve">EMDEPES S.A.                     </v>
      </c>
      <c r="F64" t="s">
        <v>63</v>
      </c>
      <c r="G64" t="s">
        <v>64</v>
      </c>
      <c r="H64" s="35">
        <f>'Merluza cola Industrial'!E58</f>
        <v>1716.7360000000001</v>
      </c>
      <c r="I64" s="35">
        <f>'Merluza cola Industrial'!F58</f>
        <v>0</v>
      </c>
      <c r="J64" s="35">
        <f>'Merluza cola Industrial'!G58</f>
        <v>2842.84</v>
      </c>
      <c r="K64" s="35">
        <f>'Merluza cola Industrial'!H58</f>
        <v>2274.777</v>
      </c>
      <c r="L64" s="35">
        <f>'Merluza cola Industrial'!I58</f>
        <v>568.0630000000001</v>
      </c>
      <c r="M64" s="155">
        <f>'Merluza cola Industrial'!J56</f>
        <v>0</v>
      </c>
      <c r="N64" s="40" t="s">
        <v>77</v>
      </c>
      <c r="O64" s="37">
        <f>'Merluza cola Industrial'!$B$5</f>
        <v>44020</v>
      </c>
      <c r="P64" s="61">
        <v>2020</v>
      </c>
    </row>
    <row r="65" spans="1:16">
      <c r="A65" s="36" t="s">
        <v>68</v>
      </c>
      <c r="B65" s="32" t="s">
        <v>60</v>
      </c>
      <c r="C65" s="34" t="s">
        <v>30</v>
      </c>
      <c r="D65" s="33" t="s">
        <v>58</v>
      </c>
      <c r="E65" s="34" t="str">
        <f>+'Merluza cola Industrial'!C$57</f>
        <v xml:space="preserve">EMDEPES S.A.                     </v>
      </c>
      <c r="F65" t="s">
        <v>61</v>
      </c>
      <c r="G65" t="s">
        <v>64</v>
      </c>
      <c r="H65" s="35">
        <f>'Merluza cola Industrial'!K57</f>
        <v>2860.9580000000001</v>
      </c>
      <c r="I65" s="35">
        <f>'Merluza cola Industrial'!L57</f>
        <v>902.67200000000003</v>
      </c>
      <c r="J65" s="35">
        <f>'Merluza cola Industrial'!M57</f>
        <v>3763.63</v>
      </c>
      <c r="K65" s="35">
        <f>'Merluza cola Industrial'!N57</f>
        <v>3195.567</v>
      </c>
      <c r="L65" s="35">
        <f>'Merluza cola Industrial'!O57</f>
        <v>568.0630000000001</v>
      </c>
      <c r="M65" s="155">
        <f>'Merluza cola Industrial'!P57</f>
        <v>0.84906513126954564</v>
      </c>
      <c r="N65" s="40" t="s">
        <v>77</v>
      </c>
      <c r="O65" s="37">
        <f>'Merluza cola Industrial'!$B$5</f>
        <v>44020</v>
      </c>
      <c r="P65" s="61">
        <v>2020</v>
      </c>
    </row>
    <row r="66" spans="1:16">
      <c r="A66" s="36" t="s">
        <v>68</v>
      </c>
      <c r="B66" s="32" t="s">
        <v>60</v>
      </c>
      <c r="C66" s="34" t="s">
        <v>30</v>
      </c>
      <c r="D66" s="33" t="s">
        <v>58</v>
      </c>
      <c r="E66" s="34" t="str">
        <f>+'Merluza cola Industrial'!C$59</f>
        <v xml:space="preserve">GRIMAR S.A. </v>
      </c>
      <c r="F66" s="32" t="s">
        <v>61</v>
      </c>
      <c r="G66" s="32" t="s">
        <v>62</v>
      </c>
      <c r="H66" s="35">
        <f>'Merluza cola Industrial'!E59</f>
        <v>377.827</v>
      </c>
      <c r="I66" s="35">
        <f>'Merluza cola Industrial'!F59</f>
        <v>0</v>
      </c>
      <c r="J66" s="35">
        <f>'Merluza cola Industrial'!G59</f>
        <v>377.827</v>
      </c>
      <c r="K66" s="35">
        <f>'Merluza cola Industrial'!H59</f>
        <v>83.918999999999997</v>
      </c>
      <c r="L66" s="35">
        <f>'Merluza cola Industrial'!I59</f>
        <v>293.90800000000002</v>
      </c>
      <c r="M66" s="155">
        <f>'Merluza cola Industrial'!J57</f>
        <v>0.44984742737044514</v>
      </c>
      <c r="N66" s="40" t="s">
        <v>77</v>
      </c>
      <c r="O66" s="37">
        <f>'Merluza cola Industrial'!$B$5</f>
        <v>44020</v>
      </c>
      <c r="P66" s="61">
        <v>2020</v>
      </c>
    </row>
    <row r="67" spans="1:16">
      <c r="A67" s="36" t="s">
        <v>68</v>
      </c>
      <c r="B67" s="32" t="s">
        <v>60</v>
      </c>
      <c r="C67" s="34" t="s">
        <v>30</v>
      </c>
      <c r="D67" s="33" t="s">
        <v>58</v>
      </c>
      <c r="E67" s="34" t="str">
        <f>+'Merluza cola Industrial'!C$59</f>
        <v xml:space="preserve">GRIMAR S.A. </v>
      </c>
      <c r="F67" t="s">
        <v>63</v>
      </c>
      <c r="G67" t="s">
        <v>64</v>
      </c>
      <c r="H67" s="35">
        <f>'Merluza cola Industrial'!E60</f>
        <v>566.87300000000005</v>
      </c>
      <c r="I67" s="35">
        <f>'Merluza cola Industrial'!F60</f>
        <v>0</v>
      </c>
      <c r="J67" s="35">
        <f>'Merluza cola Industrial'!G60</f>
        <v>860.78100000000006</v>
      </c>
      <c r="K67" s="35">
        <f>'Merluza cola Industrial'!H60</f>
        <v>965.31</v>
      </c>
      <c r="L67" s="35">
        <f>'Merluza cola Industrial'!I60</f>
        <v>-104.52899999999988</v>
      </c>
      <c r="M67" s="155">
        <f>'Merluza cola Industrial'!J58</f>
        <v>0.80017763926214625</v>
      </c>
      <c r="N67" s="40" t="s">
        <v>77</v>
      </c>
      <c r="O67" s="37">
        <f>'Merluza cola Industrial'!$B$5</f>
        <v>44020</v>
      </c>
      <c r="P67" s="61">
        <v>2020</v>
      </c>
    </row>
    <row r="68" spans="1:16">
      <c r="A68" s="36" t="s">
        <v>68</v>
      </c>
      <c r="B68" s="32" t="s">
        <v>60</v>
      </c>
      <c r="C68" s="34" t="s">
        <v>30</v>
      </c>
      <c r="D68" s="33" t="s">
        <v>58</v>
      </c>
      <c r="E68" s="34" t="str">
        <f>+'Merluza cola Industrial'!C$59</f>
        <v xml:space="preserve">GRIMAR S.A. </v>
      </c>
      <c r="F68" t="s">
        <v>61</v>
      </c>
      <c r="G68" t="s">
        <v>64</v>
      </c>
      <c r="H68" s="35">
        <f>'Merluza cola Industrial'!K59</f>
        <v>944.7</v>
      </c>
      <c r="I68" s="35">
        <f>'Merluza cola Industrial'!L59</f>
        <v>0</v>
      </c>
      <c r="J68" s="35">
        <f>'Merluza cola Industrial'!M59</f>
        <v>944.7</v>
      </c>
      <c r="K68" s="35">
        <f>'Merluza cola Industrial'!N59</f>
        <v>1049.229</v>
      </c>
      <c r="L68" s="35">
        <f>'Merluza cola Industrial'!O59</f>
        <v>-104.529</v>
      </c>
      <c r="M68" s="155">
        <f>'Merluza cola Industrial'!P59</f>
        <v>1.1106478247062559</v>
      </c>
      <c r="N68" s="40" t="s">
        <v>77</v>
      </c>
      <c r="O68" s="37">
        <f>'Merluza cola Industrial'!$B$5</f>
        <v>44020</v>
      </c>
      <c r="P68" s="61">
        <v>2020</v>
      </c>
    </row>
    <row r="69" spans="1:16">
      <c r="A69" s="36" t="s">
        <v>68</v>
      </c>
      <c r="B69" s="32" t="s">
        <v>60</v>
      </c>
      <c r="C69" s="34" t="s">
        <v>30</v>
      </c>
      <c r="D69" s="33" t="s">
        <v>58</v>
      </c>
      <c r="E69" s="34" t="str">
        <f>+'Merluza cola Industrial'!C$61</f>
        <v xml:space="preserve">DERIS S.A.                  </v>
      </c>
      <c r="F69" s="32" t="s">
        <v>61</v>
      </c>
      <c r="G69" s="32" t="s">
        <v>62</v>
      </c>
      <c r="H69" s="35">
        <f>'Merluza cola Industrial'!E61</f>
        <v>833.29</v>
      </c>
      <c r="I69" s="35">
        <f>'Merluza cola Industrial'!F61</f>
        <v>0</v>
      </c>
      <c r="J69" s="35">
        <f>'Merluza cola Industrial'!G61</f>
        <v>833.29</v>
      </c>
      <c r="K69" s="35">
        <f>'Merluza cola Industrial'!H61</f>
        <v>3.1880000000000002</v>
      </c>
      <c r="L69" s="35">
        <f>'Merluza cola Industrial'!I61</f>
        <v>830.10199999999998</v>
      </c>
      <c r="M69" s="155">
        <f>'Merluza cola Industrial'!J59</f>
        <v>0.22210958983873572</v>
      </c>
      <c r="N69" s="40" t="s">
        <v>77</v>
      </c>
      <c r="O69" s="37">
        <f>'Merluza cola Industrial'!$B$5</f>
        <v>44020</v>
      </c>
      <c r="P69" s="61">
        <v>2020</v>
      </c>
    </row>
    <row r="70" spans="1:16">
      <c r="A70" s="36" t="s">
        <v>68</v>
      </c>
      <c r="B70" s="32" t="s">
        <v>60</v>
      </c>
      <c r="C70" s="34" t="s">
        <v>30</v>
      </c>
      <c r="D70" s="33" t="s">
        <v>58</v>
      </c>
      <c r="E70" s="34" t="str">
        <f>+'Merluza cola Industrial'!C$61</f>
        <v xml:space="preserve">DERIS S.A.                  </v>
      </c>
      <c r="F70" t="s">
        <v>63</v>
      </c>
      <c r="G70" t="s">
        <v>64</v>
      </c>
      <c r="H70" s="35">
        <f>'Merluza cola Industrial'!E62</f>
        <v>1250.299</v>
      </c>
      <c r="I70" s="35">
        <f>'Merluza cola Industrial'!F62</f>
        <v>0</v>
      </c>
      <c r="J70" s="35">
        <f>'Merluza cola Industrial'!G62</f>
        <v>2080.4009999999998</v>
      </c>
      <c r="K70" s="35">
        <f>'Merluza cola Industrial'!H62</f>
        <v>1.4730000000000001</v>
      </c>
      <c r="L70" s="35">
        <f>'Merluza cola Industrial'!I62</f>
        <v>2078.9279999999999</v>
      </c>
      <c r="M70" s="155">
        <f>'Merluza cola Industrial'!J60</f>
        <v>1.121435068850265</v>
      </c>
      <c r="N70" s="40" t="s">
        <v>77</v>
      </c>
      <c r="O70" s="37">
        <f>'Merluza cola Industrial'!$B$5</f>
        <v>44020</v>
      </c>
      <c r="P70" s="61">
        <v>2020</v>
      </c>
    </row>
    <row r="71" spans="1:16">
      <c r="A71" s="36" t="s">
        <v>68</v>
      </c>
      <c r="B71" s="32" t="s">
        <v>60</v>
      </c>
      <c r="C71" s="34" t="s">
        <v>30</v>
      </c>
      <c r="D71" s="33" t="s">
        <v>58</v>
      </c>
      <c r="E71" s="34" t="str">
        <f>+'Merluza cola Industrial'!C$61</f>
        <v xml:space="preserve">DERIS S.A.                  </v>
      </c>
      <c r="F71" t="s">
        <v>61</v>
      </c>
      <c r="G71" t="s">
        <v>64</v>
      </c>
      <c r="H71" s="35">
        <f>'Merluza cola Industrial'!K61</f>
        <v>2083.5889999999999</v>
      </c>
      <c r="I71" s="35">
        <f>'Merluza cola Industrial'!L61</f>
        <v>0</v>
      </c>
      <c r="J71" s="35">
        <f>'Merluza cola Industrial'!M61</f>
        <v>2083.5889999999999</v>
      </c>
      <c r="K71" s="35">
        <f>'Merluza cola Industrial'!N61</f>
        <v>4.6610000000000005</v>
      </c>
      <c r="L71" s="35">
        <f>'Merluza cola Industrial'!O61</f>
        <v>2078.9279999999999</v>
      </c>
      <c r="M71" s="155">
        <f>'Merluza cola Industrial'!P61</f>
        <v>2.2370054746881467E-3</v>
      </c>
      <c r="N71" s="40" t="s">
        <v>77</v>
      </c>
      <c r="O71" s="37">
        <f>'Merluza cola Industrial'!$B$5</f>
        <v>44020</v>
      </c>
      <c r="P71" s="61">
        <v>2020</v>
      </c>
    </row>
    <row r="72" spans="1:16">
      <c r="A72" s="36" t="s">
        <v>68</v>
      </c>
      <c r="B72" s="32" t="s">
        <v>60</v>
      </c>
      <c r="C72" s="34" t="s">
        <v>30</v>
      </c>
      <c r="D72" s="33" t="s">
        <v>58</v>
      </c>
      <c r="E72" s="34" t="str">
        <f>+'Merluza cola Industrial'!C$63</f>
        <v xml:space="preserve">PESCA CISNE S.A.             </v>
      </c>
      <c r="F72" s="32" t="s">
        <v>61</v>
      </c>
      <c r="G72" s="32" t="s">
        <v>62</v>
      </c>
      <c r="H72" s="35">
        <f>'Merluza cola Industrial'!E63</f>
        <v>2.8400000000000002E-2</v>
      </c>
      <c r="I72" s="35">
        <f>'Merluza cola Industrial'!F63</f>
        <v>0.108</v>
      </c>
      <c r="J72" s="35">
        <f>'Merluza cola Industrial'!G63</f>
        <v>0.13639999999999999</v>
      </c>
      <c r="K72" s="35">
        <f>'Merluza cola Industrial'!H63</f>
        <v>0.14899999999999999</v>
      </c>
      <c r="L72" s="35">
        <f>'Merluza cola Industrial'!I63</f>
        <v>-1.26E-2</v>
      </c>
      <c r="M72" s="155">
        <f>'Merluza cola Industrial'!J61</f>
        <v>3.8257989415449605E-3</v>
      </c>
      <c r="N72" s="40" t="s">
        <v>77</v>
      </c>
      <c r="O72" s="37">
        <f>'Merluza cola Industrial'!$B$5</f>
        <v>44020</v>
      </c>
      <c r="P72" s="61">
        <v>2020</v>
      </c>
    </row>
    <row r="73" spans="1:16">
      <c r="A73" s="36" t="s">
        <v>68</v>
      </c>
      <c r="B73" s="32" t="s">
        <v>60</v>
      </c>
      <c r="C73" s="34" t="s">
        <v>30</v>
      </c>
      <c r="D73" s="33" t="s">
        <v>58</v>
      </c>
      <c r="E73" s="34" t="str">
        <f>+'Merluza cola Industrial'!C$63</f>
        <v xml:space="preserve">PESCA CISNE S.A.             </v>
      </c>
      <c r="F73" t="s">
        <v>63</v>
      </c>
      <c r="G73" t="s">
        <v>64</v>
      </c>
      <c r="H73" s="35">
        <f>'Merluza cola Industrial'!E64</f>
        <v>4.2599999999999999E-2</v>
      </c>
      <c r="I73" s="35">
        <f>'Merluza cola Industrial'!F64</f>
        <v>0</v>
      </c>
      <c r="J73" s="35">
        <f>'Merluza cola Industrial'!G64</f>
        <v>0.03</v>
      </c>
      <c r="K73" s="35">
        <f>'Merluza cola Industrial'!H64</f>
        <v>0</v>
      </c>
      <c r="L73" s="35">
        <f>'Merluza cola Industrial'!I64</f>
        <v>0.03</v>
      </c>
      <c r="M73" s="155">
        <f>'Merluza cola Industrial'!J62</f>
        <v>7.0803657564094625E-4</v>
      </c>
      <c r="N73" s="40" t="s">
        <v>77</v>
      </c>
      <c r="O73" s="37">
        <f>'Merluza cola Industrial'!$B$5</f>
        <v>44020</v>
      </c>
      <c r="P73" s="61">
        <v>2020</v>
      </c>
    </row>
    <row r="74" spans="1:16">
      <c r="A74" s="36" t="s">
        <v>68</v>
      </c>
      <c r="B74" s="32" t="s">
        <v>60</v>
      </c>
      <c r="C74" s="34" t="s">
        <v>30</v>
      </c>
      <c r="D74" s="33" t="s">
        <v>58</v>
      </c>
      <c r="E74" s="34" t="str">
        <f>+'Merluza cola Industrial'!C$63</f>
        <v xml:space="preserve">PESCA CISNE S.A.             </v>
      </c>
      <c r="F74" t="s">
        <v>61</v>
      </c>
      <c r="G74" t="s">
        <v>64</v>
      </c>
      <c r="H74" s="35">
        <f>'Merluza cola Industrial'!K63</f>
        <v>7.1000000000000008E-2</v>
      </c>
      <c r="I74" s="35">
        <f>'Merluza cola Industrial'!L63</f>
        <v>0.108</v>
      </c>
      <c r="J74" s="35">
        <f>'Merluza cola Industrial'!M63</f>
        <v>0.17899999999999999</v>
      </c>
      <c r="K74" s="35">
        <f>'Merluza cola Industrial'!N63</f>
        <v>0.14899999999999999</v>
      </c>
      <c r="L74" s="35">
        <f>'Merluza cola Industrial'!O63</f>
        <v>0.03</v>
      </c>
      <c r="M74" s="155">
        <f>'Merluza cola Industrial'!J63</f>
        <v>1.0923753665689149</v>
      </c>
      <c r="N74" s="40" t="s">
        <v>77</v>
      </c>
      <c r="O74" s="37">
        <f>'Merluza cola Industrial'!$B$5</f>
        <v>44020</v>
      </c>
      <c r="P74" s="61">
        <v>2020</v>
      </c>
    </row>
    <row r="75" spans="1:16">
      <c r="A75" s="36" t="s">
        <v>68</v>
      </c>
      <c r="B75" s="32" t="s">
        <v>60</v>
      </c>
      <c r="C75" s="34" t="s">
        <v>30</v>
      </c>
      <c r="D75" s="33" t="s">
        <v>58</v>
      </c>
      <c r="E75" s="34" t="str">
        <f>+'Merluza cola Industrial'!C$65</f>
        <v xml:space="preserve">SUR AUSTRAL S.A. </v>
      </c>
      <c r="F75" s="32" t="s">
        <v>61</v>
      </c>
      <c r="G75" s="32" t="s">
        <v>62</v>
      </c>
      <c r="H75" s="35">
        <f>'Merluza cola Industrial'!E65</f>
        <v>483.54500000000002</v>
      </c>
      <c r="I75" s="35">
        <f>'Merluza cola Industrial'!F65</f>
        <v>0</v>
      </c>
      <c r="J75" s="35">
        <f>'Merluza cola Industrial'!G65</f>
        <v>483.54500000000002</v>
      </c>
      <c r="K75" s="35">
        <f>'Merluza cola Industrial'!H65</f>
        <v>35.417999999999999</v>
      </c>
      <c r="L75" s="35">
        <f>'Merluza cola Industrial'!I65</f>
        <v>448.12700000000001</v>
      </c>
      <c r="M75" s="155">
        <f>'Merluza cola Industrial'!J63</f>
        <v>1.0923753665689149</v>
      </c>
      <c r="N75" s="40" t="s">
        <v>77</v>
      </c>
      <c r="O75" s="37">
        <f>'Merluza cola Industrial'!$B$5</f>
        <v>44020</v>
      </c>
      <c r="P75" s="61">
        <v>2020</v>
      </c>
    </row>
    <row r="76" spans="1:16">
      <c r="A76" s="36" t="s">
        <v>68</v>
      </c>
      <c r="B76" s="32" t="s">
        <v>60</v>
      </c>
      <c r="C76" s="34" t="s">
        <v>30</v>
      </c>
      <c r="D76" s="33" t="s">
        <v>58</v>
      </c>
      <c r="E76" s="34" t="str">
        <f>+'Merluza cola Industrial'!C$65</f>
        <v xml:space="preserve">SUR AUSTRAL S.A. </v>
      </c>
      <c r="F76" t="s">
        <v>63</v>
      </c>
      <c r="G76" t="s">
        <v>64</v>
      </c>
      <c r="H76" s="35">
        <f>'Merluza cola Industrial'!E66</f>
        <v>725.48800000000006</v>
      </c>
      <c r="I76" s="35">
        <f>'Merluza cola Industrial'!F66</f>
        <v>0</v>
      </c>
      <c r="J76" s="35">
        <f>'Merluza cola Industrial'!G66</f>
        <v>1173.615</v>
      </c>
      <c r="K76" s="35">
        <f>'Merluza cola Industrial'!H66</f>
        <v>663.08699999999999</v>
      </c>
      <c r="L76" s="35">
        <f>'Merluza cola Industrial'!I66</f>
        <v>510.52800000000002</v>
      </c>
      <c r="M76" s="155">
        <f>'Merluza cola Industrial'!J64</f>
        <v>0</v>
      </c>
      <c r="N76" s="40" t="s">
        <v>77</v>
      </c>
      <c r="O76" s="37">
        <f>'Merluza cola Industrial'!$B$5</f>
        <v>44020</v>
      </c>
      <c r="P76" s="61">
        <v>2020</v>
      </c>
    </row>
    <row r="77" spans="1:16">
      <c r="A77" s="36" t="s">
        <v>68</v>
      </c>
      <c r="B77" s="32" t="s">
        <v>60</v>
      </c>
      <c r="C77" s="34" t="s">
        <v>30</v>
      </c>
      <c r="D77" s="33" t="s">
        <v>58</v>
      </c>
      <c r="E77" s="34" t="str">
        <f>+'Merluza cola Industrial'!C$65</f>
        <v xml:space="preserve">SUR AUSTRAL S.A. </v>
      </c>
      <c r="F77" t="s">
        <v>61</v>
      </c>
      <c r="G77" t="s">
        <v>64</v>
      </c>
      <c r="H77" s="35">
        <f>'Merluza cola Industrial'!K65</f>
        <v>1209.0330000000001</v>
      </c>
      <c r="I77" s="35">
        <f>'Merluza cola Industrial'!L65</f>
        <v>0</v>
      </c>
      <c r="J77" s="35">
        <f>'Merluza cola Industrial'!M65</f>
        <v>1209.0330000000001</v>
      </c>
      <c r="K77" s="35">
        <f>'Merluza cola Industrial'!N65</f>
        <v>698.505</v>
      </c>
      <c r="L77" s="35">
        <f>'Merluza cola Industrial'!O65</f>
        <v>510.52800000000013</v>
      </c>
      <c r="M77" s="155">
        <f>'Merluza cola Industrial'!J65</f>
        <v>7.3246543754976259E-2</v>
      </c>
      <c r="N77" s="40" t="s">
        <v>77</v>
      </c>
      <c r="O77" s="37">
        <f>'Merluza cola Industrial'!$B$5</f>
        <v>44020</v>
      </c>
      <c r="P77" s="61">
        <v>2020</v>
      </c>
    </row>
    <row r="78" spans="1:16">
      <c r="A78" s="36" t="s">
        <v>68</v>
      </c>
      <c r="B78" s="32" t="s">
        <v>60</v>
      </c>
      <c r="C78" s="34" t="s">
        <v>30</v>
      </c>
      <c r="D78" s="31" t="s">
        <v>66</v>
      </c>
      <c r="E78" s="31" t="s">
        <v>67</v>
      </c>
      <c r="F78" s="32" t="s">
        <v>61</v>
      </c>
      <c r="G78" s="32" t="s">
        <v>64</v>
      </c>
      <c r="H78" s="35">
        <f>'Merluza cola Industrial'!AC57</f>
        <v>7101.0380000000005</v>
      </c>
      <c r="I78" s="35">
        <f>'Merluza cola Industrial'!AD57</f>
        <v>902.78</v>
      </c>
      <c r="J78" s="35">
        <f>'Merluza cola Industrial'!AE57</f>
        <v>8003.8180000000002</v>
      </c>
      <c r="K78" s="35">
        <f>'Merluza cola Industrial'!AF57</f>
        <v>4948.1109999999999</v>
      </c>
      <c r="L78" s="35">
        <f>'Merluza cola Industrial'!AG57</f>
        <v>3055.7070000000003</v>
      </c>
      <c r="M78" s="155">
        <f>'Merluza cola Industrial'!AH57</f>
        <v>0.61821883006335221</v>
      </c>
      <c r="N78" s="40" t="s">
        <v>77</v>
      </c>
      <c r="O78" s="37">
        <f>'Merluza cola Industrial'!$B$5</f>
        <v>44020</v>
      </c>
      <c r="P78" s="61">
        <v>2020</v>
      </c>
    </row>
    <row r="79" spans="1:16">
      <c r="A79" s="38" t="s">
        <v>73</v>
      </c>
      <c r="B79" s="32" t="s">
        <v>60</v>
      </c>
      <c r="C79" s="34" t="s">
        <v>74</v>
      </c>
      <c r="D79" s="33" t="s">
        <v>75</v>
      </c>
      <c r="E79" s="39" t="s">
        <v>76</v>
      </c>
      <c r="F79" s="32" t="s">
        <v>61</v>
      </c>
      <c r="G79" s="32" t="s">
        <v>64</v>
      </c>
      <c r="H79" s="35">
        <f>'Resumen periodo Merluza de cola'!E13</f>
        <v>41</v>
      </c>
      <c r="I79" s="35">
        <f>'Resumen periodo Merluza de cola'!F13</f>
        <v>0</v>
      </c>
      <c r="J79" s="35">
        <f>'Resumen periodo Merluza de cola'!G13</f>
        <v>41</v>
      </c>
      <c r="K79" s="35">
        <f>'Resumen periodo Merluza de cola'!H13</f>
        <v>0</v>
      </c>
      <c r="L79" s="35">
        <f>'Resumen periodo Merluza de cola'!I13</f>
        <v>41</v>
      </c>
      <c r="M79" s="155">
        <f>'Resumen periodo Merluza de cola'!J13</f>
        <v>0</v>
      </c>
      <c r="N79" s="40" t="s">
        <v>77</v>
      </c>
      <c r="O79" s="37">
        <f>'Resumen periodo Merluza de cola'!B5</f>
        <v>44020</v>
      </c>
      <c r="P79" s="61">
        <v>2020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E4" sqref="E4"/>
    </sheetView>
  </sheetViews>
  <sheetFormatPr baseColWidth="10" defaultRowHeight="15"/>
  <cols>
    <col min="1" max="1" width="11.42578125" style="61"/>
    <col min="2" max="2" width="41.140625" style="61" customWidth="1"/>
    <col min="3" max="3" width="14.5703125" style="61" customWidth="1"/>
    <col min="4" max="4" width="11.5703125" style="61" bestFit="1" customWidth="1"/>
    <col min="5" max="5" width="11.42578125" style="61"/>
    <col min="6" max="6" width="13.28515625" style="61" bestFit="1" customWidth="1"/>
    <col min="7" max="7" width="11.42578125" style="61"/>
    <col min="8" max="8" width="12" style="61" bestFit="1" customWidth="1"/>
    <col min="9" max="16384" width="11.42578125" style="61"/>
  </cols>
  <sheetData>
    <row r="1" spans="2:11" ht="15.75" thickBot="1"/>
    <row r="2" spans="2:11" ht="15.75" thickBot="1">
      <c r="B2" s="73" t="s">
        <v>84</v>
      </c>
      <c r="C2" s="69" t="s">
        <v>85</v>
      </c>
    </row>
    <row r="3" spans="2:11">
      <c r="B3" s="66" t="s">
        <v>86</v>
      </c>
      <c r="C3" s="67">
        <v>9339</v>
      </c>
      <c r="D3" s="232">
        <f>C3+C4</f>
        <v>23348</v>
      </c>
    </row>
    <row r="4" spans="2:11" ht="15.75" thickBot="1">
      <c r="B4" s="65" t="s">
        <v>87</v>
      </c>
      <c r="C4" s="64">
        <v>14009</v>
      </c>
      <c r="D4" s="233"/>
    </row>
    <row r="5" spans="2:11">
      <c r="B5" s="66" t="s">
        <v>88</v>
      </c>
      <c r="C5" s="67">
        <v>6226</v>
      </c>
      <c r="D5" s="232">
        <f>C5+C6</f>
        <v>15566</v>
      </c>
    </row>
    <row r="6" spans="2:11" ht="15.75" thickBot="1">
      <c r="B6" s="65" t="s">
        <v>89</v>
      </c>
      <c r="C6" s="64">
        <v>9340</v>
      </c>
      <c r="D6" s="233"/>
    </row>
    <row r="7" spans="2:11" ht="15.75" thickBot="1">
      <c r="C7" s="68">
        <f>SUM(C3:C6)</f>
        <v>38914</v>
      </c>
    </row>
    <row r="10" spans="2:11">
      <c r="B10" s="231" t="s">
        <v>90</v>
      </c>
      <c r="C10" s="231"/>
      <c r="D10" s="231"/>
      <c r="E10" s="231"/>
      <c r="F10" s="231"/>
    </row>
    <row r="12" spans="2:11">
      <c r="B12" s="63" t="s">
        <v>91</v>
      </c>
      <c r="C12" s="63" t="s">
        <v>78</v>
      </c>
      <c r="D12" s="63" t="s">
        <v>92</v>
      </c>
      <c r="E12" s="63" t="s">
        <v>93</v>
      </c>
      <c r="F12" s="63" t="s">
        <v>94</v>
      </c>
      <c r="H12" s="75" t="s">
        <v>58</v>
      </c>
      <c r="I12" s="63" t="s">
        <v>92</v>
      </c>
      <c r="J12" s="63" t="s">
        <v>93</v>
      </c>
    </row>
    <row r="13" spans="2:11">
      <c r="B13" s="62" t="s">
        <v>95</v>
      </c>
      <c r="C13" s="62">
        <v>0.29008030000000001</v>
      </c>
      <c r="D13" s="70">
        <f>$C$3*C13</f>
        <v>2709.0599216999999</v>
      </c>
      <c r="E13" s="70">
        <f>$C$4*C13</f>
        <v>4063.7349227</v>
      </c>
      <c r="F13" s="70">
        <f>D13+E13</f>
        <v>6772.7948443999994</v>
      </c>
      <c r="H13" s="62" t="s">
        <v>96</v>
      </c>
      <c r="I13" s="70">
        <f>D15+D16+D19+D20+D30</f>
        <v>383.9813901</v>
      </c>
      <c r="J13" s="70">
        <f>E15+E16+E19+E20+E30</f>
        <v>575.99264310000001</v>
      </c>
      <c r="K13" s="131">
        <f>SUM(I13:J13)</f>
        <v>959.97403320000001</v>
      </c>
    </row>
    <row r="14" spans="2:11">
      <c r="B14" s="62" t="s">
        <v>97</v>
      </c>
      <c r="C14" s="62">
        <v>2.9999999999999997E-4</v>
      </c>
      <c r="D14" s="70">
        <f>$C$3*C14</f>
        <v>2.8016999999999999</v>
      </c>
      <c r="E14" s="70">
        <f t="shared" ref="E14:E35" si="0">$C$4*C14</f>
        <v>4.2026999999999992</v>
      </c>
      <c r="F14" s="70">
        <f t="shared" ref="F14:F35" si="1">D14+E14</f>
        <v>7.0043999999999986</v>
      </c>
    </row>
    <row r="15" spans="2:11">
      <c r="B15" s="62" t="s">
        <v>96</v>
      </c>
      <c r="C15" s="62">
        <v>3.3191600000000002E-2</v>
      </c>
      <c r="D15" s="70">
        <f t="shared" ref="D15:D35" si="2">$C$3*C15</f>
        <v>309.9763524</v>
      </c>
      <c r="E15" s="70">
        <f t="shared" si="0"/>
        <v>464.9811244</v>
      </c>
      <c r="F15" s="70">
        <f t="shared" si="1"/>
        <v>774.95747679999999</v>
      </c>
    </row>
    <row r="16" spans="2:11">
      <c r="B16" s="62" t="s">
        <v>96</v>
      </c>
      <c r="C16" s="62">
        <v>2.0000000000000002E-5</v>
      </c>
      <c r="D16" s="70">
        <f t="shared" si="2"/>
        <v>0.18678</v>
      </c>
      <c r="E16" s="70">
        <f t="shared" si="0"/>
        <v>0.28018000000000004</v>
      </c>
      <c r="F16" s="70">
        <f t="shared" si="1"/>
        <v>0.46696000000000004</v>
      </c>
    </row>
    <row r="17" spans="2:6">
      <c r="B17" s="62" t="s">
        <v>98</v>
      </c>
      <c r="C17" s="62">
        <v>5.4603000000000004E-3</v>
      </c>
      <c r="D17" s="70">
        <f t="shared" si="2"/>
        <v>50.993741700000001</v>
      </c>
      <c r="E17" s="70">
        <f t="shared" si="0"/>
        <v>76.493342699999999</v>
      </c>
      <c r="F17" s="70">
        <f t="shared" si="1"/>
        <v>127.4870844</v>
      </c>
    </row>
    <row r="18" spans="2:6">
      <c r="B18" s="62" t="s">
        <v>99</v>
      </c>
      <c r="C18" s="62">
        <v>0.12668599999999999</v>
      </c>
      <c r="D18" s="70">
        <f t="shared" si="2"/>
        <v>1183.1205539999999</v>
      </c>
      <c r="E18" s="70">
        <f t="shared" si="0"/>
        <v>1774.7441739999999</v>
      </c>
      <c r="F18" s="70">
        <f t="shared" si="1"/>
        <v>2957.8647279999996</v>
      </c>
    </row>
    <row r="19" spans="2:6">
      <c r="B19" s="62" t="s">
        <v>96</v>
      </c>
      <c r="C19" s="62">
        <v>5.3096000000000003E-3</v>
      </c>
      <c r="D19" s="70">
        <f t="shared" si="2"/>
        <v>49.586354400000005</v>
      </c>
      <c r="E19" s="70">
        <f t="shared" si="0"/>
        <v>74.382186400000009</v>
      </c>
      <c r="F19" s="70">
        <f t="shared" si="1"/>
        <v>123.96854080000001</v>
      </c>
    </row>
    <row r="20" spans="2:6">
      <c r="B20" s="62" t="s">
        <v>96</v>
      </c>
      <c r="C20" s="62">
        <v>2.3E-5</v>
      </c>
      <c r="D20" s="70">
        <f t="shared" si="2"/>
        <v>0.21479699999999999</v>
      </c>
      <c r="E20" s="70">
        <f t="shared" si="0"/>
        <v>0.32220700000000002</v>
      </c>
      <c r="F20" s="70">
        <f t="shared" si="1"/>
        <v>0.53700400000000004</v>
      </c>
    </row>
    <row r="21" spans="2:6">
      <c r="B21" s="62" t="s">
        <v>100</v>
      </c>
      <c r="C21" s="62">
        <v>0.14903050000000001</v>
      </c>
      <c r="D21" s="70">
        <f t="shared" si="2"/>
        <v>1391.7958395000001</v>
      </c>
      <c r="E21" s="70">
        <f t="shared" si="0"/>
        <v>2087.7682745000002</v>
      </c>
      <c r="F21" s="70">
        <f t="shared" si="1"/>
        <v>3479.5641140000002</v>
      </c>
    </row>
    <row r="22" spans="2:6">
      <c r="B22" s="62" t="s">
        <v>101</v>
      </c>
      <c r="C22" s="62">
        <v>1.1691500000000001E-2</v>
      </c>
      <c r="D22" s="70">
        <f t="shared" si="2"/>
        <v>109.1869185</v>
      </c>
      <c r="E22" s="70">
        <f t="shared" si="0"/>
        <v>163.78622350000001</v>
      </c>
      <c r="F22" s="70">
        <f t="shared" si="1"/>
        <v>272.973142</v>
      </c>
    </row>
    <row r="23" spans="2:6">
      <c r="B23" s="62" t="s">
        <v>102</v>
      </c>
      <c r="C23" s="62">
        <v>2.9831300000000002E-2</v>
      </c>
      <c r="D23" s="70">
        <f t="shared" si="2"/>
        <v>278.5945107</v>
      </c>
      <c r="E23" s="70">
        <f t="shared" si="0"/>
        <v>417.90668170000004</v>
      </c>
      <c r="F23" s="70">
        <f t="shared" si="1"/>
        <v>696.50119240000004</v>
      </c>
    </row>
    <row r="24" spans="2:6">
      <c r="B24" s="62" t="s">
        <v>103</v>
      </c>
      <c r="C24" s="62">
        <v>1.01E-5</v>
      </c>
      <c r="D24" s="70">
        <f t="shared" si="2"/>
        <v>9.4323900000000002E-2</v>
      </c>
      <c r="E24" s="70">
        <f t="shared" si="0"/>
        <v>0.1414909</v>
      </c>
      <c r="F24" s="70">
        <f t="shared" si="1"/>
        <v>0.23581479999999999</v>
      </c>
    </row>
    <row r="25" spans="2:6">
      <c r="B25" s="62" t="s">
        <v>104</v>
      </c>
      <c r="C25" s="62">
        <v>1.01E-5</v>
      </c>
      <c r="D25" s="70">
        <f t="shared" si="2"/>
        <v>9.4323900000000002E-2</v>
      </c>
      <c r="E25" s="70">
        <f t="shared" si="0"/>
        <v>0.1414909</v>
      </c>
      <c r="F25" s="70">
        <f t="shared" si="1"/>
        <v>0.23581479999999999</v>
      </c>
    </row>
    <row r="26" spans="2:6">
      <c r="B26" s="62" t="s">
        <v>105</v>
      </c>
      <c r="C26" s="62">
        <v>1.01E-5</v>
      </c>
      <c r="D26" s="70">
        <f t="shared" si="2"/>
        <v>9.4323900000000002E-2</v>
      </c>
      <c r="E26" s="70">
        <f t="shared" si="0"/>
        <v>0.1414909</v>
      </c>
      <c r="F26" s="70">
        <f t="shared" si="1"/>
        <v>0.23581479999999999</v>
      </c>
    </row>
    <row r="27" spans="2:6">
      <c r="B27" s="62" t="s">
        <v>106</v>
      </c>
      <c r="C27" s="62">
        <v>8.4750000000000006E-2</v>
      </c>
      <c r="D27" s="70">
        <f t="shared" si="2"/>
        <v>791.48025000000007</v>
      </c>
      <c r="E27" s="70">
        <f t="shared" si="0"/>
        <v>1187.2627500000001</v>
      </c>
      <c r="F27" s="70">
        <f t="shared" si="1"/>
        <v>1978.7430000000002</v>
      </c>
    </row>
    <row r="28" spans="2:6">
      <c r="B28" s="62" t="s">
        <v>107</v>
      </c>
      <c r="C28" s="62">
        <v>0.12590789999999999</v>
      </c>
      <c r="D28" s="70">
        <f t="shared" si="2"/>
        <v>1175.8538781</v>
      </c>
      <c r="E28" s="70">
        <f t="shared" si="0"/>
        <v>1763.8437710999999</v>
      </c>
      <c r="F28" s="70">
        <f t="shared" si="1"/>
        <v>2939.6976491999999</v>
      </c>
    </row>
    <row r="29" spans="2:6">
      <c r="B29" s="62" t="s">
        <v>108</v>
      </c>
      <c r="C29" s="62">
        <v>3.6186999999999999E-3</v>
      </c>
      <c r="D29" s="70">
        <f t="shared" si="2"/>
        <v>33.795039299999999</v>
      </c>
      <c r="E29" s="70">
        <f t="shared" si="0"/>
        <v>50.694368300000001</v>
      </c>
      <c r="F29" s="70">
        <f t="shared" si="1"/>
        <v>84.489407599999993</v>
      </c>
    </row>
    <row r="30" spans="2:6">
      <c r="B30" s="62" t="s">
        <v>96</v>
      </c>
      <c r="C30" s="62">
        <v>2.5717000000000001E-3</v>
      </c>
      <c r="D30" s="70">
        <f t="shared" si="2"/>
        <v>24.017106300000002</v>
      </c>
      <c r="E30" s="70">
        <f t="shared" si="0"/>
        <v>36.026945300000001</v>
      </c>
      <c r="F30" s="70">
        <f t="shared" si="1"/>
        <v>60.044051600000003</v>
      </c>
    </row>
    <row r="31" spans="2:6">
      <c r="B31" s="62" t="s">
        <v>109</v>
      </c>
      <c r="C31" s="62">
        <v>0.1272432</v>
      </c>
      <c r="D31" s="70">
        <f t="shared" si="2"/>
        <v>1188.3242448000001</v>
      </c>
      <c r="E31" s="70">
        <f t="shared" si="0"/>
        <v>1782.5499887999999</v>
      </c>
      <c r="F31" s="70">
        <f t="shared" si="1"/>
        <v>2970.8742336</v>
      </c>
    </row>
    <row r="32" spans="2:6">
      <c r="B32" s="62" t="s">
        <v>110</v>
      </c>
      <c r="C32" s="62">
        <v>4.1539000000000003E-3</v>
      </c>
      <c r="D32" s="70">
        <f t="shared" si="2"/>
        <v>38.793272100000003</v>
      </c>
      <c r="E32" s="70">
        <f t="shared" si="0"/>
        <v>58.191985100000004</v>
      </c>
      <c r="F32" s="70">
        <f t="shared" si="1"/>
        <v>96.985257200000007</v>
      </c>
    </row>
    <row r="33" spans="2:6">
      <c r="B33" s="62" t="s">
        <v>111</v>
      </c>
      <c r="C33" s="62">
        <v>1.01E-5</v>
      </c>
      <c r="D33" s="70">
        <f t="shared" si="2"/>
        <v>9.4323900000000002E-2</v>
      </c>
      <c r="E33" s="70">
        <f t="shared" si="0"/>
        <v>0.1414909</v>
      </c>
      <c r="F33" s="70">
        <f t="shared" si="1"/>
        <v>0.23581479999999999</v>
      </c>
    </row>
    <row r="34" spans="2:6">
      <c r="B34" s="62" t="s">
        <v>112</v>
      </c>
      <c r="C34" s="62">
        <v>4.0000000000000003E-5</v>
      </c>
      <c r="D34" s="70">
        <f t="shared" si="2"/>
        <v>0.37356</v>
      </c>
      <c r="E34" s="70">
        <f t="shared" si="0"/>
        <v>0.56036000000000008</v>
      </c>
      <c r="F34" s="70">
        <f t="shared" si="1"/>
        <v>0.93392000000000008</v>
      </c>
    </row>
    <row r="35" spans="2:6">
      <c r="B35" s="132" t="s">
        <v>138</v>
      </c>
      <c r="C35" s="62">
        <v>5.0000000000000002E-5</v>
      </c>
      <c r="D35" s="70">
        <f t="shared" si="2"/>
        <v>0.46695000000000003</v>
      </c>
      <c r="E35" s="70">
        <f t="shared" si="0"/>
        <v>0.70045000000000002</v>
      </c>
      <c r="F35" s="70">
        <f t="shared" si="1"/>
        <v>1.1674</v>
      </c>
    </row>
    <row r="36" spans="2:6">
      <c r="C36" s="130">
        <f>SUM(C13:C35)</f>
        <v>0.99999989999999994</v>
      </c>
      <c r="D36" s="71">
        <f>SUM(D13:D35)</f>
        <v>9338.9990660999993</v>
      </c>
      <c r="E36" s="71">
        <f>SUM(E13:E35)</f>
        <v>14008.998599099998</v>
      </c>
      <c r="F36" s="71">
        <f>SUM(F13:F35)</f>
        <v>23347.997665199997</v>
      </c>
    </row>
    <row r="39" spans="2:6">
      <c r="B39" s="231" t="s">
        <v>113</v>
      </c>
      <c r="C39" s="231"/>
      <c r="D39" s="231"/>
      <c r="E39" s="231"/>
      <c r="F39" s="231"/>
    </row>
    <row r="41" spans="2:6">
      <c r="B41" s="63" t="s">
        <v>91</v>
      </c>
      <c r="C41" s="63" t="s">
        <v>78</v>
      </c>
      <c r="D41" s="63" t="s">
        <v>92</v>
      </c>
      <c r="E41" s="63" t="s">
        <v>93</v>
      </c>
      <c r="F41" s="63" t="s">
        <v>94</v>
      </c>
    </row>
    <row r="42" spans="2:6">
      <c r="B42" s="62" t="s">
        <v>114</v>
      </c>
      <c r="C42" s="62">
        <v>3.7839999999999998E-4</v>
      </c>
      <c r="D42" s="70">
        <f>$C$5*C42</f>
        <v>2.3559183999999997</v>
      </c>
      <c r="E42" s="70">
        <f>$C$6*C42</f>
        <v>3.5342559999999996</v>
      </c>
      <c r="F42" s="70">
        <f>D42+E42</f>
        <v>5.8901743999999994</v>
      </c>
    </row>
    <row r="43" spans="2:6">
      <c r="B43" s="62" t="s">
        <v>106</v>
      </c>
      <c r="C43" s="62">
        <v>0.402895</v>
      </c>
      <c r="D43" s="70">
        <f t="shared" ref="D43:D47" si="3">$C$5*C43</f>
        <v>2508.42427</v>
      </c>
      <c r="E43" s="70">
        <f t="shared" ref="E43:E47" si="4">$C$6*C43</f>
        <v>3763.0392999999999</v>
      </c>
      <c r="F43" s="70">
        <f t="shared" ref="F43:F47" si="5">D43+E43</f>
        <v>6271.4635699999999</v>
      </c>
    </row>
    <row r="44" spans="2:6">
      <c r="B44" s="62" t="s">
        <v>99</v>
      </c>
      <c r="C44" s="62">
        <v>0.13303760000000001</v>
      </c>
      <c r="D44" s="70">
        <f t="shared" si="3"/>
        <v>828.29209760000003</v>
      </c>
      <c r="E44" s="70">
        <f t="shared" si="4"/>
        <v>1242.5711840000001</v>
      </c>
      <c r="F44" s="70">
        <f t="shared" si="5"/>
        <v>2070.8632815999999</v>
      </c>
    </row>
    <row r="45" spans="2:6">
      <c r="B45" s="62" t="s">
        <v>108</v>
      </c>
      <c r="C45" s="62">
        <v>0.29341210000000001</v>
      </c>
      <c r="D45" s="70">
        <f t="shared" si="3"/>
        <v>1826.7837346000001</v>
      </c>
      <c r="E45" s="70">
        <f t="shared" si="4"/>
        <v>2740.4690140000002</v>
      </c>
      <c r="F45" s="70">
        <f t="shared" si="5"/>
        <v>4567.2527485999999</v>
      </c>
    </row>
    <row r="46" spans="2:6">
      <c r="B46" s="62" t="s">
        <v>111</v>
      </c>
      <c r="C46" s="62">
        <v>1.0000000000000001E-5</v>
      </c>
      <c r="D46" s="70">
        <f t="shared" si="3"/>
        <v>6.2260000000000003E-2</v>
      </c>
      <c r="E46" s="70">
        <f t="shared" si="4"/>
        <v>9.3400000000000011E-2</v>
      </c>
      <c r="F46" s="70">
        <f t="shared" si="5"/>
        <v>0.15566000000000002</v>
      </c>
    </row>
    <row r="47" spans="2:6">
      <c r="B47" s="62" t="s">
        <v>109</v>
      </c>
      <c r="C47" s="62">
        <v>0.17026240000000001</v>
      </c>
      <c r="D47" s="70">
        <f t="shared" si="3"/>
        <v>1060.0537024</v>
      </c>
      <c r="E47" s="70">
        <f t="shared" si="4"/>
        <v>1590.250816</v>
      </c>
      <c r="F47" s="70">
        <f t="shared" si="5"/>
        <v>2650.3045184000002</v>
      </c>
    </row>
    <row r="48" spans="2:6">
      <c r="C48" s="74">
        <f>SUM(C42:C47)</f>
        <v>0.99999550000000004</v>
      </c>
      <c r="D48" s="71">
        <f>SUM(D42:D47)</f>
        <v>6225.9719829999995</v>
      </c>
      <c r="E48" s="71">
        <f>SUM(E42:E47)</f>
        <v>9339.9579699999995</v>
      </c>
      <c r="F48" s="71">
        <f>SUM(F42:F47)</f>
        <v>15565.929953000001</v>
      </c>
    </row>
    <row r="52" spans="2:6">
      <c r="B52" s="231" t="s">
        <v>115</v>
      </c>
      <c r="C52" s="231"/>
      <c r="D52" s="231"/>
      <c r="E52" s="231"/>
      <c r="F52" s="231"/>
    </row>
    <row r="54" spans="2:6">
      <c r="B54" s="72" t="s">
        <v>116</v>
      </c>
      <c r="C54" s="72" t="s">
        <v>117</v>
      </c>
    </row>
    <row r="55" spans="2:6">
      <c r="B55" s="62" t="s">
        <v>74</v>
      </c>
      <c r="C55" s="62">
        <v>95</v>
      </c>
    </row>
    <row r="56" spans="2:6">
      <c r="B56" s="62" t="s">
        <v>118</v>
      </c>
      <c r="C56" s="62">
        <v>855</v>
      </c>
    </row>
    <row r="57" spans="2:6">
      <c r="C57" s="75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Merluza cola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gezul</cp:lastModifiedBy>
  <dcterms:created xsi:type="dcterms:W3CDTF">2018-02-13T19:46:54Z</dcterms:created>
  <dcterms:modified xsi:type="dcterms:W3CDTF">2020-07-08T21:51:24Z</dcterms:modified>
</cp:coreProperties>
</file>