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435" tabRatio="809" activeTab="2"/>
  </bookViews>
  <sheets>
    <sheet name="RESUMEN" sheetId="4" r:id="rId1"/>
    <sheet name="RESUMEN PERIODOS" sheetId="5" r:id="rId2"/>
    <sheet name="CUOTA INDUSTRIAL" sheetId="1" r:id="rId3"/>
    <sheet name="Publicacion Web" sheetId="6" r:id="rId4"/>
    <sheet name="Coeficientes" sheetId="8" state="hidden" r:id="rId5"/>
  </sheets>
  <definedNames>
    <definedName name="_xlnm._FilterDatabase" localSheetId="3" hidden="1">'Publicacion Web'!$A$1:$O$79</definedName>
  </definedNames>
  <calcPr calcId="162913"/>
</workbook>
</file>

<file path=xl/calcChain.xml><?xml version="1.0" encoding="utf-8"?>
<calcChain xmlns="http://schemas.openxmlformats.org/spreadsheetml/2006/main">
  <c r="F11" i="1"/>
  <c r="F47"/>
  <c r="F23"/>
  <c r="H70" l="1"/>
  <c r="B4" l="1"/>
  <c r="M71" l="1"/>
  <c r="P71"/>
  <c r="F74"/>
  <c r="F66" l="1"/>
  <c r="F33"/>
  <c r="F57" l="1"/>
  <c r="F70" l="1"/>
  <c r="F72"/>
  <c r="F51" l="1"/>
  <c r="F25" l="1"/>
  <c r="G12" l="1"/>
  <c r="G14"/>
  <c r="G16"/>
  <c r="G18"/>
  <c r="G20"/>
  <c r="G22"/>
  <c r="G24"/>
  <c r="G26"/>
  <c r="G30"/>
  <c r="G34"/>
  <c r="G36"/>
  <c r="G38"/>
  <c r="G40"/>
  <c r="G42"/>
  <c r="G44"/>
  <c r="G46"/>
  <c r="G48"/>
  <c r="G50"/>
  <c r="G52"/>
  <c r="G56"/>
  <c r="K46" l="1"/>
  <c r="F29" l="1"/>
  <c r="F31"/>
  <c r="I56"/>
  <c r="G57" s="1"/>
  <c r="K56"/>
  <c r="N56"/>
  <c r="F55"/>
  <c r="F10"/>
  <c r="G10" s="1"/>
  <c r="F28"/>
  <c r="G28" s="1"/>
  <c r="I57" l="1"/>
  <c r="L56"/>
  <c r="M56" s="1"/>
  <c r="O56" s="1"/>
  <c r="J56"/>
  <c r="J57"/>
  <c r="P56" l="1"/>
  <c r="K54" l="1"/>
  <c r="N54"/>
  <c r="H58"/>
  <c r="H59"/>
  <c r="E59"/>
  <c r="E58"/>
  <c r="F54"/>
  <c r="G54" s="1"/>
  <c r="F68"/>
  <c r="F59"/>
  <c r="K58" l="1"/>
  <c r="N58"/>
  <c r="J54"/>
  <c r="I54"/>
  <c r="G55" s="1"/>
  <c r="I55" s="1"/>
  <c r="L54"/>
  <c r="M54" s="1"/>
  <c r="O54" s="1"/>
  <c r="G12" i="4"/>
  <c r="J55" i="1" l="1"/>
  <c r="P54"/>
  <c r="F65"/>
  <c r="F32"/>
  <c r="F58" l="1"/>
  <c r="G32"/>
  <c r="H75"/>
  <c r="F75"/>
  <c r="F76"/>
  <c r="H76"/>
  <c r="L58" l="1"/>
  <c r="M58" s="1"/>
  <c r="O58" s="1"/>
  <c r="G58"/>
  <c r="O3" i="6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2"/>
  <c r="E12" i="4" l="1"/>
  <c r="E11"/>
  <c r="G11"/>
  <c r="G14" i="5" l="1"/>
  <c r="F12" i="4" s="1"/>
  <c r="F13"/>
  <c r="I13" s="1"/>
  <c r="H13" l="1"/>
  <c r="J14" i="5"/>
  <c r="I12" i="4" s="1"/>
  <c r="F12" i="5"/>
  <c r="H12"/>
  <c r="F11"/>
  <c r="H11"/>
  <c r="F10"/>
  <c r="H10"/>
  <c r="F9"/>
  <c r="H9"/>
  <c r="E76" i="1"/>
  <c r="E75"/>
  <c r="L75"/>
  <c r="I78" i="6" s="1"/>
  <c r="N75" i="1"/>
  <c r="K78" i="6" s="1"/>
  <c r="K59"/>
  <c r="I59"/>
  <c r="E12" i="5" l="1"/>
  <c r="K75" i="1"/>
  <c r="H78" i="6" s="1"/>
  <c r="G75" i="1"/>
  <c r="I75" s="1"/>
  <c r="G76" s="1"/>
  <c r="E9" i="5"/>
  <c r="G9"/>
  <c r="F15"/>
  <c r="H15"/>
  <c r="M75" i="1"/>
  <c r="J78" i="6" s="1"/>
  <c r="E10" i="5"/>
  <c r="E11"/>
  <c r="J75" i="1" l="1"/>
  <c r="J11" i="5" s="1"/>
  <c r="G11"/>
  <c r="O75" i="1"/>
  <c r="L78" i="6" s="1"/>
  <c r="P58" i="1"/>
  <c r="M59" i="6" s="1"/>
  <c r="H59"/>
  <c r="P75" i="1"/>
  <c r="M78" i="6" s="1"/>
  <c r="I11" i="5"/>
  <c r="J58" i="1"/>
  <c r="J9" i="5" s="1"/>
  <c r="I58" i="1"/>
  <c r="G59" s="1"/>
  <c r="J59" i="6" l="1"/>
  <c r="L59"/>
  <c r="I9" i="5"/>
  <c r="I76" i="1"/>
  <c r="I12" i="5" s="1"/>
  <c r="G12"/>
  <c r="J76" i="1"/>
  <c r="J12" i="5" s="1"/>
  <c r="K48" i="1"/>
  <c r="L48"/>
  <c r="N48"/>
  <c r="K50"/>
  <c r="L50"/>
  <c r="N50"/>
  <c r="J48"/>
  <c r="J50"/>
  <c r="G10" i="5" l="1"/>
  <c r="I59" i="1"/>
  <c r="I10" i="5" s="1"/>
  <c r="J59" i="1"/>
  <c r="J10" i="5" s="1"/>
  <c r="M50" i="1"/>
  <c r="O50" s="1"/>
  <c r="M48"/>
  <c r="O48" s="1"/>
  <c r="I50"/>
  <c r="G51" s="1"/>
  <c r="J51" s="1"/>
  <c r="I48"/>
  <c r="G49" s="1"/>
  <c r="J49" s="1"/>
  <c r="J44"/>
  <c r="J46"/>
  <c r="I49" l="1"/>
  <c r="I51"/>
  <c r="P50"/>
  <c r="P48"/>
  <c r="D13" i="8"/>
  <c r="I46" i="1" l="1"/>
  <c r="G47" s="1"/>
  <c r="L46"/>
  <c r="N46"/>
  <c r="I47" l="1"/>
  <c r="J47"/>
  <c r="M46"/>
  <c r="O46" s="1"/>
  <c r="P46" l="1"/>
  <c r="K44"/>
  <c r="L44"/>
  <c r="N44"/>
  <c r="I44"/>
  <c r="G45" s="1"/>
  <c r="J45" s="1"/>
  <c r="I45" l="1"/>
  <c r="M44"/>
  <c r="O44" s="1"/>
  <c r="P44" l="1"/>
  <c r="N67"/>
  <c r="G67"/>
  <c r="I67" s="1"/>
  <c r="G68" s="1"/>
  <c r="I68" s="1"/>
  <c r="H54" i="6" l="1"/>
  <c r="I54"/>
  <c r="K54"/>
  <c r="I53"/>
  <c r="K53"/>
  <c r="H53"/>
  <c r="E54"/>
  <c r="E55"/>
  <c r="E53"/>
  <c r="N42" i="1"/>
  <c r="L42"/>
  <c r="I55" i="6" s="1"/>
  <c r="K42" i="1"/>
  <c r="C57" i="8"/>
  <c r="C48"/>
  <c r="E47"/>
  <c r="D47"/>
  <c r="E46"/>
  <c r="D46"/>
  <c r="E45"/>
  <c r="D45"/>
  <c r="E44"/>
  <c r="D44"/>
  <c r="E43"/>
  <c r="D43"/>
  <c r="E42"/>
  <c r="D42"/>
  <c r="C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C7"/>
  <c r="D5"/>
  <c r="D3"/>
  <c r="F46" l="1"/>
  <c r="J42" i="1"/>
  <c r="M53" i="6" s="1"/>
  <c r="F43" i="8"/>
  <c r="K55" i="6"/>
  <c r="F45" i="8"/>
  <c r="I13"/>
  <c r="F17"/>
  <c r="F19"/>
  <c r="F21"/>
  <c r="F23"/>
  <c r="F25"/>
  <c r="F27"/>
  <c r="F33"/>
  <c r="F35"/>
  <c r="F16"/>
  <c r="F24"/>
  <c r="F42"/>
  <c r="I42" i="1"/>
  <c r="M42"/>
  <c r="O42" s="1"/>
  <c r="L55" i="6" s="1"/>
  <c r="J53"/>
  <c r="F15" i="8"/>
  <c r="F31"/>
  <c r="F13"/>
  <c r="F22"/>
  <c r="F28"/>
  <c r="F32"/>
  <c r="F26"/>
  <c r="F44"/>
  <c r="F14"/>
  <c r="F30"/>
  <c r="H55" i="6"/>
  <c r="E36" i="8"/>
  <c r="F18"/>
  <c r="F20"/>
  <c r="F29"/>
  <c r="F34"/>
  <c r="E48"/>
  <c r="F47"/>
  <c r="D48"/>
  <c r="J13"/>
  <c r="D36"/>
  <c r="L53" i="6" l="1"/>
  <c r="G43" i="1"/>
  <c r="J55" i="6"/>
  <c r="P42" i="1"/>
  <c r="M55" i="6" s="1"/>
  <c r="K13" i="8"/>
  <c r="F48"/>
  <c r="F36"/>
  <c r="E76" i="6"/>
  <c r="E77"/>
  <c r="E75"/>
  <c r="E73"/>
  <c r="E74"/>
  <c r="E72"/>
  <c r="E70"/>
  <c r="E71"/>
  <c r="E69"/>
  <c r="E67"/>
  <c r="E68"/>
  <c r="E66"/>
  <c r="E64"/>
  <c r="E65"/>
  <c r="E63"/>
  <c r="E61"/>
  <c r="E62"/>
  <c r="E60"/>
  <c r="I56"/>
  <c r="K56"/>
  <c r="I57"/>
  <c r="K57"/>
  <c r="H57"/>
  <c r="H56"/>
  <c r="E57"/>
  <c r="E58"/>
  <c r="E56"/>
  <c r="E51"/>
  <c r="E52"/>
  <c r="E50"/>
  <c r="E48"/>
  <c r="E49"/>
  <c r="E47"/>
  <c r="E45"/>
  <c r="E46"/>
  <c r="E44"/>
  <c r="E41"/>
  <c r="E42"/>
  <c r="E43"/>
  <c r="E39"/>
  <c r="E40"/>
  <c r="E38"/>
  <c r="E36"/>
  <c r="E37"/>
  <c r="E35"/>
  <c r="E33"/>
  <c r="E34"/>
  <c r="E32"/>
  <c r="E30"/>
  <c r="E31"/>
  <c r="E29"/>
  <c r="E27"/>
  <c r="E28"/>
  <c r="E26"/>
  <c r="E24"/>
  <c r="E25"/>
  <c r="E23"/>
  <c r="E20"/>
  <c r="E21"/>
  <c r="E22"/>
  <c r="E17"/>
  <c r="E18"/>
  <c r="E19"/>
  <c r="E15"/>
  <c r="E16"/>
  <c r="E14"/>
  <c r="E12"/>
  <c r="E13"/>
  <c r="E11"/>
  <c r="E9"/>
  <c r="E10"/>
  <c r="E8"/>
  <c r="E6"/>
  <c r="E7"/>
  <c r="E5"/>
  <c r="E3"/>
  <c r="E4"/>
  <c r="E2"/>
  <c r="K76"/>
  <c r="I43" i="1" l="1"/>
  <c r="L54" i="6" s="1"/>
  <c r="J54"/>
  <c r="J43" i="1"/>
  <c r="M54" i="6" s="1"/>
  <c r="J22" i="1"/>
  <c r="N52"/>
  <c r="L52"/>
  <c r="I58" i="6" s="1"/>
  <c r="K52" i="1"/>
  <c r="H58" i="6" s="1"/>
  <c r="K58" l="1"/>
  <c r="M52" i="1"/>
  <c r="P52" s="1"/>
  <c r="O52" l="1"/>
  <c r="L58" i="6" s="1"/>
  <c r="J58"/>
  <c r="M58"/>
  <c r="I21"/>
  <c r="I67"/>
  <c r="I64"/>
  <c r="I3"/>
  <c r="K79"/>
  <c r="I79"/>
  <c r="H79"/>
  <c r="I76"/>
  <c r="H76"/>
  <c r="K75"/>
  <c r="I75"/>
  <c r="H75"/>
  <c r="K73"/>
  <c r="I73"/>
  <c r="H73"/>
  <c r="K72"/>
  <c r="I72"/>
  <c r="H72"/>
  <c r="K70"/>
  <c r="I70"/>
  <c r="H70"/>
  <c r="K69"/>
  <c r="I69"/>
  <c r="H69"/>
  <c r="K67"/>
  <c r="H67"/>
  <c r="K66"/>
  <c r="I66"/>
  <c r="H66"/>
  <c r="K64"/>
  <c r="H64"/>
  <c r="K63"/>
  <c r="I63"/>
  <c r="H63"/>
  <c r="M61"/>
  <c r="K61"/>
  <c r="I61"/>
  <c r="H61"/>
  <c r="M60"/>
  <c r="K60"/>
  <c r="I60"/>
  <c r="H60"/>
  <c r="K51"/>
  <c r="I51"/>
  <c r="H51"/>
  <c r="K50"/>
  <c r="I50"/>
  <c r="H50"/>
  <c r="K48"/>
  <c r="I48"/>
  <c r="H48"/>
  <c r="K47"/>
  <c r="I47"/>
  <c r="H47"/>
  <c r="K45"/>
  <c r="I45"/>
  <c r="H45"/>
  <c r="K44"/>
  <c r="I44"/>
  <c r="H44"/>
  <c r="K42"/>
  <c r="I42"/>
  <c r="H42"/>
  <c r="K41"/>
  <c r="I41"/>
  <c r="H41"/>
  <c r="K39"/>
  <c r="I39"/>
  <c r="H39"/>
  <c r="K38"/>
  <c r="I38"/>
  <c r="H38"/>
  <c r="K36"/>
  <c r="I36"/>
  <c r="H36"/>
  <c r="K35"/>
  <c r="I35"/>
  <c r="H35"/>
  <c r="K33"/>
  <c r="I33"/>
  <c r="H33"/>
  <c r="K32"/>
  <c r="I32"/>
  <c r="H32"/>
  <c r="K30"/>
  <c r="I30"/>
  <c r="H30"/>
  <c r="K29"/>
  <c r="I29"/>
  <c r="H29"/>
  <c r="K27"/>
  <c r="I27"/>
  <c r="H27"/>
  <c r="K26"/>
  <c r="I26"/>
  <c r="H26"/>
  <c r="K24"/>
  <c r="I24"/>
  <c r="H24"/>
  <c r="K23"/>
  <c r="I23"/>
  <c r="H23"/>
  <c r="K21"/>
  <c r="H21"/>
  <c r="K20"/>
  <c r="I20"/>
  <c r="H20"/>
  <c r="K18"/>
  <c r="I18"/>
  <c r="H18"/>
  <c r="K17"/>
  <c r="I17"/>
  <c r="H17"/>
  <c r="K15"/>
  <c r="I15"/>
  <c r="H15"/>
  <c r="K14"/>
  <c r="I14"/>
  <c r="H14"/>
  <c r="K12"/>
  <c r="I12"/>
  <c r="H12"/>
  <c r="K11"/>
  <c r="I11"/>
  <c r="H11"/>
  <c r="K9"/>
  <c r="I9"/>
  <c r="H9"/>
  <c r="K8"/>
  <c r="I8"/>
  <c r="K6"/>
  <c r="I6"/>
  <c r="H6"/>
  <c r="K5"/>
  <c r="I5"/>
  <c r="H5"/>
  <c r="K3"/>
  <c r="H3"/>
  <c r="K2"/>
  <c r="I2"/>
  <c r="H2"/>
  <c r="N73" i="1"/>
  <c r="K77" i="6" s="1"/>
  <c r="L73" i="1"/>
  <c r="I77" i="6" s="1"/>
  <c r="K73" i="1"/>
  <c r="H77" i="6" s="1"/>
  <c r="G73" i="1"/>
  <c r="J75" i="6" s="1"/>
  <c r="N71" i="1"/>
  <c r="K74" i="6" s="1"/>
  <c r="L71" i="1"/>
  <c r="I74" i="6" s="1"/>
  <c r="K71" i="1"/>
  <c r="H74" i="6" s="1"/>
  <c r="G71" i="1"/>
  <c r="J72" i="6" s="1"/>
  <c r="N69" i="1"/>
  <c r="L69"/>
  <c r="I71" i="6" s="1"/>
  <c r="K69" i="1"/>
  <c r="H71" i="6" s="1"/>
  <c r="G69" i="1"/>
  <c r="J69" i="6" s="1"/>
  <c r="K68"/>
  <c r="L67" i="1"/>
  <c r="K67"/>
  <c r="H68" i="6" s="1"/>
  <c r="N65" i="1"/>
  <c r="K65" i="6" s="1"/>
  <c r="L65" i="1"/>
  <c r="I65" i="6" s="1"/>
  <c r="K65" i="1"/>
  <c r="H65" i="6" s="1"/>
  <c r="G65" i="1"/>
  <c r="J65" s="1"/>
  <c r="M66" i="6" s="1"/>
  <c r="N63" i="1"/>
  <c r="L63"/>
  <c r="I62" i="6" s="1"/>
  <c r="K63" i="1"/>
  <c r="G63"/>
  <c r="J63" s="1"/>
  <c r="M63" i="6" s="1"/>
  <c r="N40" i="1"/>
  <c r="L40"/>
  <c r="I52" i="6" s="1"/>
  <c r="K40" i="1"/>
  <c r="H52" i="6" s="1"/>
  <c r="N38" i="1"/>
  <c r="L38"/>
  <c r="I49" i="6" s="1"/>
  <c r="K38" i="1"/>
  <c r="H49" i="6" s="1"/>
  <c r="N36" i="1"/>
  <c r="L36"/>
  <c r="I46" i="6" s="1"/>
  <c r="K36" i="1"/>
  <c r="H46" i="6" s="1"/>
  <c r="N34" i="1"/>
  <c r="L34"/>
  <c r="I43" i="6" s="1"/>
  <c r="K34" i="1"/>
  <c r="H43" i="6" s="1"/>
  <c r="N32" i="1"/>
  <c r="L32"/>
  <c r="I40" i="6" s="1"/>
  <c r="K32" i="1"/>
  <c r="H40" i="6" s="1"/>
  <c r="N30" i="1"/>
  <c r="L30"/>
  <c r="I37" i="6" s="1"/>
  <c r="K30" i="1"/>
  <c r="H37" i="6" s="1"/>
  <c r="N28" i="1"/>
  <c r="L28"/>
  <c r="I34" i="6" s="1"/>
  <c r="K28" i="1"/>
  <c r="N26"/>
  <c r="L26"/>
  <c r="I31" i="6" s="1"/>
  <c r="K26" i="1"/>
  <c r="H31" i="6" s="1"/>
  <c r="N24" i="1"/>
  <c r="L24"/>
  <c r="I28" i="6" s="1"/>
  <c r="K24" i="1"/>
  <c r="H28" i="6" s="1"/>
  <c r="N22" i="1"/>
  <c r="L22"/>
  <c r="I25" i="6" s="1"/>
  <c r="K22" i="1"/>
  <c r="H25" i="6" s="1"/>
  <c r="J23"/>
  <c r="N20" i="1"/>
  <c r="L20"/>
  <c r="I22" i="6" s="1"/>
  <c r="K20" i="1"/>
  <c r="H22" i="6" s="1"/>
  <c r="N18" i="1"/>
  <c r="L18"/>
  <c r="I19" i="6" s="1"/>
  <c r="K18" i="1"/>
  <c r="H19" i="6" s="1"/>
  <c r="N16" i="1"/>
  <c r="L16"/>
  <c r="K16"/>
  <c r="H16" i="6" s="1"/>
  <c r="N14" i="1"/>
  <c r="L14"/>
  <c r="I13" i="6" s="1"/>
  <c r="K14" i="1"/>
  <c r="H13" i="6" s="1"/>
  <c r="N12" i="1"/>
  <c r="L12"/>
  <c r="I10" i="6" s="1"/>
  <c r="N10" i="1"/>
  <c r="L10"/>
  <c r="I7" i="6" s="1"/>
  <c r="K10" i="1"/>
  <c r="H7" i="6" s="1"/>
  <c r="N8" i="1"/>
  <c r="K8"/>
  <c r="G8"/>
  <c r="J8" s="1"/>
  <c r="M2" i="6" s="1"/>
  <c r="G13" i="5"/>
  <c r="B5"/>
  <c r="D12" i="4"/>
  <c r="D11"/>
  <c r="L8" i="1"/>
  <c r="J13" i="5" l="1"/>
  <c r="F11" i="4"/>
  <c r="I14" i="1"/>
  <c r="J14"/>
  <c r="M11" i="6" s="1"/>
  <c r="J20"/>
  <c r="J20" i="1"/>
  <c r="M20" i="6" s="1"/>
  <c r="J29"/>
  <c r="J26" i="1"/>
  <c r="M29" i="6" s="1"/>
  <c r="J32" i="1"/>
  <c r="M38" i="6" s="1"/>
  <c r="I16" i="1"/>
  <c r="J16"/>
  <c r="M14" i="6" s="1"/>
  <c r="J32"/>
  <c r="J28" i="1"/>
  <c r="M32" i="6" s="1"/>
  <c r="J47"/>
  <c r="J38" i="1"/>
  <c r="M47" i="6" s="1"/>
  <c r="K52"/>
  <c r="K62"/>
  <c r="J50"/>
  <c r="J40" i="1"/>
  <c r="M50" i="6" s="1"/>
  <c r="J17"/>
  <c r="J18" i="1"/>
  <c r="M17" i="6" s="1"/>
  <c r="J26"/>
  <c r="J24" i="1"/>
  <c r="M26" i="6" s="1"/>
  <c r="J35"/>
  <c r="J30" i="1"/>
  <c r="J34"/>
  <c r="M41" i="6" s="1"/>
  <c r="J44"/>
  <c r="J36" i="1"/>
  <c r="M44" i="6" s="1"/>
  <c r="J10" i="1"/>
  <c r="M5" i="6" s="1"/>
  <c r="K49"/>
  <c r="J56"/>
  <c r="J52" i="1"/>
  <c r="M56" i="6" s="1"/>
  <c r="K7"/>
  <c r="K10"/>
  <c r="K13"/>
  <c r="K19"/>
  <c r="K22"/>
  <c r="K25"/>
  <c r="K28"/>
  <c r="K31"/>
  <c r="K34"/>
  <c r="K37"/>
  <c r="K40"/>
  <c r="K43"/>
  <c r="K16"/>
  <c r="K46"/>
  <c r="I32" i="1"/>
  <c r="G33" s="1"/>
  <c r="J41" i="6"/>
  <c r="M30" i="1"/>
  <c r="J37" i="6" s="1"/>
  <c r="M22" i="1"/>
  <c r="J25" i="6" s="1"/>
  <c r="M26" i="1"/>
  <c r="J31" i="6" s="1"/>
  <c r="H4"/>
  <c r="K4"/>
  <c r="I16"/>
  <c r="M16" i="1"/>
  <c r="P16" s="1"/>
  <c r="I68" i="6"/>
  <c r="M67" i="1"/>
  <c r="O67" s="1"/>
  <c r="I30"/>
  <c r="I36"/>
  <c r="G37" s="1"/>
  <c r="K12"/>
  <c r="H10" i="6" s="1"/>
  <c r="M24" i="1"/>
  <c r="J28" i="6" s="1"/>
  <c r="M32" i="1"/>
  <c r="O32" s="1"/>
  <c r="L40" i="6" s="1"/>
  <c r="M36" i="1"/>
  <c r="O36" s="1"/>
  <c r="L46" i="6" s="1"/>
  <c r="M18" i="1"/>
  <c r="J19" i="6" s="1"/>
  <c r="K71"/>
  <c r="E10" i="4"/>
  <c r="M40" i="1"/>
  <c r="J52" i="6" s="1"/>
  <c r="I71" i="1"/>
  <c r="I52"/>
  <c r="J71"/>
  <c r="J38" i="6"/>
  <c r="I34" i="1"/>
  <c r="G35" s="1"/>
  <c r="H8" i="6"/>
  <c r="I38" i="1"/>
  <c r="J14" i="6"/>
  <c r="I18" i="1"/>
  <c r="G19" s="1"/>
  <c r="G10" i="4"/>
  <c r="J2" i="6"/>
  <c r="I8" i="1"/>
  <c r="G9" s="1"/>
  <c r="E9" i="4"/>
  <c r="I14" i="5"/>
  <c r="H12" i="4" s="1"/>
  <c r="I13" i="5"/>
  <c r="H11" i="4" s="1"/>
  <c r="J79" i="6"/>
  <c r="M73" i="1"/>
  <c r="O73" s="1"/>
  <c r="L77" i="6" s="1"/>
  <c r="I4"/>
  <c r="D10" i="4"/>
  <c r="M28" i="1"/>
  <c r="J34" i="6" s="1"/>
  <c r="M38" i="1"/>
  <c r="P38" s="1"/>
  <c r="M8"/>
  <c r="J11" i="6"/>
  <c r="H34"/>
  <c r="M20" i="1"/>
  <c r="O20" s="1"/>
  <c r="L22" i="6" s="1"/>
  <c r="I10" i="1"/>
  <c r="J5" i="6"/>
  <c r="L11"/>
  <c r="I28" i="1"/>
  <c r="M10"/>
  <c r="P10" s="1"/>
  <c r="M14"/>
  <c r="P14" s="1"/>
  <c r="I20"/>
  <c r="M23" i="6"/>
  <c r="I22" i="1"/>
  <c r="I24"/>
  <c r="M35" i="6"/>
  <c r="M34" i="1"/>
  <c r="P34" s="1"/>
  <c r="I26"/>
  <c r="I40"/>
  <c r="G41" s="1"/>
  <c r="J73"/>
  <c r="M77" i="6" s="1"/>
  <c r="I73" i="1"/>
  <c r="J69"/>
  <c r="M72" i="6" s="1"/>
  <c r="I69" i="1"/>
  <c r="L66" i="6"/>
  <c r="J67" i="1"/>
  <c r="M69" i="6" s="1"/>
  <c r="J66"/>
  <c r="M69" i="1"/>
  <c r="O69" s="1"/>
  <c r="L71" i="6" s="1"/>
  <c r="I65" i="1"/>
  <c r="M65"/>
  <c r="J63" i="6"/>
  <c r="I63" i="1"/>
  <c r="J60" i="6"/>
  <c r="H62"/>
  <c r="M63" i="1"/>
  <c r="P63" s="1"/>
  <c r="M62" i="6" s="1"/>
  <c r="G9" i="4"/>
  <c r="G29" i="1" l="1"/>
  <c r="J29" s="1"/>
  <c r="M33" i="6" s="1"/>
  <c r="G21" i="1"/>
  <c r="J21" s="1"/>
  <c r="M21" i="6" s="1"/>
  <c r="G15" i="1"/>
  <c r="J15" s="1"/>
  <c r="M12" i="6" s="1"/>
  <c r="G17" i="1"/>
  <c r="I17" s="1"/>
  <c r="L15" i="6" s="1"/>
  <c r="L56"/>
  <c r="G53" i="1"/>
  <c r="G25"/>
  <c r="J25" s="1"/>
  <c r="G27"/>
  <c r="J27" s="1"/>
  <c r="G23"/>
  <c r="J23" s="1"/>
  <c r="L5" i="6"/>
  <c r="G11" i="1"/>
  <c r="L47" i="6"/>
  <c r="G39" i="1"/>
  <c r="L35" i="6"/>
  <c r="G31" i="1"/>
  <c r="M79" i="6"/>
  <c r="I11" i="4"/>
  <c r="F10"/>
  <c r="P32" i="1"/>
  <c r="M40" i="6" s="1"/>
  <c r="P24" i="1"/>
  <c r="M28" i="6" s="1"/>
  <c r="L14"/>
  <c r="J12" i="1"/>
  <c r="M8" i="6" s="1"/>
  <c r="P30" i="1"/>
  <c r="M37" i="6" s="1"/>
  <c r="P22" i="1"/>
  <c r="M25" i="6" s="1"/>
  <c r="P36" i="1"/>
  <c r="M46" i="6" s="1"/>
  <c r="P28" i="1"/>
  <c r="M34" i="6" s="1"/>
  <c r="P20" i="1"/>
  <c r="M22" i="6" s="1"/>
  <c r="P26" i="1"/>
  <c r="M31" i="6" s="1"/>
  <c r="P18" i="1"/>
  <c r="M19" i="6" s="1"/>
  <c r="P40" i="1"/>
  <c r="M52" i="6" s="1"/>
  <c r="J35" i="1"/>
  <c r="M42" i="6" s="1"/>
  <c r="I33" i="1"/>
  <c r="L39" i="6" s="1"/>
  <c r="J33" i="1"/>
  <c r="M39" i="6" s="1"/>
  <c r="J45"/>
  <c r="J37" i="1"/>
  <c r="M45" i="6" s="1"/>
  <c r="O28" i="1"/>
  <c r="L34" i="6" s="1"/>
  <c r="J49"/>
  <c r="M49"/>
  <c r="O30" i="1"/>
  <c r="L37" i="6" s="1"/>
  <c r="L38"/>
  <c r="J39"/>
  <c r="M12" i="1"/>
  <c r="P12" s="1"/>
  <c r="E15" i="5"/>
  <c r="G15" s="1"/>
  <c r="I15" s="1"/>
  <c r="O22" i="1"/>
  <c r="L25" i="6" s="1"/>
  <c r="O26" i="1"/>
  <c r="L31" i="6" s="1"/>
  <c r="O18" i="1"/>
  <c r="L19" i="6" s="1"/>
  <c r="L44"/>
  <c r="J46"/>
  <c r="I12" i="1"/>
  <c r="O8"/>
  <c r="L4" i="6" s="1"/>
  <c r="J68"/>
  <c r="L68"/>
  <c r="P67" i="1"/>
  <c r="M68" i="6" s="1"/>
  <c r="J8"/>
  <c r="O24" i="1"/>
  <c r="L28" i="6" s="1"/>
  <c r="J40"/>
  <c r="P73" i="1"/>
  <c r="J77" i="6"/>
  <c r="O71" i="1"/>
  <c r="L74" i="6" s="1"/>
  <c r="J74"/>
  <c r="I37" i="1"/>
  <c r="L45" i="6" s="1"/>
  <c r="J39" i="1"/>
  <c r="E14" i="4"/>
  <c r="O40" i="1"/>
  <c r="L52" i="6" s="1"/>
  <c r="P8" i="1"/>
  <c r="M4" i="6" s="1"/>
  <c r="J4"/>
  <c r="L41"/>
  <c r="J19" i="1"/>
  <c r="L17" i="6"/>
  <c r="M75"/>
  <c r="M74"/>
  <c r="J22"/>
  <c r="G72" i="1"/>
  <c r="L72" i="6"/>
  <c r="L2"/>
  <c r="G14" i="4"/>
  <c r="L79" i="6"/>
  <c r="I35" i="1"/>
  <c r="L42" i="6" s="1"/>
  <c r="J42"/>
  <c r="O38" i="1"/>
  <c r="L49" i="6" s="1"/>
  <c r="L50"/>
  <c r="J41" i="1"/>
  <c r="J16" i="6"/>
  <c r="O16" i="1"/>
  <c r="L16" i="6" s="1"/>
  <c r="M16"/>
  <c r="O10" i="1"/>
  <c r="L7" i="6" s="1"/>
  <c r="J7"/>
  <c r="M7"/>
  <c r="J12"/>
  <c r="I15" i="1"/>
  <c r="L12" i="6" s="1"/>
  <c r="L29"/>
  <c r="O34" i="1"/>
  <c r="L43" i="6" s="1"/>
  <c r="J43"/>
  <c r="M43"/>
  <c r="L26"/>
  <c r="L23"/>
  <c r="L20"/>
  <c r="J13"/>
  <c r="O14" i="1"/>
  <c r="L13" i="6" s="1"/>
  <c r="M13"/>
  <c r="L32"/>
  <c r="L75"/>
  <c r="G74" i="1"/>
  <c r="L69" i="6"/>
  <c r="G70" i="1"/>
  <c r="J68"/>
  <c r="M70" i="6" s="1"/>
  <c r="J67"/>
  <c r="L67"/>
  <c r="P69" i="1"/>
  <c r="M71" i="6" s="1"/>
  <c r="J71"/>
  <c r="L63"/>
  <c r="G66" i="1"/>
  <c r="I66" s="1"/>
  <c r="O65"/>
  <c r="L65" i="6" s="1"/>
  <c r="J65"/>
  <c r="P65" i="1"/>
  <c r="M65" i="6" s="1"/>
  <c r="O63" i="1"/>
  <c r="J62" i="6"/>
  <c r="L60"/>
  <c r="G64" i="1"/>
  <c r="J64" s="1"/>
  <c r="M64" i="6" s="1"/>
  <c r="J15" l="1"/>
  <c r="J17" i="1"/>
  <c r="M15" i="6" s="1"/>
  <c r="J53" i="1"/>
  <c r="M57" i="6" s="1"/>
  <c r="I53" i="1"/>
  <c r="L57" i="6" s="1"/>
  <c r="J57"/>
  <c r="G13" i="1"/>
  <c r="J13" s="1"/>
  <c r="M9" i="6" s="1"/>
  <c r="I9" i="1"/>
  <c r="L3" i="6" s="1"/>
  <c r="J9" i="1"/>
  <c r="M3" i="6" s="1"/>
  <c r="J11" i="1"/>
  <c r="M6" i="6" s="1"/>
  <c r="I31" i="1"/>
  <c r="L36" i="6" s="1"/>
  <c r="J31" i="1"/>
  <c r="M36" i="6" s="1"/>
  <c r="J10"/>
  <c r="M10"/>
  <c r="J36"/>
  <c r="L8"/>
  <c r="O12" i="1"/>
  <c r="L10" i="6" s="1"/>
  <c r="D9" i="4"/>
  <c r="J3" i="6"/>
  <c r="J48"/>
  <c r="I39" i="1"/>
  <c r="L48" i="6" s="1"/>
  <c r="M48"/>
  <c r="J18"/>
  <c r="M18"/>
  <c r="I19" i="1"/>
  <c r="L18" i="6" s="1"/>
  <c r="J73"/>
  <c r="J72" i="1"/>
  <c r="M76" i="6" s="1"/>
  <c r="I72" i="1"/>
  <c r="L73" i="6" s="1"/>
  <c r="I11" i="1"/>
  <c r="L6" i="6" s="1"/>
  <c r="J6"/>
  <c r="I21" i="1"/>
  <c r="L21" i="6" s="1"/>
  <c r="J21"/>
  <c r="I25" i="1"/>
  <c r="L27" i="6" s="1"/>
  <c r="M27"/>
  <c r="J27"/>
  <c r="J30"/>
  <c r="I27" i="1"/>
  <c r="L30" i="6" s="1"/>
  <c r="M30"/>
  <c r="M51"/>
  <c r="I41" i="1"/>
  <c r="L51" i="6" s="1"/>
  <c r="J51"/>
  <c r="I29" i="1"/>
  <c r="L33" i="6" s="1"/>
  <c r="J33"/>
  <c r="J24"/>
  <c r="I23" i="1"/>
  <c r="L24" i="6" s="1"/>
  <c r="M24"/>
  <c r="I13" i="1"/>
  <c r="L9" i="6" s="1"/>
  <c r="J9"/>
  <c r="J76"/>
  <c r="J74" i="1"/>
  <c r="I74"/>
  <c r="L76" i="6" s="1"/>
  <c r="I70" i="1"/>
  <c r="L70" i="6" s="1"/>
  <c r="J70"/>
  <c r="J70" i="1"/>
  <c r="M73" i="6" s="1"/>
  <c r="J66" i="1"/>
  <c r="M67" i="6" s="1"/>
  <c r="L64"/>
  <c r="J64"/>
  <c r="I64" i="1"/>
  <c r="L61" i="6" s="1"/>
  <c r="J61"/>
  <c r="L62"/>
  <c r="F9" i="4" l="1"/>
  <c r="H9" s="1"/>
  <c r="D14"/>
  <c r="F14" s="1"/>
  <c r="I14" s="1"/>
  <c r="J15" i="5"/>
  <c r="H10" i="4"/>
  <c r="I10"/>
  <c r="H14" l="1"/>
  <c r="I9"/>
</calcChain>
</file>

<file path=xl/comments1.xml><?xml version="1.0" encoding="utf-8"?>
<comments xmlns="http://schemas.openxmlformats.org/spreadsheetml/2006/main">
  <authors>
    <author>Mario Cea</author>
    <author>CEA TELLO, MARIO ANDRES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71,987 Ton a Landes S.A. Soc. Pesq. V-X (Res. EX. N°403-21)
Compra venta de 377,456 Ton a Landes S.A. Soc. Pesq. V-X (Res. EX. N°404-21)
Compra venta de 377,456 Ton desde Landes S.A. Soc. Pesq. V-X (Res. EX. N°2169-21)
Compra venta de 71,987 Ton desde Landes S.A. Soc. Pesq. V-X (Res. EX. N°2170-21)</t>
        </r>
      </text>
    </comment>
    <comment ref="F11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0,638 Ton desde Landes S.A. Soc. Pesq. V-X (Res. EX. N°2171-21)
Compra venta de 518,245 Ton desde Grimar S.A. V-X (Res. EX. N°3469-21)
Compra venta de 93,607 Ton desde Sur Austral S.A. Pesq. V-X (Res. EX. N°3472-21)
Compra venta de 462,609 Ton desde Sur Austral S.A. Pesq. V-X (Res. EX. N°3475-21)
</t>
        </r>
      </text>
    </comment>
    <comment ref="F17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353,059 Ton a Emdepes S.A. V-X (Res. EX. N°2453-21)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Traspaso de 580 Ton a Grimar S.A. XI-XII Región (Cert. N°22-2021)
Compra venta de 518,245 Ton a Pacificblu Spa V-X (Res. EX. N°3469-21)</t>
        </r>
      </text>
    </comment>
    <comment ref="F25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56,478 Ton a Emdepes S.A. V-X (Res. EX. N°2410-21)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71,987 Ton desde Pacificblu Spa. V-X (Res. EX. N°403-21)
Compra venta de 377,456 Ton desde Pacificblu Spa. V-X (Res. EX. N°404-21)
Comodato de 0,10633 Ton a Thor Fishiries Chile SPA. V-X Región (Cert. N°42-2021)
Compra venta de 377,456 Ton a Pacificblu Spa. V-X (Res. EX. N°2169-21)
Compra venta de 71,987 Ton a Pacificblu Spa. V-X (Res. EX. N°2170-21)</t>
        </r>
      </text>
    </comment>
    <comment ref="F29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0,638 Ton a Pacificblu Spa. V-X (Res. EX. N°2171-21)</t>
        </r>
      </text>
    </comment>
    <comment ref="F31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0,106 Ton a Thor Fisheries Chile SPA V-X (Res. EX. N°1488-21)
Compra venta de 0,106 Ton a Nordiomar SPA V-X (Res. EX. N°2132-21)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312,722 Ton a Emdepes S.A. XI-XII Región (Cert. N°13-2021)
Traspaso de 3783,905 Ton a Emdepes S.A. XI-XII Región (Cert. N°7-2021)</t>
        </r>
      </text>
    </comment>
    <comment ref="F33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56,478 Ton desde MG Inv. Spa V-X (Res. EX. N°2410-21)
Compra venta de 27,355 Ton desde Redina SPA Inv. V-X (Res. EX. N°2451-21)
Compra venta de 353,059 Ton desde Bento SPA Inv. V-X (Res. EX. N°2453-21)
Traspaso de 56,478 Ton a Emdepes S.A. XI-XII Región (Cert. N°50-2021)
Traspaso de 27,355 Ton a Emdepes S.A. XI-XII Región (Cert. N°51-2021)
Traspaso de 353,059 Ton a Emdepes S.A. XI-XII Región (Cert. N°52-2021)</t>
        </r>
      </text>
    </comment>
    <comment ref="F45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27,355 Ton a Emdepes S.A. V-X (Res. EX. N°2451-21)</t>
        </r>
      </text>
    </comment>
    <comment ref="F47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540 Ton a Sur Austral S.A. Pesq. XI-XII Región (Cert. N°25-2021)
Deja sin efectoTraspaso Cert. N°25 de 540 Ton a Sur Austral S.A. Pesq. XI-XII Región  (Cert. N°62-2021)
Traspaso de 100 Ton a Sur Austral S.A. Pesq. XI-XII Región (Cert. N°70-2021)
Compra venta de 93,607 Ton a Pacificblu Spa V-X (Res. EX. N°3472-21)
Compra venta de 462,609 Ton a Pacificblu Spa V-X (Res. EX. N°3475-21)</t>
        </r>
      </text>
    </comment>
    <comment ref="F51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0,107 Ton a Pesca Cisne S.A. XI-XII Región (Cert. N°137-2016)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Comodato de 0,10633 Ton desde Landes S.A. V-IX Región (Cert. N°42-2021)</t>
        </r>
      </text>
    </comment>
    <comment ref="F55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0,106 Ton desde Lota Protein S.A. V-X (Res. EX. N°1488-21)</t>
        </r>
      </text>
    </comment>
    <comment ref="F57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0,106 Ton desde Lota Protein S.A. V-X (Res. EX. N°2132-21)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Traspaso de 312,722 Ton desde Emdepes S.A. V-X Región (Cert. N°13-2021)
Traspaso de 3783,905 Ton desde Emdepes S.A. V-X Región (Cert. N°7-2021)</t>
        </r>
      </text>
    </comment>
    <comment ref="F66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56,478 Ton desde Emdepes S.A. V-X Región (Cert. N°50-2021)
Traspaso de 27,355 Ton desde Emdepes S.A. V-X Región (Cert. N°51-2021)
Traspaso de 353,059 Ton desde Emdepes S.A. V-X Región (Cert. N°52-2021)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410,059 Ton a Pesca Chile S.A. XI-XII (Res. EX. N°1185-21)
Traspaso de 580 Ton desde Grimar S.A. V-X Región (Cert. N°22-2021)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Compra venta de 410,059 Ton desde Grimar S.A. XI-XII (Res. EX. N°1185-21)
Fidecomiso de 0,407 Ton desde Pesca Cisne S.A. XI-XII (Res. Ex. N° 1841-2021)
Compra venta de 200,065 Ton desde Sur Austral S.A. Pesq. XI-XII  (Res. EX. N°2332-21)</t>
        </r>
      </text>
    </comment>
    <comment ref="H70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descuenta 27,993 Ton capturadas en año 2020.
Se incorporan 40,131 Ton desembarque año 2022.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Fidecomiso de 0,586 Ton a Pesca Chile S.A. XI-XII (Res. Ex. N° 1841-2021)
Traspaso de 0,107 Ton desde Pesca Cisne S.A. V-VIII Región (Cert. N°137-2016)</t>
        </r>
      </text>
    </comment>
    <comment ref="F74" authorId="1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540 Ton desde Sur Austral S.A. Pesq. V-X Región (Cert. N°25-2021)
Compra venta de 200,065 Ton a Pesca Chile S.A. XI-XII (Res. EX. N°2332-21)
Deja sin efectoTraspaso Cert. N°25 de 540 Ton a Sur Austral S.A. Pesq. XI-XII Región  (Cert. N°62-2021)
Traspaso de 100 Ton desde Sur Austral S.A. Pesq. V-X Región (Cert. N°70-2021)</t>
        </r>
      </text>
    </comment>
  </commentList>
</comments>
</file>

<file path=xl/sharedStrings.xml><?xml version="1.0" encoding="utf-8"?>
<sst xmlns="http://schemas.openxmlformats.org/spreadsheetml/2006/main" count="780" uniqueCount="126">
  <si>
    <t>Ene-Mar</t>
  </si>
  <si>
    <t>Abr-Dic</t>
  </si>
  <si>
    <t>V-X</t>
  </si>
  <si>
    <t>CAMANCHACA PESCA SUR S.A.</t>
  </si>
  <si>
    <t>PESCA CISNE S.A.</t>
  </si>
  <si>
    <t>XI-XII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</si>
  <si>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</si>
  <si>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</si>
  <si>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</si>
  <si>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</si>
  <si>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</si>
  <si>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</si>
  <si>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</si>
  <si>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</si>
  <si>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</si>
  <si>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</si>
  <si>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</si>
  <si>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</si>
  <si>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</si>
  <si>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</si>
  <si>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</si>
  <si>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</si>
  <si>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</si>
  <si>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</si>
  <si>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</si>
  <si>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</si>
  <si>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</si>
  <si>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</si>
  <si>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TOTAL LTP</t>
  </si>
  <si>
    <t>TOTAL ASIGNATARIOS LTP</t>
  </si>
  <si>
    <t>MERLUZA DE COLA XI-XII</t>
  </si>
  <si>
    <t>Ene-Dic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</si>
  <si>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</si>
  <si>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</si>
  <si>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</si>
  <si>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</si>
  <si>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</si>
  <si>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</si>
  <si>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PACIFICBLU SpA.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</si>
  <si>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</si>
  <si>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</si>
  <si>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</si>
  <si>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</si>
  <si>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</si>
  <si>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</si>
  <si>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</si>
  <si>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</si>
  <si>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</si>
  <si>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</si>
  <si>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</si>
  <si>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</si>
  <si>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</si>
  <si>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</si>
  <si>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</si>
  <si>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</si>
  <si>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</si>
  <si>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</si>
  <si>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</si>
  <si>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</si>
  <si>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</si>
  <si>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</si>
  <si>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</si>
  <si>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</si>
  <si>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</si>
  <si>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</si>
  <si>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</si>
  <si>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</si>
  <si>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</si>
  <si>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</si>
  <si>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</si>
  <si>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</si>
  <si>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</si>
  <si>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</si>
  <si>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</si>
  <si>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EMDEPES S.A.                     </t>
  </si>
  <si>
    <t xml:space="preserve">GRIMAR S.A. </t>
  </si>
  <si>
    <t xml:space="preserve">PESCA CISNE S.A.             </t>
  </si>
  <si>
    <t>ALIMENTOS MARINOS</t>
  </si>
  <si>
    <t>año</t>
  </si>
  <si>
    <t>mensaje</t>
  </si>
  <si>
    <t>ALIMENTOS MARINOS S.A.</t>
  </si>
  <si>
    <t>BRACPESCA S.A.</t>
  </si>
  <si>
    <t>BLUMAR S.A.</t>
  </si>
  <si>
    <t>BENTO SPA. INV.</t>
  </si>
  <si>
    <t>LITORAL SPA. PESQ.</t>
  </si>
  <si>
    <t>FOODCORP CHILE S.A.</t>
  </si>
  <si>
    <t>GRIMAR S.A. PESQ.</t>
  </si>
  <si>
    <t xml:space="preserve">MG INV. SPA.                 </t>
  </si>
  <si>
    <t>ISLA QUIHUA S.A. PESQ.</t>
  </si>
  <si>
    <t>LANDES S.A. SOC. PESQ.</t>
  </si>
  <si>
    <t>LOTA PROTEIN S.A.</t>
  </si>
  <si>
    <t>EMDEPES S.A.</t>
  </si>
  <si>
    <t>ANTONIO CRUZ CORDOVA NAKOUZI E.I.R.L.</t>
  </si>
  <si>
    <t>ENFERMAR LTDA. SOC. PESQ.</t>
  </si>
  <si>
    <t xml:space="preserve">ORIZON S.A          </t>
  </si>
  <si>
    <t>PESCA CHILE S.A.</t>
  </si>
  <si>
    <t>REDINA SPA. INV.</t>
  </si>
  <si>
    <t>SUR AUSTRAL S.A. PESQ.</t>
  </si>
  <si>
    <t>COMERCIAL Y CONSERVERA  SAN LAZARO LTDA.</t>
  </si>
  <si>
    <t>TOTAL</t>
  </si>
  <si>
    <t>UNIDAD DE PESQUERIA</t>
  </si>
  <si>
    <t>TITULAR DE CUOTA LTP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</si>
  <si>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</si>
  <si>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</si>
  <si>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</si>
  <si>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</si>
  <si>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</si>
  <si>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</si>
  <si>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MERLUZA DE COLA  V - X</t>
  </si>
  <si>
    <t xml:space="preserve">MERLUZA DE COLA  XI-XII </t>
  </si>
  <si>
    <t>INVESTIGACION</t>
  </si>
  <si>
    <t>SECTOR</t>
  </si>
  <si>
    <t>REGION</t>
  </si>
  <si>
    <t>MOVIMIENTOS (TON)</t>
  </si>
  <si>
    <t>INDUSTRIAL</t>
  </si>
  <si>
    <t>ARTESANAL</t>
  </si>
  <si>
    <t>V-X REGION</t>
  </si>
  <si>
    <t>XI-XII REGION</t>
  </si>
  <si>
    <t>X-XII REGION</t>
  </si>
  <si>
    <t>ARTESANAL-AGUAS INTERIORES</t>
  </si>
  <si>
    <t>Dec. Ex N°134-20: 18.464 Ton</t>
  </si>
  <si>
    <t>CONTROL CUOTA GLOBAL MERLUZA DE COLA AÑO 2021</t>
  </si>
  <si>
    <t>RESUMEN  POR PERIODO DEL CONSUMO DE CUOTA MERLUZA DE COLA 2021</t>
  </si>
  <si>
    <t>CONTROL DE CUOTA MERLUZA DE COLA LTP POR TITULAR 2021</t>
  </si>
  <si>
    <t>THOR FISHIRIES CHILE SPA</t>
  </si>
  <si>
    <t>NORDIOMAR SPA</t>
  </si>
</sst>
</file>

<file path=xl/styles.xml><?xml version="1.0" encoding="utf-8"?>
<styleSheet xmlns="http://schemas.openxmlformats.org/spreadsheetml/2006/main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00"/>
    <numFmt numFmtId="167" formatCode="0.0000"/>
    <numFmt numFmtId="168" formatCode="0.0"/>
    <numFmt numFmtId="169" formatCode="yyyy/mm/dd"/>
    <numFmt numFmtId="170" formatCode="#,##0.000"/>
    <numFmt numFmtId="171" formatCode="_-* #,##0.00\ _p_t_a_-;\-* #,##0.00\ _p_t_a_-;_-* \-??\ _p_t_a_-;_-@_-"/>
    <numFmt numFmtId="172" formatCode="0.000%"/>
    <numFmt numFmtId="173" formatCode="0.000_ ;[Red]\-0.000\ 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13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5" applyNumberFormat="0" applyAlignment="0" applyProtection="0"/>
    <xf numFmtId="0" fontId="22" fillId="9" borderId="16" applyNumberFormat="0" applyAlignment="0" applyProtection="0"/>
    <xf numFmtId="0" fontId="23" fillId="9" borderId="15" applyNumberFormat="0" applyAlignment="0" applyProtection="0"/>
    <xf numFmtId="0" fontId="24" fillId="0" borderId="17" applyNumberFormat="0" applyFill="0" applyAlignment="0" applyProtection="0"/>
    <xf numFmtId="0" fontId="25" fillId="10" borderId="18" applyNumberFormat="0" applyAlignment="0" applyProtection="0"/>
    <xf numFmtId="0" fontId="9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20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8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0" borderId="0" xfId="0"/>
    <xf numFmtId="0" fontId="0" fillId="0" borderId="5" xfId="0" applyBorder="1"/>
    <xf numFmtId="0" fontId="3" fillId="58" borderId="5" xfId="0" applyFont="1" applyFill="1" applyBorder="1" applyAlignment="1">
      <alignment horizontal="center" vertical="center"/>
    </xf>
    <xf numFmtId="168" fontId="50" fillId="4" borderId="8" xfId="0" applyNumberFormat="1" applyFont="1" applyFill="1" applyBorder="1" applyAlignment="1">
      <alignment horizontal="center"/>
    </xf>
    <xf numFmtId="0" fontId="49" fillId="4" borderId="7" xfId="0" applyFont="1" applyFill="1" applyBorder="1" applyAlignment="1">
      <alignment horizontal="center"/>
    </xf>
    <xf numFmtId="0" fontId="49" fillId="4" borderId="4" xfId="0" applyFont="1" applyFill="1" applyBorder="1" applyAlignment="1">
      <alignment horizontal="center"/>
    </xf>
    <xf numFmtId="168" fontId="50" fillId="4" borderId="10" xfId="0" applyNumberFormat="1" applyFont="1" applyFill="1" applyBorder="1" applyAlignment="1">
      <alignment horizontal="center"/>
    </xf>
    <xf numFmtId="168" fontId="3" fillId="58" borderId="2" xfId="0" applyNumberFormat="1" applyFont="1" applyFill="1" applyBorder="1"/>
    <xf numFmtId="0" fontId="50" fillId="58" borderId="9" xfId="0" applyFont="1" applyFill="1" applyBorder="1" applyAlignment="1">
      <alignment horizontal="center" vertical="center" wrapText="1"/>
    </xf>
    <xf numFmtId="166" fontId="0" fillId="0" borderId="5" xfId="0" applyNumberFormat="1" applyBorder="1"/>
    <xf numFmtId="1" fontId="3" fillId="58" borderId="5" xfId="0" applyNumberFormat="1" applyFont="1" applyFill="1" applyBorder="1"/>
    <xf numFmtId="0" fontId="3" fillId="58" borderId="5" xfId="0" applyFont="1" applyFill="1" applyBorder="1" applyAlignment="1">
      <alignment horizontal="center"/>
    </xf>
    <xf numFmtId="0" fontId="50" fillId="58" borderId="1" xfId="0" applyFont="1" applyFill="1" applyBorder="1" applyAlignment="1">
      <alignment horizontal="center" vertical="center" wrapText="1"/>
    </xf>
    <xf numFmtId="1" fontId="3" fillId="58" borderId="5" xfId="0" applyNumberFormat="1" applyFont="1" applyFill="1" applyBorder="1" applyAlignment="1">
      <alignment horizontal="center"/>
    </xf>
    <xf numFmtId="0" fontId="3" fillId="58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6" fontId="3" fillId="58" borderId="5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5" xfId="0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72" fontId="12" fillId="0" borderId="5" xfId="1" applyNumberFormat="1" applyFont="1" applyFill="1" applyBorder="1" applyAlignment="1">
      <alignment horizontal="center"/>
    </xf>
    <xf numFmtId="169" fontId="7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2" fillId="0" borderId="0" xfId="0" applyFont="1"/>
    <xf numFmtId="0" fontId="52" fillId="0" borderId="0" xfId="0" applyFont="1" applyFill="1" applyBorder="1"/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 textRotation="90"/>
    </xf>
    <xf numFmtId="0" fontId="52" fillId="0" borderId="0" xfId="0" applyFont="1" applyFill="1" applyBorder="1" applyAlignment="1">
      <alignment horizontal="center" vertical="center" wrapText="1"/>
    </xf>
    <xf numFmtId="166" fontId="52" fillId="0" borderId="0" xfId="0" applyNumberFormat="1" applyFont="1" applyFill="1" applyBorder="1" applyAlignment="1">
      <alignment horizontal="center" vertical="center"/>
    </xf>
    <xf numFmtId="10" fontId="52" fillId="0" borderId="0" xfId="1" applyNumberFormat="1" applyFont="1" applyFill="1" applyBorder="1" applyAlignment="1">
      <alignment horizontal="center" vertical="center"/>
    </xf>
    <xf numFmtId="173" fontId="52" fillId="0" borderId="0" xfId="0" applyNumberFormat="1" applyFont="1" applyFill="1" applyBorder="1" applyAlignment="1">
      <alignment horizontal="center" vertical="center"/>
    </xf>
    <xf numFmtId="165" fontId="52" fillId="0" borderId="0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Alignment="1">
      <alignment horizontal="center" vertical="center"/>
    </xf>
    <xf numFmtId="165" fontId="52" fillId="0" borderId="0" xfId="0" applyNumberFormat="1" applyFont="1" applyFill="1" applyAlignment="1">
      <alignment horizontal="center" vertical="center"/>
    </xf>
    <xf numFmtId="10" fontId="52" fillId="0" borderId="0" xfId="0" applyNumberFormat="1" applyFont="1" applyFill="1" applyAlignment="1">
      <alignment horizontal="center" vertical="center"/>
    </xf>
    <xf numFmtId="166" fontId="52" fillId="0" borderId="0" xfId="0" applyNumberFormat="1" applyFont="1" applyFill="1" applyAlignment="1">
      <alignment horizontal="center" vertical="center"/>
    </xf>
    <xf numFmtId="0" fontId="52" fillId="0" borderId="0" xfId="0" applyFont="1" applyFill="1"/>
    <xf numFmtId="0" fontId="51" fillId="59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center" vertical="center"/>
    </xf>
    <xf numFmtId="172" fontId="52" fillId="0" borderId="5" xfId="1" applyNumberFormat="1" applyFont="1" applyFill="1" applyBorder="1" applyAlignment="1">
      <alignment horizontal="center" vertical="center"/>
    </xf>
    <xf numFmtId="172" fontId="51" fillId="0" borderId="5" xfId="1" applyNumberFormat="1" applyFont="1" applyFill="1" applyBorder="1" applyAlignment="1">
      <alignment horizontal="center" vertical="center"/>
    </xf>
    <xf numFmtId="0" fontId="52" fillId="0" borderId="5" xfId="0" applyFont="1" applyFill="1" applyBorder="1"/>
    <xf numFmtId="9" fontId="52" fillId="0" borderId="5" xfId="1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51" fillId="60" borderId="5" xfId="0" applyFont="1" applyFill="1" applyBorder="1" applyAlignment="1">
      <alignment horizontal="center" vertical="center" wrapText="1"/>
    </xf>
    <xf numFmtId="168" fontId="51" fillId="60" borderId="5" xfId="0" applyNumberFormat="1" applyFont="1" applyFill="1" applyBorder="1" applyAlignment="1">
      <alignment horizontal="center" vertical="center" wrapText="1"/>
    </xf>
    <xf numFmtId="166" fontId="51" fillId="60" borderId="5" xfId="0" applyNumberFormat="1" applyFont="1" applyFill="1" applyBorder="1" applyAlignment="1">
      <alignment horizontal="center" vertical="center" wrapText="1"/>
    </xf>
    <xf numFmtId="170" fontId="52" fillId="0" borderId="5" xfId="0" applyNumberFormat="1" applyFont="1" applyFill="1" applyBorder="1" applyAlignment="1">
      <alignment horizontal="center"/>
    </xf>
    <xf numFmtId="9" fontId="51" fillId="0" borderId="5" xfId="1" applyFont="1" applyFill="1" applyBorder="1" applyAlignment="1">
      <alignment horizontal="center" vertical="center"/>
    </xf>
    <xf numFmtId="170" fontId="52" fillId="0" borderId="0" xfId="0" applyNumberFormat="1" applyFont="1"/>
    <xf numFmtId="4" fontId="52" fillId="0" borderId="0" xfId="0" applyNumberFormat="1" applyFont="1"/>
    <xf numFmtId="3" fontId="51" fillId="0" borderId="5" xfId="0" applyNumberFormat="1" applyFont="1" applyFill="1" applyBorder="1" applyAlignment="1">
      <alignment horizontal="center"/>
    </xf>
    <xf numFmtId="9" fontId="51" fillId="0" borderId="5" xfId="1" applyFont="1" applyFill="1" applyBorder="1" applyAlignment="1">
      <alignment horizontal="center"/>
    </xf>
    <xf numFmtId="0" fontId="51" fillId="0" borderId="2" xfId="0" applyFont="1" applyBorder="1"/>
    <xf numFmtId="164" fontId="51" fillId="0" borderId="0" xfId="0" applyNumberFormat="1" applyFont="1" applyFill="1" applyAlignment="1">
      <alignment horizontal="center" vertical="center"/>
    </xf>
    <xf numFmtId="0" fontId="52" fillId="0" borderId="5" xfId="0" applyFont="1" applyFill="1" applyBorder="1" applyAlignment="1">
      <alignment horizontal="left"/>
    </xf>
    <xf numFmtId="0" fontId="51" fillId="0" borderId="0" xfId="0" applyFont="1" applyFill="1" applyAlignment="1">
      <alignment vertical="center"/>
    </xf>
    <xf numFmtId="0" fontId="14" fillId="0" borderId="5" xfId="7" applyFont="1" applyFill="1" applyBorder="1" applyAlignment="1"/>
    <xf numFmtId="0" fontId="12" fillId="0" borderId="5" xfId="0" applyFont="1" applyFill="1" applyBorder="1" applyAlignment="1"/>
    <xf numFmtId="170" fontId="51" fillId="0" borderId="5" xfId="0" applyNumberFormat="1" applyFont="1" applyFill="1" applyBorder="1" applyAlignment="1">
      <alignment horizontal="center"/>
    </xf>
    <xf numFmtId="170" fontId="51" fillId="0" borderId="5" xfId="0" applyNumberFormat="1" applyFont="1" applyFill="1" applyBorder="1" applyAlignment="1">
      <alignment horizontal="center" vertical="center"/>
    </xf>
    <xf numFmtId="170" fontId="51" fillId="0" borderId="5" xfId="1" applyNumberFormat="1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72" fontId="52" fillId="0" borderId="5" xfId="1" applyNumberFormat="1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72" fontId="52" fillId="0" borderId="5" xfId="1" applyNumberFormat="1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166" fontId="52" fillId="0" borderId="5" xfId="0" applyNumberFormat="1" applyFont="1" applyFill="1" applyBorder="1" applyAlignment="1">
      <alignment horizontal="center" vertical="center"/>
    </xf>
    <xf numFmtId="166" fontId="54" fillId="0" borderId="5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/>
    </xf>
    <xf numFmtId="0" fontId="51" fillId="61" borderId="34" xfId="0" applyFont="1" applyFill="1" applyBorder="1" applyAlignment="1">
      <alignment horizontal="center" vertical="center"/>
    </xf>
    <xf numFmtId="0" fontId="51" fillId="61" borderId="35" xfId="0" applyFont="1" applyFill="1" applyBorder="1" applyAlignment="1">
      <alignment horizontal="center" vertical="center"/>
    </xf>
    <xf numFmtId="0" fontId="51" fillId="61" borderId="36" xfId="0" applyFont="1" applyFill="1" applyBorder="1" applyAlignment="1">
      <alignment horizontal="center" vertical="center"/>
    </xf>
    <xf numFmtId="0" fontId="51" fillId="61" borderId="37" xfId="0" applyFont="1" applyFill="1" applyBorder="1" applyAlignment="1">
      <alignment horizontal="center" vertical="center"/>
    </xf>
    <xf numFmtId="0" fontId="51" fillId="61" borderId="0" xfId="0" applyFont="1" applyFill="1" applyBorder="1" applyAlignment="1">
      <alignment horizontal="center" vertical="center"/>
    </xf>
    <xf numFmtId="0" fontId="51" fillId="61" borderId="38" xfId="0" applyFont="1" applyFill="1" applyBorder="1" applyAlignment="1">
      <alignment horizontal="center" vertical="center"/>
    </xf>
    <xf numFmtId="164" fontId="51" fillId="61" borderId="39" xfId="0" applyNumberFormat="1" applyFont="1" applyFill="1" applyBorder="1" applyAlignment="1">
      <alignment horizontal="center" vertical="center"/>
    </xf>
    <xf numFmtId="164" fontId="51" fillId="61" borderId="40" xfId="0" applyNumberFormat="1" applyFont="1" applyFill="1" applyBorder="1" applyAlignment="1">
      <alignment horizontal="center" vertical="center"/>
    </xf>
    <xf numFmtId="164" fontId="51" fillId="61" borderId="41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left" vertical="center"/>
    </xf>
    <xf numFmtId="0" fontId="52" fillId="0" borderId="5" xfId="0" applyFont="1" applyFill="1" applyBorder="1" applyAlignment="1">
      <alignment horizontal="left" vertical="center" wrapText="1"/>
    </xf>
    <xf numFmtId="0" fontId="51" fillId="5" borderId="0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0" fontId="51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2" fontId="53" fillId="61" borderId="34" xfId="0" applyNumberFormat="1" applyFont="1" applyFill="1" applyBorder="1" applyAlignment="1">
      <alignment horizontal="center" vertical="center"/>
    </xf>
    <xf numFmtId="2" fontId="53" fillId="61" borderId="35" xfId="0" applyNumberFormat="1" applyFont="1" applyFill="1" applyBorder="1" applyAlignment="1">
      <alignment horizontal="center" vertical="center"/>
    </xf>
    <xf numFmtId="2" fontId="53" fillId="61" borderId="36" xfId="0" applyNumberFormat="1" applyFont="1" applyFill="1" applyBorder="1" applyAlignment="1">
      <alignment horizontal="center" vertical="center"/>
    </xf>
    <xf numFmtId="164" fontId="53" fillId="61" borderId="39" xfId="0" applyNumberFormat="1" applyFont="1" applyFill="1" applyBorder="1" applyAlignment="1">
      <alignment horizontal="center" vertical="center"/>
    </xf>
    <xf numFmtId="164" fontId="53" fillId="61" borderId="40" xfId="0" applyNumberFormat="1" applyFont="1" applyFill="1" applyBorder="1" applyAlignment="1">
      <alignment horizontal="center" vertical="center"/>
    </xf>
    <xf numFmtId="164" fontId="53" fillId="61" borderId="41" xfId="0" applyNumberFormat="1" applyFont="1" applyFill="1" applyBorder="1" applyAlignment="1">
      <alignment horizontal="center" vertical="center"/>
    </xf>
    <xf numFmtId="172" fontId="52" fillId="0" borderId="5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166" fontId="52" fillId="0" borderId="5" xfId="0" applyNumberFormat="1" applyFont="1" applyFill="1" applyBorder="1" applyAlignment="1">
      <alignment horizontal="center" vertical="center"/>
    </xf>
    <xf numFmtId="166" fontId="52" fillId="62" borderId="5" xfId="0" applyNumberFormat="1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center" vertical="center"/>
    </xf>
    <xf numFmtId="172" fontId="51" fillId="0" borderId="5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31" xfId="0" applyFont="1" applyFill="1" applyBorder="1" applyAlignment="1">
      <alignment horizontal="center" vertical="center" textRotation="90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2" xfId="0" applyFont="1" applyFill="1" applyBorder="1" applyAlignment="1">
      <alignment horizontal="center" vertical="center" textRotation="90"/>
    </xf>
    <xf numFmtId="0" fontId="0" fillId="0" borderId="31" xfId="0" applyFont="1" applyFill="1" applyBorder="1" applyAlignment="1">
      <alignment horizontal="center" vertical="center" textRotation="90"/>
    </xf>
    <xf numFmtId="0" fontId="52" fillId="0" borderId="6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8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 2" xfId="42110"/>
    <cellStyle name="Porcentaje 3" xfId="42111"/>
    <cellStyle name="Porcentual" xfId="1" builtinId="5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" xfId="10" builtinId="16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2"/>
  <sheetViews>
    <sheetView showGridLines="0" zoomScaleNormal="100" workbookViewId="0">
      <selection activeCell="I25" sqref="I25"/>
    </sheetView>
  </sheetViews>
  <sheetFormatPr baseColWidth="10" defaultColWidth="11.42578125" defaultRowHeight="12"/>
  <cols>
    <col min="1" max="1" width="11.42578125" style="33"/>
    <col min="2" max="2" width="24.7109375" style="33" bestFit="1" customWidth="1"/>
    <col min="3" max="3" width="18" style="33" bestFit="1" customWidth="1"/>
    <col min="4" max="4" width="19" style="33" bestFit="1" customWidth="1"/>
    <col min="5" max="5" width="16.5703125" style="33" bestFit="1" customWidth="1"/>
    <col min="6" max="6" width="18" style="33" bestFit="1" customWidth="1"/>
    <col min="7" max="7" width="12.42578125" style="33" bestFit="1" customWidth="1"/>
    <col min="8" max="8" width="10.5703125" style="33" bestFit="1" customWidth="1"/>
    <col min="9" max="9" width="12" style="33" bestFit="1" customWidth="1"/>
    <col min="10" max="16384" width="11.42578125" style="33"/>
  </cols>
  <sheetData>
    <row r="3" spans="2:9">
      <c r="B3" s="93" t="s">
        <v>121</v>
      </c>
      <c r="C3" s="94"/>
      <c r="D3" s="94"/>
      <c r="E3" s="94"/>
      <c r="F3" s="94"/>
      <c r="G3" s="94"/>
      <c r="H3" s="94"/>
      <c r="I3" s="95"/>
    </row>
    <row r="4" spans="2:9">
      <c r="B4" s="96"/>
      <c r="C4" s="97"/>
      <c r="D4" s="97"/>
      <c r="E4" s="97"/>
      <c r="F4" s="97"/>
      <c r="G4" s="97"/>
      <c r="H4" s="97"/>
      <c r="I4" s="98"/>
    </row>
    <row r="5" spans="2:9">
      <c r="B5" s="99">
        <v>44561</v>
      </c>
      <c r="C5" s="100"/>
      <c r="D5" s="100"/>
      <c r="E5" s="100"/>
      <c r="F5" s="100"/>
      <c r="G5" s="100"/>
      <c r="H5" s="100"/>
      <c r="I5" s="101"/>
    </row>
    <row r="6" spans="2:9">
      <c r="B6" s="73"/>
      <c r="C6" s="73"/>
      <c r="D6" s="73"/>
      <c r="E6" s="73"/>
      <c r="F6" s="73"/>
      <c r="G6" s="73"/>
      <c r="H6" s="73"/>
      <c r="I6" s="73"/>
    </row>
    <row r="7" spans="2:9">
      <c r="B7" s="104"/>
      <c r="C7" s="104"/>
      <c r="D7" s="104"/>
      <c r="E7" s="104"/>
      <c r="F7" s="104"/>
      <c r="G7" s="104"/>
      <c r="H7" s="104"/>
      <c r="I7" s="104"/>
    </row>
    <row r="8" spans="2:9">
      <c r="B8" s="63" t="s">
        <v>111</v>
      </c>
      <c r="C8" s="63" t="s">
        <v>112</v>
      </c>
      <c r="D8" s="64" t="s">
        <v>102</v>
      </c>
      <c r="E8" s="65" t="s">
        <v>113</v>
      </c>
      <c r="F8" s="63" t="s">
        <v>104</v>
      </c>
      <c r="G8" s="63" t="s">
        <v>105</v>
      </c>
      <c r="H8" s="63" t="s">
        <v>106</v>
      </c>
      <c r="I8" s="63" t="s">
        <v>107</v>
      </c>
    </row>
    <row r="9" spans="2:9">
      <c r="B9" s="102" t="s">
        <v>114</v>
      </c>
      <c r="C9" s="74" t="s">
        <v>116</v>
      </c>
      <c r="D9" s="66">
        <f>'RESUMEN PERIODOS'!E9+'RESUMEN PERIODOS'!E10</f>
        <v>10636.998936300002</v>
      </c>
      <c r="E9" s="66">
        <f>'RESUMEN PERIODOS'!F9+'RESUMEN PERIODOS'!F10</f>
        <v>-5213.6260000000002</v>
      </c>
      <c r="F9" s="66">
        <f>D9+E9</f>
        <v>5423.372936300002</v>
      </c>
      <c r="G9" s="66">
        <f>'RESUMEN PERIODOS'!H9+'RESUMEN PERIODOS'!H10</f>
        <v>3770.6499999999996</v>
      </c>
      <c r="H9" s="66">
        <f>F9-G9</f>
        <v>1652.7229363000024</v>
      </c>
      <c r="I9" s="61">
        <f>G9/F9</f>
        <v>0.69525921309266581</v>
      </c>
    </row>
    <row r="10" spans="2:9">
      <c r="B10" s="102"/>
      <c r="C10" s="74" t="s">
        <v>117</v>
      </c>
      <c r="D10" s="66">
        <f>'RESUMEN PERIODOS'!E11+'RESUMEN PERIODOS'!E12</f>
        <v>7091.9680859999999</v>
      </c>
      <c r="E10" s="66">
        <f>'RESUMEN PERIODOS'!F11+'RESUMEN PERIODOS'!F12</f>
        <v>5213.4470000000001</v>
      </c>
      <c r="F10" s="66">
        <f>D10+E10</f>
        <v>12305.415086000001</v>
      </c>
      <c r="G10" s="66">
        <f>'RESUMEN PERIODOS'!H11+'RESUMEN PERIODOS'!H12</f>
        <v>9537.6489999999994</v>
      </c>
      <c r="H10" s="66">
        <f>F10-G10</f>
        <v>2767.7660860000015</v>
      </c>
      <c r="I10" s="61">
        <f>G10/F10</f>
        <v>0.77507738937234893</v>
      </c>
    </row>
    <row r="11" spans="2:9">
      <c r="B11" s="103" t="s">
        <v>119</v>
      </c>
      <c r="C11" s="74" t="s">
        <v>118</v>
      </c>
      <c r="D11" s="66">
        <f>'RESUMEN PERIODOS'!E13</f>
        <v>50</v>
      </c>
      <c r="E11" s="66">
        <f>'RESUMEN PERIODOS'!F13</f>
        <v>0</v>
      </c>
      <c r="F11" s="66">
        <f>'RESUMEN PERIODOS'!G13</f>
        <v>50</v>
      </c>
      <c r="G11" s="66">
        <f>'RESUMEN PERIODOS'!H13</f>
        <v>0</v>
      </c>
      <c r="H11" s="66">
        <f>'RESUMEN PERIODOS'!I13</f>
        <v>50</v>
      </c>
      <c r="I11" s="61">
        <f>'RESUMEN PERIODOS'!J13</f>
        <v>0</v>
      </c>
    </row>
    <row r="12" spans="2:9">
      <c r="B12" s="103"/>
      <c r="C12" s="74" t="s">
        <v>73</v>
      </c>
      <c r="D12" s="66">
        <f>'RESUMEN PERIODOS'!E14</f>
        <v>450</v>
      </c>
      <c r="E12" s="66">
        <f>'RESUMEN PERIODOS'!F14</f>
        <v>0</v>
      </c>
      <c r="F12" s="66">
        <f>'RESUMEN PERIODOS'!G14</f>
        <v>450</v>
      </c>
      <c r="G12" s="66">
        <f>'RESUMEN PERIODOS'!H14</f>
        <v>9.6679999999999993</v>
      </c>
      <c r="H12" s="66">
        <f>'RESUMEN PERIODOS'!I14</f>
        <v>440.33199999999999</v>
      </c>
      <c r="I12" s="61">
        <f>'RESUMEN PERIODOS'!J14</f>
        <v>2.1484444444444441E-2</v>
      </c>
    </row>
    <row r="13" spans="2:9">
      <c r="B13" s="105" t="s">
        <v>110</v>
      </c>
      <c r="C13" s="106"/>
      <c r="D13" s="66">
        <v>235</v>
      </c>
      <c r="E13" s="66">
        <v>0</v>
      </c>
      <c r="F13" s="66">
        <f>D13+E13</f>
        <v>235</v>
      </c>
      <c r="G13" s="66">
        <v>0</v>
      </c>
      <c r="H13" s="66">
        <f>F13-G13</f>
        <v>235</v>
      </c>
      <c r="I13" s="61">
        <f>G13/F13</f>
        <v>0</v>
      </c>
    </row>
    <row r="14" spans="2:9">
      <c r="B14" s="92" t="s">
        <v>99</v>
      </c>
      <c r="C14" s="92"/>
      <c r="D14" s="70">
        <f>SUM(D9:D13)</f>
        <v>18463.967022300003</v>
      </c>
      <c r="E14" s="78">
        <f>SUM(E9:E12)</f>
        <v>-0.17900000000008731</v>
      </c>
      <c r="F14" s="78">
        <f>D14-E14</f>
        <v>18464.146022300003</v>
      </c>
      <c r="G14" s="78">
        <f>SUM(G9:G12)</f>
        <v>13317.966999999999</v>
      </c>
      <c r="H14" s="78">
        <f>F14-G14</f>
        <v>5146.1790223000044</v>
      </c>
      <c r="I14" s="71">
        <f>G14/F14</f>
        <v>0.72128800237580848</v>
      </c>
    </row>
    <row r="16" spans="2:9" ht="12.75" thickBot="1">
      <c r="D16" s="68"/>
    </row>
    <row r="17" spans="2:7" ht="12.75" thickBot="1">
      <c r="B17" s="72" t="s">
        <v>120</v>
      </c>
      <c r="G17" s="68"/>
    </row>
    <row r="22" spans="2:7">
      <c r="D22" s="69"/>
    </row>
  </sheetData>
  <mergeCells count="7">
    <mergeCell ref="B14:C14"/>
    <mergeCell ref="B3:I4"/>
    <mergeCell ref="B5:I5"/>
    <mergeCell ref="B9:B10"/>
    <mergeCell ref="B11:B12"/>
    <mergeCell ref="B7:I7"/>
    <mergeCell ref="B13:C13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15"/>
  <sheetViews>
    <sheetView showGridLines="0" zoomScaleNormal="100" workbookViewId="0">
      <selection activeCell="E14" sqref="E14"/>
    </sheetView>
  </sheetViews>
  <sheetFormatPr baseColWidth="10" defaultColWidth="11.42578125" defaultRowHeight="12"/>
  <cols>
    <col min="1" max="2" width="11.42578125" style="33"/>
    <col min="3" max="3" width="18.85546875" style="33" bestFit="1" customWidth="1"/>
    <col min="4" max="4" width="11.42578125" style="33"/>
    <col min="5" max="5" width="19" style="33" bestFit="1" customWidth="1"/>
    <col min="6" max="6" width="16.5703125" style="33" bestFit="1" customWidth="1"/>
    <col min="7" max="7" width="18" style="33" bestFit="1" customWidth="1"/>
    <col min="8" max="8" width="12.42578125" style="33" bestFit="1" customWidth="1"/>
    <col min="9" max="9" width="10.5703125" style="33" bestFit="1" customWidth="1"/>
    <col min="10" max="10" width="12" style="33" bestFit="1" customWidth="1"/>
    <col min="11" max="16384" width="11.42578125" style="33"/>
  </cols>
  <sheetData>
    <row r="3" spans="2:11" ht="15" customHeight="1">
      <c r="B3" s="93" t="s">
        <v>122</v>
      </c>
      <c r="C3" s="94"/>
      <c r="D3" s="94"/>
      <c r="E3" s="94"/>
      <c r="F3" s="94"/>
      <c r="G3" s="94"/>
      <c r="H3" s="94"/>
      <c r="I3" s="94"/>
      <c r="J3" s="95"/>
    </row>
    <row r="4" spans="2:11" ht="15" customHeight="1">
      <c r="B4" s="96"/>
      <c r="C4" s="97"/>
      <c r="D4" s="97"/>
      <c r="E4" s="97"/>
      <c r="F4" s="97"/>
      <c r="G4" s="97"/>
      <c r="H4" s="97"/>
      <c r="I4" s="97"/>
      <c r="J4" s="98"/>
    </row>
    <row r="5" spans="2:11">
      <c r="B5" s="99">
        <f>RESUMEN!B5:I5</f>
        <v>44561</v>
      </c>
      <c r="C5" s="100"/>
      <c r="D5" s="100"/>
      <c r="E5" s="100"/>
      <c r="F5" s="100"/>
      <c r="G5" s="100"/>
      <c r="H5" s="100"/>
      <c r="I5" s="100"/>
      <c r="J5" s="101"/>
      <c r="K5" s="75"/>
    </row>
    <row r="8" spans="2:11">
      <c r="B8" s="63" t="s">
        <v>111</v>
      </c>
      <c r="C8" s="63" t="s">
        <v>112</v>
      </c>
      <c r="D8" s="64" t="s">
        <v>39</v>
      </c>
      <c r="E8" s="65" t="s">
        <v>102</v>
      </c>
      <c r="F8" s="63" t="s">
        <v>113</v>
      </c>
      <c r="G8" s="63" t="s">
        <v>104</v>
      </c>
      <c r="H8" s="63" t="s">
        <v>105</v>
      </c>
      <c r="I8" s="63" t="s">
        <v>106</v>
      </c>
      <c r="J8" s="63" t="s">
        <v>107</v>
      </c>
    </row>
    <row r="9" spans="2:11">
      <c r="B9" s="108" t="s">
        <v>114</v>
      </c>
      <c r="C9" s="108" t="s">
        <v>116</v>
      </c>
      <c r="D9" s="60" t="s">
        <v>0</v>
      </c>
      <c r="E9" s="66">
        <f>'CUOTA INDUSTRIAL'!E58</f>
        <v>4254.9995744999987</v>
      </c>
      <c r="F9" s="66">
        <f>'CUOTA INDUSTRIAL'!F58</f>
        <v>-4096.6270000000004</v>
      </c>
      <c r="G9" s="66">
        <f>'CUOTA INDUSTRIAL'!G58</f>
        <v>158.37257449999834</v>
      </c>
      <c r="H9" s="66">
        <f>'CUOTA INDUSTRIAL'!H58</f>
        <v>1322.1139999999998</v>
      </c>
      <c r="I9" s="66">
        <f>'CUOTA INDUSTRIAL'!I58</f>
        <v>-1163.7414255000015</v>
      </c>
      <c r="J9" s="61">
        <f>'CUOTA INDUSTRIAL'!J58</f>
        <v>8.3481246937740075</v>
      </c>
    </row>
    <row r="10" spans="2:11">
      <c r="B10" s="108"/>
      <c r="C10" s="108"/>
      <c r="D10" s="60" t="s">
        <v>1</v>
      </c>
      <c r="E10" s="66">
        <f>'CUOTA INDUSTRIAL'!E59</f>
        <v>6381.9993618000026</v>
      </c>
      <c r="F10" s="66">
        <f>'CUOTA INDUSTRIAL'!F59</f>
        <v>-1116.9989999999998</v>
      </c>
      <c r="G10" s="66">
        <f>'CUOTA INDUSTRIAL'!G59</f>
        <v>4101.2589363000016</v>
      </c>
      <c r="H10" s="66">
        <f>'CUOTA INDUSTRIAL'!H59</f>
        <v>2448.5360000000001</v>
      </c>
      <c r="I10" s="66">
        <f>'CUOTA INDUSTRIAL'!I59</f>
        <v>1652.7229363000015</v>
      </c>
      <c r="J10" s="61">
        <f>'CUOTA INDUSTRIAL'!J59</f>
        <v>0.59702058271136016</v>
      </c>
    </row>
    <row r="11" spans="2:11">
      <c r="B11" s="108"/>
      <c r="C11" s="108" t="s">
        <v>117</v>
      </c>
      <c r="D11" s="60" t="s">
        <v>0</v>
      </c>
      <c r="E11" s="66">
        <f>'CUOTA INDUSTRIAL'!E75</f>
        <v>2836.9872335</v>
      </c>
      <c r="F11" s="66">
        <f>'CUOTA INDUSTRIAL'!F75</f>
        <v>4096.6270000000004</v>
      </c>
      <c r="G11" s="66">
        <f>'CUOTA INDUSTRIAL'!G75</f>
        <v>6933.6142335000004</v>
      </c>
      <c r="H11" s="66">
        <f>'CUOTA INDUSTRIAL'!H75</f>
        <v>373.69299999999998</v>
      </c>
      <c r="I11" s="66">
        <f>'CUOTA INDUSTRIAL'!I75</f>
        <v>6559.9212335000002</v>
      </c>
      <c r="J11" s="61">
        <f>'CUOTA INDUSTRIAL'!J75</f>
        <v>5.3895845285780272E-2</v>
      </c>
    </row>
    <row r="12" spans="2:11">
      <c r="B12" s="108"/>
      <c r="C12" s="108"/>
      <c r="D12" s="60" t="s">
        <v>1</v>
      </c>
      <c r="E12" s="66">
        <f>'CUOTA INDUSTRIAL'!E76</f>
        <v>4254.9808524999999</v>
      </c>
      <c r="F12" s="66">
        <f>'CUOTA INDUSTRIAL'!F76</f>
        <v>1116.82</v>
      </c>
      <c r="G12" s="66">
        <f>'CUOTA INDUSTRIAL'!G76</f>
        <v>11931.722086</v>
      </c>
      <c r="H12" s="66">
        <f>'CUOTA INDUSTRIAL'!H76</f>
        <v>9163.9560000000001</v>
      </c>
      <c r="I12" s="66">
        <f>'CUOTA INDUSTRIAL'!I76</f>
        <v>2767.7660859999996</v>
      </c>
      <c r="J12" s="61">
        <f>'CUOTA INDUSTRIAL'!J76</f>
        <v>0.76803297411297078</v>
      </c>
    </row>
    <row r="13" spans="2:11">
      <c r="B13" s="108" t="s">
        <v>115</v>
      </c>
      <c r="C13" s="62" t="s">
        <v>118</v>
      </c>
      <c r="D13" s="60" t="s">
        <v>31</v>
      </c>
      <c r="E13" s="66">
        <v>50</v>
      </c>
      <c r="F13" s="66">
        <v>0</v>
      </c>
      <c r="G13" s="66">
        <f>E13+F13</f>
        <v>50</v>
      </c>
      <c r="H13" s="66">
        <v>0</v>
      </c>
      <c r="I13" s="66">
        <f t="shared" ref="I13:I14" si="0">G13-H13</f>
        <v>50</v>
      </c>
      <c r="J13" s="61">
        <f t="shared" ref="J13" si="1">H13/G13</f>
        <v>0</v>
      </c>
    </row>
    <row r="14" spans="2:11">
      <c r="B14" s="108"/>
      <c r="C14" s="62" t="s">
        <v>73</v>
      </c>
      <c r="D14" s="60" t="s">
        <v>31</v>
      </c>
      <c r="E14" s="66">
        <v>450</v>
      </c>
      <c r="F14" s="66">
        <v>0</v>
      </c>
      <c r="G14" s="66">
        <f>E14+F14</f>
        <v>450</v>
      </c>
      <c r="H14" s="66">
        <v>9.6679999999999993</v>
      </c>
      <c r="I14" s="66">
        <f t="shared" si="0"/>
        <v>440.33199999999999</v>
      </c>
      <c r="J14" s="61">
        <f>H14/G14</f>
        <v>2.1484444444444441E-2</v>
      </c>
    </row>
    <row r="15" spans="2:11">
      <c r="B15" s="107" t="s">
        <v>99</v>
      </c>
      <c r="C15" s="107"/>
      <c r="D15" s="107"/>
      <c r="E15" s="79">
        <f>SUM(E9:E14)</f>
        <v>18228.967022300003</v>
      </c>
      <c r="F15" s="79">
        <f>SUM(F9:F14)</f>
        <v>-0.17899999999985994</v>
      </c>
      <c r="G15" s="79">
        <f>E15+F15</f>
        <v>18228.788022300003</v>
      </c>
      <c r="H15" s="79">
        <f>SUM(H9:H14)</f>
        <v>13317.966999999999</v>
      </c>
      <c r="I15" s="80">
        <f>G15-H15</f>
        <v>4910.8210223000042</v>
      </c>
      <c r="J15" s="67">
        <f>H15/G15</f>
        <v>0.73060079384913568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13:I14">
    <cfRule type="cellIs" dxfId="0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78"/>
  <sheetViews>
    <sheetView showGridLines="0" tabSelected="1" topLeftCell="A22" zoomScaleNormal="100" workbookViewId="0">
      <selection activeCell="C46" sqref="C46:C47"/>
    </sheetView>
  </sheetViews>
  <sheetFormatPr baseColWidth="10" defaultColWidth="11.42578125" defaultRowHeight="12"/>
  <cols>
    <col min="1" max="1" width="5.140625" style="33" customWidth="1"/>
    <col min="2" max="2" width="19.28515625" style="33" customWidth="1"/>
    <col min="3" max="3" width="25.28515625" style="33" customWidth="1"/>
    <col min="4" max="4" width="7.5703125" style="33" bestFit="1" customWidth="1"/>
    <col min="5" max="5" width="19.28515625" style="33" customWidth="1"/>
    <col min="6" max="6" width="16.140625" style="33" customWidth="1"/>
    <col min="7" max="7" width="18" style="33" bestFit="1" customWidth="1"/>
    <col min="8" max="8" width="12.42578125" style="33" bestFit="1" customWidth="1"/>
    <col min="9" max="9" width="10.5703125" style="33" bestFit="1" customWidth="1"/>
    <col min="10" max="10" width="12.5703125" style="33" customWidth="1"/>
    <col min="11" max="11" width="18.5703125" style="33" customWidth="1"/>
    <col min="12" max="12" width="15.5703125" style="33" bestFit="1" customWidth="1"/>
    <col min="13" max="13" width="18" style="33" bestFit="1" customWidth="1"/>
    <col min="14" max="14" width="12.42578125" style="33" bestFit="1" customWidth="1"/>
    <col min="15" max="15" width="10.5703125" style="33" bestFit="1" customWidth="1"/>
    <col min="16" max="16" width="13.28515625" style="33" customWidth="1"/>
    <col min="17" max="17" width="11.5703125" style="33"/>
    <col min="18" max="16384" width="11.42578125" style="54"/>
  </cols>
  <sheetData>
    <row r="1" spans="1:110" s="33" customFormat="1">
      <c r="Q1" s="34"/>
    </row>
    <row r="2" spans="1:110" s="33" customFormat="1">
      <c r="Q2" s="34"/>
    </row>
    <row r="3" spans="1:110" s="37" customFormat="1" ht="18.75" customHeight="1">
      <c r="A3" s="35"/>
      <c r="B3" s="109" t="s">
        <v>123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36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</row>
    <row r="4" spans="1:110" s="37" customFormat="1" ht="20.25" customHeight="1">
      <c r="A4" s="35"/>
      <c r="B4" s="112">
        <f>RESUMEN!B5</f>
        <v>44561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  <c r="Q4" s="36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</row>
    <row r="5" spans="1:110" s="37" customFormat="1">
      <c r="A5" s="35"/>
      <c r="B5" s="3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</row>
    <row r="6" spans="1:110" s="37" customFormat="1">
      <c r="A6" s="35"/>
      <c r="B6" s="35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</row>
    <row r="7" spans="1:110" s="40" customFormat="1" ht="24">
      <c r="B7" s="55" t="s">
        <v>100</v>
      </c>
      <c r="C7" s="55" t="s">
        <v>101</v>
      </c>
      <c r="D7" s="55" t="s">
        <v>39</v>
      </c>
      <c r="E7" s="55" t="s">
        <v>102</v>
      </c>
      <c r="F7" s="55" t="s">
        <v>103</v>
      </c>
      <c r="G7" s="55" t="s">
        <v>104</v>
      </c>
      <c r="H7" s="55" t="s">
        <v>105</v>
      </c>
      <c r="I7" s="55" t="s">
        <v>106</v>
      </c>
      <c r="J7" s="55" t="s">
        <v>107</v>
      </c>
      <c r="K7" s="55" t="s">
        <v>102</v>
      </c>
      <c r="L7" s="55" t="s">
        <v>103</v>
      </c>
      <c r="M7" s="55" t="s">
        <v>104</v>
      </c>
      <c r="N7" s="55" t="s">
        <v>105</v>
      </c>
      <c r="O7" s="55" t="s">
        <v>106</v>
      </c>
      <c r="P7" s="55" t="s">
        <v>107</v>
      </c>
      <c r="Q7" s="36"/>
    </row>
    <row r="8" spans="1:110" s="40" customFormat="1" ht="15.75" customHeight="1">
      <c r="B8" s="126" t="s">
        <v>108</v>
      </c>
      <c r="C8" s="116" t="s">
        <v>80</v>
      </c>
      <c r="D8" s="41" t="s">
        <v>0</v>
      </c>
      <c r="E8" s="42">
        <v>0.21274999999999999</v>
      </c>
      <c r="F8" s="42"/>
      <c r="G8" s="42">
        <f>E8+F8</f>
        <v>0.21274999999999999</v>
      </c>
      <c r="H8" s="90"/>
      <c r="I8" s="42">
        <f>G8-H8</f>
        <v>0.21274999999999999</v>
      </c>
      <c r="J8" s="58">
        <f t="shared" ref="J8:J75" si="0">H8/G8</f>
        <v>0</v>
      </c>
      <c r="K8" s="117">
        <f>E8+E9</f>
        <v>0.53184999999999993</v>
      </c>
      <c r="L8" s="117">
        <f>F8+F9</f>
        <v>0</v>
      </c>
      <c r="M8" s="117">
        <f>K8+L8</f>
        <v>0.53184999999999993</v>
      </c>
      <c r="N8" s="117">
        <f>H8+H9</f>
        <v>0</v>
      </c>
      <c r="O8" s="117">
        <f>M8-N8</f>
        <v>0.53184999999999993</v>
      </c>
      <c r="P8" s="115">
        <f>N8/M8</f>
        <v>0</v>
      </c>
      <c r="Q8" s="35"/>
    </row>
    <row r="9" spans="1:110" s="40" customFormat="1" ht="15.75" customHeight="1">
      <c r="B9" s="127"/>
      <c r="C9" s="116"/>
      <c r="D9" s="41" t="s">
        <v>1</v>
      </c>
      <c r="E9" s="42">
        <v>0.31909999999999999</v>
      </c>
      <c r="F9" s="42"/>
      <c r="G9" s="42">
        <f>E9+F9+I8</f>
        <v>0.53184999999999993</v>
      </c>
      <c r="H9" s="90"/>
      <c r="I9" s="42">
        <f>G9-H9</f>
        <v>0.53184999999999993</v>
      </c>
      <c r="J9" s="58">
        <f t="shared" si="0"/>
        <v>0</v>
      </c>
      <c r="K9" s="117"/>
      <c r="L9" s="117"/>
      <c r="M9" s="117"/>
      <c r="N9" s="117"/>
      <c r="O9" s="117"/>
      <c r="P9" s="115"/>
      <c r="Q9" s="35"/>
    </row>
    <row r="10" spans="1:110" s="40" customFormat="1">
      <c r="B10" s="127"/>
      <c r="C10" s="116" t="s">
        <v>38</v>
      </c>
      <c r="D10" s="41" t="s">
        <v>0</v>
      </c>
      <c r="E10" s="42">
        <v>1262.4495645</v>
      </c>
      <c r="F10" s="42">
        <f>-71.987-377.456+377.456+71.987</f>
        <v>0</v>
      </c>
      <c r="G10" s="88">
        <f t="shared" ref="G10" si="1">E10+F10</f>
        <v>1262.4495645</v>
      </c>
      <c r="H10" s="90">
        <v>1280.665</v>
      </c>
      <c r="I10" s="42">
        <f t="shared" ref="I10:I20" si="2">G10-H10</f>
        <v>-18.215435500000012</v>
      </c>
      <c r="J10" s="58">
        <f t="shared" si="0"/>
        <v>1.014428644131391</v>
      </c>
      <c r="K10" s="117">
        <f>E10+E11</f>
        <v>3155.9755623000001</v>
      </c>
      <c r="L10" s="117">
        <f>F10+F11</f>
        <v>1075.0989999999999</v>
      </c>
      <c r="M10" s="117">
        <f>K10+L10</f>
        <v>4231.0745623000003</v>
      </c>
      <c r="N10" s="117">
        <f>H10+H11</f>
        <v>2785.627</v>
      </c>
      <c r="O10" s="117">
        <f>M10-N10</f>
        <v>1445.4475623000003</v>
      </c>
      <c r="P10" s="115">
        <f t="shared" ref="P10" si="3">N10/M10</f>
        <v>0.65837341294352913</v>
      </c>
    </row>
    <row r="11" spans="1:110" s="40" customFormat="1">
      <c r="B11" s="127"/>
      <c r="C11" s="116"/>
      <c r="D11" s="41" t="s">
        <v>1</v>
      </c>
      <c r="E11" s="42">
        <v>1893.5259977999999</v>
      </c>
      <c r="F11" s="42">
        <f>0.638+518.245+93.607+462.609</f>
        <v>1075.0989999999999</v>
      </c>
      <c r="G11" s="88">
        <f t="shared" ref="G11" si="4">E11+F11+I10</f>
        <v>2950.4095622999994</v>
      </c>
      <c r="H11" s="90">
        <v>1504.962</v>
      </c>
      <c r="I11" s="42">
        <f t="shared" si="2"/>
        <v>1445.4475622999994</v>
      </c>
      <c r="J11" s="58">
        <f t="shared" si="0"/>
        <v>0.51008579257274467</v>
      </c>
      <c r="K11" s="117"/>
      <c r="L11" s="117"/>
      <c r="M11" s="117"/>
      <c r="N11" s="117"/>
      <c r="O11" s="117"/>
      <c r="P11" s="115"/>
      <c r="Q11" s="35"/>
    </row>
    <row r="12" spans="1:110" s="40" customFormat="1">
      <c r="B12" s="127"/>
      <c r="C12" s="116" t="s">
        <v>81</v>
      </c>
      <c r="D12" s="41" t="s">
        <v>0</v>
      </c>
      <c r="E12" s="42">
        <v>0.63824999999999998</v>
      </c>
      <c r="F12" s="42"/>
      <c r="G12" s="88">
        <f t="shared" ref="G12" si="5">E12+F12</f>
        <v>0.63824999999999998</v>
      </c>
      <c r="H12" s="90"/>
      <c r="I12" s="42">
        <f t="shared" si="2"/>
        <v>0.63824999999999998</v>
      </c>
      <c r="J12" s="58">
        <f t="shared" si="0"/>
        <v>0</v>
      </c>
      <c r="K12" s="117">
        <f>E12+E13</f>
        <v>1.59555</v>
      </c>
      <c r="L12" s="117">
        <f>F12+F13</f>
        <v>0</v>
      </c>
      <c r="M12" s="117">
        <f>K12+L12</f>
        <v>1.59555</v>
      </c>
      <c r="N12" s="117">
        <f>H12+H13</f>
        <v>0</v>
      </c>
      <c r="O12" s="117">
        <f>M12-N12</f>
        <v>1.59555</v>
      </c>
      <c r="P12" s="115">
        <f t="shared" ref="P12" si="6">N12/M12</f>
        <v>0</v>
      </c>
      <c r="Q12" s="35"/>
    </row>
    <row r="13" spans="1:110" s="40" customFormat="1">
      <c r="B13" s="127"/>
      <c r="C13" s="116"/>
      <c r="D13" s="41" t="s">
        <v>1</v>
      </c>
      <c r="E13" s="42">
        <v>0.95730000000000004</v>
      </c>
      <c r="F13" s="42"/>
      <c r="G13" s="88">
        <f t="shared" ref="G13" si="7">E13+F13+I12</f>
        <v>1.59555</v>
      </c>
      <c r="H13" s="90"/>
      <c r="I13" s="42">
        <f t="shared" si="2"/>
        <v>1.59555</v>
      </c>
      <c r="J13" s="58">
        <f t="shared" si="0"/>
        <v>0</v>
      </c>
      <c r="K13" s="117"/>
      <c r="L13" s="117"/>
      <c r="M13" s="117"/>
      <c r="N13" s="117"/>
      <c r="O13" s="117"/>
      <c r="P13" s="115"/>
      <c r="Q13" s="35"/>
    </row>
    <row r="14" spans="1:110" s="40" customFormat="1">
      <c r="B14" s="127"/>
      <c r="C14" s="116" t="s">
        <v>82</v>
      </c>
      <c r="D14" s="41" t="s">
        <v>0</v>
      </c>
      <c r="E14" s="42">
        <v>1.2765</v>
      </c>
      <c r="F14" s="42"/>
      <c r="G14" s="88">
        <f t="shared" ref="G14" si="8">E14+F14</f>
        <v>1.2765</v>
      </c>
      <c r="H14" s="90"/>
      <c r="I14" s="42">
        <f t="shared" si="2"/>
        <v>1.2765</v>
      </c>
      <c r="J14" s="58">
        <f t="shared" si="0"/>
        <v>0</v>
      </c>
      <c r="K14" s="117">
        <f>E14+E15</f>
        <v>3.1911</v>
      </c>
      <c r="L14" s="117">
        <f>F14+F15</f>
        <v>0</v>
      </c>
      <c r="M14" s="117">
        <f>K14+L14</f>
        <v>3.1911</v>
      </c>
      <c r="N14" s="117">
        <f>H14+H15</f>
        <v>0</v>
      </c>
      <c r="O14" s="117">
        <f>M14-N14</f>
        <v>3.1911</v>
      </c>
      <c r="P14" s="115">
        <f t="shared" ref="P14" si="9">N14/M14</f>
        <v>0</v>
      </c>
      <c r="Q14" s="35"/>
    </row>
    <row r="15" spans="1:110" s="40" customFormat="1">
      <c r="B15" s="127"/>
      <c r="C15" s="116"/>
      <c r="D15" s="41" t="s">
        <v>1</v>
      </c>
      <c r="E15" s="42">
        <v>1.9146000000000001</v>
      </c>
      <c r="F15" s="42"/>
      <c r="G15" s="88">
        <f t="shared" ref="G15" si="10">E15+F15+I14</f>
        <v>3.1911</v>
      </c>
      <c r="H15" s="90"/>
      <c r="I15" s="42">
        <f t="shared" si="2"/>
        <v>3.1911</v>
      </c>
      <c r="J15" s="58">
        <f t="shared" si="0"/>
        <v>0</v>
      </c>
      <c r="K15" s="117"/>
      <c r="L15" s="117"/>
      <c r="M15" s="117"/>
      <c r="N15" s="117"/>
      <c r="O15" s="117"/>
      <c r="P15" s="115"/>
      <c r="Q15" s="35"/>
    </row>
    <row r="16" spans="1:110" s="40" customFormat="1">
      <c r="B16" s="127"/>
      <c r="C16" s="116" t="s">
        <v>83</v>
      </c>
      <c r="D16" s="41" t="s">
        <v>0</v>
      </c>
      <c r="E16" s="42">
        <v>141.23025799999999</v>
      </c>
      <c r="F16" s="42"/>
      <c r="G16" s="88">
        <f t="shared" ref="G16" si="11">E16+F16</f>
        <v>141.23025799999999</v>
      </c>
      <c r="H16" s="90"/>
      <c r="I16" s="42">
        <f t="shared" si="2"/>
        <v>141.23025799999999</v>
      </c>
      <c r="J16" s="58">
        <f t="shared" si="0"/>
        <v>0</v>
      </c>
      <c r="K16" s="117">
        <f>E16+E17</f>
        <v>353.0590492</v>
      </c>
      <c r="L16" s="117">
        <f>F16+F17</f>
        <v>-353.05900000000003</v>
      </c>
      <c r="M16" s="117">
        <f>K16+L16</f>
        <v>4.9199999978100095E-5</v>
      </c>
      <c r="N16" s="117">
        <f>H16+H17</f>
        <v>0</v>
      </c>
      <c r="O16" s="117">
        <f>M16-N16</f>
        <v>4.9199999978100095E-5</v>
      </c>
      <c r="P16" s="115">
        <f t="shared" ref="P16" si="12">N16/M16</f>
        <v>0</v>
      </c>
      <c r="Q16" s="43"/>
    </row>
    <row r="17" spans="2:17" s="40" customFormat="1">
      <c r="B17" s="127"/>
      <c r="C17" s="116"/>
      <c r="D17" s="41" t="s">
        <v>1</v>
      </c>
      <c r="E17" s="42">
        <v>211.82879120000001</v>
      </c>
      <c r="F17" s="42">
        <v>-353.05900000000003</v>
      </c>
      <c r="G17" s="88">
        <f t="shared" ref="G17" si="13">E17+F17+I16</f>
        <v>4.9199999978100095E-5</v>
      </c>
      <c r="H17" s="90"/>
      <c r="I17" s="42">
        <f t="shared" si="2"/>
        <v>4.9199999978100095E-5</v>
      </c>
      <c r="J17" s="58">
        <f t="shared" si="0"/>
        <v>0</v>
      </c>
      <c r="K17" s="117"/>
      <c r="L17" s="117"/>
      <c r="M17" s="117"/>
      <c r="N17" s="117"/>
      <c r="O17" s="117"/>
      <c r="P17" s="115"/>
      <c r="Q17" s="43"/>
    </row>
    <row r="18" spans="2:17" s="40" customFormat="1" ht="15" customHeight="1">
      <c r="B18" s="127"/>
      <c r="C18" s="116" t="s">
        <v>84</v>
      </c>
      <c r="D18" s="41" t="s">
        <v>0</v>
      </c>
      <c r="E18" s="42">
        <v>0.18296499999999999</v>
      </c>
      <c r="F18" s="42"/>
      <c r="G18" s="88">
        <f t="shared" ref="G18" si="14">E18+F18</f>
        <v>0.18296499999999999</v>
      </c>
      <c r="H18" s="90"/>
      <c r="I18" s="42">
        <f t="shared" si="2"/>
        <v>0.18296499999999999</v>
      </c>
      <c r="J18" s="58">
        <f t="shared" si="0"/>
        <v>0</v>
      </c>
      <c r="K18" s="117">
        <f>E18+E19</f>
        <v>0.45739099999999999</v>
      </c>
      <c r="L18" s="117">
        <f>F18+F19</f>
        <v>0</v>
      </c>
      <c r="M18" s="117">
        <f>K18+L18</f>
        <v>0.45739099999999999</v>
      </c>
      <c r="N18" s="117">
        <f>H18+H19</f>
        <v>0</v>
      </c>
      <c r="O18" s="117">
        <f>M18-N18</f>
        <v>0.45739099999999999</v>
      </c>
      <c r="P18" s="115">
        <f t="shared" ref="P18" si="15">N18/M18</f>
        <v>0</v>
      </c>
      <c r="Q18" s="43"/>
    </row>
    <row r="19" spans="2:17" s="40" customFormat="1">
      <c r="B19" s="127"/>
      <c r="C19" s="116"/>
      <c r="D19" s="41" t="s">
        <v>1</v>
      </c>
      <c r="E19" s="42">
        <v>0.274426</v>
      </c>
      <c r="F19" s="42"/>
      <c r="G19" s="88">
        <f t="shared" ref="G19" si="16">E19+F19+I18</f>
        <v>0.45739099999999999</v>
      </c>
      <c r="H19" s="90"/>
      <c r="I19" s="42">
        <f t="shared" si="2"/>
        <v>0.45739099999999999</v>
      </c>
      <c r="J19" s="58">
        <f t="shared" si="0"/>
        <v>0</v>
      </c>
      <c r="K19" s="117"/>
      <c r="L19" s="117"/>
      <c r="M19" s="117"/>
      <c r="N19" s="117"/>
      <c r="O19" s="117"/>
      <c r="P19" s="115"/>
      <c r="Q19" s="43"/>
    </row>
    <row r="20" spans="2:17" s="40" customFormat="1" ht="15" customHeight="1">
      <c r="B20" s="127"/>
      <c r="C20" s="116" t="s">
        <v>85</v>
      </c>
      <c r="D20" s="41" t="s">
        <v>0</v>
      </c>
      <c r="E20" s="42">
        <v>23.233576500000002</v>
      </c>
      <c r="F20" s="42"/>
      <c r="G20" s="88">
        <f t="shared" ref="G20" si="17">E20+F20</f>
        <v>23.233576500000002</v>
      </c>
      <c r="H20" s="90"/>
      <c r="I20" s="42">
        <f t="shared" si="2"/>
        <v>23.233576500000002</v>
      </c>
      <c r="J20" s="58">
        <f t="shared" si="0"/>
        <v>0</v>
      </c>
      <c r="K20" s="117">
        <f>E20+E21</f>
        <v>58.081211100000004</v>
      </c>
      <c r="L20" s="117">
        <f>F20+F21</f>
        <v>0</v>
      </c>
      <c r="M20" s="117">
        <f>K20+L20</f>
        <v>58.081211100000004</v>
      </c>
      <c r="N20" s="117">
        <f>H20+H21</f>
        <v>0</v>
      </c>
      <c r="O20" s="117">
        <f>M20-N20</f>
        <v>58.081211100000004</v>
      </c>
      <c r="P20" s="115">
        <f t="shared" ref="P20" si="18">N20/M20</f>
        <v>0</v>
      </c>
      <c r="Q20" s="43"/>
    </row>
    <row r="21" spans="2:17" s="40" customFormat="1">
      <c r="B21" s="127"/>
      <c r="C21" s="116"/>
      <c r="D21" s="41" t="s">
        <v>1</v>
      </c>
      <c r="E21" s="42">
        <v>34.847634599999999</v>
      </c>
      <c r="F21" s="42"/>
      <c r="G21" s="88">
        <f t="shared" ref="G21" si="19">E21+F21+I20</f>
        <v>58.081211100000004</v>
      </c>
      <c r="H21" s="90"/>
      <c r="I21" s="42">
        <f>G21-H21</f>
        <v>58.081211100000004</v>
      </c>
      <c r="J21" s="58">
        <f t="shared" si="0"/>
        <v>0</v>
      </c>
      <c r="K21" s="117"/>
      <c r="L21" s="117"/>
      <c r="M21" s="117"/>
      <c r="N21" s="117"/>
      <c r="O21" s="117"/>
      <c r="P21" s="115"/>
      <c r="Q21" s="43"/>
    </row>
    <row r="22" spans="2:17" s="40" customFormat="1" ht="15" customHeight="1">
      <c r="B22" s="127"/>
      <c r="C22" s="116" t="s">
        <v>86</v>
      </c>
      <c r="D22" s="41" t="s">
        <v>0</v>
      </c>
      <c r="E22" s="42">
        <v>553.09042999999997</v>
      </c>
      <c r="F22" s="42"/>
      <c r="G22" s="88">
        <f t="shared" ref="G22" si="20">E22+F22</f>
        <v>553.09042999999997</v>
      </c>
      <c r="H22" s="90">
        <v>29.530999999999999</v>
      </c>
      <c r="I22" s="42">
        <f>G22-H22</f>
        <v>523.55943000000002</v>
      </c>
      <c r="J22" s="58">
        <f t="shared" si="0"/>
        <v>5.3392715545629674E-2</v>
      </c>
      <c r="K22" s="117">
        <f>E22+E23</f>
        <v>1382.6610820000001</v>
      </c>
      <c r="L22" s="117">
        <f>F22+F23</f>
        <v>-1098.2449999999999</v>
      </c>
      <c r="M22" s="117">
        <f>K22+L22</f>
        <v>284.41608200000019</v>
      </c>
      <c r="N22" s="117">
        <f>H22+H23</f>
        <v>284.416</v>
      </c>
      <c r="O22" s="118">
        <f>M22-N22</f>
        <v>8.2000000190873834E-5</v>
      </c>
      <c r="P22" s="115">
        <f t="shared" ref="P22" si="21">N22/M22</f>
        <v>0.99999971169000146</v>
      </c>
      <c r="Q22" s="43"/>
    </row>
    <row r="23" spans="2:17" s="40" customFormat="1">
      <c r="B23" s="127"/>
      <c r="C23" s="116"/>
      <c r="D23" s="41" t="s">
        <v>1</v>
      </c>
      <c r="E23" s="42">
        <v>829.570652</v>
      </c>
      <c r="F23" s="90">
        <f>-580-518.245</f>
        <v>-1098.2449999999999</v>
      </c>
      <c r="G23" s="88">
        <f t="shared" ref="G23" si="22">E23+F23+I22</f>
        <v>254.88508200000012</v>
      </c>
      <c r="H23" s="90">
        <v>254.88499999999999</v>
      </c>
      <c r="I23" s="42">
        <f t="shared" ref="I23:I34" si="23">G23-H23</f>
        <v>8.2000000134030415E-5</v>
      </c>
      <c r="J23" s="58">
        <f t="shared" si="0"/>
        <v>0.99999967828638892</v>
      </c>
      <c r="K23" s="117"/>
      <c r="L23" s="117"/>
      <c r="M23" s="117"/>
      <c r="N23" s="117"/>
      <c r="O23" s="118"/>
      <c r="P23" s="115"/>
      <c r="Q23" s="43"/>
    </row>
    <row r="24" spans="2:17" s="40" customFormat="1" ht="15" customHeight="1">
      <c r="B24" s="127"/>
      <c r="C24" s="116" t="s">
        <v>87</v>
      </c>
      <c r="D24" s="41" t="s">
        <v>0</v>
      </c>
      <c r="E24" s="42">
        <v>22.592348000000001</v>
      </c>
      <c r="F24" s="42"/>
      <c r="G24" s="88">
        <f t="shared" ref="G24" si="24">E24+F24</f>
        <v>22.592348000000001</v>
      </c>
      <c r="H24" s="90"/>
      <c r="I24" s="42">
        <f t="shared" si="23"/>
        <v>22.592348000000001</v>
      </c>
      <c r="J24" s="58">
        <f t="shared" si="0"/>
        <v>0</v>
      </c>
      <c r="K24" s="117">
        <f>E24+E25</f>
        <v>56.478215200000001</v>
      </c>
      <c r="L24" s="117">
        <f>F24+F25</f>
        <v>-56.478000000000002</v>
      </c>
      <c r="M24" s="117">
        <f>K24+L24</f>
        <v>2.1519999999952688E-4</v>
      </c>
      <c r="N24" s="117">
        <f>H24+H25</f>
        <v>0</v>
      </c>
      <c r="O24" s="117">
        <f>M24-N24</f>
        <v>2.1519999999952688E-4</v>
      </c>
      <c r="P24" s="115">
        <f t="shared" ref="P24" si="25">N24/M24</f>
        <v>0</v>
      </c>
      <c r="Q24" s="43"/>
    </row>
    <row r="25" spans="2:17" s="40" customFormat="1">
      <c r="B25" s="127"/>
      <c r="C25" s="116"/>
      <c r="D25" s="41" t="s">
        <v>1</v>
      </c>
      <c r="E25" s="42">
        <v>33.8858672</v>
      </c>
      <c r="F25" s="42">
        <f>-56.478</f>
        <v>-56.478000000000002</v>
      </c>
      <c r="G25" s="88">
        <f t="shared" ref="G25" si="26">E25+F25+I24</f>
        <v>2.1519999999952688E-4</v>
      </c>
      <c r="H25" s="90"/>
      <c r="I25" s="42">
        <f t="shared" si="23"/>
        <v>2.1519999999952688E-4</v>
      </c>
      <c r="J25" s="58">
        <f t="shared" si="0"/>
        <v>0</v>
      </c>
      <c r="K25" s="117"/>
      <c r="L25" s="117"/>
      <c r="M25" s="117"/>
      <c r="N25" s="117"/>
      <c r="O25" s="117"/>
      <c r="P25" s="115"/>
      <c r="Q25" s="43"/>
    </row>
    <row r="26" spans="2:17" s="40" customFormat="1" ht="15" customHeight="1">
      <c r="B26" s="127"/>
      <c r="C26" s="116" t="s">
        <v>88</v>
      </c>
      <c r="D26" s="41" t="s">
        <v>0</v>
      </c>
      <c r="E26" s="42">
        <v>0.21274999999999999</v>
      </c>
      <c r="F26" s="42"/>
      <c r="G26" s="88">
        <f t="shared" ref="G26" si="27">E26+F26</f>
        <v>0.21274999999999999</v>
      </c>
      <c r="H26" s="90"/>
      <c r="I26" s="42">
        <f t="shared" si="23"/>
        <v>0.21274999999999999</v>
      </c>
      <c r="J26" s="58">
        <f t="shared" si="0"/>
        <v>0</v>
      </c>
      <c r="K26" s="117">
        <f>E26+E27</f>
        <v>0.53184999999999993</v>
      </c>
      <c r="L26" s="117">
        <f>F26+F27</f>
        <v>0</v>
      </c>
      <c r="M26" s="117">
        <f>K26+L26</f>
        <v>0.53184999999999993</v>
      </c>
      <c r="N26" s="117">
        <f>H26+H27</f>
        <v>0</v>
      </c>
      <c r="O26" s="117">
        <f>M26-N26</f>
        <v>0.53184999999999993</v>
      </c>
      <c r="P26" s="115">
        <f t="shared" ref="P26" si="28">N26/M26</f>
        <v>0</v>
      </c>
      <c r="Q26" s="43"/>
    </row>
    <row r="27" spans="2:17" s="40" customFormat="1">
      <c r="B27" s="127"/>
      <c r="C27" s="116"/>
      <c r="D27" s="41" t="s">
        <v>1</v>
      </c>
      <c r="E27" s="42">
        <v>0.31909999999999999</v>
      </c>
      <c r="F27" s="42"/>
      <c r="G27" s="88">
        <f t="shared" ref="G27" si="29">E27+F27+I26</f>
        <v>0.53184999999999993</v>
      </c>
      <c r="H27" s="90"/>
      <c r="I27" s="42">
        <f t="shared" si="23"/>
        <v>0.53184999999999993</v>
      </c>
      <c r="J27" s="58">
        <f t="shared" si="0"/>
        <v>0</v>
      </c>
      <c r="K27" s="117"/>
      <c r="L27" s="117"/>
      <c r="M27" s="117"/>
      <c r="N27" s="117"/>
      <c r="O27" s="117"/>
      <c r="P27" s="115"/>
      <c r="Q27" s="43"/>
    </row>
    <row r="28" spans="2:17" s="40" customFormat="1" ht="15" customHeight="1">
      <c r="B28" s="127"/>
      <c r="C28" s="116" t="s">
        <v>89</v>
      </c>
      <c r="D28" s="41" t="s">
        <v>0</v>
      </c>
      <c r="E28" s="42">
        <v>20.9511945</v>
      </c>
      <c r="F28" s="42">
        <f>71.987+377.456-0.10633-377.456-71.987</f>
        <v>-0.10633000000004245</v>
      </c>
      <c r="G28" s="88">
        <f t="shared" ref="G28" si="30">E28+F28</f>
        <v>20.844864499999957</v>
      </c>
      <c r="H28" s="90"/>
      <c r="I28" s="42">
        <f t="shared" si="23"/>
        <v>20.844864499999957</v>
      </c>
      <c r="J28" s="58">
        <f t="shared" si="0"/>
        <v>0</v>
      </c>
      <c r="K28" s="117">
        <f>E28+E29</f>
        <v>52.375524299999995</v>
      </c>
      <c r="L28" s="117">
        <f>F28+F29</f>
        <v>-0.74433000000004246</v>
      </c>
      <c r="M28" s="117">
        <f>K28+L28</f>
        <v>51.631194299999954</v>
      </c>
      <c r="N28" s="117">
        <f>H28+H29</f>
        <v>3.3370000000000002</v>
      </c>
      <c r="O28" s="117">
        <f>M28-N28</f>
        <v>48.294194299999951</v>
      </c>
      <c r="P28" s="115">
        <f t="shared" ref="P28" si="31">N28/M28</f>
        <v>6.4631470281523259E-2</v>
      </c>
      <c r="Q28" s="43"/>
    </row>
    <row r="29" spans="2:17" s="40" customFormat="1">
      <c r="B29" s="127"/>
      <c r="C29" s="116"/>
      <c r="D29" s="41" t="s">
        <v>1</v>
      </c>
      <c r="E29" s="42">
        <v>31.424329799999999</v>
      </c>
      <c r="F29" s="42">
        <f>-0.638</f>
        <v>-0.63800000000000001</v>
      </c>
      <c r="G29" s="88">
        <f t="shared" ref="G29" si="32">E29+F29+I28</f>
        <v>51.631194299999954</v>
      </c>
      <c r="H29" s="90">
        <v>3.3370000000000002</v>
      </c>
      <c r="I29" s="42">
        <f t="shared" si="23"/>
        <v>48.294194299999951</v>
      </c>
      <c r="J29" s="58">
        <f t="shared" si="0"/>
        <v>6.4631470281523259E-2</v>
      </c>
      <c r="K29" s="117"/>
      <c r="L29" s="117"/>
      <c r="M29" s="117"/>
      <c r="N29" s="117"/>
      <c r="O29" s="117"/>
      <c r="P29" s="115"/>
      <c r="Q29" s="35"/>
    </row>
    <row r="30" spans="2:17" s="40" customFormat="1">
      <c r="B30" s="127"/>
      <c r="C30" s="116" t="s">
        <v>90</v>
      </c>
      <c r="D30" s="41" t="s">
        <v>0</v>
      </c>
      <c r="E30" s="42">
        <v>1.8373090000000001</v>
      </c>
      <c r="F30" s="42"/>
      <c r="G30" s="88">
        <f t="shared" ref="G30" si="33">E30+F30</f>
        <v>1.8373090000000001</v>
      </c>
      <c r="H30" s="90"/>
      <c r="I30" s="42">
        <f t="shared" si="23"/>
        <v>1.8373090000000001</v>
      </c>
      <c r="J30" s="58">
        <f t="shared" si="0"/>
        <v>0</v>
      </c>
      <c r="K30" s="117">
        <f>E30+E31</f>
        <v>4.5930565999999997</v>
      </c>
      <c r="L30" s="117">
        <f>F30+F31</f>
        <v>-0.21199999999999999</v>
      </c>
      <c r="M30" s="117">
        <f>K30+L30</f>
        <v>4.3810566</v>
      </c>
      <c r="N30" s="117">
        <f>H30+H31</f>
        <v>0</v>
      </c>
      <c r="O30" s="117">
        <f>M30-N30</f>
        <v>4.3810566</v>
      </c>
      <c r="P30" s="115">
        <f t="shared" ref="P30" si="34">N30/M30</f>
        <v>0</v>
      </c>
      <c r="Q30" s="35"/>
    </row>
    <row r="31" spans="2:17" s="40" customFormat="1">
      <c r="B31" s="127"/>
      <c r="C31" s="116"/>
      <c r="D31" s="41" t="s">
        <v>1</v>
      </c>
      <c r="E31" s="42">
        <v>2.7557475999999999</v>
      </c>
      <c r="F31" s="42">
        <f>-0.106-0.106</f>
        <v>-0.21199999999999999</v>
      </c>
      <c r="G31" s="88">
        <f t="shared" ref="G31" si="35">E31+F31+I30</f>
        <v>4.3810566</v>
      </c>
      <c r="H31" s="90"/>
      <c r="I31" s="42">
        <f t="shared" si="23"/>
        <v>4.3810566</v>
      </c>
      <c r="J31" s="58">
        <f t="shared" si="0"/>
        <v>0</v>
      </c>
      <c r="K31" s="117"/>
      <c r="L31" s="117"/>
      <c r="M31" s="117"/>
      <c r="N31" s="117"/>
      <c r="O31" s="117"/>
      <c r="P31" s="115"/>
      <c r="Q31" s="35"/>
    </row>
    <row r="32" spans="2:17" s="40" customFormat="1" ht="15" customHeight="1">
      <c r="B32" s="127"/>
      <c r="C32" s="116" t="s">
        <v>91</v>
      </c>
      <c r="D32" s="41" t="s">
        <v>0</v>
      </c>
      <c r="E32" s="42">
        <v>1638.7281499999999</v>
      </c>
      <c r="F32" s="42">
        <f>-312.722-3783.905</f>
        <v>-4096.6270000000004</v>
      </c>
      <c r="G32" s="88">
        <f t="shared" ref="G32" si="36">E32+F32</f>
        <v>-2457.8988500000005</v>
      </c>
      <c r="H32" s="90"/>
      <c r="I32" s="42">
        <f t="shared" si="23"/>
        <v>-2457.8988500000005</v>
      </c>
      <c r="J32" s="58">
        <f t="shared" si="0"/>
        <v>0</v>
      </c>
      <c r="K32" s="117">
        <f>E32+E33</f>
        <v>4096.62781</v>
      </c>
      <c r="L32" s="117">
        <f>F32+F33</f>
        <v>-4096.6270000000004</v>
      </c>
      <c r="M32" s="117">
        <f>K32+L32</f>
        <v>8.0999999954656232E-4</v>
      </c>
      <c r="N32" s="117">
        <f>H32+H33</f>
        <v>0</v>
      </c>
      <c r="O32" s="117">
        <f>M32-N32</f>
        <v>8.0999999954656232E-4</v>
      </c>
      <c r="P32" s="115">
        <f t="shared" ref="P32" si="37">N32/M32</f>
        <v>0</v>
      </c>
      <c r="Q32" s="35"/>
    </row>
    <row r="33" spans="2:17" s="40" customFormat="1">
      <c r="B33" s="127"/>
      <c r="C33" s="116"/>
      <c r="D33" s="41" t="s">
        <v>1</v>
      </c>
      <c r="E33" s="42">
        <v>2457.89966</v>
      </c>
      <c r="F33" s="42">
        <f>56.478+27.355+353.059-56.478-27.355-353.059</f>
        <v>0</v>
      </c>
      <c r="G33" s="88">
        <f t="shared" ref="G33" si="38">E33+F33+I32</f>
        <v>8.0999999954656232E-4</v>
      </c>
      <c r="H33" s="90"/>
      <c r="I33" s="42">
        <f t="shared" si="23"/>
        <v>8.0999999954656232E-4</v>
      </c>
      <c r="J33" s="58">
        <f t="shared" si="0"/>
        <v>0</v>
      </c>
      <c r="K33" s="117"/>
      <c r="L33" s="117"/>
      <c r="M33" s="117"/>
      <c r="N33" s="117"/>
      <c r="O33" s="117"/>
      <c r="P33" s="115"/>
      <c r="Q33" s="35"/>
    </row>
    <row r="34" spans="2:17" s="40" customFormat="1" ht="15" customHeight="1">
      <c r="B34" s="127"/>
      <c r="C34" s="116" t="s">
        <v>92</v>
      </c>
      <c r="D34" s="41" t="s">
        <v>0</v>
      </c>
      <c r="E34" s="42">
        <v>4.29755E-2</v>
      </c>
      <c r="F34" s="42"/>
      <c r="G34" s="88">
        <f t="shared" ref="G34" si="39">E34+F34</f>
        <v>4.29755E-2</v>
      </c>
      <c r="H34" s="90"/>
      <c r="I34" s="42">
        <f t="shared" si="23"/>
        <v>4.29755E-2</v>
      </c>
      <c r="J34" s="58">
        <f t="shared" si="0"/>
        <v>0</v>
      </c>
      <c r="K34" s="117">
        <f>E34+E35</f>
        <v>0.10743369999999999</v>
      </c>
      <c r="L34" s="117">
        <f>F34+F35</f>
        <v>0</v>
      </c>
      <c r="M34" s="117">
        <f>K34+L34</f>
        <v>0.10743369999999999</v>
      </c>
      <c r="N34" s="117">
        <f>H34+H35</f>
        <v>0</v>
      </c>
      <c r="O34" s="117">
        <f>M34-N34</f>
        <v>0.10743369999999999</v>
      </c>
      <c r="P34" s="115">
        <f t="shared" ref="P34" si="40">N34/M34</f>
        <v>0</v>
      </c>
      <c r="Q34" s="35"/>
    </row>
    <row r="35" spans="2:17" s="40" customFormat="1">
      <c r="B35" s="127"/>
      <c r="C35" s="116"/>
      <c r="D35" s="41" t="s">
        <v>1</v>
      </c>
      <c r="E35" s="42">
        <v>6.4458199999999993E-2</v>
      </c>
      <c r="F35" s="42"/>
      <c r="G35" s="88">
        <f t="shared" ref="G35" si="41">E35+F35+I34</f>
        <v>0.10743369999999999</v>
      </c>
      <c r="H35" s="90"/>
      <c r="I35" s="42">
        <f t="shared" ref="I35:I41" si="42">G35-H35</f>
        <v>0.10743369999999999</v>
      </c>
      <c r="J35" s="58">
        <f t="shared" si="0"/>
        <v>0</v>
      </c>
      <c r="K35" s="117"/>
      <c r="L35" s="117"/>
      <c r="M35" s="117"/>
      <c r="N35" s="117"/>
      <c r="O35" s="117"/>
      <c r="P35" s="115"/>
      <c r="Q35" s="35"/>
    </row>
    <row r="36" spans="2:17" s="40" customFormat="1">
      <c r="B36" s="127"/>
      <c r="C36" s="116" t="s">
        <v>59</v>
      </c>
      <c r="D36" s="41" t="s">
        <v>0</v>
      </c>
      <c r="E36" s="42">
        <v>4.29755E-2</v>
      </c>
      <c r="F36" s="42"/>
      <c r="G36" s="88">
        <f t="shared" ref="G36" si="43">E36+F36</f>
        <v>4.29755E-2</v>
      </c>
      <c r="H36" s="90"/>
      <c r="I36" s="42">
        <f t="shared" si="42"/>
        <v>4.29755E-2</v>
      </c>
      <c r="J36" s="58">
        <f t="shared" si="0"/>
        <v>0</v>
      </c>
      <c r="K36" s="117">
        <f>E36+E37</f>
        <v>0.10743369999999999</v>
      </c>
      <c r="L36" s="117">
        <f>F36+F37</f>
        <v>0</v>
      </c>
      <c r="M36" s="117">
        <f>K36+L36</f>
        <v>0.10743369999999999</v>
      </c>
      <c r="N36" s="117">
        <f>H36+H37</f>
        <v>0</v>
      </c>
      <c r="O36" s="117">
        <f>M36-N36</f>
        <v>0.10743369999999999</v>
      </c>
      <c r="P36" s="115">
        <f t="shared" ref="P36" si="44">N36/M36</f>
        <v>0</v>
      </c>
      <c r="Q36" s="35"/>
    </row>
    <row r="37" spans="2:17" s="40" customFormat="1">
      <c r="B37" s="127"/>
      <c r="C37" s="116"/>
      <c r="D37" s="41" t="s">
        <v>1</v>
      </c>
      <c r="E37" s="42">
        <v>6.4458199999999993E-2</v>
      </c>
      <c r="F37" s="42"/>
      <c r="G37" s="88">
        <f t="shared" ref="G37" si="45">E37+F37+I36</f>
        <v>0.10743369999999999</v>
      </c>
      <c r="H37" s="90"/>
      <c r="I37" s="42">
        <f t="shared" si="42"/>
        <v>0.10743369999999999</v>
      </c>
      <c r="J37" s="58">
        <f t="shared" si="0"/>
        <v>0</v>
      </c>
      <c r="K37" s="117"/>
      <c r="L37" s="117"/>
      <c r="M37" s="117"/>
      <c r="N37" s="117"/>
      <c r="O37" s="117"/>
      <c r="P37" s="115"/>
      <c r="Q37" s="35"/>
    </row>
    <row r="38" spans="2:17" s="40" customFormat="1">
      <c r="B38" s="127"/>
      <c r="C38" s="116" t="s">
        <v>93</v>
      </c>
      <c r="D38" s="41" t="s">
        <v>0</v>
      </c>
      <c r="E38" s="42">
        <v>4.29755E-2</v>
      </c>
      <c r="F38" s="42"/>
      <c r="G38" s="88">
        <f t="shared" ref="G38" si="46">E38+F38</f>
        <v>4.29755E-2</v>
      </c>
      <c r="H38" s="90"/>
      <c r="I38" s="42">
        <f t="shared" si="42"/>
        <v>4.29755E-2</v>
      </c>
      <c r="J38" s="58">
        <f t="shared" si="0"/>
        <v>0</v>
      </c>
      <c r="K38" s="117">
        <f>E38+E39</f>
        <v>0.10743369999999999</v>
      </c>
      <c r="L38" s="117">
        <f>F38+F39</f>
        <v>0</v>
      </c>
      <c r="M38" s="117">
        <f>K38+L38</f>
        <v>0.10743369999999999</v>
      </c>
      <c r="N38" s="117">
        <f>H38+H39</f>
        <v>0</v>
      </c>
      <c r="O38" s="117">
        <f>M38-N38</f>
        <v>0.10743369999999999</v>
      </c>
      <c r="P38" s="115">
        <f t="shared" ref="P38" si="47">N38/M38</f>
        <v>0</v>
      </c>
      <c r="Q38" s="35"/>
    </row>
    <row r="39" spans="2:17" s="40" customFormat="1">
      <c r="B39" s="127"/>
      <c r="C39" s="116"/>
      <c r="D39" s="41" t="s">
        <v>1</v>
      </c>
      <c r="E39" s="42">
        <v>6.4458199999999993E-2</v>
      </c>
      <c r="F39" s="42"/>
      <c r="G39" s="88">
        <f t="shared" ref="G39" si="48">E39+F39+I38</f>
        <v>0.10743369999999999</v>
      </c>
      <c r="H39" s="90"/>
      <c r="I39" s="42">
        <f t="shared" si="42"/>
        <v>0.10743369999999999</v>
      </c>
      <c r="J39" s="58">
        <f t="shared" si="0"/>
        <v>0</v>
      </c>
      <c r="K39" s="117"/>
      <c r="L39" s="117"/>
      <c r="M39" s="117"/>
      <c r="N39" s="117"/>
      <c r="O39" s="117"/>
      <c r="P39" s="115"/>
      <c r="Q39" s="35"/>
    </row>
    <row r="40" spans="2:17" s="40" customFormat="1">
      <c r="B40" s="127"/>
      <c r="C40" s="116" t="s">
        <v>94</v>
      </c>
      <c r="D40" s="41" t="s">
        <v>0</v>
      </c>
      <c r="E40" s="42">
        <v>16.628114499999999</v>
      </c>
      <c r="F40" s="42"/>
      <c r="G40" s="88">
        <f t="shared" ref="G40" si="49">E40+F40</f>
        <v>16.628114499999999</v>
      </c>
      <c r="H40" s="90"/>
      <c r="I40" s="42">
        <f t="shared" si="42"/>
        <v>16.628114499999999</v>
      </c>
      <c r="J40" s="58">
        <f t="shared" si="0"/>
        <v>0</v>
      </c>
      <c r="K40" s="117">
        <f>E40+E41</f>
        <v>41.568332299999994</v>
      </c>
      <c r="L40" s="117">
        <f>F40+F41</f>
        <v>0</v>
      </c>
      <c r="M40" s="117">
        <f>K40+L40</f>
        <v>41.568332299999994</v>
      </c>
      <c r="N40" s="117">
        <f>H40+H41</f>
        <v>0</v>
      </c>
      <c r="O40" s="117">
        <f>M40-N40</f>
        <v>41.568332299999994</v>
      </c>
      <c r="P40" s="115">
        <f t="shared" ref="P40" si="50">N40/M40</f>
        <v>0</v>
      </c>
      <c r="Q40" s="35"/>
    </row>
    <row r="41" spans="2:17" s="40" customFormat="1">
      <c r="B41" s="127"/>
      <c r="C41" s="116"/>
      <c r="D41" s="41" t="s">
        <v>1</v>
      </c>
      <c r="E41" s="42">
        <v>24.940217799999999</v>
      </c>
      <c r="F41" s="42"/>
      <c r="G41" s="88">
        <f t="shared" ref="G41" si="51">E41+F41+I40</f>
        <v>41.568332299999994</v>
      </c>
      <c r="H41" s="90"/>
      <c r="I41" s="42">
        <f t="shared" si="42"/>
        <v>41.568332299999994</v>
      </c>
      <c r="J41" s="58">
        <f t="shared" si="0"/>
        <v>0</v>
      </c>
      <c r="K41" s="117"/>
      <c r="L41" s="117"/>
      <c r="M41" s="117"/>
      <c r="N41" s="117"/>
      <c r="O41" s="117"/>
      <c r="P41" s="115"/>
      <c r="Q41" s="35"/>
    </row>
    <row r="42" spans="2:17" s="40" customFormat="1">
      <c r="B42" s="127"/>
      <c r="C42" s="116" t="s">
        <v>95</v>
      </c>
      <c r="D42" s="41" t="s">
        <v>0</v>
      </c>
      <c r="E42" s="42">
        <v>1.3560684999999999</v>
      </c>
      <c r="F42" s="42"/>
      <c r="G42" s="88">
        <f t="shared" ref="G42" si="52">E42+F42</f>
        <v>1.3560684999999999</v>
      </c>
      <c r="H42" s="90"/>
      <c r="I42" s="42">
        <f t="shared" ref="I42:I51" si="53">+G42-H42</f>
        <v>1.3560684999999999</v>
      </c>
      <c r="J42" s="58">
        <f t="shared" si="0"/>
        <v>0</v>
      </c>
      <c r="K42" s="117">
        <f>E42+E43</f>
        <v>3.3900119000000002</v>
      </c>
      <c r="L42" s="117">
        <f>F42+F43</f>
        <v>0</v>
      </c>
      <c r="M42" s="117">
        <f>K42+L42</f>
        <v>3.3900119000000002</v>
      </c>
      <c r="N42" s="117">
        <f>H42+H43</f>
        <v>0</v>
      </c>
      <c r="O42" s="117">
        <f>M42-N42</f>
        <v>3.3900119000000002</v>
      </c>
      <c r="P42" s="115">
        <f t="shared" ref="P42" si="54">N42/M42</f>
        <v>0</v>
      </c>
      <c r="Q42" s="35"/>
    </row>
    <row r="43" spans="2:17" s="40" customFormat="1">
      <c r="B43" s="127"/>
      <c r="C43" s="116"/>
      <c r="D43" s="41" t="s">
        <v>1</v>
      </c>
      <c r="E43" s="42">
        <v>2.0339434000000001</v>
      </c>
      <c r="F43" s="42"/>
      <c r="G43" s="88">
        <f t="shared" ref="G43" si="55">E43+F43+I42</f>
        <v>3.3900119000000002</v>
      </c>
      <c r="H43" s="90"/>
      <c r="I43" s="42">
        <f t="shared" si="53"/>
        <v>3.3900119000000002</v>
      </c>
      <c r="J43" s="58">
        <f t="shared" si="0"/>
        <v>0</v>
      </c>
      <c r="K43" s="117"/>
      <c r="L43" s="117"/>
      <c r="M43" s="117"/>
      <c r="N43" s="117"/>
      <c r="O43" s="117"/>
      <c r="P43" s="115"/>
      <c r="Q43" s="35"/>
    </row>
    <row r="44" spans="2:17" s="40" customFormat="1">
      <c r="B44" s="127"/>
      <c r="C44" s="116" t="s">
        <v>96</v>
      </c>
      <c r="D44" s="41" t="s">
        <v>0</v>
      </c>
      <c r="E44" s="42">
        <v>10.9425835</v>
      </c>
      <c r="F44" s="42"/>
      <c r="G44" s="88">
        <f t="shared" ref="G44" si="56">E44+F44</f>
        <v>10.9425835</v>
      </c>
      <c r="H44" s="90"/>
      <c r="I44" s="42">
        <f t="shared" si="53"/>
        <v>10.9425835</v>
      </c>
      <c r="J44" s="58">
        <f t="shared" si="0"/>
        <v>0</v>
      </c>
      <c r="K44" s="117">
        <f>E44+E45</f>
        <v>27.355172899999999</v>
      </c>
      <c r="L44" s="117">
        <f>F44+F45</f>
        <v>-27.355</v>
      </c>
      <c r="M44" s="117">
        <f>K44+L44</f>
        <v>1.7289999999903216E-4</v>
      </c>
      <c r="N44" s="117">
        <f>H44+H45</f>
        <v>0</v>
      </c>
      <c r="O44" s="117">
        <f>M44-N44</f>
        <v>1.7289999999903216E-4</v>
      </c>
      <c r="P44" s="115">
        <f t="shared" ref="P44" si="57">N44/M44</f>
        <v>0</v>
      </c>
      <c r="Q44" s="35"/>
    </row>
    <row r="45" spans="2:17" s="40" customFormat="1">
      <c r="B45" s="127"/>
      <c r="C45" s="116"/>
      <c r="D45" s="41" t="s">
        <v>1</v>
      </c>
      <c r="E45" s="42">
        <v>16.412589400000002</v>
      </c>
      <c r="F45" s="42">
        <v>-27.355</v>
      </c>
      <c r="G45" s="88">
        <f t="shared" ref="G45" si="58">E45+F45+I44</f>
        <v>1.7290000000080852E-4</v>
      </c>
      <c r="H45" s="90"/>
      <c r="I45" s="42">
        <f t="shared" si="53"/>
        <v>1.7290000000080852E-4</v>
      </c>
      <c r="J45" s="58">
        <f t="shared" si="0"/>
        <v>0</v>
      </c>
      <c r="K45" s="117"/>
      <c r="L45" s="117"/>
      <c r="M45" s="117"/>
      <c r="N45" s="117"/>
      <c r="O45" s="117"/>
      <c r="P45" s="115"/>
      <c r="Q45" s="35"/>
    </row>
    <row r="46" spans="2:17" s="40" customFormat="1">
      <c r="B46" s="127"/>
      <c r="C46" s="116" t="s">
        <v>97</v>
      </c>
      <c r="D46" s="41" t="s">
        <v>0</v>
      </c>
      <c r="E46" s="42">
        <v>541.41981599999997</v>
      </c>
      <c r="F46" s="42"/>
      <c r="G46" s="88">
        <f t="shared" ref="G46" si="59">E46+F46</f>
        <v>541.41981599999997</v>
      </c>
      <c r="H46" s="90">
        <v>11.917999999999999</v>
      </c>
      <c r="I46" s="42">
        <f t="shared" si="53"/>
        <v>529.50181599999996</v>
      </c>
      <c r="J46" s="58">
        <f t="shared" si="0"/>
        <v>2.2012493166670501E-2</v>
      </c>
      <c r="K46" s="117">
        <f>E46+E47</f>
        <v>1353.4859183999999</v>
      </c>
      <c r="L46" s="117">
        <f>F46+F47</f>
        <v>-656.21600000000001</v>
      </c>
      <c r="M46" s="117">
        <f>K46+L46</f>
        <v>697.26991839999994</v>
      </c>
      <c r="N46" s="117">
        <f>H46+H47</f>
        <v>697.27</v>
      </c>
      <c r="O46" s="118">
        <f>M46-N46</f>
        <v>-8.1600000044090848E-5</v>
      </c>
      <c r="P46" s="115">
        <f t="shared" ref="P46" si="60">N46/M46</f>
        <v>1.000000117027851</v>
      </c>
      <c r="Q46" s="35"/>
    </row>
    <row r="47" spans="2:17" s="40" customFormat="1">
      <c r="B47" s="127"/>
      <c r="C47" s="116"/>
      <c r="D47" s="41" t="s">
        <v>1</v>
      </c>
      <c r="E47" s="42">
        <v>812.06610239999998</v>
      </c>
      <c r="F47" s="90">
        <f>-540+540-100-93.607-462.609</f>
        <v>-656.21600000000001</v>
      </c>
      <c r="G47" s="88">
        <f t="shared" ref="G47" si="61">E47+F47+I46</f>
        <v>685.35191839999993</v>
      </c>
      <c r="H47" s="90">
        <v>685.35199999999998</v>
      </c>
      <c r="I47" s="88">
        <f>+G47-H47</f>
        <v>-8.1600000044090848E-5</v>
      </c>
      <c r="J47" s="58">
        <f t="shared" si="0"/>
        <v>1.0000001190629191</v>
      </c>
      <c r="K47" s="117"/>
      <c r="L47" s="117"/>
      <c r="M47" s="117"/>
      <c r="N47" s="117"/>
      <c r="O47" s="118"/>
      <c r="P47" s="115"/>
      <c r="Q47" s="35"/>
    </row>
    <row r="48" spans="2:17" s="40" customFormat="1">
      <c r="B48" s="127"/>
      <c r="C48" s="129" t="s">
        <v>3</v>
      </c>
      <c r="D48" s="41" t="s">
        <v>0</v>
      </c>
      <c r="E48" s="42">
        <v>17.674844499999999</v>
      </c>
      <c r="F48" s="42"/>
      <c r="G48" s="88">
        <f t="shared" ref="G48" si="62">E48+F48</f>
        <v>17.674844499999999</v>
      </c>
      <c r="H48" s="90"/>
      <c r="I48" s="42">
        <f t="shared" si="53"/>
        <v>17.674844499999999</v>
      </c>
      <c r="J48" s="58">
        <f t="shared" si="0"/>
        <v>0</v>
      </c>
      <c r="K48" s="117">
        <f t="shared" ref="K48" si="63">E48+E49</f>
        <v>44.185034299999998</v>
      </c>
      <c r="L48" s="117">
        <f t="shared" ref="L48" si="64">F48+F49</f>
        <v>0</v>
      </c>
      <c r="M48" s="117">
        <f t="shared" ref="M48" si="65">K48+L48</f>
        <v>44.185034299999998</v>
      </c>
      <c r="N48" s="117">
        <f t="shared" ref="N48" si="66">H48+H49</f>
        <v>0</v>
      </c>
      <c r="O48" s="117">
        <f t="shared" ref="O48" si="67">M48-N48</f>
        <v>44.185034299999998</v>
      </c>
      <c r="P48" s="115">
        <f t="shared" ref="P48" si="68">N48/M48</f>
        <v>0</v>
      </c>
      <c r="Q48" s="35"/>
    </row>
    <row r="49" spans="2:17" s="40" customFormat="1">
      <c r="B49" s="127"/>
      <c r="C49" s="130"/>
      <c r="D49" s="41" t="s">
        <v>1</v>
      </c>
      <c r="E49" s="42">
        <v>26.510189799999999</v>
      </c>
      <c r="F49" s="42"/>
      <c r="G49" s="88">
        <f t="shared" ref="G49" si="69">E49+F49+I48</f>
        <v>44.185034299999998</v>
      </c>
      <c r="H49" s="90"/>
      <c r="I49" s="42">
        <f t="shared" si="53"/>
        <v>44.185034299999998</v>
      </c>
      <c r="J49" s="58">
        <f t="shared" si="0"/>
        <v>0</v>
      </c>
      <c r="K49" s="117"/>
      <c r="L49" s="117"/>
      <c r="M49" s="117"/>
      <c r="N49" s="117"/>
      <c r="O49" s="117"/>
      <c r="P49" s="115"/>
      <c r="Q49" s="35"/>
    </row>
    <row r="50" spans="2:17" s="40" customFormat="1">
      <c r="B50" s="127"/>
      <c r="C50" s="129" t="s">
        <v>4</v>
      </c>
      <c r="D50" s="41" t="s">
        <v>0</v>
      </c>
      <c r="E50" s="42">
        <v>4.29755E-2</v>
      </c>
      <c r="F50" s="42"/>
      <c r="G50" s="88">
        <f t="shared" ref="G50" si="70">E50+F50</f>
        <v>4.29755E-2</v>
      </c>
      <c r="H50" s="90"/>
      <c r="I50" s="42">
        <f t="shared" si="53"/>
        <v>4.29755E-2</v>
      </c>
      <c r="J50" s="58">
        <f t="shared" si="0"/>
        <v>0</v>
      </c>
      <c r="K50" s="117">
        <f t="shared" ref="K50" si="71">E50+E51</f>
        <v>0.10743369999999999</v>
      </c>
      <c r="L50" s="117">
        <f t="shared" ref="L50" si="72">F50+F51</f>
        <v>-0.107</v>
      </c>
      <c r="M50" s="117">
        <f t="shared" ref="M50" si="73">K50+L50</f>
        <v>4.336999999999952E-4</v>
      </c>
      <c r="N50" s="117">
        <f t="shared" ref="N50" si="74">H50+H51</f>
        <v>0</v>
      </c>
      <c r="O50" s="117">
        <f t="shared" ref="O50" si="75">M50-N50</f>
        <v>4.336999999999952E-4</v>
      </c>
      <c r="P50" s="115">
        <f t="shared" ref="P50" si="76">N50/M50</f>
        <v>0</v>
      </c>
      <c r="Q50" s="35"/>
    </row>
    <row r="51" spans="2:17" s="40" customFormat="1">
      <c r="B51" s="127"/>
      <c r="C51" s="130"/>
      <c r="D51" s="41" t="s">
        <v>1</v>
      </c>
      <c r="E51" s="42">
        <v>6.4458199999999993E-2</v>
      </c>
      <c r="F51" s="42">
        <f>-0.107</f>
        <v>-0.107</v>
      </c>
      <c r="G51" s="88">
        <f t="shared" ref="G51" si="77">E51+F51+I50</f>
        <v>4.336999999999952E-4</v>
      </c>
      <c r="H51" s="90"/>
      <c r="I51" s="42">
        <f t="shared" si="53"/>
        <v>4.336999999999952E-4</v>
      </c>
      <c r="J51" s="58">
        <f t="shared" si="0"/>
        <v>0</v>
      </c>
      <c r="K51" s="117"/>
      <c r="L51" s="117"/>
      <c r="M51" s="117"/>
      <c r="N51" s="117"/>
      <c r="O51" s="117"/>
      <c r="P51" s="115"/>
      <c r="Q51" s="35"/>
    </row>
    <row r="52" spans="2:17" s="40" customFormat="1">
      <c r="B52" s="127"/>
      <c r="C52" s="116" t="s">
        <v>98</v>
      </c>
      <c r="D52" s="41" t="s">
        <v>0</v>
      </c>
      <c r="E52" s="42">
        <v>0.17019999999999999</v>
      </c>
      <c r="F52" s="42"/>
      <c r="G52" s="88">
        <f t="shared" ref="G52" si="78">E52+F52</f>
        <v>0.17019999999999999</v>
      </c>
      <c r="H52" s="90"/>
      <c r="I52" s="42">
        <f t="shared" ref="I52:I59" si="79">G52-H52</f>
        <v>0.17019999999999999</v>
      </c>
      <c r="J52" s="58">
        <f t="shared" si="0"/>
        <v>0</v>
      </c>
      <c r="K52" s="117">
        <f>E52+E53</f>
        <v>0.42547999999999997</v>
      </c>
      <c r="L52" s="117">
        <f>F52+F53</f>
        <v>0</v>
      </c>
      <c r="M52" s="117">
        <f>K52+L52</f>
        <v>0.42547999999999997</v>
      </c>
      <c r="N52" s="117">
        <f>H52+H53</f>
        <v>0</v>
      </c>
      <c r="O52" s="117">
        <f>M52-N52</f>
        <v>0.42547999999999997</v>
      </c>
      <c r="P52" s="115">
        <f t="shared" ref="P52" si="80">N52/M52</f>
        <v>0</v>
      </c>
      <c r="Q52" s="35"/>
    </row>
    <row r="53" spans="2:17" s="40" customFormat="1">
      <c r="B53" s="127"/>
      <c r="C53" s="116"/>
      <c r="D53" s="41" t="s">
        <v>1</v>
      </c>
      <c r="E53" s="42">
        <v>0.25528000000000001</v>
      </c>
      <c r="F53" s="42"/>
      <c r="G53" s="88">
        <f t="shared" ref="G53" si="81">E53+F53+I52</f>
        <v>0.42547999999999997</v>
      </c>
      <c r="H53" s="42"/>
      <c r="I53" s="42">
        <f t="shared" si="79"/>
        <v>0.42547999999999997</v>
      </c>
      <c r="J53" s="58">
        <f t="shared" si="0"/>
        <v>0</v>
      </c>
      <c r="K53" s="117"/>
      <c r="L53" s="117"/>
      <c r="M53" s="117"/>
      <c r="N53" s="117"/>
      <c r="O53" s="117"/>
      <c r="P53" s="115"/>
      <c r="Q53" s="35"/>
    </row>
    <row r="54" spans="2:17" s="40" customFormat="1">
      <c r="B54" s="127"/>
      <c r="C54" s="129" t="s">
        <v>124</v>
      </c>
      <c r="D54" s="82" t="s">
        <v>0</v>
      </c>
      <c r="E54" s="84">
        <v>0</v>
      </c>
      <c r="F54" s="84">
        <f>0.10633</f>
        <v>0.10632999999999999</v>
      </c>
      <c r="G54" s="88">
        <f t="shared" ref="G54" si="82">E54+F54</f>
        <v>0.10632999999999999</v>
      </c>
      <c r="H54" s="84"/>
      <c r="I54" s="84">
        <f t="shared" si="79"/>
        <v>0.10632999999999999</v>
      </c>
      <c r="J54" s="83">
        <f t="shared" si="0"/>
        <v>0</v>
      </c>
      <c r="K54" s="117">
        <f>E54+E55</f>
        <v>0</v>
      </c>
      <c r="L54" s="117">
        <f>F54+F55</f>
        <v>0.21232999999999999</v>
      </c>
      <c r="M54" s="117">
        <f>K54+L54</f>
        <v>0.21232999999999999</v>
      </c>
      <c r="N54" s="117">
        <f>H54+H55</f>
        <v>0</v>
      </c>
      <c r="O54" s="117">
        <f>M54-N54</f>
        <v>0.21232999999999999</v>
      </c>
      <c r="P54" s="115">
        <f t="shared" ref="P54" si="83">N54/M54</f>
        <v>0</v>
      </c>
      <c r="Q54" s="35"/>
    </row>
    <row r="55" spans="2:17" s="40" customFormat="1">
      <c r="B55" s="127"/>
      <c r="C55" s="130"/>
      <c r="D55" s="82" t="s">
        <v>1</v>
      </c>
      <c r="E55" s="84">
        <v>0</v>
      </c>
      <c r="F55" s="84">
        <f>0.106</f>
        <v>0.106</v>
      </c>
      <c r="G55" s="88">
        <f t="shared" ref="G55" si="84">E55+F55+I54</f>
        <v>0.21232999999999999</v>
      </c>
      <c r="H55" s="84"/>
      <c r="I55" s="84">
        <f t="shared" si="79"/>
        <v>0.21232999999999999</v>
      </c>
      <c r="J55" s="83">
        <f>H55/G55</f>
        <v>0</v>
      </c>
      <c r="K55" s="117"/>
      <c r="L55" s="117"/>
      <c r="M55" s="117"/>
      <c r="N55" s="117"/>
      <c r="O55" s="117"/>
      <c r="P55" s="115"/>
      <c r="Q55" s="35"/>
    </row>
    <row r="56" spans="2:17" s="40" customFormat="1">
      <c r="B56" s="127"/>
      <c r="C56" s="129" t="s">
        <v>125</v>
      </c>
      <c r="D56" s="85" t="s">
        <v>0</v>
      </c>
      <c r="E56" s="87">
        <v>0</v>
      </c>
      <c r="F56" s="87"/>
      <c r="G56" s="88">
        <f t="shared" ref="G56" si="85">E56+F56</f>
        <v>0</v>
      </c>
      <c r="H56" s="87"/>
      <c r="I56" s="87">
        <f t="shared" ref="I56:I57" si="86">G56-H56</f>
        <v>0</v>
      </c>
      <c r="J56" s="86" t="e">
        <f t="shared" ref="J56" si="87">H56/G56</f>
        <v>#DIV/0!</v>
      </c>
      <c r="K56" s="117">
        <f>E56+E57</f>
        <v>0</v>
      </c>
      <c r="L56" s="117">
        <f>F56+F57</f>
        <v>0.106</v>
      </c>
      <c r="M56" s="117">
        <f>K56+L56</f>
        <v>0.106</v>
      </c>
      <c r="N56" s="117">
        <f>H56+H57</f>
        <v>0</v>
      </c>
      <c r="O56" s="117">
        <f>M56-N56</f>
        <v>0.106</v>
      </c>
      <c r="P56" s="115">
        <f t="shared" ref="P56" si="88">N56/M56</f>
        <v>0</v>
      </c>
      <c r="Q56" s="35"/>
    </row>
    <row r="57" spans="2:17" s="40" customFormat="1">
      <c r="B57" s="127"/>
      <c r="C57" s="130"/>
      <c r="D57" s="85" t="s">
        <v>1</v>
      </c>
      <c r="E57" s="87">
        <v>0</v>
      </c>
      <c r="F57" s="87">
        <f>0.106</f>
        <v>0.106</v>
      </c>
      <c r="G57" s="88">
        <f t="shared" ref="G57" si="89">E57+F57+I56</f>
        <v>0.106</v>
      </c>
      <c r="H57" s="87"/>
      <c r="I57" s="87">
        <f t="shared" si="86"/>
        <v>0.106</v>
      </c>
      <c r="J57" s="86">
        <f>H57/G57</f>
        <v>0</v>
      </c>
      <c r="K57" s="117"/>
      <c r="L57" s="117"/>
      <c r="M57" s="117"/>
      <c r="N57" s="117"/>
      <c r="O57" s="117"/>
      <c r="P57" s="115"/>
      <c r="Q57" s="35"/>
    </row>
    <row r="58" spans="2:17" s="35" customFormat="1">
      <c r="B58" s="127"/>
      <c r="C58" s="124" t="s">
        <v>99</v>
      </c>
      <c r="D58" s="56" t="s">
        <v>0</v>
      </c>
      <c r="E58" s="57">
        <f>E8+E10+E12+E14+E16+E18+E20+E22+E24+E26+E28+E30+E32+E34+E36+E38+E40+E42+E44+E46+E48+E50+E52+E54</f>
        <v>4254.9995744999987</v>
      </c>
      <c r="F58" s="57">
        <f>F8+F10+F12+F14+F16+F18+F20+F22+F24+F26+F28+F30+F32+F34+F36+F38+F40+F42+F44+F46+F48+F50+F52+F54+F56</f>
        <v>-4096.6270000000004</v>
      </c>
      <c r="G58" s="88">
        <f t="shared" ref="G58" si="90">E58+F58</f>
        <v>158.37257449999834</v>
      </c>
      <c r="H58" s="57">
        <f>H8+H10+H12+H14+H16+H18+H20+H22+H24+H26+H28+H30+H32+H34+H36+H38+H40+H42+H44+H46+H48+H50+H52+H54</f>
        <v>1322.1139999999998</v>
      </c>
      <c r="I58" s="57">
        <f t="shared" si="79"/>
        <v>-1163.7414255000015</v>
      </c>
      <c r="J58" s="59">
        <f t="shared" si="0"/>
        <v>8.3481246937740075</v>
      </c>
      <c r="K58" s="119">
        <f>E58+E59</f>
        <v>10636.998936300002</v>
      </c>
      <c r="L58" s="119">
        <f>F58+F59</f>
        <v>-5213.6260000000002</v>
      </c>
      <c r="M58" s="119">
        <f>K58+L58</f>
        <v>5423.372936300002</v>
      </c>
      <c r="N58" s="119">
        <f>H58+H59</f>
        <v>3770.6499999999996</v>
      </c>
      <c r="O58" s="119">
        <f>M58-N58</f>
        <v>1652.7229363000024</v>
      </c>
      <c r="P58" s="120">
        <f t="shared" ref="P58" si="91">N58/M58</f>
        <v>0.69525921309266581</v>
      </c>
    </row>
    <row r="59" spans="2:17" s="35" customFormat="1">
      <c r="B59" s="128"/>
      <c r="C59" s="125"/>
      <c r="D59" s="56" t="s">
        <v>1</v>
      </c>
      <c r="E59" s="57">
        <f>E9+E11+E13+E15+E17+E19+E21+E23+E25+E27+E29+E31+E33+E35+E37+E39+E41+E43+E45+E47+E49+E51+E53+E55</f>
        <v>6381.9993618000026</v>
      </c>
      <c r="F59" s="57">
        <f>F9+F11+F13+F15+F17+F19+F21+F23+F25+F27+F29+F31+F33+F35+F37+F39+F41+F43+F45+F47+F49+F51+F53+F55+F57</f>
        <v>-1116.9989999999998</v>
      </c>
      <c r="G59" s="88">
        <f t="shared" ref="G59" si="92">E59+F59+I58</f>
        <v>4101.2589363000016</v>
      </c>
      <c r="H59" s="57">
        <f>H9+H11+H13+H15+H17+H19+H21+H23+H25+H27+H29+H31+H33+H35+H37+H39+H41+H43+H45+H47+H49+H51+H53+H55</f>
        <v>2448.5360000000001</v>
      </c>
      <c r="I59" s="57">
        <f t="shared" si="79"/>
        <v>1652.7229363000015</v>
      </c>
      <c r="J59" s="59">
        <f t="shared" si="0"/>
        <v>0.59702058271136016</v>
      </c>
      <c r="K59" s="119"/>
      <c r="L59" s="119"/>
      <c r="M59" s="119"/>
      <c r="N59" s="119"/>
      <c r="O59" s="119"/>
      <c r="P59" s="120"/>
    </row>
    <row r="60" spans="2:17" s="35" customFormat="1">
      <c r="B60" s="44"/>
      <c r="C60" s="45"/>
      <c r="D60" s="36"/>
      <c r="E60" s="46"/>
      <c r="F60" s="46"/>
      <c r="G60" s="36"/>
      <c r="H60" s="36"/>
      <c r="I60" s="46"/>
      <c r="J60" s="47"/>
      <c r="K60" s="46"/>
      <c r="L60" s="36"/>
      <c r="M60" s="36"/>
      <c r="N60" s="36"/>
      <c r="O60" s="48"/>
      <c r="P60" s="47"/>
    </row>
    <row r="61" spans="2:17" s="35" customFormat="1">
      <c r="B61" s="44"/>
      <c r="C61" s="45"/>
      <c r="D61" s="36"/>
      <c r="E61" s="36"/>
      <c r="F61" s="36"/>
      <c r="G61" s="36"/>
      <c r="H61" s="36"/>
      <c r="I61" s="36"/>
      <c r="J61" s="47"/>
      <c r="K61" s="36"/>
      <c r="L61" s="36"/>
      <c r="M61" s="36"/>
      <c r="N61" s="36"/>
      <c r="O61" s="49"/>
      <c r="P61" s="47"/>
    </row>
    <row r="62" spans="2:17" s="35" customFormat="1">
      <c r="C62" s="39"/>
      <c r="F62" s="50"/>
      <c r="H62" s="46"/>
      <c r="J62" s="36"/>
      <c r="O62" s="51"/>
      <c r="P62" s="52"/>
    </row>
    <row r="63" spans="2:17" s="40" customFormat="1" ht="15" customHeight="1">
      <c r="B63" s="121" t="s">
        <v>109</v>
      </c>
      <c r="C63" s="103" t="s">
        <v>38</v>
      </c>
      <c r="D63" s="41" t="s">
        <v>0</v>
      </c>
      <c r="E63" s="42">
        <v>1.0735208000000001</v>
      </c>
      <c r="F63" s="42"/>
      <c r="G63" s="42">
        <f>E63+F63</f>
        <v>1.0735208000000001</v>
      </c>
      <c r="H63" s="91"/>
      <c r="I63" s="42">
        <f>G63-H63</f>
        <v>1.0735208000000001</v>
      </c>
      <c r="J63" s="58">
        <f t="shared" si="0"/>
        <v>0</v>
      </c>
      <c r="K63" s="117">
        <f>E63+E64</f>
        <v>2.6836128000000001</v>
      </c>
      <c r="L63" s="117">
        <f>F63+F64</f>
        <v>0</v>
      </c>
      <c r="M63" s="117">
        <f>K63+L63</f>
        <v>2.6836128000000001</v>
      </c>
      <c r="N63" s="117">
        <f>H63+H64</f>
        <v>0</v>
      </c>
      <c r="O63" s="117">
        <f>M63-N63</f>
        <v>2.6836128000000001</v>
      </c>
      <c r="P63" s="115">
        <f>N63/M63</f>
        <v>0</v>
      </c>
      <c r="Q63" s="35"/>
    </row>
    <row r="64" spans="2:17" s="40" customFormat="1">
      <c r="B64" s="122"/>
      <c r="C64" s="103"/>
      <c r="D64" s="41" t="s">
        <v>1</v>
      </c>
      <c r="E64" s="42">
        <v>1.6100920000000001</v>
      </c>
      <c r="F64" s="42"/>
      <c r="G64" s="42">
        <f>E64+F64+I63</f>
        <v>2.6836128000000001</v>
      </c>
      <c r="H64" s="91"/>
      <c r="I64" s="42">
        <f t="shared" ref="I64:I72" si="93">G64-H64</f>
        <v>2.6836128000000001</v>
      </c>
      <c r="J64" s="58">
        <f t="shared" si="0"/>
        <v>0</v>
      </c>
      <c r="K64" s="117"/>
      <c r="L64" s="117"/>
      <c r="M64" s="117"/>
      <c r="N64" s="117"/>
      <c r="O64" s="117"/>
      <c r="P64" s="115"/>
      <c r="Q64" s="35"/>
    </row>
    <row r="65" spans="2:17" s="40" customFormat="1">
      <c r="B65" s="122"/>
      <c r="C65" s="103" t="s">
        <v>74</v>
      </c>
      <c r="D65" s="41" t="s">
        <v>0</v>
      </c>
      <c r="E65" s="42">
        <v>1143.013115</v>
      </c>
      <c r="F65" s="42">
        <f>312.722+3783.905</f>
        <v>4096.6270000000004</v>
      </c>
      <c r="G65" s="42">
        <f>E65+F65</f>
        <v>5239.6401150000002</v>
      </c>
      <c r="H65" s="91"/>
      <c r="I65" s="42">
        <f t="shared" si="93"/>
        <v>5239.6401150000002</v>
      </c>
      <c r="J65" s="58">
        <f t="shared" si="0"/>
        <v>0</v>
      </c>
      <c r="K65" s="117">
        <f>E65+E66</f>
        <v>2857.3313399999997</v>
      </c>
      <c r="L65" s="117">
        <f>F65+F66</f>
        <v>4533.5190000000002</v>
      </c>
      <c r="M65" s="117">
        <f>K65+L65</f>
        <v>7390.85034</v>
      </c>
      <c r="N65" s="117">
        <f>H65+H66</f>
        <v>5140.7550000000001</v>
      </c>
      <c r="O65" s="117">
        <f>M65-N65</f>
        <v>2250.0953399999999</v>
      </c>
      <c r="P65" s="115">
        <f>N65/M65</f>
        <v>0.69555663604466922</v>
      </c>
      <c r="Q65" s="35"/>
    </row>
    <row r="66" spans="2:17" s="40" customFormat="1">
      <c r="B66" s="122"/>
      <c r="C66" s="103"/>
      <c r="D66" s="41" t="s">
        <v>1</v>
      </c>
      <c r="E66" s="42">
        <v>1714.318225</v>
      </c>
      <c r="F66" s="42">
        <f>56.478+27.355+353.059</f>
        <v>436.89200000000005</v>
      </c>
      <c r="G66" s="42">
        <f>E66+F66+I65</f>
        <v>7390.85034</v>
      </c>
      <c r="H66" s="91">
        <v>5140.7550000000001</v>
      </c>
      <c r="I66" s="42">
        <f>G66-H66</f>
        <v>2250.0953399999999</v>
      </c>
      <c r="J66" s="58">
        <f t="shared" si="0"/>
        <v>0.69555663604466922</v>
      </c>
      <c r="K66" s="117"/>
      <c r="L66" s="117"/>
      <c r="M66" s="117"/>
      <c r="N66" s="117"/>
      <c r="O66" s="117"/>
      <c r="P66" s="115"/>
      <c r="Q66" s="35"/>
    </row>
    <row r="67" spans="2:17" s="40" customFormat="1">
      <c r="B67" s="122"/>
      <c r="C67" s="103" t="s">
        <v>75</v>
      </c>
      <c r="D67" s="41" t="s">
        <v>0</v>
      </c>
      <c r="E67" s="42">
        <v>820.84765049999999</v>
      </c>
      <c r="F67" s="42"/>
      <c r="G67" s="42">
        <f>E67+F67</f>
        <v>820.84765049999999</v>
      </c>
      <c r="H67" s="91">
        <v>85.98</v>
      </c>
      <c r="I67" s="42">
        <f>G67-H67</f>
        <v>734.86765049999997</v>
      </c>
      <c r="J67" s="58">
        <f t="shared" si="0"/>
        <v>0.10474538112843146</v>
      </c>
      <c r="K67" s="117">
        <f>E67+E68</f>
        <v>2051.9744580000001</v>
      </c>
      <c r="L67" s="117">
        <f>F67+F68</f>
        <v>169.94099999999997</v>
      </c>
      <c r="M67" s="117">
        <f>K67+L67</f>
        <v>2221.9154579999999</v>
      </c>
      <c r="N67" s="117">
        <f>H67+H68</f>
        <v>2095.3469999999998</v>
      </c>
      <c r="O67" s="117">
        <f>M67-N67</f>
        <v>126.56845800000019</v>
      </c>
      <c r="P67" s="115">
        <f>N67/M67</f>
        <v>0.94303633041289181</v>
      </c>
      <c r="Q67" s="35"/>
    </row>
    <row r="68" spans="2:17" s="40" customFormat="1">
      <c r="B68" s="122"/>
      <c r="C68" s="103"/>
      <c r="D68" s="41" t="s">
        <v>1</v>
      </c>
      <c r="E68" s="42">
        <v>1231.1268075</v>
      </c>
      <c r="F68" s="81">
        <f>-410.059+580</f>
        <v>169.94099999999997</v>
      </c>
      <c r="G68" s="42">
        <f>E68+F68+I67</f>
        <v>2135.9354579999999</v>
      </c>
      <c r="H68" s="91">
        <v>2009.367</v>
      </c>
      <c r="I68" s="42">
        <f>G68-H68</f>
        <v>126.56845799999996</v>
      </c>
      <c r="J68" s="58">
        <f t="shared" si="0"/>
        <v>0.94074331341523154</v>
      </c>
      <c r="K68" s="117"/>
      <c r="L68" s="117"/>
      <c r="M68" s="117"/>
      <c r="N68" s="117"/>
      <c r="O68" s="117"/>
      <c r="P68" s="115"/>
      <c r="Q68" s="35"/>
    </row>
    <row r="69" spans="2:17" s="40" customFormat="1">
      <c r="B69" s="122"/>
      <c r="C69" s="103" t="s">
        <v>95</v>
      </c>
      <c r="D69" s="41" t="s">
        <v>0</v>
      </c>
      <c r="E69" s="42">
        <v>132.89500949999999</v>
      </c>
      <c r="F69" s="42"/>
      <c r="G69" s="42">
        <f>E69+F69</f>
        <v>132.89500949999999</v>
      </c>
      <c r="H69" s="91">
        <v>212.33799999999999</v>
      </c>
      <c r="I69" s="42">
        <f t="shared" si="93"/>
        <v>-79.442990500000008</v>
      </c>
      <c r="J69" s="58">
        <f t="shared" si="0"/>
        <v>1.5977876129351569</v>
      </c>
      <c r="K69" s="117">
        <f>E69+E70</f>
        <v>332.21410200000003</v>
      </c>
      <c r="L69" s="117">
        <f>F69+F70</f>
        <v>610.53099999999995</v>
      </c>
      <c r="M69" s="117">
        <f>K69+L69</f>
        <v>942.74510199999997</v>
      </c>
      <c r="N69" s="117">
        <f>H69+H70</f>
        <v>641.71299999999997</v>
      </c>
      <c r="O69" s="117">
        <f>M69-N69</f>
        <v>301.03210200000001</v>
      </c>
      <c r="P69" s="115">
        <f>N69/M69</f>
        <v>0.68068558366267706</v>
      </c>
      <c r="Q69" s="35"/>
    </row>
    <row r="70" spans="2:17" s="40" customFormat="1">
      <c r="B70" s="122"/>
      <c r="C70" s="103"/>
      <c r="D70" s="41" t="s">
        <v>1</v>
      </c>
      <c r="E70" s="42">
        <v>199.31909250000001</v>
      </c>
      <c r="F70" s="42">
        <f>410.059+0.407+200.065</f>
        <v>610.53099999999995</v>
      </c>
      <c r="G70" s="42">
        <f>E70+F70+I69</f>
        <v>730.4071019999999</v>
      </c>
      <c r="H70" s="91">
        <f>417.237-27.993+40.131</f>
        <v>429.375</v>
      </c>
      <c r="I70" s="42">
        <f t="shared" si="93"/>
        <v>301.0321019999999</v>
      </c>
      <c r="J70" s="58">
        <f t="shared" si="0"/>
        <v>0.58785709890318139</v>
      </c>
      <c r="K70" s="117"/>
      <c r="L70" s="117"/>
      <c r="M70" s="117"/>
      <c r="N70" s="117"/>
      <c r="O70" s="117"/>
      <c r="P70" s="115"/>
      <c r="Q70" s="35"/>
    </row>
    <row r="71" spans="2:17" s="40" customFormat="1" ht="15" customHeight="1">
      <c r="B71" s="122"/>
      <c r="C71" s="103" t="s">
        <v>76</v>
      </c>
      <c r="D71" s="41" t="s">
        <v>0</v>
      </c>
      <c r="E71" s="42">
        <v>0.42554999999999998</v>
      </c>
      <c r="F71" s="42"/>
      <c r="G71" s="42">
        <f>E71+F71</f>
        <v>0.42554999999999998</v>
      </c>
      <c r="H71" s="91">
        <v>0.47799999999999998</v>
      </c>
      <c r="I71" s="42">
        <f t="shared" si="93"/>
        <v>-5.2449999999999997E-2</v>
      </c>
      <c r="J71" s="58">
        <f t="shared" si="0"/>
        <v>1.1232522617788745</v>
      </c>
      <c r="K71" s="117">
        <f>E71+E72</f>
        <v>1.0638000000000001</v>
      </c>
      <c r="L71" s="117">
        <f>F71+F72</f>
        <v>-0.47899999999999998</v>
      </c>
      <c r="M71" s="117">
        <f>K71+L71</f>
        <v>0.5848000000000001</v>
      </c>
      <c r="N71" s="117">
        <f>H71+H72</f>
        <v>0.58499999999999996</v>
      </c>
      <c r="O71" s="117">
        <f>M71-N71</f>
        <v>-1.9999999999986695E-4</v>
      </c>
      <c r="P71" s="115">
        <f>N71/M71</f>
        <v>1.0003419972640217</v>
      </c>
      <c r="Q71" s="35"/>
    </row>
    <row r="72" spans="2:17" s="40" customFormat="1">
      <c r="B72" s="122"/>
      <c r="C72" s="103"/>
      <c r="D72" s="41" t="s">
        <v>1</v>
      </c>
      <c r="E72" s="42">
        <v>0.63824999999999998</v>
      </c>
      <c r="F72" s="42">
        <f>-0.586+0.107</f>
        <v>-0.47899999999999998</v>
      </c>
      <c r="G72" s="42">
        <f>E72+F72+I71</f>
        <v>0.10680000000000001</v>
      </c>
      <c r="H72" s="91">
        <v>0.107</v>
      </c>
      <c r="I72" s="89">
        <f t="shared" si="93"/>
        <v>-1.9999999999999185E-4</v>
      </c>
      <c r="J72" s="58">
        <f t="shared" si="0"/>
        <v>1.0018726591760299</v>
      </c>
      <c r="K72" s="117"/>
      <c r="L72" s="117"/>
      <c r="M72" s="117"/>
      <c r="N72" s="117"/>
      <c r="O72" s="117"/>
      <c r="P72" s="115"/>
      <c r="Q72" s="35"/>
    </row>
    <row r="73" spans="2:17" s="40" customFormat="1" ht="15" customHeight="1">
      <c r="B73" s="122"/>
      <c r="C73" s="103" t="s">
        <v>97</v>
      </c>
      <c r="D73" s="41" t="s">
        <v>0</v>
      </c>
      <c r="E73" s="42">
        <v>738.7323877</v>
      </c>
      <c r="F73" s="42"/>
      <c r="G73" s="42">
        <f>E73+F73</f>
        <v>738.7323877</v>
      </c>
      <c r="H73" s="91">
        <v>74.897000000000006</v>
      </c>
      <c r="I73" s="42">
        <f>G73-H73</f>
        <v>663.83538769999996</v>
      </c>
      <c r="J73" s="58">
        <f t="shared" si="0"/>
        <v>0.10138583504262948</v>
      </c>
      <c r="K73" s="117">
        <f>E73+E74</f>
        <v>1846.7007732000002</v>
      </c>
      <c r="L73" s="117">
        <f>F73+F74</f>
        <v>-100.065</v>
      </c>
      <c r="M73" s="117">
        <f>K73+L73</f>
        <v>1746.6357732000001</v>
      </c>
      <c r="N73" s="117">
        <f>H73+H74</f>
        <v>1659.249</v>
      </c>
      <c r="O73" s="117">
        <f>M73-N73</f>
        <v>87.386773200000107</v>
      </c>
      <c r="P73" s="115">
        <f>N73/M73</f>
        <v>0.94996851974473229</v>
      </c>
      <c r="Q73" s="35"/>
    </row>
    <row r="74" spans="2:17" s="40" customFormat="1">
      <c r="B74" s="122"/>
      <c r="C74" s="103"/>
      <c r="D74" s="41" t="s">
        <v>1</v>
      </c>
      <c r="E74" s="42">
        <v>1107.9683855000001</v>
      </c>
      <c r="F74" s="42">
        <f>540-200.065-540+100</f>
        <v>-100.065</v>
      </c>
      <c r="G74" s="42">
        <f>E74+F74+I73</f>
        <v>1671.7387732</v>
      </c>
      <c r="H74" s="91">
        <v>1584.3520000000001</v>
      </c>
      <c r="I74" s="42">
        <f>G74-H74</f>
        <v>87.38677319999988</v>
      </c>
      <c r="J74" s="58">
        <f>H74/G74</f>
        <v>0.94772701656448011</v>
      </c>
      <c r="K74" s="117"/>
      <c r="L74" s="117"/>
      <c r="M74" s="117"/>
      <c r="N74" s="117"/>
      <c r="O74" s="117"/>
      <c r="P74" s="115"/>
      <c r="Q74" s="35"/>
    </row>
    <row r="75" spans="2:17" s="35" customFormat="1" ht="15" customHeight="1">
      <c r="B75" s="122"/>
      <c r="C75" s="124" t="s">
        <v>99</v>
      </c>
      <c r="D75" s="56" t="s">
        <v>0</v>
      </c>
      <c r="E75" s="57">
        <f>E63+E65+E67+E69+E71+E73</f>
        <v>2836.9872335</v>
      </c>
      <c r="F75" s="57">
        <f t="shared" ref="F75:H75" si="94">F63+F65+F67+F69+F71+F73</f>
        <v>4096.6270000000004</v>
      </c>
      <c r="G75" s="57">
        <f>E75+F75</f>
        <v>6933.6142335000004</v>
      </c>
      <c r="H75" s="57">
        <f t="shared" si="94"/>
        <v>373.69299999999998</v>
      </c>
      <c r="I75" s="57">
        <f>G75-H75</f>
        <v>6559.9212335000002</v>
      </c>
      <c r="J75" s="59">
        <f t="shared" si="0"/>
        <v>5.3895845285780272E-2</v>
      </c>
      <c r="K75" s="119">
        <f>E75+E76</f>
        <v>7091.9680859999999</v>
      </c>
      <c r="L75" s="119">
        <f>F75+F76</f>
        <v>5213.4470000000001</v>
      </c>
      <c r="M75" s="119">
        <f>K75+L75</f>
        <v>12305.415086000001</v>
      </c>
      <c r="N75" s="119">
        <f>H75+H76</f>
        <v>9537.6489999999994</v>
      </c>
      <c r="O75" s="119">
        <f>M75-N75</f>
        <v>2767.7660860000015</v>
      </c>
      <c r="P75" s="120">
        <f>N75/M75</f>
        <v>0.77507738937234893</v>
      </c>
    </row>
    <row r="76" spans="2:17" s="35" customFormat="1">
      <c r="B76" s="123"/>
      <c r="C76" s="125"/>
      <c r="D76" s="56" t="s">
        <v>1</v>
      </c>
      <c r="E76" s="57">
        <f>E64+E66+E68+E70+E72+E74</f>
        <v>4254.9808524999999</v>
      </c>
      <c r="F76" s="57">
        <f t="shared" ref="F76:H76" si="95">F64+F66+F68+F70+F72+F74</f>
        <v>1116.82</v>
      </c>
      <c r="G76" s="57">
        <f>E76+I75+F76</f>
        <v>11931.722086</v>
      </c>
      <c r="H76" s="57">
        <f t="shared" si="95"/>
        <v>9163.9560000000001</v>
      </c>
      <c r="I76" s="57">
        <f>G76-H76</f>
        <v>2767.7660859999996</v>
      </c>
      <c r="J76" s="59">
        <f>H76/G76</f>
        <v>0.76803297411297078</v>
      </c>
      <c r="K76" s="119"/>
      <c r="L76" s="119"/>
      <c r="M76" s="119"/>
      <c r="N76" s="119"/>
      <c r="O76" s="119"/>
      <c r="P76" s="120"/>
    </row>
    <row r="77" spans="2:17">
      <c r="H77" s="53"/>
      <c r="Q77" s="54"/>
    </row>
    <row r="78" spans="2:17">
      <c r="Q78" s="54"/>
    </row>
  </sheetData>
  <mergeCells count="235">
    <mergeCell ref="C56:C57"/>
    <mergeCell ref="K56:K57"/>
    <mergeCell ref="L56:L57"/>
    <mergeCell ref="M56:M57"/>
    <mergeCell ref="N56:N57"/>
    <mergeCell ref="O56:O57"/>
    <mergeCell ref="P56:P57"/>
    <mergeCell ref="P38:P39"/>
    <mergeCell ref="C67:C68"/>
    <mergeCell ref="K67:K68"/>
    <mergeCell ref="L67:L68"/>
    <mergeCell ref="M67:M68"/>
    <mergeCell ref="N67:N68"/>
    <mergeCell ref="C38:C39"/>
    <mergeCell ref="K38:K39"/>
    <mergeCell ref="L38:L39"/>
    <mergeCell ref="M38:M39"/>
    <mergeCell ref="N38:N39"/>
    <mergeCell ref="O38:O39"/>
    <mergeCell ref="C44:C45"/>
    <mergeCell ref="K44:K45"/>
    <mergeCell ref="L44:L45"/>
    <mergeCell ref="M44:M45"/>
    <mergeCell ref="N44:N45"/>
    <mergeCell ref="C71:C72"/>
    <mergeCell ref="N71:N72"/>
    <mergeCell ref="K71:K72"/>
    <mergeCell ref="C46:C47"/>
    <mergeCell ref="K46:K47"/>
    <mergeCell ref="L46:L47"/>
    <mergeCell ref="M46:M47"/>
    <mergeCell ref="N46:N47"/>
    <mergeCell ref="C48:C49"/>
    <mergeCell ref="C50:C51"/>
    <mergeCell ref="K48:K49"/>
    <mergeCell ref="L48:L49"/>
    <mergeCell ref="C69:C70"/>
    <mergeCell ref="K69:K70"/>
    <mergeCell ref="L69:L70"/>
    <mergeCell ref="M69:M70"/>
    <mergeCell ref="N69:N70"/>
    <mergeCell ref="L63:L64"/>
    <mergeCell ref="N52:N53"/>
    <mergeCell ref="K50:K51"/>
    <mergeCell ref="L50:L51"/>
    <mergeCell ref="M50:M51"/>
    <mergeCell ref="N50:N51"/>
    <mergeCell ref="C54:C55"/>
    <mergeCell ref="P71:P72"/>
    <mergeCell ref="O67:O68"/>
    <mergeCell ref="P67:P68"/>
    <mergeCell ref="O69:O70"/>
    <mergeCell ref="P69:P70"/>
    <mergeCell ref="M63:M64"/>
    <mergeCell ref="M71:M72"/>
    <mergeCell ref="O65:O66"/>
    <mergeCell ref="O63:O64"/>
    <mergeCell ref="P65:P66"/>
    <mergeCell ref="P63:P64"/>
    <mergeCell ref="N63:N64"/>
    <mergeCell ref="P10:P11"/>
    <mergeCell ref="N12:N13"/>
    <mergeCell ref="O12:O13"/>
    <mergeCell ref="P12:P13"/>
    <mergeCell ref="C10:C11"/>
    <mergeCell ref="K10:K11"/>
    <mergeCell ref="K26:K27"/>
    <mergeCell ref="L26:L27"/>
    <mergeCell ref="M26:M27"/>
    <mergeCell ref="N26:N27"/>
    <mergeCell ref="O26:O27"/>
    <mergeCell ref="P26:P27"/>
    <mergeCell ref="C24:C25"/>
    <mergeCell ref="K24:K25"/>
    <mergeCell ref="L24:L25"/>
    <mergeCell ref="M24:M25"/>
    <mergeCell ref="N24:N25"/>
    <mergeCell ref="O24:O25"/>
    <mergeCell ref="P14:P15"/>
    <mergeCell ref="P22:P23"/>
    <mergeCell ref="K20:K21"/>
    <mergeCell ref="L20:L21"/>
    <mergeCell ref="M20:M21"/>
    <mergeCell ref="N20:N21"/>
    <mergeCell ref="O14:O15"/>
    <mergeCell ref="O16:O17"/>
    <mergeCell ref="C8:C9"/>
    <mergeCell ref="K8:K9"/>
    <mergeCell ref="L8:L9"/>
    <mergeCell ref="M8:M9"/>
    <mergeCell ref="C58:C59"/>
    <mergeCell ref="N8:N9"/>
    <mergeCell ref="O10:O11"/>
    <mergeCell ref="O8:O9"/>
    <mergeCell ref="C40:C41"/>
    <mergeCell ref="K40:K41"/>
    <mergeCell ref="L40:L41"/>
    <mergeCell ref="M40:M41"/>
    <mergeCell ref="N40:N41"/>
    <mergeCell ref="O40:O41"/>
    <mergeCell ref="C28:C29"/>
    <mergeCell ref="K28:K29"/>
    <mergeCell ref="L28:L29"/>
    <mergeCell ref="M28:M29"/>
    <mergeCell ref="N28:N29"/>
    <mergeCell ref="O28:O29"/>
    <mergeCell ref="C32:C33"/>
    <mergeCell ref="K32:K33"/>
    <mergeCell ref="C16:C17"/>
    <mergeCell ref="K16:K17"/>
    <mergeCell ref="L16:L17"/>
    <mergeCell ref="M16:M17"/>
    <mergeCell ref="N16:N17"/>
    <mergeCell ref="L10:L11"/>
    <mergeCell ref="M10:M11"/>
    <mergeCell ref="N10:N11"/>
    <mergeCell ref="C14:C15"/>
    <mergeCell ref="K14:K15"/>
    <mergeCell ref="L14:L15"/>
    <mergeCell ref="M14:M15"/>
    <mergeCell ref="N14:N15"/>
    <mergeCell ref="B8:B59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O34:O35"/>
    <mergeCell ref="P34:P35"/>
    <mergeCell ref="N48:N49"/>
    <mergeCell ref="O48:O49"/>
    <mergeCell ref="P48:P49"/>
    <mergeCell ref="P8:P9"/>
    <mergeCell ref="P16:P17"/>
    <mergeCell ref="C18:C19"/>
    <mergeCell ref="K18:K19"/>
    <mergeCell ref="L18:L19"/>
    <mergeCell ref="M18:M19"/>
    <mergeCell ref="N18:N19"/>
    <mergeCell ref="O18:O19"/>
    <mergeCell ref="P18:P19"/>
    <mergeCell ref="B63:B76"/>
    <mergeCell ref="C75:C76"/>
    <mergeCell ref="K75:K76"/>
    <mergeCell ref="L75:L76"/>
    <mergeCell ref="M75:M76"/>
    <mergeCell ref="N75:N76"/>
    <mergeCell ref="O75:O76"/>
    <mergeCell ref="P75:P76"/>
    <mergeCell ref="C63:C64"/>
    <mergeCell ref="K63:K64"/>
    <mergeCell ref="C73:C74"/>
    <mergeCell ref="K73:K74"/>
    <mergeCell ref="L73:L74"/>
    <mergeCell ref="M73:M74"/>
    <mergeCell ref="N73:N74"/>
    <mergeCell ref="O73:O74"/>
    <mergeCell ref="P73:P74"/>
    <mergeCell ref="L71:L72"/>
    <mergeCell ref="C65:C66"/>
    <mergeCell ref="K65:K66"/>
    <mergeCell ref="L65:L66"/>
    <mergeCell ref="M65:M66"/>
    <mergeCell ref="N65:N66"/>
    <mergeCell ref="O71:O72"/>
    <mergeCell ref="C20:C21"/>
    <mergeCell ref="C36:C37"/>
    <mergeCell ref="K36:K37"/>
    <mergeCell ref="L36:L37"/>
    <mergeCell ref="M36:M37"/>
    <mergeCell ref="N36:N37"/>
    <mergeCell ref="C52:C53"/>
    <mergeCell ref="O36:O37"/>
    <mergeCell ref="K52:K53"/>
    <mergeCell ref="L52:L53"/>
    <mergeCell ref="M52:M53"/>
    <mergeCell ref="O44:O45"/>
    <mergeCell ref="O46:O47"/>
    <mergeCell ref="O50:O51"/>
    <mergeCell ref="C34:C35"/>
    <mergeCell ref="K34:K35"/>
    <mergeCell ref="L34:L35"/>
    <mergeCell ref="M34:M35"/>
    <mergeCell ref="N34:N35"/>
    <mergeCell ref="O52:O53"/>
    <mergeCell ref="C42:C43"/>
    <mergeCell ref="K42:K43"/>
    <mergeCell ref="L42:L43"/>
    <mergeCell ref="M42:M43"/>
    <mergeCell ref="K58:K59"/>
    <mergeCell ref="L58:L59"/>
    <mergeCell ref="M58:M59"/>
    <mergeCell ref="N58:N59"/>
    <mergeCell ref="O58:O59"/>
    <mergeCell ref="P58:P59"/>
    <mergeCell ref="P44:P45"/>
    <mergeCell ref="P40:P41"/>
    <mergeCell ref="P52:P53"/>
    <mergeCell ref="N42:N43"/>
    <mergeCell ref="O42:O43"/>
    <mergeCell ref="P42:P43"/>
    <mergeCell ref="K54:K55"/>
    <mergeCell ref="L54:L55"/>
    <mergeCell ref="M54:M55"/>
    <mergeCell ref="N54:N55"/>
    <mergeCell ref="O54:O55"/>
    <mergeCell ref="P54:P55"/>
    <mergeCell ref="B3:P3"/>
    <mergeCell ref="B4:P4"/>
    <mergeCell ref="P50:P51"/>
    <mergeCell ref="P46:P47"/>
    <mergeCell ref="P20:P21"/>
    <mergeCell ref="P24:P25"/>
    <mergeCell ref="P28:P29"/>
    <mergeCell ref="C12:C13"/>
    <mergeCell ref="K12:K13"/>
    <mergeCell ref="L12:L13"/>
    <mergeCell ref="M12:M13"/>
    <mergeCell ref="C22:C23"/>
    <mergeCell ref="K22:K23"/>
    <mergeCell ref="L22:L23"/>
    <mergeCell ref="M22:M23"/>
    <mergeCell ref="N22:N23"/>
    <mergeCell ref="O22:O23"/>
    <mergeCell ref="O20:O21"/>
    <mergeCell ref="C26:C27"/>
    <mergeCell ref="M48:M49"/>
    <mergeCell ref="P36:P37"/>
    <mergeCell ref="P30:P31"/>
    <mergeCell ref="L32:L33"/>
    <mergeCell ref="M32:M3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9"/>
  <sheetViews>
    <sheetView zoomScale="80" zoomScaleNormal="80" workbookViewId="0">
      <selection activeCell="B44" sqref="B44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17" customFormat="1">
      <c r="A1" s="16" t="s">
        <v>6</v>
      </c>
      <c r="B1" s="16" t="s">
        <v>7</v>
      </c>
      <c r="C1" s="28" t="s">
        <v>8</v>
      </c>
      <c r="D1" s="28" t="s">
        <v>9</v>
      </c>
      <c r="E1" s="28" t="s">
        <v>10</v>
      </c>
      <c r="F1" s="28" t="s">
        <v>11</v>
      </c>
      <c r="G1" s="28" t="s">
        <v>12</v>
      </c>
      <c r="H1" s="28" t="s">
        <v>13</v>
      </c>
      <c r="I1" s="28" t="s">
        <v>14</v>
      </c>
      <c r="J1" s="28" t="s">
        <v>15</v>
      </c>
      <c r="K1" s="28" t="s">
        <v>16</v>
      </c>
      <c r="L1" s="28" t="s">
        <v>17</v>
      </c>
      <c r="M1" s="29" t="s">
        <v>18</v>
      </c>
      <c r="N1" s="28" t="s">
        <v>19</v>
      </c>
      <c r="O1" s="30" t="s">
        <v>20</v>
      </c>
      <c r="P1" s="30" t="s">
        <v>78</v>
      </c>
      <c r="Q1" s="30" t="s">
        <v>79</v>
      </c>
    </row>
    <row r="2" spans="1:17">
      <c r="A2" s="76" t="s">
        <v>22</v>
      </c>
      <c r="B2" s="77" t="s">
        <v>23</v>
      </c>
      <c r="C2" s="22" t="s">
        <v>2</v>
      </c>
      <c r="D2" s="31" t="s">
        <v>21</v>
      </c>
      <c r="E2" s="22" t="str">
        <f>+'CUOTA INDUSTRIAL'!C$8</f>
        <v>ALIMENTOS MARINOS S.A.</v>
      </c>
      <c r="F2" s="23" t="s">
        <v>24</v>
      </c>
      <c r="G2" s="23" t="s">
        <v>25</v>
      </c>
      <c r="H2" s="24">
        <f>'CUOTA INDUSTRIAL'!E8</f>
        <v>0.21274999999999999</v>
      </c>
      <c r="I2" s="24">
        <f>'CUOTA INDUSTRIAL'!F8</f>
        <v>0</v>
      </c>
      <c r="J2" s="24">
        <f>'CUOTA INDUSTRIAL'!G8</f>
        <v>0.21274999999999999</v>
      </c>
      <c r="K2" s="24">
        <f>'CUOTA INDUSTRIAL'!H8</f>
        <v>0</v>
      </c>
      <c r="L2" s="24">
        <f>'CUOTA INDUSTRIAL'!I8</f>
        <v>0.21274999999999999</v>
      </c>
      <c r="M2" s="25">
        <f>'CUOTA INDUSTRIAL'!J8</f>
        <v>0</v>
      </c>
      <c r="N2" s="22" t="s">
        <v>36</v>
      </c>
      <c r="O2" s="26">
        <f>RESUMEN!$B$5</f>
        <v>44561</v>
      </c>
      <c r="P2" s="27">
        <v>2021</v>
      </c>
      <c r="Q2" s="27"/>
    </row>
    <row r="3" spans="1:17">
      <c r="A3" s="76" t="s">
        <v>22</v>
      </c>
      <c r="B3" s="77" t="s">
        <v>23</v>
      </c>
      <c r="C3" s="22" t="s">
        <v>2</v>
      </c>
      <c r="D3" s="31" t="s">
        <v>21</v>
      </c>
      <c r="E3" s="22" t="str">
        <f>+'CUOTA INDUSTRIAL'!C$8</f>
        <v>ALIMENTOS MARINOS S.A.</v>
      </c>
      <c r="F3" s="27" t="s">
        <v>26</v>
      </c>
      <c r="G3" s="27" t="s">
        <v>27</v>
      </c>
      <c r="H3" s="24">
        <f>'CUOTA INDUSTRIAL'!E9</f>
        <v>0.31909999999999999</v>
      </c>
      <c r="I3" s="24">
        <f>'CUOTA INDUSTRIAL'!F9</f>
        <v>0</v>
      </c>
      <c r="J3" s="24">
        <f>'CUOTA INDUSTRIAL'!G9</f>
        <v>0.53184999999999993</v>
      </c>
      <c r="K3" s="24">
        <f>'CUOTA INDUSTRIAL'!H9</f>
        <v>0</v>
      </c>
      <c r="L3" s="24">
        <f>'CUOTA INDUSTRIAL'!I9</f>
        <v>0.53184999999999993</v>
      </c>
      <c r="M3" s="25">
        <f>'CUOTA INDUSTRIAL'!J9</f>
        <v>0</v>
      </c>
      <c r="N3" s="22" t="s">
        <v>36</v>
      </c>
      <c r="O3" s="26">
        <f>RESUMEN!$B$5</f>
        <v>44561</v>
      </c>
      <c r="P3" s="27">
        <v>2021</v>
      </c>
      <c r="Q3" s="27"/>
    </row>
    <row r="4" spans="1:17">
      <c r="A4" s="76" t="s">
        <v>22</v>
      </c>
      <c r="B4" s="77" t="s">
        <v>23</v>
      </c>
      <c r="C4" s="22" t="s">
        <v>2</v>
      </c>
      <c r="D4" s="31" t="s">
        <v>21</v>
      </c>
      <c r="E4" s="22" t="str">
        <f>+'CUOTA INDUSTRIAL'!C$8</f>
        <v>ALIMENTOS MARINOS S.A.</v>
      </c>
      <c r="F4" s="27" t="s">
        <v>24</v>
      </c>
      <c r="G4" s="27" t="s">
        <v>27</v>
      </c>
      <c r="H4" s="24">
        <f>'CUOTA INDUSTRIAL'!K8</f>
        <v>0.53184999999999993</v>
      </c>
      <c r="I4" s="24">
        <f>'CUOTA INDUSTRIAL'!L8</f>
        <v>0</v>
      </c>
      <c r="J4" s="24">
        <f>'CUOTA INDUSTRIAL'!M8</f>
        <v>0.53184999999999993</v>
      </c>
      <c r="K4" s="24">
        <f>'CUOTA INDUSTRIAL'!N8</f>
        <v>0</v>
      </c>
      <c r="L4" s="24">
        <f>'CUOTA INDUSTRIAL'!O8</f>
        <v>0.53184999999999993</v>
      </c>
      <c r="M4" s="25">
        <f>'CUOTA INDUSTRIAL'!P8</f>
        <v>0</v>
      </c>
      <c r="N4" s="22" t="s">
        <v>36</v>
      </c>
      <c r="O4" s="26">
        <f>RESUMEN!$B$5</f>
        <v>44561</v>
      </c>
      <c r="P4" s="27">
        <v>2021</v>
      </c>
      <c r="Q4" s="27"/>
    </row>
    <row r="5" spans="1:17">
      <c r="A5" s="76" t="s">
        <v>22</v>
      </c>
      <c r="B5" s="77" t="s">
        <v>23</v>
      </c>
      <c r="C5" s="22" t="s">
        <v>2</v>
      </c>
      <c r="D5" s="31" t="s">
        <v>21</v>
      </c>
      <c r="E5" s="22" t="str">
        <f>+'CUOTA INDUSTRIAL'!C$10</f>
        <v>PACIFICBLU SpA.</v>
      </c>
      <c r="F5" s="23" t="s">
        <v>24</v>
      </c>
      <c r="G5" s="23" t="s">
        <v>25</v>
      </c>
      <c r="H5" s="24">
        <f>'CUOTA INDUSTRIAL'!E10</f>
        <v>1262.4495645</v>
      </c>
      <c r="I5" s="24">
        <f>'CUOTA INDUSTRIAL'!F10</f>
        <v>0</v>
      </c>
      <c r="J5" s="24">
        <f>'CUOTA INDUSTRIAL'!G10</f>
        <v>1262.4495645</v>
      </c>
      <c r="K5" s="24">
        <f>'CUOTA INDUSTRIAL'!H10</f>
        <v>1280.665</v>
      </c>
      <c r="L5" s="24">
        <f>'CUOTA INDUSTRIAL'!I10</f>
        <v>-18.215435500000012</v>
      </c>
      <c r="M5" s="25">
        <f>'CUOTA INDUSTRIAL'!J10</f>
        <v>1.014428644131391</v>
      </c>
      <c r="N5" s="22" t="s">
        <v>36</v>
      </c>
      <c r="O5" s="26">
        <f>RESUMEN!$B$5</f>
        <v>44561</v>
      </c>
      <c r="P5" s="27">
        <v>2021</v>
      </c>
      <c r="Q5" s="27"/>
    </row>
    <row r="6" spans="1:17">
      <c r="A6" s="76" t="s">
        <v>22</v>
      </c>
      <c r="B6" s="77" t="s">
        <v>23</v>
      </c>
      <c r="C6" s="22" t="s">
        <v>2</v>
      </c>
      <c r="D6" s="31" t="s">
        <v>21</v>
      </c>
      <c r="E6" s="22" t="str">
        <f>+'CUOTA INDUSTRIAL'!C$10</f>
        <v>PACIFICBLU SpA.</v>
      </c>
      <c r="F6" s="27" t="s">
        <v>26</v>
      </c>
      <c r="G6" s="27" t="s">
        <v>27</v>
      </c>
      <c r="H6" s="24">
        <f>'CUOTA INDUSTRIAL'!E11</f>
        <v>1893.5259977999999</v>
      </c>
      <c r="I6" s="24">
        <f>'CUOTA INDUSTRIAL'!F11</f>
        <v>1075.0989999999999</v>
      </c>
      <c r="J6" s="24">
        <f>'CUOTA INDUSTRIAL'!G11</f>
        <v>2950.4095622999994</v>
      </c>
      <c r="K6" s="24">
        <f>'CUOTA INDUSTRIAL'!H11</f>
        <v>1504.962</v>
      </c>
      <c r="L6" s="24">
        <f>'CUOTA INDUSTRIAL'!I11</f>
        <v>1445.4475622999994</v>
      </c>
      <c r="M6" s="25">
        <f>'CUOTA INDUSTRIAL'!J11</f>
        <v>0.51008579257274467</v>
      </c>
      <c r="N6" s="22" t="s">
        <v>36</v>
      </c>
      <c r="O6" s="26">
        <f>RESUMEN!$B$5</f>
        <v>44561</v>
      </c>
      <c r="P6" s="27">
        <v>2021</v>
      </c>
      <c r="Q6" s="27"/>
    </row>
    <row r="7" spans="1:17">
      <c r="A7" s="76" t="s">
        <v>22</v>
      </c>
      <c r="B7" s="77" t="s">
        <v>23</v>
      </c>
      <c r="C7" s="22" t="s">
        <v>2</v>
      </c>
      <c r="D7" s="31" t="s">
        <v>21</v>
      </c>
      <c r="E7" s="22" t="str">
        <f>+'CUOTA INDUSTRIAL'!C$10</f>
        <v>PACIFICBLU SpA.</v>
      </c>
      <c r="F7" s="27" t="s">
        <v>24</v>
      </c>
      <c r="G7" s="27" t="s">
        <v>27</v>
      </c>
      <c r="H7" s="24">
        <f>'CUOTA INDUSTRIAL'!K10</f>
        <v>3155.9755623000001</v>
      </c>
      <c r="I7" s="24">
        <f>'CUOTA INDUSTRIAL'!L10</f>
        <v>1075.0989999999999</v>
      </c>
      <c r="J7" s="24">
        <f>'CUOTA INDUSTRIAL'!M10</f>
        <v>4231.0745623000003</v>
      </c>
      <c r="K7" s="24">
        <f>'CUOTA INDUSTRIAL'!N10</f>
        <v>2785.627</v>
      </c>
      <c r="L7" s="24">
        <f>'CUOTA INDUSTRIAL'!O10</f>
        <v>1445.4475623000003</v>
      </c>
      <c r="M7" s="25">
        <f>'CUOTA INDUSTRIAL'!P10</f>
        <v>0.65837341294352913</v>
      </c>
      <c r="N7" s="22" t="s">
        <v>36</v>
      </c>
      <c r="O7" s="26">
        <f>RESUMEN!$B$5</f>
        <v>44561</v>
      </c>
      <c r="P7" s="27">
        <v>2021</v>
      </c>
      <c r="Q7" s="27"/>
    </row>
    <row r="8" spans="1:17">
      <c r="A8" s="76" t="s">
        <v>22</v>
      </c>
      <c r="B8" s="77" t="s">
        <v>23</v>
      </c>
      <c r="C8" s="22" t="s">
        <v>2</v>
      </c>
      <c r="D8" s="31" t="s">
        <v>21</v>
      </c>
      <c r="E8" s="22" t="str">
        <f>+'CUOTA INDUSTRIAL'!C$12</f>
        <v>BRACPESCA S.A.</v>
      </c>
      <c r="F8" s="23" t="s">
        <v>24</v>
      </c>
      <c r="G8" s="23" t="s">
        <v>25</v>
      </c>
      <c r="H8" s="24">
        <f>'CUOTA INDUSTRIAL'!E12</f>
        <v>0.63824999999999998</v>
      </c>
      <c r="I8" s="24">
        <f>'CUOTA INDUSTRIAL'!F12</f>
        <v>0</v>
      </c>
      <c r="J8" s="24">
        <f>'CUOTA INDUSTRIAL'!G12</f>
        <v>0.63824999999999998</v>
      </c>
      <c r="K8" s="24">
        <f>'CUOTA INDUSTRIAL'!H12</f>
        <v>0</v>
      </c>
      <c r="L8" s="24">
        <f>'CUOTA INDUSTRIAL'!I12</f>
        <v>0.63824999999999998</v>
      </c>
      <c r="M8" s="25">
        <f>'CUOTA INDUSTRIAL'!J12</f>
        <v>0</v>
      </c>
      <c r="N8" s="22" t="s">
        <v>36</v>
      </c>
      <c r="O8" s="26">
        <f>RESUMEN!$B$5</f>
        <v>44561</v>
      </c>
      <c r="P8" s="27">
        <v>2021</v>
      </c>
      <c r="Q8" s="27"/>
    </row>
    <row r="9" spans="1:17">
      <c r="A9" s="76" t="s">
        <v>22</v>
      </c>
      <c r="B9" s="77" t="s">
        <v>23</v>
      </c>
      <c r="C9" s="22" t="s">
        <v>2</v>
      </c>
      <c r="D9" s="31" t="s">
        <v>21</v>
      </c>
      <c r="E9" s="22" t="str">
        <f>+'CUOTA INDUSTRIAL'!C$12</f>
        <v>BRACPESCA S.A.</v>
      </c>
      <c r="F9" s="27" t="s">
        <v>26</v>
      </c>
      <c r="G9" s="27" t="s">
        <v>27</v>
      </c>
      <c r="H9" s="24">
        <f>'CUOTA INDUSTRIAL'!E13</f>
        <v>0.95730000000000004</v>
      </c>
      <c r="I9" s="24">
        <f>'CUOTA INDUSTRIAL'!F13</f>
        <v>0</v>
      </c>
      <c r="J9" s="24">
        <f>'CUOTA INDUSTRIAL'!G13</f>
        <v>1.59555</v>
      </c>
      <c r="K9" s="24">
        <f>'CUOTA INDUSTRIAL'!H13</f>
        <v>0</v>
      </c>
      <c r="L9" s="24">
        <f>'CUOTA INDUSTRIAL'!I13</f>
        <v>1.59555</v>
      </c>
      <c r="M9" s="25">
        <f>'CUOTA INDUSTRIAL'!J13</f>
        <v>0</v>
      </c>
      <c r="N9" s="22" t="s">
        <v>36</v>
      </c>
      <c r="O9" s="26">
        <f>RESUMEN!$B$5</f>
        <v>44561</v>
      </c>
      <c r="P9" s="27">
        <v>2021</v>
      </c>
      <c r="Q9" s="27"/>
    </row>
    <row r="10" spans="1:17">
      <c r="A10" s="76" t="s">
        <v>22</v>
      </c>
      <c r="B10" s="77" t="s">
        <v>23</v>
      </c>
      <c r="C10" s="22" t="s">
        <v>2</v>
      </c>
      <c r="D10" s="31" t="s">
        <v>21</v>
      </c>
      <c r="E10" s="22" t="str">
        <f>+'CUOTA INDUSTRIAL'!C$12</f>
        <v>BRACPESCA S.A.</v>
      </c>
      <c r="F10" s="27" t="s">
        <v>24</v>
      </c>
      <c r="G10" s="27" t="s">
        <v>27</v>
      </c>
      <c r="H10" s="24">
        <f>'CUOTA INDUSTRIAL'!K12</f>
        <v>1.59555</v>
      </c>
      <c r="I10" s="24">
        <f>'CUOTA INDUSTRIAL'!L12</f>
        <v>0</v>
      </c>
      <c r="J10" s="24">
        <f>'CUOTA INDUSTRIAL'!M12</f>
        <v>1.59555</v>
      </c>
      <c r="K10" s="24">
        <f>'CUOTA INDUSTRIAL'!N12</f>
        <v>0</v>
      </c>
      <c r="L10" s="24">
        <f>'CUOTA INDUSTRIAL'!O12</f>
        <v>1.59555</v>
      </c>
      <c r="M10" s="25">
        <f>'CUOTA INDUSTRIAL'!P12</f>
        <v>0</v>
      </c>
      <c r="N10" s="22" t="s">
        <v>36</v>
      </c>
      <c r="O10" s="26">
        <f>RESUMEN!$B$5</f>
        <v>44561</v>
      </c>
      <c r="P10" s="27">
        <v>2021</v>
      </c>
      <c r="Q10" s="27"/>
    </row>
    <row r="11" spans="1:17">
      <c r="A11" s="76" t="s">
        <v>22</v>
      </c>
      <c r="B11" s="77" t="s">
        <v>23</v>
      </c>
      <c r="C11" s="22" t="s">
        <v>2</v>
      </c>
      <c r="D11" s="31" t="s">
        <v>21</v>
      </c>
      <c r="E11" s="22" t="str">
        <f>+'CUOTA INDUSTRIAL'!C$14</f>
        <v>BLUMAR S.A.</v>
      </c>
      <c r="F11" s="23" t="s">
        <v>24</v>
      </c>
      <c r="G11" s="23" t="s">
        <v>25</v>
      </c>
      <c r="H11" s="24">
        <f>'CUOTA INDUSTRIAL'!E14</f>
        <v>1.2765</v>
      </c>
      <c r="I11" s="24">
        <f>'CUOTA INDUSTRIAL'!F14</f>
        <v>0</v>
      </c>
      <c r="J11" s="24">
        <f>'CUOTA INDUSTRIAL'!G14</f>
        <v>1.2765</v>
      </c>
      <c r="K11" s="24">
        <f>'CUOTA INDUSTRIAL'!H14</f>
        <v>0</v>
      </c>
      <c r="L11" s="24">
        <f>'CUOTA INDUSTRIAL'!I14</f>
        <v>1.2765</v>
      </c>
      <c r="M11" s="25">
        <f>'CUOTA INDUSTRIAL'!J14</f>
        <v>0</v>
      </c>
      <c r="N11" s="22" t="s">
        <v>36</v>
      </c>
      <c r="O11" s="26">
        <f>RESUMEN!$B$5</f>
        <v>44561</v>
      </c>
      <c r="P11" s="27">
        <v>2021</v>
      </c>
      <c r="Q11" s="27"/>
    </row>
    <row r="12" spans="1:17">
      <c r="A12" s="76" t="s">
        <v>22</v>
      </c>
      <c r="B12" s="77" t="s">
        <v>23</v>
      </c>
      <c r="C12" s="22" t="s">
        <v>2</v>
      </c>
      <c r="D12" s="31" t="s">
        <v>21</v>
      </c>
      <c r="E12" s="22" t="str">
        <f>+'CUOTA INDUSTRIAL'!C$14</f>
        <v>BLUMAR S.A.</v>
      </c>
      <c r="F12" s="27" t="s">
        <v>26</v>
      </c>
      <c r="G12" s="27" t="s">
        <v>27</v>
      </c>
      <c r="H12" s="24">
        <f>'CUOTA INDUSTRIAL'!E15</f>
        <v>1.9146000000000001</v>
      </c>
      <c r="I12" s="24">
        <f>'CUOTA INDUSTRIAL'!F15</f>
        <v>0</v>
      </c>
      <c r="J12" s="24">
        <f>'CUOTA INDUSTRIAL'!G15</f>
        <v>3.1911</v>
      </c>
      <c r="K12" s="24">
        <f>'CUOTA INDUSTRIAL'!H15</f>
        <v>0</v>
      </c>
      <c r="L12" s="24">
        <f>'CUOTA INDUSTRIAL'!I15</f>
        <v>3.1911</v>
      </c>
      <c r="M12" s="25">
        <f>'CUOTA INDUSTRIAL'!J15</f>
        <v>0</v>
      </c>
      <c r="N12" s="22" t="s">
        <v>36</v>
      </c>
      <c r="O12" s="26">
        <f>RESUMEN!$B$5</f>
        <v>44561</v>
      </c>
      <c r="P12" s="27">
        <v>2021</v>
      </c>
      <c r="Q12" s="27"/>
    </row>
    <row r="13" spans="1:17">
      <c r="A13" s="76" t="s">
        <v>22</v>
      </c>
      <c r="B13" s="77" t="s">
        <v>23</v>
      </c>
      <c r="C13" s="22" t="s">
        <v>2</v>
      </c>
      <c r="D13" s="31" t="s">
        <v>21</v>
      </c>
      <c r="E13" s="22" t="str">
        <f>+'CUOTA INDUSTRIAL'!C$14</f>
        <v>BLUMAR S.A.</v>
      </c>
      <c r="F13" s="27" t="s">
        <v>24</v>
      </c>
      <c r="G13" s="27" t="s">
        <v>27</v>
      </c>
      <c r="H13" s="24">
        <f>'CUOTA INDUSTRIAL'!K14</f>
        <v>3.1911</v>
      </c>
      <c r="I13" s="24">
        <f>'CUOTA INDUSTRIAL'!L14</f>
        <v>0</v>
      </c>
      <c r="J13" s="24">
        <f>'CUOTA INDUSTRIAL'!M14</f>
        <v>3.1911</v>
      </c>
      <c r="K13" s="24">
        <f>'CUOTA INDUSTRIAL'!N14</f>
        <v>0</v>
      </c>
      <c r="L13" s="24">
        <f>'CUOTA INDUSTRIAL'!O14</f>
        <v>3.1911</v>
      </c>
      <c r="M13" s="25">
        <f>'CUOTA INDUSTRIAL'!P14</f>
        <v>0</v>
      </c>
      <c r="N13" s="22" t="s">
        <v>36</v>
      </c>
      <c r="O13" s="26">
        <f>RESUMEN!$B$5</f>
        <v>44561</v>
      </c>
      <c r="P13" s="27">
        <v>2021</v>
      </c>
      <c r="Q13" s="27"/>
    </row>
    <row r="14" spans="1:17">
      <c r="A14" s="76" t="s">
        <v>22</v>
      </c>
      <c r="B14" s="77" t="s">
        <v>23</v>
      </c>
      <c r="C14" s="22" t="s">
        <v>2</v>
      </c>
      <c r="D14" s="31" t="s">
        <v>21</v>
      </c>
      <c r="E14" s="22" t="str">
        <f>+'CUOTA INDUSTRIAL'!C$16</f>
        <v>BENTO SPA. INV.</v>
      </c>
      <c r="F14" s="23" t="s">
        <v>24</v>
      </c>
      <c r="G14" s="23" t="s">
        <v>25</v>
      </c>
      <c r="H14" s="24">
        <f>'CUOTA INDUSTRIAL'!E16</f>
        <v>141.23025799999999</v>
      </c>
      <c r="I14" s="24">
        <f>'CUOTA INDUSTRIAL'!F16</f>
        <v>0</v>
      </c>
      <c r="J14" s="24">
        <f>'CUOTA INDUSTRIAL'!G16</f>
        <v>141.23025799999999</v>
      </c>
      <c r="K14" s="24">
        <f>'CUOTA INDUSTRIAL'!H16</f>
        <v>0</v>
      </c>
      <c r="L14" s="24">
        <f>'CUOTA INDUSTRIAL'!I16</f>
        <v>141.23025799999999</v>
      </c>
      <c r="M14" s="25">
        <f>'CUOTA INDUSTRIAL'!J16</f>
        <v>0</v>
      </c>
      <c r="N14" s="22" t="s">
        <v>36</v>
      </c>
      <c r="O14" s="26">
        <f>RESUMEN!$B$5</f>
        <v>44561</v>
      </c>
      <c r="P14" s="27">
        <v>2021</v>
      </c>
      <c r="Q14" s="27"/>
    </row>
    <row r="15" spans="1:17">
      <c r="A15" s="76" t="s">
        <v>22</v>
      </c>
      <c r="B15" s="77" t="s">
        <v>23</v>
      </c>
      <c r="C15" s="22" t="s">
        <v>2</v>
      </c>
      <c r="D15" s="31" t="s">
        <v>21</v>
      </c>
      <c r="E15" s="22" t="str">
        <f>+'CUOTA INDUSTRIAL'!C$16</f>
        <v>BENTO SPA. INV.</v>
      </c>
      <c r="F15" s="27" t="s">
        <v>26</v>
      </c>
      <c r="G15" s="27" t="s">
        <v>27</v>
      </c>
      <c r="H15" s="24">
        <f>'CUOTA INDUSTRIAL'!E17</f>
        <v>211.82879120000001</v>
      </c>
      <c r="I15" s="24">
        <f>'CUOTA INDUSTRIAL'!F17</f>
        <v>-353.05900000000003</v>
      </c>
      <c r="J15" s="24">
        <f>'CUOTA INDUSTRIAL'!G17</f>
        <v>4.9199999978100095E-5</v>
      </c>
      <c r="K15" s="24">
        <f>'CUOTA INDUSTRIAL'!H17</f>
        <v>0</v>
      </c>
      <c r="L15" s="24">
        <f>'CUOTA INDUSTRIAL'!I17</f>
        <v>4.9199999978100095E-5</v>
      </c>
      <c r="M15" s="25">
        <f>'CUOTA INDUSTRIAL'!J17</f>
        <v>0</v>
      </c>
      <c r="N15" s="22" t="s">
        <v>36</v>
      </c>
      <c r="O15" s="26">
        <f>RESUMEN!$B$5</f>
        <v>44561</v>
      </c>
      <c r="P15" s="27">
        <v>2021</v>
      </c>
      <c r="Q15" s="27"/>
    </row>
    <row r="16" spans="1:17">
      <c r="A16" s="76" t="s">
        <v>22</v>
      </c>
      <c r="B16" s="77" t="s">
        <v>23</v>
      </c>
      <c r="C16" s="22" t="s">
        <v>2</v>
      </c>
      <c r="D16" s="31" t="s">
        <v>21</v>
      </c>
      <c r="E16" s="22" t="str">
        <f>+'CUOTA INDUSTRIAL'!C$16</f>
        <v>BENTO SPA. INV.</v>
      </c>
      <c r="F16" s="27" t="s">
        <v>24</v>
      </c>
      <c r="G16" s="27" t="s">
        <v>27</v>
      </c>
      <c r="H16" s="24">
        <f>'CUOTA INDUSTRIAL'!K16</f>
        <v>353.0590492</v>
      </c>
      <c r="I16" s="24">
        <f>'CUOTA INDUSTRIAL'!L16</f>
        <v>-353.05900000000003</v>
      </c>
      <c r="J16" s="24">
        <f>'CUOTA INDUSTRIAL'!M16</f>
        <v>4.9199999978100095E-5</v>
      </c>
      <c r="K16" s="24">
        <f>'CUOTA INDUSTRIAL'!N16</f>
        <v>0</v>
      </c>
      <c r="L16" s="24">
        <f>'CUOTA INDUSTRIAL'!O16</f>
        <v>4.9199999978100095E-5</v>
      </c>
      <c r="M16" s="25">
        <f>'CUOTA INDUSTRIAL'!P16</f>
        <v>0</v>
      </c>
      <c r="N16" s="22" t="s">
        <v>36</v>
      </c>
      <c r="O16" s="26">
        <f>RESUMEN!$B$5</f>
        <v>44561</v>
      </c>
      <c r="P16" s="27">
        <v>2021</v>
      </c>
      <c r="Q16" s="27"/>
    </row>
    <row r="17" spans="1:17">
      <c r="A17" s="76" t="s">
        <v>22</v>
      </c>
      <c r="B17" s="77" t="s">
        <v>23</v>
      </c>
      <c r="C17" s="22" t="s">
        <v>2</v>
      </c>
      <c r="D17" s="31" t="s">
        <v>21</v>
      </c>
      <c r="E17" s="22" t="str">
        <f>+'CUOTA INDUSTRIAL'!C$18</f>
        <v>LITORAL SPA. PESQ.</v>
      </c>
      <c r="F17" s="23" t="s">
        <v>24</v>
      </c>
      <c r="G17" s="23" t="s">
        <v>25</v>
      </c>
      <c r="H17" s="24">
        <f>'CUOTA INDUSTRIAL'!E18</f>
        <v>0.18296499999999999</v>
      </c>
      <c r="I17" s="24">
        <f>'CUOTA INDUSTRIAL'!F18</f>
        <v>0</v>
      </c>
      <c r="J17" s="24">
        <f>'CUOTA INDUSTRIAL'!G18</f>
        <v>0.18296499999999999</v>
      </c>
      <c r="K17" s="24">
        <f>'CUOTA INDUSTRIAL'!H18</f>
        <v>0</v>
      </c>
      <c r="L17" s="24">
        <f>'CUOTA INDUSTRIAL'!I18</f>
        <v>0.18296499999999999</v>
      </c>
      <c r="M17" s="25">
        <f>'CUOTA INDUSTRIAL'!J18</f>
        <v>0</v>
      </c>
      <c r="N17" s="22" t="s">
        <v>36</v>
      </c>
      <c r="O17" s="26">
        <f>RESUMEN!$B$5</f>
        <v>44561</v>
      </c>
      <c r="P17" s="27">
        <v>2021</v>
      </c>
      <c r="Q17" s="27"/>
    </row>
    <row r="18" spans="1:17">
      <c r="A18" s="76" t="s">
        <v>22</v>
      </c>
      <c r="B18" s="77" t="s">
        <v>23</v>
      </c>
      <c r="C18" s="22" t="s">
        <v>2</v>
      </c>
      <c r="D18" s="31" t="s">
        <v>21</v>
      </c>
      <c r="E18" s="22" t="str">
        <f>+'CUOTA INDUSTRIAL'!C$18</f>
        <v>LITORAL SPA. PESQ.</v>
      </c>
      <c r="F18" s="27" t="s">
        <v>26</v>
      </c>
      <c r="G18" s="27" t="s">
        <v>27</v>
      </c>
      <c r="H18" s="24">
        <f>'CUOTA INDUSTRIAL'!E19</f>
        <v>0.274426</v>
      </c>
      <c r="I18" s="24">
        <f>'CUOTA INDUSTRIAL'!F19</f>
        <v>0</v>
      </c>
      <c r="J18" s="24">
        <f>'CUOTA INDUSTRIAL'!G19</f>
        <v>0.45739099999999999</v>
      </c>
      <c r="K18" s="24">
        <f>'CUOTA INDUSTRIAL'!H19</f>
        <v>0</v>
      </c>
      <c r="L18" s="24">
        <f>'CUOTA INDUSTRIAL'!I19</f>
        <v>0.45739099999999999</v>
      </c>
      <c r="M18" s="25">
        <f>'CUOTA INDUSTRIAL'!J19</f>
        <v>0</v>
      </c>
      <c r="N18" s="22" t="s">
        <v>36</v>
      </c>
      <c r="O18" s="26">
        <f>RESUMEN!$B$5</f>
        <v>44561</v>
      </c>
      <c r="P18" s="27">
        <v>2021</v>
      </c>
      <c r="Q18" s="27"/>
    </row>
    <row r="19" spans="1:17">
      <c r="A19" s="76" t="s">
        <v>22</v>
      </c>
      <c r="B19" s="77" t="s">
        <v>23</v>
      </c>
      <c r="C19" s="22" t="s">
        <v>2</v>
      </c>
      <c r="D19" s="31" t="s">
        <v>21</v>
      </c>
      <c r="E19" s="22" t="str">
        <f>+'CUOTA INDUSTRIAL'!C$18</f>
        <v>LITORAL SPA. PESQ.</v>
      </c>
      <c r="F19" s="27" t="s">
        <v>24</v>
      </c>
      <c r="G19" s="27" t="s">
        <v>27</v>
      </c>
      <c r="H19" s="24">
        <f>'CUOTA INDUSTRIAL'!K18</f>
        <v>0.45739099999999999</v>
      </c>
      <c r="I19" s="24">
        <f>'CUOTA INDUSTRIAL'!L18</f>
        <v>0</v>
      </c>
      <c r="J19" s="24">
        <f>'CUOTA INDUSTRIAL'!M18</f>
        <v>0.45739099999999999</v>
      </c>
      <c r="K19" s="24">
        <f>'CUOTA INDUSTRIAL'!N18</f>
        <v>0</v>
      </c>
      <c r="L19" s="24">
        <f>'CUOTA INDUSTRIAL'!O18</f>
        <v>0.45739099999999999</v>
      </c>
      <c r="M19" s="25">
        <f>'CUOTA INDUSTRIAL'!P18</f>
        <v>0</v>
      </c>
      <c r="N19" s="22" t="s">
        <v>36</v>
      </c>
      <c r="O19" s="26">
        <f>RESUMEN!$B$5</f>
        <v>44561</v>
      </c>
      <c r="P19" s="27">
        <v>2021</v>
      </c>
      <c r="Q19" s="27"/>
    </row>
    <row r="20" spans="1:17">
      <c r="A20" s="76" t="s">
        <v>22</v>
      </c>
      <c r="B20" s="77" t="s">
        <v>23</v>
      </c>
      <c r="C20" s="22" t="s">
        <v>2</v>
      </c>
      <c r="D20" s="31" t="s">
        <v>21</v>
      </c>
      <c r="E20" s="22" t="str">
        <f>+'CUOTA INDUSTRIAL'!C$20</f>
        <v>FOODCORP CHILE S.A.</v>
      </c>
      <c r="F20" s="23" t="s">
        <v>24</v>
      </c>
      <c r="G20" s="23" t="s">
        <v>25</v>
      </c>
      <c r="H20" s="24">
        <f>'CUOTA INDUSTRIAL'!E20</f>
        <v>23.233576500000002</v>
      </c>
      <c r="I20" s="24">
        <f>'CUOTA INDUSTRIAL'!F20</f>
        <v>0</v>
      </c>
      <c r="J20" s="24">
        <f>'CUOTA INDUSTRIAL'!G20</f>
        <v>23.233576500000002</v>
      </c>
      <c r="K20" s="24">
        <f>'CUOTA INDUSTRIAL'!H20</f>
        <v>0</v>
      </c>
      <c r="L20" s="24">
        <f>'CUOTA INDUSTRIAL'!I20</f>
        <v>23.233576500000002</v>
      </c>
      <c r="M20" s="25">
        <f>'CUOTA INDUSTRIAL'!J20</f>
        <v>0</v>
      </c>
      <c r="N20" s="22" t="s">
        <v>36</v>
      </c>
      <c r="O20" s="26">
        <f>RESUMEN!$B$5</f>
        <v>44561</v>
      </c>
      <c r="P20" s="27">
        <v>2021</v>
      </c>
      <c r="Q20" s="27"/>
    </row>
    <row r="21" spans="1:17">
      <c r="A21" s="76" t="s">
        <v>22</v>
      </c>
      <c r="B21" s="77" t="s">
        <v>23</v>
      </c>
      <c r="C21" s="22" t="s">
        <v>2</v>
      </c>
      <c r="D21" s="31" t="s">
        <v>21</v>
      </c>
      <c r="E21" s="22" t="str">
        <f>+'CUOTA INDUSTRIAL'!C$20</f>
        <v>FOODCORP CHILE S.A.</v>
      </c>
      <c r="F21" s="27" t="s">
        <v>26</v>
      </c>
      <c r="G21" s="27" t="s">
        <v>27</v>
      </c>
      <c r="H21" s="24">
        <f>'CUOTA INDUSTRIAL'!E21</f>
        <v>34.847634599999999</v>
      </c>
      <c r="I21" s="24">
        <f>'CUOTA INDUSTRIAL'!F21</f>
        <v>0</v>
      </c>
      <c r="J21" s="24">
        <f>'CUOTA INDUSTRIAL'!G21</f>
        <v>58.081211100000004</v>
      </c>
      <c r="K21" s="24">
        <f>'CUOTA INDUSTRIAL'!H21</f>
        <v>0</v>
      </c>
      <c r="L21" s="24">
        <f>'CUOTA INDUSTRIAL'!I21</f>
        <v>58.081211100000004</v>
      </c>
      <c r="M21" s="25">
        <f>'CUOTA INDUSTRIAL'!J21</f>
        <v>0</v>
      </c>
      <c r="N21" s="22" t="s">
        <v>36</v>
      </c>
      <c r="O21" s="26">
        <f>RESUMEN!$B$5</f>
        <v>44561</v>
      </c>
      <c r="P21" s="27">
        <v>2021</v>
      </c>
      <c r="Q21" s="27"/>
    </row>
    <row r="22" spans="1:17">
      <c r="A22" s="76" t="s">
        <v>22</v>
      </c>
      <c r="B22" s="77" t="s">
        <v>23</v>
      </c>
      <c r="C22" s="22" t="s">
        <v>2</v>
      </c>
      <c r="D22" s="31" t="s">
        <v>21</v>
      </c>
      <c r="E22" s="22" t="str">
        <f>+'CUOTA INDUSTRIAL'!C$20</f>
        <v>FOODCORP CHILE S.A.</v>
      </c>
      <c r="F22" s="27" t="s">
        <v>24</v>
      </c>
      <c r="G22" s="27" t="s">
        <v>27</v>
      </c>
      <c r="H22" s="24">
        <f>'CUOTA INDUSTRIAL'!K20</f>
        <v>58.081211100000004</v>
      </c>
      <c r="I22" s="24">
        <f>'CUOTA INDUSTRIAL'!L20</f>
        <v>0</v>
      </c>
      <c r="J22" s="24">
        <f>'CUOTA INDUSTRIAL'!M20</f>
        <v>58.081211100000004</v>
      </c>
      <c r="K22" s="24">
        <f>'CUOTA INDUSTRIAL'!N20</f>
        <v>0</v>
      </c>
      <c r="L22" s="24">
        <f>'CUOTA INDUSTRIAL'!O20</f>
        <v>58.081211100000004</v>
      </c>
      <c r="M22" s="25">
        <f>'CUOTA INDUSTRIAL'!P20</f>
        <v>0</v>
      </c>
      <c r="N22" s="22" t="s">
        <v>36</v>
      </c>
      <c r="O22" s="26">
        <f>RESUMEN!$B$5</f>
        <v>44561</v>
      </c>
      <c r="P22" s="27">
        <v>2021</v>
      </c>
      <c r="Q22" s="27"/>
    </row>
    <row r="23" spans="1:17">
      <c r="A23" s="76" t="s">
        <v>22</v>
      </c>
      <c r="B23" s="77" t="s">
        <v>23</v>
      </c>
      <c r="C23" s="22" t="s">
        <v>2</v>
      </c>
      <c r="D23" s="31" t="s">
        <v>21</v>
      </c>
      <c r="E23" s="22" t="str">
        <f>+'CUOTA INDUSTRIAL'!C$22</f>
        <v>GRIMAR S.A. PESQ.</v>
      </c>
      <c r="F23" s="23" t="s">
        <v>24</v>
      </c>
      <c r="G23" s="23" t="s">
        <v>25</v>
      </c>
      <c r="H23" s="24">
        <f>'CUOTA INDUSTRIAL'!E22</f>
        <v>553.09042999999997</v>
      </c>
      <c r="I23" s="24">
        <f>'CUOTA INDUSTRIAL'!F22</f>
        <v>0</v>
      </c>
      <c r="J23" s="24">
        <f>'CUOTA INDUSTRIAL'!G22</f>
        <v>553.09042999999997</v>
      </c>
      <c r="K23" s="24">
        <f>'CUOTA INDUSTRIAL'!H22</f>
        <v>29.530999999999999</v>
      </c>
      <c r="L23" s="24">
        <f>'CUOTA INDUSTRIAL'!I22</f>
        <v>523.55943000000002</v>
      </c>
      <c r="M23" s="25">
        <f>'CUOTA INDUSTRIAL'!J22</f>
        <v>5.3392715545629674E-2</v>
      </c>
      <c r="N23" s="22" t="s">
        <v>36</v>
      </c>
      <c r="O23" s="26">
        <f>RESUMEN!$B$5</f>
        <v>44561</v>
      </c>
      <c r="P23" s="27">
        <v>2021</v>
      </c>
      <c r="Q23" s="27"/>
    </row>
    <row r="24" spans="1:17">
      <c r="A24" s="76" t="s">
        <v>22</v>
      </c>
      <c r="B24" s="77" t="s">
        <v>23</v>
      </c>
      <c r="C24" s="22" t="s">
        <v>2</v>
      </c>
      <c r="D24" s="31" t="s">
        <v>21</v>
      </c>
      <c r="E24" s="22" t="str">
        <f>+'CUOTA INDUSTRIAL'!C$22</f>
        <v>GRIMAR S.A. PESQ.</v>
      </c>
      <c r="F24" s="27" t="s">
        <v>26</v>
      </c>
      <c r="G24" s="27" t="s">
        <v>27</v>
      </c>
      <c r="H24" s="24">
        <f>'CUOTA INDUSTRIAL'!E23</f>
        <v>829.570652</v>
      </c>
      <c r="I24" s="24">
        <f>'CUOTA INDUSTRIAL'!F23</f>
        <v>-1098.2449999999999</v>
      </c>
      <c r="J24" s="24">
        <f>'CUOTA INDUSTRIAL'!G23</f>
        <v>254.88508200000012</v>
      </c>
      <c r="K24" s="24">
        <f>'CUOTA INDUSTRIAL'!H23</f>
        <v>254.88499999999999</v>
      </c>
      <c r="L24" s="24">
        <f>'CUOTA INDUSTRIAL'!I23</f>
        <v>8.2000000134030415E-5</v>
      </c>
      <c r="M24" s="25">
        <f>'CUOTA INDUSTRIAL'!J23</f>
        <v>0.99999967828638892</v>
      </c>
      <c r="N24" s="22" t="s">
        <v>36</v>
      </c>
      <c r="O24" s="26">
        <f>RESUMEN!$B$5</f>
        <v>44561</v>
      </c>
      <c r="P24" s="27">
        <v>2021</v>
      </c>
      <c r="Q24" s="27"/>
    </row>
    <row r="25" spans="1:17">
      <c r="A25" s="76" t="s">
        <v>22</v>
      </c>
      <c r="B25" s="77" t="s">
        <v>23</v>
      </c>
      <c r="C25" s="22" t="s">
        <v>2</v>
      </c>
      <c r="D25" s="31" t="s">
        <v>21</v>
      </c>
      <c r="E25" s="22" t="str">
        <f>+'CUOTA INDUSTRIAL'!C$22</f>
        <v>GRIMAR S.A. PESQ.</v>
      </c>
      <c r="F25" s="27" t="s">
        <v>24</v>
      </c>
      <c r="G25" s="27" t="s">
        <v>27</v>
      </c>
      <c r="H25" s="24">
        <f>'CUOTA INDUSTRIAL'!K22</f>
        <v>1382.6610820000001</v>
      </c>
      <c r="I25" s="24">
        <f>'CUOTA INDUSTRIAL'!L22</f>
        <v>-1098.2449999999999</v>
      </c>
      <c r="J25" s="24">
        <f>'CUOTA INDUSTRIAL'!M22</f>
        <v>284.41608200000019</v>
      </c>
      <c r="K25" s="24">
        <f>'CUOTA INDUSTRIAL'!N22</f>
        <v>284.416</v>
      </c>
      <c r="L25" s="24">
        <f>'CUOTA INDUSTRIAL'!O22</f>
        <v>8.2000000190873834E-5</v>
      </c>
      <c r="M25" s="25">
        <f>'CUOTA INDUSTRIAL'!P22</f>
        <v>0.99999971169000146</v>
      </c>
      <c r="N25" s="22" t="s">
        <v>36</v>
      </c>
      <c r="O25" s="26">
        <f>RESUMEN!$B$5</f>
        <v>44561</v>
      </c>
      <c r="P25" s="27">
        <v>2021</v>
      </c>
      <c r="Q25" s="27"/>
    </row>
    <row r="26" spans="1:17">
      <c r="A26" s="76" t="s">
        <v>22</v>
      </c>
      <c r="B26" s="77" t="s">
        <v>23</v>
      </c>
      <c r="C26" s="22" t="s">
        <v>2</v>
      </c>
      <c r="D26" s="31" t="s">
        <v>21</v>
      </c>
      <c r="E26" s="22" t="str">
        <f>+'CUOTA INDUSTRIAL'!C$24</f>
        <v xml:space="preserve">MG INV. SPA.                 </v>
      </c>
      <c r="F26" s="23" t="s">
        <v>24</v>
      </c>
      <c r="G26" s="23" t="s">
        <v>25</v>
      </c>
      <c r="H26" s="24">
        <f>'CUOTA INDUSTRIAL'!E24</f>
        <v>22.592348000000001</v>
      </c>
      <c r="I26" s="24">
        <f>'CUOTA INDUSTRIAL'!F24</f>
        <v>0</v>
      </c>
      <c r="J26" s="24">
        <f>'CUOTA INDUSTRIAL'!G24</f>
        <v>22.592348000000001</v>
      </c>
      <c r="K26" s="24">
        <f>'CUOTA INDUSTRIAL'!H24</f>
        <v>0</v>
      </c>
      <c r="L26" s="24">
        <f>'CUOTA INDUSTRIAL'!I24</f>
        <v>22.592348000000001</v>
      </c>
      <c r="M26" s="25">
        <f>'CUOTA INDUSTRIAL'!J24</f>
        <v>0</v>
      </c>
      <c r="N26" s="22" t="s">
        <v>36</v>
      </c>
      <c r="O26" s="26">
        <f>RESUMEN!$B$5</f>
        <v>44561</v>
      </c>
      <c r="P26" s="27">
        <v>2021</v>
      </c>
      <c r="Q26" s="27"/>
    </row>
    <row r="27" spans="1:17">
      <c r="A27" s="76" t="s">
        <v>22</v>
      </c>
      <c r="B27" s="77" t="s">
        <v>23</v>
      </c>
      <c r="C27" s="22" t="s">
        <v>2</v>
      </c>
      <c r="D27" s="31" t="s">
        <v>21</v>
      </c>
      <c r="E27" s="22" t="str">
        <f>+'CUOTA INDUSTRIAL'!C$24</f>
        <v xml:space="preserve">MG INV. SPA.                 </v>
      </c>
      <c r="F27" s="27" t="s">
        <v>26</v>
      </c>
      <c r="G27" s="27" t="s">
        <v>27</v>
      </c>
      <c r="H27" s="24">
        <f>'CUOTA INDUSTRIAL'!E25</f>
        <v>33.8858672</v>
      </c>
      <c r="I27" s="24">
        <f>'CUOTA INDUSTRIAL'!F25</f>
        <v>-56.478000000000002</v>
      </c>
      <c r="J27" s="24">
        <f>'CUOTA INDUSTRIAL'!G25</f>
        <v>2.1519999999952688E-4</v>
      </c>
      <c r="K27" s="24">
        <f>'CUOTA INDUSTRIAL'!H25</f>
        <v>0</v>
      </c>
      <c r="L27" s="24">
        <f>'CUOTA INDUSTRIAL'!I25</f>
        <v>2.1519999999952688E-4</v>
      </c>
      <c r="M27" s="25">
        <f>'CUOTA INDUSTRIAL'!J25</f>
        <v>0</v>
      </c>
      <c r="N27" s="22" t="s">
        <v>36</v>
      </c>
      <c r="O27" s="26">
        <f>RESUMEN!$B$5</f>
        <v>44561</v>
      </c>
      <c r="P27" s="27">
        <v>2021</v>
      </c>
      <c r="Q27" s="27"/>
    </row>
    <row r="28" spans="1:17">
      <c r="A28" s="76" t="s">
        <v>22</v>
      </c>
      <c r="B28" s="77" t="s">
        <v>23</v>
      </c>
      <c r="C28" s="22" t="s">
        <v>2</v>
      </c>
      <c r="D28" s="31" t="s">
        <v>21</v>
      </c>
      <c r="E28" s="22" t="str">
        <f>+'CUOTA INDUSTRIAL'!C$24</f>
        <v xml:space="preserve">MG INV. SPA.                 </v>
      </c>
      <c r="F28" s="27" t="s">
        <v>24</v>
      </c>
      <c r="G28" s="27" t="s">
        <v>27</v>
      </c>
      <c r="H28" s="24">
        <f>'CUOTA INDUSTRIAL'!K24</f>
        <v>56.478215200000001</v>
      </c>
      <c r="I28" s="24">
        <f>'CUOTA INDUSTRIAL'!L24</f>
        <v>-56.478000000000002</v>
      </c>
      <c r="J28" s="24">
        <f>'CUOTA INDUSTRIAL'!M24</f>
        <v>2.1519999999952688E-4</v>
      </c>
      <c r="K28" s="24">
        <f>'CUOTA INDUSTRIAL'!N24</f>
        <v>0</v>
      </c>
      <c r="L28" s="24">
        <f>'CUOTA INDUSTRIAL'!O24</f>
        <v>2.1519999999952688E-4</v>
      </c>
      <c r="M28" s="25">
        <f>'CUOTA INDUSTRIAL'!P24</f>
        <v>0</v>
      </c>
      <c r="N28" s="22" t="s">
        <v>36</v>
      </c>
      <c r="O28" s="26">
        <f>RESUMEN!$B$5</f>
        <v>44561</v>
      </c>
      <c r="P28" s="27">
        <v>2021</v>
      </c>
      <c r="Q28" s="27"/>
    </row>
    <row r="29" spans="1:17">
      <c r="A29" s="76" t="s">
        <v>22</v>
      </c>
      <c r="B29" s="77" t="s">
        <v>23</v>
      </c>
      <c r="C29" s="22" t="s">
        <v>2</v>
      </c>
      <c r="D29" s="31" t="s">
        <v>21</v>
      </c>
      <c r="E29" s="22" t="str">
        <f>+'CUOTA INDUSTRIAL'!C$26</f>
        <v>ISLA QUIHUA S.A. PESQ.</v>
      </c>
      <c r="F29" s="23" t="s">
        <v>24</v>
      </c>
      <c r="G29" s="23" t="s">
        <v>25</v>
      </c>
      <c r="H29" s="24">
        <f>'CUOTA INDUSTRIAL'!E26</f>
        <v>0.21274999999999999</v>
      </c>
      <c r="I29" s="24">
        <f>'CUOTA INDUSTRIAL'!F26</f>
        <v>0</v>
      </c>
      <c r="J29" s="24">
        <f>'CUOTA INDUSTRIAL'!G26</f>
        <v>0.21274999999999999</v>
      </c>
      <c r="K29" s="24">
        <f>'CUOTA INDUSTRIAL'!H26</f>
        <v>0</v>
      </c>
      <c r="L29" s="24">
        <f>'CUOTA INDUSTRIAL'!I26</f>
        <v>0.21274999999999999</v>
      </c>
      <c r="M29" s="25">
        <f>'CUOTA INDUSTRIAL'!J26</f>
        <v>0</v>
      </c>
      <c r="N29" s="22" t="s">
        <v>36</v>
      </c>
      <c r="O29" s="26">
        <f>RESUMEN!$B$5</f>
        <v>44561</v>
      </c>
      <c r="P29" s="27">
        <v>2021</v>
      </c>
      <c r="Q29" s="27"/>
    </row>
    <row r="30" spans="1:17">
      <c r="A30" s="76" t="s">
        <v>22</v>
      </c>
      <c r="B30" s="77" t="s">
        <v>23</v>
      </c>
      <c r="C30" s="22" t="s">
        <v>2</v>
      </c>
      <c r="D30" s="31" t="s">
        <v>21</v>
      </c>
      <c r="E30" s="22" t="str">
        <f>+'CUOTA INDUSTRIAL'!C$26</f>
        <v>ISLA QUIHUA S.A. PESQ.</v>
      </c>
      <c r="F30" s="27" t="s">
        <v>26</v>
      </c>
      <c r="G30" s="27" t="s">
        <v>27</v>
      </c>
      <c r="H30" s="24">
        <f>'CUOTA INDUSTRIAL'!E27</f>
        <v>0.31909999999999999</v>
      </c>
      <c r="I30" s="24">
        <f>'CUOTA INDUSTRIAL'!F27</f>
        <v>0</v>
      </c>
      <c r="J30" s="24">
        <f>'CUOTA INDUSTRIAL'!G27</f>
        <v>0.53184999999999993</v>
      </c>
      <c r="K30" s="24">
        <f>'CUOTA INDUSTRIAL'!H27</f>
        <v>0</v>
      </c>
      <c r="L30" s="24">
        <f>'CUOTA INDUSTRIAL'!I27</f>
        <v>0.53184999999999993</v>
      </c>
      <c r="M30" s="25">
        <f>'CUOTA INDUSTRIAL'!J27</f>
        <v>0</v>
      </c>
      <c r="N30" s="22" t="s">
        <v>36</v>
      </c>
      <c r="O30" s="26">
        <f>RESUMEN!$B$5</f>
        <v>44561</v>
      </c>
      <c r="P30" s="27">
        <v>2021</v>
      </c>
      <c r="Q30" s="27"/>
    </row>
    <row r="31" spans="1:17">
      <c r="A31" s="76" t="s">
        <v>22</v>
      </c>
      <c r="B31" s="77" t="s">
        <v>23</v>
      </c>
      <c r="C31" s="22" t="s">
        <v>2</v>
      </c>
      <c r="D31" s="31" t="s">
        <v>21</v>
      </c>
      <c r="E31" s="22" t="str">
        <f>+'CUOTA INDUSTRIAL'!C$26</f>
        <v>ISLA QUIHUA S.A. PESQ.</v>
      </c>
      <c r="F31" s="27" t="s">
        <v>24</v>
      </c>
      <c r="G31" s="27" t="s">
        <v>27</v>
      </c>
      <c r="H31" s="24">
        <f>'CUOTA INDUSTRIAL'!K26</f>
        <v>0.53184999999999993</v>
      </c>
      <c r="I31" s="24">
        <f>'CUOTA INDUSTRIAL'!L26</f>
        <v>0</v>
      </c>
      <c r="J31" s="24">
        <f>'CUOTA INDUSTRIAL'!M26</f>
        <v>0.53184999999999993</v>
      </c>
      <c r="K31" s="24">
        <f>'CUOTA INDUSTRIAL'!N26</f>
        <v>0</v>
      </c>
      <c r="L31" s="24">
        <f>'CUOTA INDUSTRIAL'!O26</f>
        <v>0.53184999999999993</v>
      </c>
      <c r="M31" s="25">
        <f>'CUOTA INDUSTRIAL'!P26</f>
        <v>0</v>
      </c>
      <c r="N31" s="22" t="s">
        <v>36</v>
      </c>
      <c r="O31" s="26">
        <f>RESUMEN!$B$5</f>
        <v>44561</v>
      </c>
      <c r="P31" s="27">
        <v>2021</v>
      </c>
      <c r="Q31" s="27"/>
    </row>
    <row r="32" spans="1:17">
      <c r="A32" s="76" t="s">
        <v>22</v>
      </c>
      <c r="B32" s="77" t="s">
        <v>23</v>
      </c>
      <c r="C32" s="22" t="s">
        <v>2</v>
      </c>
      <c r="D32" s="31" t="s">
        <v>21</v>
      </c>
      <c r="E32" s="22" t="str">
        <f>+'CUOTA INDUSTRIAL'!C$28</f>
        <v>LANDES S.A. SOC. PESQ.</v>
      </c>
      <c r="F32" s="23" t="s">
        <v>24</v>
      </c>
      <c r="G32" s="23" t="s">
        <v>25</v>
      </c>
      <c r="H32" s="24">
        <f>'CUOTA INDUSTRIAL'!E28</f>
        <v>20.9511945</v>
      </c>
      <c r="I32" s="24">
        <f>'CUOTA INDUSTRIAL'!F28</f>
        <v>-0.10633000000004245</v>
      </c>
      <c r="J32" s="24">
        <f>'CUOTA INDUSTRIAL'!G28</f>
        <v>20.844864499999957</v>
      </c>
      <c r="K32" s="24">
        <f>'CUOTA INDUSTRIAL'!H28</f>
        <v>0</v>
      </c>
      <c r="L32" s="24">
        <f>'CUOTA INDUSTRIAL'!I28</f>
        <v>20.844864499999957</v>
      </c>
      <c r="M32" s="25">
        <f>'CUOTA INDUSTRIAL'!J28</f>
        <v>0</v>
      </c>
      <c r="N32" s="22" t="s">
        <v>36</v>
      </c>
      <c r="O32" s="26">
        <f>RESUMEN!$B$5</f>
        <v>44561</v>
      </c>
      <c r="P32" s="27">
        <v>2021</v>
      </c>
      <c r="Q32" s="27"/>
    </row>
    <row r="33" spans="1:17">
      <c r="A33" s="76" t="s">
        <v>22</v>
      </c>
      <c r="B33" s="77" t="s">
        <v>23</v>
      </c>
      <c r="C33" s="22" t="s">
        <v>2</v>
      </c>
      <c r="D33" s="31" t="s">
        <v>21</v>
      </c>
      <c r="E33" s="22" t="str">
        <f>+'CUOTA INDUSTRIAL'!C$28</f>
        <v>LANDES S.A. SOC. PESQ.</v>
      </c>
      <c r="F33" s="27" t="s">
        <v>26</v>
      </c>
      <c r="G33" s="27" t="s">
        <v>27</v>
      </c>
      <c r="H33" s="24">
        <f>'CUOTA INDUSTRIAL'!E29</f>
        <v>31.424329799999999</v>
      </c>
      <c r="I33" s="24">
        <f>'CUOTA INDUSTRIAL'!F29</f>
        <v>-0.63800000000000001</v>
      </c>
      <c r="J33" s="24">
        <f>'CUOTA INDUSTRIAL'!G29</f>
        <v>51.631194299999954</v>
      </c>
      <c r="K33" s="24">
        <f>'CUOTA INDUSTRIAL'!H29</f>
        <v>3.3370000000000002</v>
      </c>
      <c r="L33" s="24">
        <f>'CUOTA INDUSTRIAL'!I29</f>
        <v>48.294194299999951</v>
      </c>
      <c r="M33" s="25">
        <f>'CUOTA INDUSTRIAL'!J29</f>
        <v>6.4631470281523259E-2</v>
      </c>
      <c r="N33" s="22" t="s">
        <v>36</v>
      </c>
      <c r="O33" s="26">
        <f>RESUMEN!$B$5</f>
        <v>44561</v>
      </c>
      <c r="P33" s="27">
        <v>2021</v>
      </c>
      <c r="Q33" s="27"/>
    </row>
    <row r="34" spans="1:17">
      <c r="A34" s="76" t="s">
        <v>22</v>
      </c>
      <c r="B34" s="77" t="s">
        <v>23</v>
      </c>
      <c r="C34" s="22" t="s">
        <v>2</v>
      </c>
      <c r="D34" s="31" t="s">
        <v>21</v>
      </c>
      <c r="E34" s="22" t="str">
        <f>+'CUOTA INDUSTRIAL'!C$28</f>
        <v>LANDES S.A. SOC. PESQ.</v>
      </c>
      <c r="F34" s="27" t="s">
        <v>24</v>
      </c>
      <c r="G34" s="27" t="s">
        <v>27</v>
      </c>
      <c r="H34" s="24">
        <f>'CUOTA INDUSTRIAL'!K28</f>
        <v>52.375524299999995</v>
      </c>
      <c r="I34" s="24">
        <f>'CUOTA INDUSTRIAL'!L28</f>
        <v>-0.74433000000004246</v>
      </c>
      <c r="J34" s="24">
        <f>'CUOTA INDUSTRIAL'!M28</f>
        <v>51.631194299999954</v>
      </c>
      <c r="K34" s="24">
        <f>'CUOTA INDUSTRIAL'!N28</f>
        <v>3.3370000000000002</v>
      </c>
      <c r="L34" s="24">
        <f>'CUOTA INDUSTRIAL'!O28</f>
        <v>48.294194299999951</v>
      </c>
      <c r="M34" s="25">
        <f>'CUOTA INDUSTRIAL'!P28</f>
        <v>6.4631470281523259E-2</v>
      </c>
      <c r="N34" s="22" t="s">
        <v>36</v>
      </c>
      <c r="O34" s="26">
        <f>RESUMEN!$B$5</f>
        <v>44561</v>
      </c>
      <c r="P34" s="27">
        <v>2021</v>
      </c>
      <c r="Q34" s="27"/>
    </row>
    <row r="35" spans="1:17">
      <c r="A35" s="76" t="s">
        <v>22</v>
      </c>
      <c r="B35" s="77" t="s">
        <v>23</v>
      </c>
      <c r="C35" s="22" t="s">
        <v>2</v>
      </c>
      <c r="D35" s="31" t="s">
        <v>21</v>
      </c>
      <c r="E35" s="22" t="str">
        <f>+'CUOTA INDUSTRIAL'!C$30</f>
        <v>LOTA PROTEIN S.A.</v>
      </c>
      <c r="F35" s="23" t="s">
        <v>24</v>
      </c>
      <c r="G35" s="23" t="s">
        <v>25</v>
      </c>
      <c r="H35" s="24">
        <f>'CUOTA INDUSTRIAL'!E30</f>
        <v>1.8373090000000001</v>
      </c>
      <c r="I35" s="24">
        <f>'CUOTA INDUSTRIAL'!F30</f>
        <v>0</v>
      </c>
      <c r="J35" s="24">
        <f>'CUOTA INDUSTRIAL'!G30</f>
        <v>1.8373090000000001</v>
      </c>
      <c r="K35" s="24">
        <f>'CUOTA INDUSTRIAL'!H30</f>
        <v>0</v>
      </c>
      <c r="L35" s="24">
        <f>'CUOTA INDUSTRIAL'!I30</f>
        <v>1.8373090000000001</v>
      </c>
      <c r="M35" s="25">
        <f>'CUOTA INDUSTRIAL'!J30</f>
        <v>0</v>
      </c>
      <c r="N35" s="22" t="s">
        <v>36</v>
      </c>
      <c r="O35" s="26">
        <f>RESUMEN!$B$5</f>
        <v>44561</v>
      </c>
      <c r="P35" s="27">
        <v>2021</v>
      </c>
      <c r="Q35" s="27"/>
    </row>
    <row r="36" spans="1:17">
      <c r="A36" s="76" t="s">
        <v>22</v>
      </c>
      <c r="B36" s="77" t="s">
        <v>23</v>
      </c>
      <c r="C36" s="22" t="s">
        <v>2</v>
      </c>
      <c r="D36" s="31" t="s">
        <v>21</v>
      </c>
      <c r="E36" s="22" t="str">
        <f>+'CUOTA INDUSTRIAL'!C$30</f>
        <v>LOTA PROTEIN S.A.</v>
      </c>
      <c r="F36" s="27" t="s">
        <v>26</v>
      </c>
      <c r="G36" s="27" t="s">
        <v>27</v>
      </c>
      <c r="H36" s="24">
        <f>'CUOTA INDUSTRIAL'!E31</f>
        <v>2.7557475999999999</v>
      </c>
      <c r="I36" s="24">
        <f>'CUOTA INDUSTRIAL'!F31</f>
        <v>-0.21199999999999999</v>
      </c>
      <c r="J36" s="24">
        <f>'CUOTA INDUSTRIAL'!G31</f>
        <v>4.3810566</v>
      </c>
      <c r="K36" s="24">
        <f>'CUOTA INDUSTRIAL'!H31</f>
        <v>0</v>
      </c>
      <c r="L36" s="24">
        <f>'CUOTA INDUSTRIAL'!I31</f>
        <v>4.3810566</v>
      </c>
      <c r="M36" s="25">
        <f>'CUOTA INDUSTRIAL'!J31</f>
        <v>0</v>
      </c>
      <c r="N36" s="22" t="s">
        <v>36</v>
      </c>
      <c r="O36" s="26">
        <f>RESUMEN!$B$5</f>
        <v>44561</v>
      </c>
      <c r="P36" s="27">
        <v>2021</v>
      </c>
      <c r="Q36" s="27"/>
    </row>
    <row r="37" spans="1:17">
      <c r="A37" s="76" t="s">
        <v>22</v>
      </c>
      <c r="B37" s="77" t="s">
        <v>23</v>
      </c>
      <c r="C37" s="22" t="s">
        <v>2</v>
      </c>
      <c r="D37" s="31" t="s">
        <v>21</v>
      </c>
      <c r="E37" s="22" t="str">
        <f>+'CUOTA INDUSTRIAL'!C$30</f>
        <v>LOTA PROTEIN S.A.</v>
      </c>
      <c r="F37" s="27" t="s">
        <v>24</v>
      </c>
      <c r="G37" s="27" t="s">
        <v>27</v>
      </c>
      <c r="H37" s="24">
        <f>'CUOTA INDUSTRIAL'!K30</f>
        <v>4.5930565999999997</v>
      </c>
      <c r="I37" s="24">
        <f>'CUOTA INDUSTRIAL'!L30</f>
        <v>-0.21199999999999999</v>
      </c>
      <c r="J37" s="24">
        <f>'CUOTA INDUSTRIAL'!M30</f>
        <v>4.3810566</v>
      </c>
      <c r="K37" s="24">
        <f>'CUOTA INDUSTRIAL'!N30</f>
        <v>0</v>
      </c>
      <c r="L37" s="24">
        <f>'CUOTA INDUSTRIAL'!O30</f>
        <v>4.3810566</v>
      </c>
      <c r="M37" s="25">
        <f>'CUOTA INDUSTRIAL'!P30</f>
        <v>0</v>
      </c>
      <c r="N37" s="22" t="s">
        <v>36</v>
      </c>
      <c r="O37" s="26">
        <f>RESUMEN!$B$5</f>
        <v>44561</v>
      </c>
      <c r="P37" s="27">
        <v>2021</v>
      </c>
      <c r="Q37" s="27"/>
    </row>
    <row r="38" spans="1:17">
      <c r="A38" s="76" t="s">
        <v>22</v>
      </c>
      <c r="B38" s="77" t="s">
        <v>23</v>
      </c>
      <c r="C38" s="22" t="s">
        <v>2</v>
      </c>
      <c r="D38" s="31" t="s">
        <v>21</v>
      </c>
      <c r="E38" s="22" t="str">
        <f>+'CUOTA INDUSTRIAL'!C$32</f>
        <v>EMDEPES S.A.</v>
      </c>
      <c r="F38" s="23" t="s">
        <v>24</v>
      </c>
      <c r="G38" s="23" t="s">
        <v>25</v>
      </c>
      <c r="H38" s="24">
        <f>'CUOTA INDUSTRIAL'!E32</f>
        <v>1638.7281499999999</v>
      </c>
      <c r="I38" s="24">
        <f>'CUOTA INDUSTRIAL'!F32</f>
        <v>-4096.6270000000004</v>
      </c>
      <c r="J38" s="24">
        <f>'CUOTA INDUSTRIAL'!G32</f>
        <v>-2457.8988500000005</v>
      </c>
      <c r="K38" s="24">
        <f>'CUOTA INDUSTRIAL'!H32</f>
        <v>0</v>
      </c>
      <c r="L38" s="24">
        <f>'CUOTA INDUSTRIAL'!I32</f>
        <v>-2457.8988500000005</v>
      </c>
      <c r="M38" s="25">
        <f>'CUOTA INDUSTRIAL'!J32</f>
        <v>0</v>
      </c>
      <c r="N38" s="22" t="s">
        <v>36</v>
      </c>
      <c r="O38" s="26">
        <f>RESUMEN!$B$5</f>
        <v>44561</v>
      </c>
      <c r="P38" s="27">
        <v>2021</v>
      </c>
      <c r="Q38" s="27"/>
    </row>
    <row r="39" spans="1:17">
      <c r="A39" s="76" t="s">
        <v>22</v>
      </c>
      <c r="B39" s="77" t="s">
        <v>23</v>
      </c>
      <c r="C39" s="22" t="s">
        <v>2</v>
      </c>
      <c r="D39" s="31" t="s">
        <v>21</v>
      </c>
      <c r="E39" s="22" t="str">
        <f>+'CUOTA INDUSTRIAL'!C$32</f>
        <v>EMDEPES S.A.</v>
      </c>
      <c r="F39" s="27" t="s">
        <v>26</v>
      </c>
      <c r="G39" s="27" t="s">
        <v>27</v>
      </c>
      <c r="H39" s="24">
        <f>'CUOTA INDUSTRIAL'!E33</f>
        <v>2457.89966</v>
      </c>
      <c r="I39" s="24">
        <f>'CUOTA INDUSTRIAL'!F33</f>
        <v>0</v>
      </c>
      <c r="J39" s="24">
        <f>'CUOTA INDUSTRIAL'!G33</f>
        <v>8.0999999954656232E-4</v>
      </c>
      <c r="K39" s="24">
        <f>'CUOTA INDUSTRIAL'!H33</f>
        <v>0</v>
      </c>
      <c r="L39" s="24">
        <f>'CUOTA INDUSTRIAL'!I33</f>
        <v>8.0999999954656232E-4</v>
      </c>
      <c r="M39" s="25">
        <f>'CUOTA INDUSTRIAL'!J33</f>
        <v>0</v>
      </c>
      <c r="N39" s="22" t="s">
        <v>36</v>
      </c>
      <c r="O39" s="26">
        <f>RESUMEN!$B$5</f>
        <v>44561</v>
      </c>
      <c r="P39" s="27">
        <v>2021</v>
      </c>
      <c r="Q39" s="27"/>
    </row>
    <row r="40" spans="1:17">
      <c r="A40" s="76" t="s">
        <v>22</v>
      </c>
      <c r="B40" s="77" t="s">
        <v>23</v>
      </c>
      <c r="C40" s="22" t="s">
        <v>2</v>
      </c>
      <c r="D40" s="31" t="s">
        <v>21</v>
      </c>
      <c r="E40" s="22" t="str">
        <f>+'CUOTA INDUSTRIAL'!C$32</f>
        <v>EMDEPES S.A.</v>
      </c>
      <c r="F40" s="27" t="s">
        <v>24</v>
      </c>
      <c r="G40" s="27" t="s">
        <v>27</v>
      </c>
      <c r="H40" s="24">
        <f>'CUOTA INDUSTRIAL'!K32</f>
        <v>4096.62781</v>
      </c>
      <c r="I40" s="24">
        <f>'CUOTA INDUSTRIAL'!L32</f>
        <v>-4096.6270000000004</v>
      </c>
      <c r="J40" s="24">
        <f>'CUOTA INDUSTRIAL'!M32</f>
        <v>8.0999999954656232E-4</v>
      </c>
      <c r="K40" s="24">
        <f>'CUOTA INDUSTRIAL'!N32</f>
        <v>0</v>
      </c>
      <c r="L40" s="24">
        <f>'CUOTA INDUSTRIAL'!O32</f>
        <v>8.0999999954656232E-4</v>
      </c>
      <c r="M40" s="25">
        <f>'CUOTA INDUSTRIAL'!P32</f>
        <v>0</v>
      </c>
      <c r="N40" s="22" t="s">
        <v>36</v>
      </c>
      <c r="O40" s="26">
        <f>RESUMEN!$B$5</f>
        <v>44561</v>
      </c>
      <c r="P40" s="27">
        <v>2021</v>
      </c>
      <c r="Q40" s="27"/>
    </row>
    <row r="41" spans="1:17">
      <c r="A41" s="76" t="s">
        <v>22</v>
      </c>
      <c r="B41" s="77" t="s">
        <v>23</v>
      </c>
      <c r="C41" s="22" t="s">
        <v>2</v>
      </c>
      <c r="D41" s="31" t="s">
        <v>21</v>
      </c>
      <c r="E41" s="22" t="str">
        <f>+'CUOTA INDUSTRIAL'!C$34</f>
        <v>ANTONIO CRUZ CORDOVA NAKOUZI E.I.R.L.</v>
      </c>
      <c r="F41" s="23" t="s">
        <v>24</v>
      </c>
      <c r="G41" s="23" t="s">
        <v>25</v>
      </c>
      <c r="H41" s="24">
        <f>'CUOTA INDUSTRIAL'!E34</f>
        <v>4.29755E-2</v>
      </c>
      <c r="I41" s="24">
        <f>'CUOTA INDUSTRIAL'!F34</f>
        <v>0</v>
      </c>
      <c r="J41" s="24">
        <f>'CUOTA INDUSTRIAL'!G34</f>
        <v>4.29755E-2</v>
      </c>
      <c r="K41" s="24">
        <f>'CUOTA INDUSTRIAL'!H34</f>
        <v>0</v>
      </c>
      <c r="L41" s="24">
        <f>'CUOTA INDUSTRIAL'!I34</f>
        <v>4.29755E-2</v>
      </c>
      <c r="M41" s="25">
        <f>'CUOTA INDUSTRIAL'!J34</f>
        <v>0</v>
      </c>
      <c r="N41" s="22" t="s">
        <v>36</v>
      </c>
      <c r="O41" s="26">
        <f>RESUMEN!$B$5</f>
        <v>44561</v>
      </c>
      <c r="P41" s="27">
        <v>2021</v>
      </c>
      <c r="Q41" s="27"/>
    </row>
    <row r="42" spans="1:17">
      <c r="A42" s="76" t="s">
        <v>22</v>
      </c>
      <c r="B42" s="77" t="s">
        <v>23</v>
      </c>
      <c r="C42" s="22" t="s">
        <v>2</v>
      </c>
      <c r="D42" s="31" t="s">
        <v>21</v>
      </c>
      <c r="E42" s="22" t="str">
        <f>+'CUOTA INDUSTRIAL'!C$34</f>
        <v>ANTONIO CRUZ CORDOVA NAKOUZI E.I.R.L.</v>
      </c>
      <c r="F42" s="27" t="s">
        <v>26</v>
      </c>
      <c r="G42" s="27" t="s">
        <v>27</v>
      </c>
      <c r="H42" s="24">
        <f>'CUOTA INDUSTRIAL'!E35</f>
        <v>6.4458199999999993E-2</v>
      </c>
      <c r="I42" s="24">
        <f>'CUOTA INDUSTRIAL'!F35</f>
        <v>0</v>
      </c>
      <c r="J42" s="24">
        <f>'CUOTA INDUSTRIAL'!G35</f>
        <v>0.10743369999999999</v>
      </c>
      <c r="K42" s="24">
        <f>'CUOTA INDUSTRIAL'!H35</f>
        <v>0</v>
      </c>
      <c r="L42" s="24">
        <f>'CUOTA INDUSTRIAL'!I35</f>
        <v>0.10743369999999999</v>
      </c>
      <c r="M42" s="25">
        <f>'CUOTA INDUSTRIAL'!J35</f>
        <v>0</v>
      </c>
      <c r="N42" s="22" t="s">
        <v>36</v>
      </c>
      <c r="O42" s="26">
        <f>RESUMEN!$B$5</f>
        <v>44561</v>
      </c>
      <c r="P42" s="27">
        <v>2021</v>
      </c>
      <c r="Q42" s="27"/>
    </row>
    <row r="43" spans="1:17">
      <c r="A43" s="76" t="s">
        <v>22</v>
      </c>
      <c r="B43" s="77" t="s">
        <v>23</v>
      </c>
      <c r="C43" s="22" t="s">
        <v>2</v>
      </c>
      <c r="D43" s="31" t="s">
        <v>21</v>
      </c>
      <c r="E43" s="22" t="str">
        <f>+'CUOTA INDUSTRIAL'!C$34</f>
        <v>ANTONIO CRUZ CORDOVA NAKOUZI E.I.R.L.</v>
      </c>
      <c r="F43" s="27" t="s">
        <v>24</v>
      </c>
      <c r="G43" s="27" t="s">
        <v>27</v>
      </c>
      <c r="H43" s="24">
        <f>'CUOTA INDUSTRIAL'!K34</f>
        <v>0.10743369999999999</v>
      </c>
      <c r="I43" s="24">
        <f>'CUOTA INDUSTRIAL'!L34</f>
        <v>0</v>
      </c>
      <c r="J43" s="24">
        <f>'CUOTA INDUSTRIAL'!M34</f>
        <v>0.10743369999999999</v>
      </c>
      <c r="K43" s="24">
        <f>'CUOTA INDUSTRIAL'!N34</f>
        <v>0</v>
      </c>
      <c r="L43" s="24">
        <f>'CUOTA INDUSTRIAL'!O34</f>
        <v>0.10743369999999999</v>
      </c>
      <c r="M43" s="25">
        <f>'CUOTA INDUSTRIAL'!P34</f>
        <v>0</v>
      </c>
      <c r="N43" s="22" t="s">
        <v>36</v>
      </c>
      <c r="O43" s="26">
        <f>RESUMEN!$B$5</f>
        <v>44561</v>
      </c>
      <c r="P43" s="27">
        <v>2021</v>
      </c>
      <c r="Q43" s="27"/>
    </row>
    <row r="44" spans="1:17">
      <c r="A44" s="76" t="s">
        <v>22</v>
      </c>
      <c r="B44" s="77" t="s">
        <v>23</v>
      </c>
      <c r="C44" s="22" t="s">
        <v>2</v>
      </c>
      <c r="D44" s="31" t="s">
        <v>21</v>
      </c>
      <c r="E44" s="22" t="str">
        <f>+'CUOTA INDUSTRIAL'!C$36</f>
        <v>DA VENEZIA RETAMALES ANTONIO</v>
      </c>
      <c r="F44" s="23" t="s">
        <v>24</v>
      </c>
      <c r="G44" s="23" t="s">
        <v>25</v>
      </c>
      <c r="H44" s="24">
        <f>'CUOTA INDUSTRIAL'!E36</f>
        <v>4.29755E-2</v>
      </c>
      <c r="I44" s="24">
        <f>'CUOTA INDUSTRIAL'!F36</f>
        <v>0</v>
      </c>
      <c r="J44" s="24">
        <f>'CUOTA INDUSTRIAL'!G36</f>
        <v>4.29755E-2</v>
      </c>
      <c r="K44" s="24">
        <f>'CUOTA INDUSTRIAL'!H36</f>
        <v>0</v>
      </c>
      <c r="L44" s="24">
        <f>'CUOTA INDUSTRIAL'!I36</f>
        <v>4.29755E-2</v>
      </c>
      <c r="M44" s="25">
        <f>'CUOTA INDUSTRIAL'!J36</f>
        <v>0</v>
      </c>
      <c r="N44" s="22" t="s">
        <v>36</v>
      </c>
      <c r="O44" s="26">
        <f>RESUMEN!$B$5</f>
        <v>44561</v>
      </c>
      <c r="P44" s="27">
        <v>2021</v>
      </c>
      <c r="Q44" s="27"/>
    </row>
    <row r="45" spans="1:17">
      <c r="A45" s="76" t="s">
        <v>22</v>
      </c>
      <c r="B45" s="77" t="s">
        <v>23</v>
      </c>
      <c r="C45" s="22" t="s">
        <v>2</v>
      </c>
      <c r="D45" s="31" t="s">
        <v>21</v>
      </c>
      <c r="E45" s="22" t="str">
        <f>+'CUOTA INDUSTRIAL'!C$36</f>
        <v>DA VENEZIA RETAMALES ANTONIO</v>
      </c>
      <c r="F45" s="27" t="s">
        <v>26</v>
      </c>
      <c r="G45" s="27" t="s">
        <v>27</v>
      </c>
      <c r="H45" s="24">
        <f>'CUOTA INDUSTRIAL'!E37</f>
        <v>6.4458199999999993E-2</v>
      </c>
      <c r="I45" s="24">
        <f>'CUOTA INDUSTRIAL'!F37</f>
        <v>0</v>
      </c>
      <c r="J45" s="24">
        <f>'CUOTA INDUSTRIAL'!G37</f>
        <v>0.10743369999999999</v>
      </c>
      <c r="K45" s="24">
        <f>'CUOTA INDUSTRIAL'!H37</f>
        <v>0</v>
      </c>
      <c r="L45" s="24">
        <f>'CUOTA INDUSTRIAL'!I37</f>
        <v>0.10743369999999999</v>
      </c>
      <c r="M45" s="25">
        <f>'CUOTA INDUSTRIAL'!J37</f>
        <v>0</v>
      </c>
      <c r="N45" s="22" t="s">
        <v>36</v>
      </c>
      <c r="O45" s="26">
        <f>RESUMEN!$B$5</f>
        <v>44561</v>
      </c>
      <c r="P45" s="27">
        <v>2021</v>
      </c>
      <c r="Q45" s="27"/>
    </row>
    <row r="46" spans="1:17">
      <c r="A46" s="76" t="s">
        <v>22</v>
      </c>
      <c r="B46" s="77" t="s">
        <v>23</v>
      </c>
      <c r="C46" s="22" t="s">
        <v>2</v>
      </c>
      <c r="D46" s="31" t="s">
        <v>21</v>
      </c>
      <c r="E46" s="22" t="str">
        <f>+'CUOTA INDUSTRIAL'!C$36</f>
        <v>DA VENEZIA RETAMALES ANTONIO</v>
      </c>
      <c r="F46" s="27" t="s">
        <v>24</v>
      </c>
      <c r="G46" s="27" t="s">
        <v>27</v>
      </c>
      <c r="H46" s="24">
        <f>'CUOTA INDUSTRIAL'!K36</f>
        <v>0.10743369999999999</v>
      </c>
      <c r="I46" s="24">
        <f>'CUOTA INDUSTRIAL'!L36</f>
        <v>0</v>
      </c>
      <c r="J46" s="24">
        <f>'CUOTA INDUSTRIAL'!M36</f>
        <v>0.10743369999999999</v>
      </c>
      <c r="K46" s="24">
        <f>'CUOTA INDUSTRIAL'!N36</f>
        <v>0</v>
      </c>
      <c r="L46" s="24">
        <f>'CUOTA INDUSTRIAL'!O36</f>
        <v>0.10743369999999999</v>
      </c>
      <c r="M46" s="25">
        <f>'CUOTA INDUSTRIAL'!P36</f>
        <v>0</v>
      </c>
      <c r="N46" s="22" t="s">
        <v>36</v>
      </c>
      <c r="O46" s="26">
        <f>RESUMEN!$B$5</f>
        <v>44561</v>
      </c>
      <c r="P46" s="27">
        <v>2021</v>
      </c>
      <c r="Q46" s="27"/>
    </row>
    <row r="47" spans="1:17">
      <c r="A47" s="76" t="s">
        <v>22</v>
      </c>
      <c r="B47" s="77" t="s">
        <v>23</v>
      </c>
      <c r="C47" s="22" t="s">
        <v>2</v>
      </c>
      <c r="D47" s="31" t="s">
        <v>21</v>
      </c>
      <c r="E47" s="22" t="str">
        <f>+'CUOTA INDUSTRIAL'!C$38</f>
        <v>ENFERMAR LTDA. SOC. PESQ.</v>
      </c>
      <c r="F47" s="23" t="s">
        <v>24</v>
      </c>
      <c r="G47" s="23" t="s">
        <v>25</v>
      </c>
      <c r="H47" s="24">
        <f>'CUOTA INDUSTRIAL'!E38</f>
        <v>4.29755E-2</v>
      </c>
      <c r="I47" s="24">
        <f>'CUOTA INDUSTRIAL'!F38</f>
        <v>0</v>
      </c>
      <c r="J47" s="24">
        <f>'CUOTA INDUSTRIAL'!G38</f>
        <v>4.29755E-2</v>
      </c>
      <c r="K47" s="24">
        <f>'CUOTA INDUSTRIAL'!H38</f>
        <v>0</v>
      </c>
      <c r="L47" s="24">
        <f>'CUOTA INDUSTRIAL'!I38</f>
        <v>4.29755E-2</v>
      </c>
      <c r="M47" s="25">
        <f>'CUOTA INDUSTRIAL'!J38</f>
        <v>0</v>
      </c>
      <c r="N47" s="22" t="s">
        <v>36</v>
      </c>
      <c r="O47" s="26">
        <f>RESUMEN!$B$5</f>
        <v>44561</v>
      </c>
      <c r="P47" s="27">
        <v>2021</v>
      </c>
      <c r="Q47" s="27"/>
    </row>
    <row r="48" spans="1:17">
      <c r="A48" s="76" t="s">
        <v>22</v>
      </c>
      <c r="B48" s="77" t="s">
        <v>23</v>
      </c>
      <c r="C48" s="22" t="s">
        <v>2</v>
      </c>
      <c r="D48" s="31" t="s">
        <v>21</v>
      </c>
      <c r="E48" s="22" t="str">
        <f>+'CUOTA INDUSTRIAL'!C$38</f>
        <v>ENFERMAR LTDA. SOC. PESQ.</v>
      </c>
      <c r="F48" s="27" t="s">
        <v>26</v>
      </c>
      <c r="G48" s="27" t="s">
        <v>27</v>
      </c>
      <c r="H48" s="24">
        <f>'CUOTA INDUSTRIAL'!E39</f>
        <v>6.4458199999999993E-2</v>
      </c>
      <c r="I48" s="24">
        <f>'CUOTA INDUSTRIAL'!F39</f>
        <v>0</v>
      </c>
      <c r="J48" s="24">
        <f>'CUOTA INDUSTRIAL'!G39</f>
        <v>0.10743369999999999</v>
      </c>
      <c r="K48" s="24">
        <f>'CUOTA INDUSTRIAL'!H39</f>
        <v>0</v>
      </c>
      <c r="L48" s="24">
        <f>'CUOTA INDUSTRIAL'!I39</f>
        <v>0.10743369999999999</v>
      </c>
      <c r="M48" s="25">
        <f>'CUOTA INDUSTRIAL'!J39</f>
        <v>0</v>
      </c>
      <c r="N48" s="22" t="s">
        <v>36</v>
      </c>
      <c r="O48" s="26">
        <f>RESUMEN!$B$5</f>
        <v>44561</v>
      </c>
      <c r="P48" s="27">
        <v>2021</v>
      </c>
      <c r="Q48" s="27"/>
    </row>
    <row r="49" spans="1:17">
      <c r="A49" s="76" t="s">
        <v>22</v>
      </c>
      <c r="B49" s="77" t="s">
        <v>23</v>
      </c>
      <c r="C49" s="22" t="s">
        <v>2</v>
      </c>
      <c r="D49" s="31" t="s">
        <v>21</v>
      </c>
      <c r="E49" s="22" t="str">
        <f>+'CUOTA INDUSTRIAL'!C$38</f>
        <v>ENFERMAR LTDA. SOC. PESQ.</v>
      </c>
      <c r="F49" s="27" t="s">
        <v>24</v>
      </c>
      <c r="G49" s="27" t="s">
        <v>27</v>
      </c>
      <c r="H49" s="24">
        <f>'CUOTA INDUSTRIAL'!K38</f>
        <v>0.10743369999999999</v>
      </c>
      <c r="I49" s="24">
        <f>'CUOTA INDUSTRIAL'!L38</f>
        <v>0</v>
      </c>
      <c r="J49" s="24">
        <f>'CUOTA INDUSTRIAL'!M38</f>
        <v>0.10743369999999999</v>
      </c>
      <c r="K49" s="24">
        <f>'CUOTA INDUSTRIAL'!N38</f>
        <v>0</v>
      </c>
      <c r="L49" s="24">
        <f>'CUOTA INDUSTRIAL'!O38</f>
        <v>0.10743369999999999</v>
      </c>
      <c r="M49" s="25">
        <f>'CUOTA INDUSTRIAL'!P38</f>
        <v>0</v>
      </c>
      <c r="N49" s="22" t="s">
        <v>36</v>
      </c>
      <c r="O49" s="26">
        <f>RESUMEN!$B$5</f>
        <v>44561</v>
      </c>
      <c r="P49" s="27">
        <v>2021</v>
      </c>
      <c r="Q49" s="27"/>
    </row>
    <row r="50" spans="1:17">
      <c r="A50" s="76" t="s">
        <v>22</v>
      </c>
      <c r="B50" s="77" t="s">
        <v>23</v>
      </c>
      <c r="C50" s="22" t="s">
        <v>2</v>
      </c>
      <c r="D50" s="31" t="s">
        <v>21</v>
      </c>
      <c r="E50" s="22" t="str">
        <f>+'CUOTA INDUSTRIAL'!C$40</f>
        <v xml:space="preserve">ORIZON S.A          </v>
      </c>
      <c r="F50" s="23" t="s">
        <v>24</v>
      </c>
      <c r="G50" s="23" t="s">
        <v>25</v>
      </c>
      <c r="H50" s="24">
        <f>'CUOTA INDUSTRIAL'!E40</f>
        <v>16.628114499999999</v>
      </c>
      <c r="I50" s="24">
        <f>'CUOTA INDUSTRIAL'!F40</f>
        <v>0</v>
      </c>
      <c r="J50" s="24">
        <f>'CUOTA INDUSTRIAL'!G40</f>
        <v>16.628114499999999</v>
      </c>
      <c r="K50" s="24">
        <f>'CUOTA INDUSTRIAL'!H40</f>
        <v>0</v>
      </c>
      <c r="L50" s="24">
        <f>'CUOTA INDUSTRIAL'!I40</f>
        <v>16.628114499999999</v>
      </c>
      <c r="M50" s="25">
        <f>'CUOTA INDUSTRIAL'!J40</f>
        <v>0</v>
      </c>
      <c r="N50" s="22" t="s">
        <v>36</v>
      </c>
      <c r="O50" s="26">
        <f>RESUMEN!$B$5</f>
        <v>44561</v>
      </c>
      <c r="P50" s="27">
        <v>2021</v>
      </c>
      <c r="Q50" s="27"/>
    </row>
    <row r="51" spans="1:17">
      <c r="A51" s="76" t="s">
        <v>22</v>
      </c>
      <c r="B51" s="77" t="s">
        <v>23</v>
      </c>
      <c r="C51" s="22" t="s">
        <v>2</v>
      </c>
      <c r="D51" s="31" t="s">
        <v>21</v>
      </c>
      <c r="E51" s="22" t="str">
        <f>+'CUOTA INDUSTRIAL'!C$40</f>
        <v xml:space="preserve">ORIZON S.A          </v>
      </c>
      <c r="F51" s="27" t="s">
        <v>26</v>
      </c>
      <c r="G51" s="27" t="s">
        <v>27</v>
      </c>
      <c r="H51" s="24">
        <f>'CUOTA INDUSTRIAL'!E41</f>
        <v>24.940217799999999</v>
      </c>
      <c r="I51" s="24">
        <f>'CUOTA INDUSTRIAL'!F41</f>
        <v>0</v>
      </c>
      <c r="J51" s="24">
        <f>'CUOTA INDUSTRIAL'!G41</f>
        <v>41.568332299999994</v>
      </c>
      <c r="K51" s="24">
        <f>'CUOTA INDUSTRIAL'!H41</f>
        <v>0</v>
      </c>
      <c r="L51" s="24">
        <f>'CUOTA INDUSTRIAL'!I41</f>
        <v>41.568332299999994</v>
      </c>
      <c r="M51" s="25">
        <f>'CUOTA INDUSTRIAL'!J41</f>
        <v>0</v>
      </c>
      <c r="N51" s="22" t="s">
        <v>36</v>
      </c>
      <c r="O51" s="26">
        <f>RESUMEN!$B$5</f>
        <v>44561</v>
      </c>
      <c r="P51" s="27">
        <v>2021</v>
      </c>
      <c r="Q51" s="27"/>
    </row>
    <row r="52" spans="1:17">
      <c r="A52" s="76" t="s">
        <v>22</v>
      </c>
      <c r="B52" s="77" t="s">
        <v>23</v>
      </c>
      <c r="C52" s="22" t="s">
        <v>2</v>
      </c>
      <c r="D52" s="31" t="s">
        <v>21</v>
      </c>
      <c r="E52" s="22" t="str">
        <f>+'CUOTA INDUSTRIAL'!C$40</f>
        <v xml:space="preserve">ORIZON S.A          </v>
      </c>
      <c r="F52" s="27" t="s">
        <v>24</v>
      </c>
      <c r="G52" s="27" t="s">
        <v>27</v>
      </c>
      <c r="H52" s="24">
        <f>'CUOTA INDUSTRIAL'!K40</f>
        <v>41.568332299999994</v>
      </c>
      <c r="I52" s="24">
        <f>'CUOTA INDUSTRIAL'!L40</f>
        <v>0</v>
      </c>
      <c r="J52" s="24">
        <f>'CUOTA INDUSTRIAL'!M40</f>
        <v>41.568332299999994</v>
      </c>
      <c r="K52" s="24">
        <f>'CUOTA INDUSTRIAL'!N40</f>
        <v>0</v>
      </c>
      <c r="L52" s="24">
        <f>'CUOTA INDUSTRIAL'!O40</f>
        <v>41.568332299999994</v>
      </c>
      <c r="M52" s="25">
        <f>'CUOTA INDUSTRIAL'!P40</f>
        <v>0</v>
      </c>
      <c r="N52" s="22" t="s">
        <v>36</v>
      </c>
      <c r="O52" s="26">
        <f>RESUMEN!$B$5</f>
        <v>44561</v>
      </c>
      <c r="P52" s="27">
        <v>2021</v>
      </c>
      <c r="Q52" s="27"/>
    </row>
    <row r="53" spans="1:17" s="1" customFormat="1">
      <c r="A53" s="76" t="s">
        <v>22</v>
      </c>
      <c r="B53" s="77" t="s">
        <v>23</v>
      </c>
      <c r="C53" s="22" t="s">
        <v>2</v>
      </c>
      <c r="D53" s="31" t="s">
        <v>21</v>
      </c>
      <c r="E53" s="22" t="str">
        <f>+'CUOTA INDUSTRIAL'!C$42</f>
        <v>PESCA CHILE S.A.</v>
      </c>
      <c r="F53" s="23" t="s">
        <v>24</v>
      </c>
      <c r="G53" s="23" t="s">
        <v>25</v>
      </c>
      <c r="H53" s="24">
        <f>+'CUOTA INDUSTRIAL'!E42</f>
        <v>1.3560684999999999</v>
      </c>
      <c r="I53" s="24">
        <f>+'CUOTA INDUSTRIAL'!F42</f>
        <v>0</v>
      </c>
      <c r="J53" s="24">
        <f>+'CUOTA INDUSTRIAL'!G42</f>
        <v>1.3560684999999999</v>
      </c>
      <c r="K53" s="24">
        <f>+'CUOTA INDUSTRIAL'!H42</f>
        <v>0</v>
      </c>
      <c r="L53" s="24">
        <f>+'CUOTA INDUSTRIAL'!I42</f>
        <v>1.3560684999999999</v>
      </c>
      <c r="M53" s="25">
        <f>+'CUOTA INDUSTRIAL'!J42</f>
        <v>0</v>
      </c>
      <c r="N53" s="22" t="s">
        <v>36</v>
      </c>
      <c r="O53" s="26">
        <f>RESUMEN!$B$5</f>
        <v>44561</v>
      </c>
      <c r="P53" s="27">
        <v>2021</v>
      </c>
      <c r="Q53" s="27"/>
    </row>
    <row r="54" spans="1:17" s="1" customFormat="1">
      <c r="A54" s="76" t="s">
        <v>22</v>
      </c>
      <c r="B54" s="77" t="s">
        <v>23</v>
      </c>
      <c r="C54" s="22" t="s">
        <v>2</v>
      </c>
      <c r="D54" s="31" t="s">
        <v>21</v>
      </c>
      <c r="E54" s="22" t="str">
        <f>+'CUOTA INDUSTRIAL'!C$42</f>
        <v>PESCA CHILE S.A.</v>
      </c>
      <c r="F54" s="27" t="s">
        <v>26</v>
      </c>
      <c r="G54" s="27" t="s">
        <v>27</v>
      </c>
      <c r="H54" s="24">
        <f>+'CUOTA INDUSTRIAL'!E43</f>
        <v>2.0339434000000001</v>
      </c>
      <c r="I54" s="24">
        <f>+'CUOTA INDUSTRIAL'!F43</f>
        <v>0</v>
      </c>
      <c r="J54" s="24">
        <f>+'CUOTA INDUSTRIAL'!G43</f>
        <v>3.3900119000000002</v>
      </c>
      <c r="K54" s="24">
        <f>+'CUOTA INDUSTRIAL'!H43</f>
        <v>0</v>
      </c>
      <c r="L54" s="24">
        <f>+'CUOTA INDUSTRIAL'!I43</f>
        <v>3.3900119000000002</v>
      </c>
      <c r="M54" s="25">
        <f>+'CUOTA INDUSTRIAL'!J43</f>
        <v>0</v>
      </c>
      <c r="N54" s="22" t="s">
        <v>36</v>
      </c>
      <c r="O54" s="26">
        <f>RESUMEN!$B$5</f>
        <v>44561</v>
      </c>
      <c r="P54" s="27">
        <v>2021</v>
      </c>
      <c r="Q54" s="27"/>
    </row>
    <row r="55" spans="1:17" s="1" customFormat="1">
      <c r="A55" s="76" t="s">
        <v>22</v>
      </c>
      <c r="B55" s="77" t="s">
        <v>23</v>
      </c>
      <c r="C55" s="22" t="s">
        <v>2</v>
      </c>
      <c r="D55" s="31" t="s">
        <v>21</v>
      </c>
      <c r="E55" s="22" t="str">
        <f>+'CUOTA INDUSTRIAL'!C$42</f>
        <v>PESCA CHILE S.A.</v>
      </c>
      <c r="F55" s="27" t="s">
        <v>24</v>
      </c>
      <c r="G55" s="27" t="s">
        <v>27</v>
      </c>
      <c r="H55" s="24">
        <f>'CUOTA INDUSTRIAL'!K42</f>
        <v>3.3900119000000002</v>
      </c>
      <c r="I55" s="24">
        <f>'CUOTA INDUSTRIAL'!L42</f>
        <v>0</v>
      </c>
      <c r="J55" s="24">
        <f>'CUOTA INDUSTRIAL'!M42</f>
        <v>3.3900119000000002</v>
      </c>
      <c r="K55" s="24">
        <f>'CUOTA INDUSTRIAL'!N42</f>
        <v>0</v>
      </c>
      <c r="L55" s="24">
        <f>'CUOTA INDUSTRIAL'!O42</f>
        <v>3.3900119000000002</v>
      </c>
      <c r="M55" s="25">
        <f>'CUOTA INDUSTRIAL'!P42</f>
        <v>0</v>
      </c>
      <c r="N55" s="22" t="s">
        <v>36</v>
      </c>
      <c r="O55" s="26">
        <f>RESUMEN!$B$5</f>
        <v>44561</v>
      </c>
      <c r="P55" s="27">
        <v>2021</v>
      </c>
      <c r="Q55" s="27"/>
    </row>
    <row r="56" spans="1:17" s="1" customFormat="1">
      <c r="A56" s="76" t="s">
        <v>22</v>
      </c>
      <c r="B56" s="77" t="s">
        <v>23</v>
      </c>
      <c r="C56" s="22" t="s">
        <v>2</v>
      </c>
      <c r="D56" s="31" t="s">
        <v>21</v>
      </c>
      <c r="E56" s="22" t="str">
        <f>+'CUOTA INDUSTRIAL'!C$52</f>
        <v>COMERCIAL Y CONSERVERA  SAN LAZARO LTDA.</v>
      </c>
      <c r="F56" s="23" t="s">
        <v>24</v>
      </c>
      <c r="G56" s="23" t="s">
        <v>25</v>
      </c>
      <c r="H56" s="24">
        <f>'CUOTA INDUSTRIAL'!E52</f>
        <v>0.17019999999999999</v>
      </c>
      <c r="I56" s="24">
        <f>'CUOTA INDUSTRIAL'!F52</f>
        <v>0</v>
      </c>
      <c r="J56" s="24">
        <f>'CUOTA INDUSTRIAL'!G52</f>
        <v>0.17019999999999999</v>
      </c>
      <c r="K56" s="24">
        <f>'CUOTA INDUSTRIAL'!H52</f>
        <v>0</v>
      </c>
      <c r="L56" s="24">
        <f>'CUOTA INDUSTRIAL'!I52</f>
        <v>0.17019999999999999</v>
      </c>
      <c r="M56" s="25">
        <f>'CUOTA INDUSTRIAL'!J52</f>
        <v>0</v>
      </c>
      <c r="N56" s="22" t="s">
        <v>36</v>
      </c>
      <c r="O56" s="26">
        <f>RESUMEN!$B$5</f>
        <v>44561</v>
      </c>
      <c r="P56" s="27">
        <v>2021</v>
      </c>
      <c r="Q56" s="27"/>
    </row>
    <row r="57" spans="1:17" s="1" customFormat="1">
      <c r="A57" s="76" t="s">
        <v>22</v>
      </c>
      <c r="B57" s="77" t="s">
        <v>23</v>
      </c>
      <c r="C57" s="22" t="s">
        <v>2</v>
      </c>
      <c r="D57" s="31" t="s">
        <v>21</v>
      </c>
      <c r="E57" s="22" t="str">
        <f>+'CUOTA INDUSTRIAL'!C$52</f>
        <v>COMERCIAL Y CONSERVERA  SAN LAZARO LTDA.</v>
      </c>
      <c r="F57" s="27" t="s">
        <v>26</v>
      </c>
      <c r="G57" s="27" t="s">
        <v>27</v>
      </c>
      <c r="H57" s="24">
        <f>'CUOTA INDUSTRIAL'!E53</f>
        <v>0.25528000000000001</v>
      </c>
      <c r="I57" s="24">
        <f>'CUOTA INDUSTRIAL'!F53</f>
        <v>0</v>
      </c>
      <c r="J57" s="24">
        <f>'CUOTA INDUSTRIAL'!G53</f>
        <v>0.42547999999999997</v>
      </c>
      <c r="K57" s="24">
        <f>'CUOTA INDUSTRIAL'!H53</f>
        <v>0</v>
      </c>
      <c r="L57" s="24">
        <f>'CUOTA INDUSTRIAL'!I53</f>
        <v>0.42547999999999997</v>
      </c>
      <c r="M57" s="25">
        <f>'CUOTA INDUSTRIAL'!J53</f>
        <v>0</v>
      </c>
      <c r="N57" s="22" t="s">
        <v>36</v>
      </c>
      <c r="O57" s="26">
        <f>RESUMEN!$B$5</f>
        <v>44561</v>
      </c>
      <c r="P57" s="27">
        <v>2021</v>
      </c>
      <c r="Q57" s="27"/>
    </row>
    <row r="58" spans="1:17" s="1" customFormat="1">
      <c r="A58" s="76" t="s">
        <v>22</v>
      </c>
      <c r="B58" s="77" t="s">
        <v>23</v>
      </c>
      <c r="C58" s="22" t="s">
        <v>2</v>
      </c>
      <c r="D58" s="31" t="s">
        <v>21</v>
      </c>
      <c r="E58" s="22" t="str">
        <f>+'CUOTA INDUSTRIAL'!C$52</f>
        <v>COMERCIAL Y CONSERVERA  SAN LAZARO LTDA.</v>
      </c>
      <c r="F58" s="27" t="s">
        <v>24</v>
      </c>
      <c r="G58" s="27" t="s">
        <v>27</v>
      </c>
      <c r="H58" s="24">
        <f>'CUOTA INDUSTRIAL'!K52</f>
        <v>0.42547999999999997</v>
      </c>
      <c r="I58" s="24">
        <f>'CUOTA INDUSTRIAL'!L52</f>
        <v>0</v>
      </c>
      <c r="J58" s="24">
        <f>'CUOTA INDUSTRIAL'!M52</f>
        <v>0.42547999999999997</v>
      </c>
      <c r="K58" s="24">
        <f>'CUOTA INDUSTRIAL'!N52</f>
        <v>0</v>
      </c>
      <c r="L58" s="24">
        <f>'CUOTA INDUSTRIAL'!O52</f>
        <v>0.42547999999999997</v>
      </c>
      <c r="M58" s="25">
        <f>'CUOTA INDUSTRIAL'!P52</f>
        <v>0</v>
      </c>
      <c r="N58" s="22" t="s">
        <v>36</v>
      </c>
      <c r="O58" s="26">
        <f>RESUMEN!$B$5</f>
        <v>44561</v>
      </c>
      <c r="P58" s="27">
        <v>2021</v>
      </c>
      <c r="Q58" s="27"/>
    </row>
    <row r="59" spans="1:17">
      <c r="A59" s="76" t="s">
        <v>22</v>
      </c>
      <c r="B59" s="77" t="s">
        <v>23</v>
      </c>
      <c r="C59" s="22" t="s">
        <v>2</v>
      </c>
      <c r="D59" s="21" t="s">
        <v>28</v>
      </c>
      <c r="E59" s="21" t="s">
        <v>29</v>
      </c>
      <c r="F59" s="23" t="s">
        <v>24</v>
      </c>
      <c r="G59" s="23" t="s">
        <v>27</v>
      </c>
      <c r="H59" s="24">
        <f>'CUOTA INDUSTRIAL'!K58</f>
        <v>10636.998936300002</v>
      </c>
      <c r="I59" s="24">
        <f>'CUOTA INDUSTRIAL'!L58</f>
        <v>-5213.6260000000002</v>
      </c>
      <c r="J59" s="24">
        <f>'CUOTA INDUSTRIAL'!M58</f>
        <v>5423.372936300002</v>
      </c>
      <c r="K59" s="24">
        <f>'CUOTA INDUSTRIAL'!N58</f>
        <v>3770.6499999999996</v>
      </c>
      <c r="L59" s="24">
        <f>'CUOTA INDUSTRIAL'!O58</f>
        <v>1652.7229363000024</v>
      </c>
      <c r="M59" s="24">
        <f>'CUOTA INDUSTRIAL'!P58</f>
        <v>0.69525921309266581</v>
      </c>
      <c r="N59" s="22" t="s">
        <v>36</v>
      </c>
      <c r="O59" s="26">
        <f>RESUMEN!$B$5</f>
        <v>44561</v>
      </c>
      <c r="P59" s="27">
        <v>2021</v>
      </c>
      <c r="Q59" s="27"/>
    </row>
    <row r="60" spans="1:17">
      <c r="A60" s="76" t="s">
        <v>30</v>
      </c>
      <c r="B60" s="77" t="s">
        <v>23</v>
      </c>
      <c r="C60" s="22" t="s">
        <v>5</v>
      </c>
      <c r="D60" s="31" t="s">
        <v>21</v>
      </c>
      <c r="E60" s="22" t="str">
        <f>+'CUOTA INDUSTRIAL'!C$63</f>
        <v>PACIFICBLU SpA.</v>
      </c>
      <c r="F60" s="23" t="s">
        <v>24</v>
      </c>
      <c r="G60" s="23" t="s">
        <v>25</v>
      </c>
      <c r="H60" s="24">
        <f>'CUOTA INDUSTRIAL'!E63</f>
        <v>1.0735208000000001</v>
      </c>
      <c r="I60" s="24">
        <f>'CUOTA INDUSTRIAL'!F63</f>
        <v>0</v>
      </c>
      <c r="J60" s="24">
        <f>'CUOTA INDUSTRIAL'!G63</f>
        <v>1.0735208000000001</v>
      </c>
      <c r="K60" s="24">
        <f>'CUOTA INDUSTRIAL'!H63</f>
        <v>0</v>
      </c>
      <c r="L60" s="24">
        <f>'CUOTA INDUSTRIAL'!I63</f>
        <v>1.0735208000000001</v>
      </c>
      <c r="M60" s="25">
        <f>'CUOTA INDUSTRIAL'!J61</f>
        <v>0</v>
      </c>
      <c r="N60" s="22" t="s">
        <v>36</v>
      </c>
      <c r="O60" s="26">
        <f>RESUMEN!$B$5</f>
        <v>44561</v>
      </c>
      <c r="P60" s="27">
        <v>2021</v>
      </c>
      <c r="Q60" s="27"/>
    </row>
    <row r="61" spans="1:17">
      <c r="A61" s="76" t="s">
        <v>30</v>
      </c>
      <c r="B61" s="77" t="s">
        <v>23</v>
      </c>
      <c r="C61" s="22" t="s">
        <v>5</v>
      </c>
      <c r="D61" s="31" t="s">
        <v>21</v>
      </c>
      <c r="E61" s="22" t="str">
        <f>+'CUOTA INDUSTRIAL'!C$63</f>
        <v>PACIFICBLU SpA.</v>
      </c>
      <c r="F61" s="27" t="s">
        <v>26</v>
      </c>
      <c r="G61" s="27" t="s">
        <v>27</v>
      </c>
      <c r="H61" s="24">
        <f>'CUOTA INDUSTRIAL'!E64</f>
        <v>1.6100920000000001</v>
      </c>
      <c r="I61" s="24">
        <f>'CUOTA INDUSTRIAL'!F64</f>
        <v>0</v>
      </c>
      <c r="J61" s="24">
        <f>'CUOTA INDUSTRIAL'!G64</f>
        <v>2.6836128000000001</v>
      </c>
      <c r="K61" s="24">
        <f>'CUOTA INDUSTRIAL'!H64</f>
        <v>0</v>
      </c>
      <c r="L61" s="24">
        <f>'CUOTA INDUSTRIAL'!I64</f>
        <v>2.6836128000000001</v>
      </c>
      <c r="M61" s="25">
        <f>'CUOTA INDUSTRIAL'!J62</f>
        <v>0</v>
      </c>
      <c r="N61" s="22" t="s">
        <v>36</v>
      </c>
      <c r="O61" s="26">
        <f>RESUMEN!$B$5</f>
        <v>44561</v>
      </c>
      <c r="P61" s="27">
        <v>2021</v>
      </c>
      <c r="Q61" s="27"/>
    </row>
    <row r="62" spans="1:17">
      <c r="A62" s="76" t="s">
        <v>30</v>
      </c>
      <c r="B62" s="77" t="s">
        <v>23</v>
      </c>
      <c r="C62" s="22" t="s">
        <v>5</v>
      </c>
      <c r="D62" s="31" t="s">
        <v>21</v>
      </c>
      <c r="E62" s="22" t="str">
        <f>+'CUOTA INDUSTRIAL'!C$63</f>
        <v>PACIFICBLU SpA.</v>
      </c>
      <c r="F62" s="27" t="s">
        <v>24</v>
      </c>
      <c r="G62" s="27" t="s">
        <v>27</v>
      </c>
      <c r="H62" s="24">
        <f>'CUOTA INDUSTRIAL'!K63</f>
        <v>2.6836128000000001</v>
      </c>
      <c r="I62" s="24">
        <f>'CUOTA INDUSTRIAL'!L63</f>
        <v>0</v>
      </c>
      <c r="J62" s="24">
        <f>'CUOTA INDUSTRIAL'!M63</f>
        <v>2.6836128000000001</v>
      </c>
      <c r="K62" s="24">
        <f>'CUOTA INDUSTRIAL'!N63</f>
        <v>0</v>
      </c>
      <c r="L62" s="24">
        <f>'CUOTA INDUSTRIAL'!O63</f>
        <v>2.6836128000000001</v>
      </c>
      <c r="M62" s="25">
        <f>'CUOTA INDUSTRIAL'!P63</f>
        <v>0</v>
      </c>
      <c r="N62" s="22" t="s">
        <v>36</v>
      </c>
      <c r="O62" s="26">
        <f>RESUMEN!$B$5</f>
        <v>44561</v>
      </c>
      <c r="P62" s="27">
        <v>2021</v>
      </c>
      <c r="Q62" s="27"/>
    </row>
    <row r="63" spans="1:17">
      <c r="A63" s="76" t="s">
        <v>30</v>
      </c>
      <c r="B63" s="77" t="s">
        <v>23</v>
      </c>
      <c r="C63" s="22" t="s">
        <v>5</v>
      </c>
      <c r="D63" s="31" t="s">
        <v>21</v>
      </c>
      <c r="E63" s="22" t="str">
        <f>+'CUOTA INDUSTRIAL'!C$65</f>
        <v xml:space="preserve">EMDEPES S.A.                     </v>
      </c>
      <c r="F63" s="23" t="s">
        <v>24</v>
      </c>
      <c r="G63" s="23" t="s">
        <v>25</v>
      </c>
      <c r="H63" s="24">
        <f>'CUOTA INDUSTRIAL'!E65</f>
        <v>1143.013115</v>
      </c>
      <c r="I63" s="24">
        <f>'CUOTA INDUSTRIAL'!F65</f>
        <v>4096.6270000000004</v>
      </c>
      <c r="J63" s="24">
        <f>'CUOTA INDUSTRIAL'!G65</f>
        <v>5239.6401150000002</v>
      </c>
      <c r="K63" s="24">
        <f>'CUOTA INDUSTRIAL'!H65</f>
        <v>0</v>
      </c>
      <c r="L63" s="24">
        <f>'CUOTA INDUSTRIAL'!I65</f>
        <v>5239.6401150000002</v>
      </c>
      <c r="M63" s="25">
        <f>'CUOTA INDUSTRIAL'!J63</f>
        <v>0</v>
      </c>
      <c r="N63" s="22" t="s">
        <v>36</v>
      </c>
      <c r="O63" s="26">
        <f>RESUMEN!$B$5</f>
        <v>44561</v>
      </c>
      <c r="P63" s="27">
        <v>2021</v>
      </c>
      <c r="Q63" s="27"/>
    </row>
    <row r="64" spans="1:17">
      <c r="A64" s="76" t="s">
        <v>30</v>
      </c>
      <c r="B64" s="77" t="s">
        <v>23</v>
      </c>
      <c r="C64" s="22" t="s">
        <v>5</v>
      </c>
      <c r="D64" s="31" t="s">
        <v>21</v>
      </c>
      <c r="E64" s="22" t="str">
        <f>+'CUOTA INDUSTRIAL'!C$65</f>
        <v xml:space="preserve">EMDEPES S.A.                     </v>
      </c>
      <c r="F64" s="27" t="s">
        <v>26</v>
      </c>
      <c r="G64" s="27" t="s">
        <v>27</v>
      </c>
      <c r="H64" s="24">
        <f>'CUOTA INDUSTRIAL'!E66</f>
        <v>1714.318225</v>
      </c>
      <c r="I64" s="24">
        <f>'CUOTA INDUSTRIAL'!F66</f>
        <v>436.89200000000005</v>
      </c>
      <c r="J64" s="24">
        <f>'CUOTA INDUSTRIAL'!G66</f>
        <v>7390.85034</v>
      </c>
      <c r="K64" s="24">
        <f>'CUOTA INDUSTRIAL'!H66</f>
        <v>5140.7550000000001</v>
      </c>
      <c r="L64" s="24">
        <f>'CUOTA INDUSTRIAL'!I66</f>
        <v>2250.0953399999999</v>
      </c>
      <c r="M64" s="25">
        <f>'CUOTA INDUSTRIAL'!J64</f>
        <v>0</v>
      </c>
      <c r="N64" s="22" t="s">
        <v>36</v>
      </c>
      <c r="O64" s="26">
        <f>RESUMEN!$B$5</f>
        <v>44561</v>
      </c>
      <c r="P64" s="27">
        <v>2021</v>
      </c>
      <c r="Q64" s="27"/>
    </row>
    <row r="65" spans="1:17">
      <c r="A65" s="76" t="s">
        <v>30</v>
      </c>
      <c r="B65" s="77" t="s">
        <v>23</v>
      </c>
      <c r="C65" s="22" t="s">
        <v>5</v>
      </c>
      <c r="D65" s="31" t="s">
        <v>21</v>
      </c>
      <c r="E65" s="22" t="str">
        <f>+'CUOTA INDUSTRIAL'!C$65</f>
        <v xml:space="preserve">EMDEPES S.A.                     </v>
      </c>
      <c r="F65" s="27" t="s">
        <v>24</v>
      </c>
      <c r="G65" s="27" t="s">
        <v>27</v>
      </c>
      <c r="H65" s="24">
        <f>'CUOTA INDUSTRIAL'!K65</f>
        <v>2857.3313399999997</v>
      </c>
      <c r="I65" s="24">
        <f>'CUOTA INDUSTRIAL'!L65</f>
        <v>4533.5190000000002</v>
      </c>
      <c r="J65" s="24">
        <f>'CUOTA INDUSTRIAL'!M65</f>
        <v>7390.85034</v>
      </c>
      <c r="K65" s="24">
        <f>'CUOTA INDUSTRIAL'!N65</f>
        <v>5140.7550000000001</v>
      </c>
      <c r="L65" s="24">
        <f>'CUOTA INDUSTRIAL'!O65</f>
        <v>2250.0953399999999</v>
      </c>
      <c r="M65" s="25">
        <f>'CUOTA INDUSTRIAL'!P65</f>
        <v>0.69555663604466922</v>
      </c>
      <c r="N65" s="22" t="s">
        <v>36</v>
      </c>
      <c r="O65" s="26">
        <f>RESUMEN!$B$5</f>
        <v>44561</v>
      </c>
      <c r="P65" s="27">
        <v>2021</v>
      </c>
      <c r="Q65" s="27"/>
    </row>
    <row r="66" spans="1:17">
      <c r="A66" s="76" t="s">
        <v>30</v>
      </c>
      <c r="B66" s="77" t="s">
        <v>23</v>
      </c>
      <c r="C66" s="22" t="s">
        <v>5</v>
      </c>
      <c r="D66" s="31" t="s">
        <v>21</v>
      </c>
      <c r="E66" s="22" t="str">
        <f>+'CUOTA INDUSTRIAL'!C$67</f>
        <v xml:space="preserve">GRIMAR S.A. </v>
      </c>
      <c r="F66" s="23" t="s">
        <v>24</v>
      </c>
      <c r="G66" s="23" t="s">
        <v>25</v>
      </c>
      <c r="H66" s="24">
        <f>'CUOTA INDUSTRIAL'!E67</f>
        <v>820.84765049999999</v>
      </c>
      <c r="I66" s="24">
        <f>'CUOTA INDUSTRIAL'!F67</f>
        <v>0</v>
      </c>
      <c r="J66" s="24">
        <f>'CUOTA INDUSTRIAL'!G67</f>
        <v>820.84765049999999</v>
      </c>
      <c r="K66" s="24">
        <f>'CUOTA INDUSTRIAL'!H67</f>
        <v>85.98</v>
      </c>
      <c r="L66" s="24">
        <f>'CUOTA INDUSTRIAL'!I67</f>
        <v>734.86765049999997</v>
      </c>
      <c r="M66" s="25">
        <f>'CUOTA INDUSTRIAL'!J65</f>
        <v>0</v>
      </c>
      <c r="N66" s="22" t="s">
        <v>36</v>
      </c>
      <c r="O66" s="26">
        <f>RESUMEN!$B$5</f>
        <v>44561</v>
      </c>
      <c r="P66" s="27">
        <v>2021</v>
      </c>
      <c r="Q66" s="27"/>
    </row>
    <row r="67" spans="1:17">
      <c r="A67" s="76" t="s">
        <v>30</v>
      </c>
      <c r="B67" s="77" t="s">
        <v>23</v>
      </c>
      <c r="C67" s="22" t="s">
        <v>5</v>
      </c>
      <c r="D67" s="31" t="s">
        <v>21</v>
      </c>
      <c r="E67" s="22" t="str">
        <f>+'CUOTA INDUSTRIAL'!C$67</f>
        <v xml:space="preserve">GRIMAR S.A. </v>
      </c>
      <c r="F67" s="27" t="s">
        <v>26</v>
      </c>
      <c r="G67" s="27" t="s">
        <v>27</v>
      </c>
      <c r="H67" s="24">
        <f>'CUOTA INDUSTRIAL'!E68</f>
        <v>1231.1268075</v>
      </c>
      <c r="I67" s="24">
        <f>'CUOTA INDUSTRIAL'!F68</f>
        <v>169.94099999999997</v>
      </c>
      <c r="J67" s="24">
        <f>'CUOTA INDUSTRIAL'!G68</f>
        <v>2135.9354579999999</v>
      </c>
      <c r="K67" s="24">
        <f>'CUOTA INDUSTRIAL'!H68</f>
        <v>2009.367</v>
      </c>
      <c r="L67" s="24">
        <f>'CUOTA INDUSTRIAL'!I68</f>
        <v>126.56845799999996</v>
      </c>
      <c r="M67" s="25">
        <f>'CUOTA INDUSTRIAL'!J66</f>
        <v>0.69555663604466922</v>
      </c>
      <c r="N67" s="22" t="s">
        <v>36</v>
      </c>
      <c r="O67" s="26">
        <f>RESUMEN!$B$5</f>
        <v>44561</v>
      </c>
      <c r="P67" s="27">
        <v>2021</v>
      </c>
      <c r="Q67" s="27"/>
    </row>
    <row r="68" spans="1:17">
      <c r="A68" s="76" t="s">
        <v>30</v>
      </c>
      <c r="B68" s="77" t="s">
        <v>23</v>
      </c>
      <c r="C68" s="22" t="s">
        <v>5</v>
      </c>
      <c r="D68" s="31" t="s">
        <v>21</v>
      </c>
      <c r="E68" s="22" t="str">
        <f>+'CUOTA INDUSTRIAL'!C$67</f>
        <v xml:space="preserve">GRIMAR S.A. </v>
      </c>
      <c r="F68" s="27" t="s">
        <v>24</v>
      </c>
      <c r="G68" s="27" t="s">
        <v>27</v>
      </c>
      <c r="H68" s="24">
        <f>'CUOTA INDUSTRIAL'!K67</f>
        <v>2051.9744580000001</v>
      </c>
      <c r="I68" s="24">
        <f>'CUOTA INDUSTRIAL'!L67</f>
        <v>169.94099999999997</v>
      </c>
      <c r="J68" s="24">
        <f>'CUOTA INDUSTRIAL'!M67</f>
        <v>2221.9154579999999</v>
      </c>
      <c r="K68" s="24">
        <f>'CUOTA INDUSTRIAL'!N67</f>
        <v>2095.3469999999998</v>
      </c>
      <c r="L68" s="24">
        <f>'CUOTA INDUSTRIAL'!O67</f>
        <v>126.56845800000019</v>
      </c>
      <c r="M68" s="25">
        <f>'CUOTA INDUSTRIAL'!P67</f>
        <v>0.94303633041289181</v>
      </c>
      <c r="N68" s="22" t="s">
        <v>36</v>
      </c>
      <c r="O68" s="26">
        <f>RESUMEN!$B$5</f>
        <v>44561</v>
      </c>
      <c r="P68" s="27">
        <v>2021</v>
      </c>
      <c r="Q68" s="27"/>
    </row>
    <row r="69" spans="1:17">
      <c r="A69" s="76" t="s">
        <v>30</v>
      </c>
      <c r="B69" s="77" t="s">
        <v>23</v>
      </c>
      <c r="C69" s="22" t="s">
        <v>5</v>
      </c>
      <c r="D69" s="31" t="s">
        <v>21</v>
      </c>
      <c r="E69" s="22" t="str">
        <f>+'CUOTA INDUSTRIAL'!C$69</f>
        <v>PESCA CHILE S.A.</v>
      </c>
      <c r="F69" s="23" t="s">
        <v>24</v>
      </c>
      <c r="G69" s="23" t="s">
        <v>25</v>
      </c>
      <c r="H69" s="24">
        <f>'CUOTA INDUSTRIAL'!E69</f>
        <v>132.89500949999999</v>
      </c>
      <c r="I69" s="24">
        <f>'CUOTA INDUSTRIAL'!F69</f>
        <v>0</v>
      </c>
      <c r="J69" s="24">
        <f>'CUOTA INDUSTRIAL'!G69</f>
        <v>132.89500949999999</v>
      </c>
      <c r="K69" s="24">
        <f>'CUOTA INDUSTRIAL'!H69</f>
        <v>212.33799999999999</v>
      </c>
      <c r="L69" s="24">
        <f>'CUOTA INDUSTRIAL'!I69</f>
        <v>-79.442990500000008</v>
      </c>
      <c r="M69" s="25">
        <f>'CUOTA INDUSTRIAL'!J67</f>
        <v>0.10474538112843146</v>
      </c>
      <c r="N69" s="22" t="s">
        <v>36</v>
      </c>
      <c r="O69" s="26">
        <f>RESUMEN!$B$5</f>
        <v>44561</v>
      </c>
      <c r="P69" s="27">
        <v>2021</v>
      </c>
      <c r="Q69" s="27"/>
    </row>
    <row r="70" spans="1:17">
      <c r="A70" s="76" t="s">
        <v>30</v>
      </c>
      <c r="B70" s="77" t="s">
        <v>23</v>
      </c>
      <c r="C70" s="22" t="s">
        <v>5</v>
      </c>
      <c r="D70" s="31" t="s">
        <v>21</v>
      </c>
      <c r="E70" s="22" t="str">
        <f>+'CUOTA INDUSTRIAL'!C$69</f>
        <v>PESCA CHILE S.A.</v>
      </c>
      <c r="F70" s="27" t="s">
        <v>26</v>
      </c>
      <c r="G70" s="27" t="s">
        <v>27</v>
      </c>
      <c r="H70" s="24">
        <f>'CUOTA INDUSTRIAL'!E70</f>
        <v>199.31909250000001</v>
      </c>
      <c r="I70" s="24">
        <f>'CUOTA INDUSTRIAL'!F70</f>
        <v>610.53099999999995</v>
      </c>
      <c r="J70" s="24">
        <f>'CUOTA INDUSTRIAL'!G70</f>
        <v>730.4071019999999</v>
      </c>
      <c r="K70" s="24">
        <f>'CUOTA INDUSTRIAL'!H70</f>
        <v>429.375</v>
      </c>
      <c r="L70" s="24">
        <f>'CUOTA INDUSTRIAL'!I70</f>
        <v>301.0321019999999</v>
      </c>
      <c r="M70" s="25">
        <f>'CUOTA INDUSTRIAL'!J68</f>
        <v>0.94074331341523154</v>
      </c>
      <c r="N70" s="22" t="s">
        <v>36</v>
      </c>
      <c r="O70" s="26">
        <f>RESUMEN!$B$5</f>
        <v>44561</v>
      </c>
      <c r="P70" s="27">
        <v>2021</v>
      </c>
      <c r="Q70" s="27"/>
    </row>
    <row r="71" spans="1:17">
      <c r="A71" s="76" t="s">
        <v>30</v>
      </c>
      <c r="B71" s="77" t="s">
        <v>23</v>
      </c>
      <c r="C71" s="22" t="s">
        <v>5</v>
      </c>
      <c r="D71" s="31" t="s">
        <v>21</v>
      </c>
      <c r="E71" s="22" t="str">
        <f>+'CUOTA INDUSTRIAL'!C$69</f>
        <v>PESCA CHILE S.A.</v>
      </c>
      <c r="F71" s="27" t="s">
        <v>24</v>
      </c>
      <c r="G71" s="27" t="s">
        <v>27</v>
      </c>
      <c r="H71" s="24">
        <f>'CUOTA INDUSTRIAL'!K69</f>
        <v>332.21410200000003</v>
      </c>
      <c r="I71" s="24">
        <f>'CUOTA INDUSTRIAL'!L69</f>
        <v>610.53099999999995</v>
      </c>
      <c r="J71" s="24">
        <f>'CUOTA INDUSTRIAL'!M69</f>
        <v>942.74510199999997</v>
      </c>
      <c r="K71" s="24">
        <f>'CUOTA INDUSTRIAL'!N69</f>
        <v>641.71299999999997</v>
      </c>
      <c r="L71" s="24">
        <f>'CUOTA INDUSTRIAL'!O69</f>
        <v>301.03210200000001</v>
      </c>
      <c r="M71" s="25">
        <f>'CUOTA INDUSTRIAL'!P69</f>
        <v>0.68068558366267706</v>
      </c>
      <c r="N71" s="22" t="s">
        <v>36</v>
      </c>
      <c r="O71" s="26">
        <f>RESUMEN!$B$5</f>
        <v>44561</v>
      </c>
      <c r="P71" s="27">
        <v>2021</v>
      </c>
      <c r="Q71" s="27"/>
    </row>
    <row r="72" spans="1:17">
      <c r="A72" s="76" t="s">
        <v>30</v>
      </c>
      <c r="B72" s="77" t="s">
        <v>23</v>
      </c>
      <c r="C72" s="22" t="s">
        <v>5</v>
      </c>
      <c r="D72" s="31" t="s">
        <v>21</v>
      </c>
      <c r="E72" s="22" t="str">
        <f>+'CUOTA INDUSTRIAL'!C$71</f>
        <v xml:space="preserve">PESCA CISNE S.A.             </v>
      </c>
      <c r="F72" s="23" t="s">
        <v>24</v>
      </c>
      <c r="G72" s="23" t="s">
        <v>25</v>
      </c>
      <c r="H72" s="24">
        <f>'CUOTA INDUSTRIAL'!E71</f>
        <v>0.42554999999999998</v>
      </c>
      <c r="I72" s="24">
        <f>'CUOTA INDUSTRIAL'!F71</f>
        <v>0</v>
      </c>
      <c r="J72" s="24">
        <f>'CUOTA INDUSTRIAL'!G71</f>
        <v>0.42554999999999998</v>
      </c>
      <c r="K72" s="24">
        <f>'CUOTA INDUSTRIAL'!H71</f>
        <v>0.47799999999999998</v>
      </c>
      <c r="L72" s="24">
        <f>'CUOTA INDUSTRIAL'!I71</f>
        <v>-5.2449999999999997E-2</v>
      </c>
      <c r="M72" s="25">
        <f>'CUOTA INDUSTRIAL'!J69</f>
        <v>1.5977876129351569</v>
      </c>
      <c r="N72" s="22" t="s">
        <v>36</v>
      </c>
      <c r="O72" s="26">
        <f>RESUMEN!$B$5</f>
        <v>44561</v>
      </c>
      <c r="P72" s="27">
        <v>2021</v>
      </c>
      <c r="Q72" s="27"/>
    </row>
    <row r="73" spans="1:17">
      <c r="A73" s="76" t="s">
        <v>30</v>
      </c>
      <c r="B73" s="77" t="s">
        <v>23</v>
      </c>
      <c r="C73" s="22" t="s">
        <v>5</v>
      </c>
      <c r="D73" s="31" t="s">
        <v>21</v>
      </c>
      <c r="E73" s="22" t="str">
        <f>+'CUOTA INDUSTRIAL'!C$71</f>
        <v xml:space="preserve">PESCA CISNE S.A.             </v>
      </c>
      <c r="F73" s="27" t="s">
        <v>26</v>
      </c>
      <c r="G73" s="27" t="s">
        <v>27</v>
      </c>
      <c r="H73" s="24">
        <f>'CUOTA INDUSTRIAL'!E72</f>
        <v>0.63824999999999998</v>
      </c>
      <c r="I73" s="24">
        <f>'CUOTA INDUSTRIAL'!F72</f>
        <v>-0.47899999999999998</v>
      </c>
      <c r="J73" s="24">
        <f>'CUOTA INDUSTRIAL'!G72</f>
        <v>0.10680000000000001</v>
      </c>
      <c r="K73" s="24">
        <f>'CUOTA INDUSTRIAL'!H72</f>
        <v>0.107</v>
      </c>
      <c r="L73" s="24">
        <f>'CUOTA INDUSTRIAL'!I72</f>
        <v>-1.9999999999999185E-4</v>
      </c>
      <c r="M73" s="25">
        <f>'CUOTA INDUSTRIAL'!J70</f>
        <v>0.58785709890318139</v>
      </c>
      <c r="N73" s="22" t="s">
        <v>36</v>
      </c>
      <c r="O73" s="26">
        <f>RESUMEN!$B$5</f>
        <v>44561</v>
      </c>
      <c r="P73" s="27">
        <v>2021</v>
      </c>
      <c r="Q73" s="27"/>
    </row>
    <row r="74" spans="1:17">
      <c r="A74" s="76" t="s">
        <v>30</v>
      </c>
      <c r="B74" s="77" t="s">
        <v>23</v>
      </c>
      <c r="C74" s="22" t="s">
        <v>5</v>
      </c>
      <c r="D74" s="31" t="s">
        <v>21</v>
      </c>
      <c r="E74" s="22" t="str">
        <f>+'CUOTA INDUSTRIAL'!C$71</f>
        <v xml:space="preserve">PESCA CISNE S.A.             </v>
      </c>
      <c r="F74" s="27" t="s">
        <v>24</v>
      </c>
      <c r="G74" s="27" t="s">
        <v>27</v>
      </c>
      <c r="H74" s="24">
        <f>'CUOTA INDUSTRIAL'!K71</f>
        <v>1.0638000000000001</v>
      </c>
      <c r="I74" s="24">
        <f>'CUOTA INDUSTRIAL'!L71</f>
        <v>-0.47899999999999998</v>
      </c>
      <c r="J74" s="24">
        <f>'CUOTA INDUSTRIAL'!M71</f>
        <v>0.5848000000000001</v>
      </c>
      <c r="K74" s="24">
        <f>'CUOTA INDUSTRIAL'!N71</f>
        <v>0.58499999999999996</v>
      </c>
      <c r="L74" s="24">
        <f>'CUOTA INDUSTRIAL'!O71</f>
        <v>-1.9999999999986695E-4</v>
      </c>
      <c r="M74" s="25">
        <f>'CUOTA INDUSTRIAL'!J71</f>
        <v>1.1232522617788745</v>
      </c>
      <c r="N74" s="22" t="s">
        <v>36</v>
      </c>
      <c r="O74" s="26">
        <f>RESUMEN!$B$5</f>
        <v>44561</v>
      </c>
      <c r="P74" s="27">
        <v>2021</v>
      </c>
      <c r="Q74" s="27"/>
    </row>
    <row r="75" spans="1:17">
      <c r="A75" s="76" t="s">
        <v>30</v>
      </c>
      <c r="B75" s="77" t="s">
        <v>23</v>
      </c>
      <c r="C75" s="22" t="s">
        <v>5</v>
      </c>
      <c r="D75" s="31" t="s">
        <v>21</v>
      </c>
      <c r="E75" s="22" t="str">
        <f>+'CUOTA INDUSTRIAL'!C$73</f>
        <v>SUR AUSTRAL S.A. PESQ.</v>
      </c>
      <c r="F75" s="23" t="s">
        <v>24</v>
      </c>
      <c r="G75" s="23" t="s">
        <v>25</v>
      </c>
      <c r="H75" s="24">
        <f>'CUOTA INDUSTRIAL'!E73</f>
        <v>738.7323877</v>
      </c>
      <c r="I75" s="24">
        <f>'CUOTA INDUSTRIAL'!F73</f>
        <v>0</v>
      </c>
      <c r="J75" s="24">
        <f>'CUOTA INDUSTRIAL'!G73</f>
        <v>738.7323877</v>
      </c>
      <c r="K75" s="24">
        <f>'CUOTA INDUSTRIAL'!H73</f>
        <v>74.897000000000006</v>
      </c>
      <c r="L75" s="24">
        <f>'CUOTA INDUSTRIAL'!I73</f>
        <v>663.83538769999996</v>
      </c>
      <c r="M75" s="25">
        <f>'CUOTA INDUSTRIAL'!J71</f>
        <v>1.1232522617788745</v>
      </c>
      <c r="N75" s="22" t="s">
        <v>36</v>
      </c>
      <c r="O75" s="26">
        <f>RESUMEN!$B$5</f>
        <v>44561</v>
      </c>
      <c r="P75" s="27">
        <v>2021</v>
      </c>
      <c r="Q75" s="27"/>
    </row>
    <row r="76" spans="1:17">
      <c r="A76" s="76" t="s">
        <v>30</v>
      </c>
      <c r="B76" s="77" t="s">
        <v>23</v>
      </c>
      <c r="C76" s="22" t="s">
        <v>5</v>
      </c>
      <c r="D76" s="31" t="s">
        <v>21</v>
      </c>
      <c r="E76" s="22" t="str">
        <f>+'CUOTA INDUSTRIAL'!C$73</f>
        <v>SUR AUSTRAL S.A. PESQ.</v>
      </c>
      <c r="F76" s="27" t="s">
        <v>26</v>
      </c>
      <c r="G76" s="27" t="s">
        <v>27</v>
      </c>
      <c r="H76" s="24">
        <f>'CUOTA INDUSTRIAL'!E74</f>
        <v>1107.9683855000001</v>
      </c>
      <c r="I76" s="24">
        <f>'CUOTA INDUSTRIAL'!F74</f>
        <v>-100.065</v>
      </c>
      <c r="J76" s="24">
        <f>'CUOTA INDUSTRIAL'!G74</f>
        <v>1671.7387732</v>
      </c>
      <c r="K76" s="24">
        <f>'CUOTA INDUSTRIAL'!H74</f>
        <v>1584.3520000000001</v>
      </c>
      <c r="L76" s="24">
        <f>'CUOTA INDUSTRIAL'!I74</f>
        <v>87.38677319999988</v>
      </c>
      <c r="M76" s="25">
        <f>'CUOTA INDUSTRIAL'!J72</f>
        <v>1.0018726591760299</v>
      </c>
      <c r="N76" s="22" t="s">
        <v>36</v>
      </c>
      <c r="O76" s="26">
        <f>RESUMEN!$B$5</f>
        <v>44561</v>
      </c>
      <c r="P76" s="27">
        <v>2021</v>
      </c>
      <c r="Q76" s="27"/>
    </row>
    <row r="77" spans="1:17">
      <c r="A77" s="76" t="s">
        <v>30</v>
      </c>
      <c r="B77" s="77" t="s">
        <v>23</v>
      </c>
      <c r="C77" s="22" t="s">
        <v>5</v>
      </c>
      <c r="D77" s="31" t="s">
        <v>21</v>
      </c>
      <c r="E77" s="22" t="str">
        <f>+'CUOTA INDUSTRIAL'!C$73</f>
        <v>SUR AUSTRAL S.A. PESQ.</v>
      </c>
      <c r="F77" s="27" t="s">
        <v>24</v>
      </c>
      <c r="G77" s="27" t="s">
        <v>27</v>
      </c>
      <c r="H77" s="24">
        <f>'CUOTA INDUSTRIAL'!K73</f>
        <v>1846.7007732000002</v>
      </c>
      <c r="I77" s="24">
        <f>'CUOTA INDUSTRIAL'!L73</f>
        <v>-100.065</v>
      </c>
      <c r="J77" s="24">
        <f>'CUOTA INDUSTRIAL'!M73</f>
        <v>1746.6357732000001</v>
      </c>
      <c r="K77" s="24">
        <f>'CUOTA INDUSTRIAL'!N73</f>
        <v>1659.249</v>
      </c>
      <c r="L77" s="24">
        <f>'CUOTA INDUSTRIAL'!O73</f>
        <v>87.386773200000107</v>
      </c>
      <c r="M77" s="25">
        <f>'CUOTA INDUSTRIAL'!J73</f>
        <v>0.10138583504262948</v>
      </c>
      <c r="N77" s="22" t="s">
        <v>36</v>
      </c>
      <c r="O77" s="26">
        <f>RESUMEN!$B$5</f>
        <v>44561</v>
      </c>
      <c r="P77" s="27">
        <v>2021</v>
      </c>
      <c r="Q77" s="27"/>
    </row>
    <row r="78" spans="1:17">
      <c r="A78" s="76" t="s">
        <v>30</v>
      </c>
      <c r="B78" s="77" t="s">
        <v>23</v>
      </c>
      <c r="C78" s="22" t="s">
        <v>5</v>
      </c>
      <c r="D78" s="21" t="s">
        <v>28</v>
      </c>
      <c r="E78" s="21" t="s">
        <v>29</v>
      </c>
      <c r="F78" s="23" t="s">
        <v>24</v>
      </c>
      <c r="G78" s="23" t="s">
        <v>27</v>
      </c>
      <c r="H78" s="24">
        <f>'CUOTA INDUSTRIAL'!K75</f>
        <v>7091.9680859999999</v>
      </c>
      <c r="I78" s="24">
        <f>'CUOTA INDUSTRIAL'!L75</f>
        <v>5213.4470000000001</v>
      </c>
      <c r="J78" s="24">
        <f>'CUOTA INDUSTRIAL'!M75</f>
        <v>12305.415086000001</v>
      </c>
      <c r="K78" s="24">
        <f>'CUOTA INDUSTRIAL'!N75</f>
        <v>9537.6489999999994</v>
      </c>
      <c r="L78" s="24">
        <f>'CUOTA INDUSTRIAL'!O75</f>
        <v>2767.7660860000015</v>
      </c>
      <c r="M78" s="24">
        <f>'CUOTA INDUSTRIAL'!P75</f>
        <v>0.77507738937234893</v>
      </c>
      <c r="N78" s="22" t="s">
        <v>36</v>
      </c>
      <c r="O78" s="26">
        <f>RESUMEN!$B$5</f>
        <v>44561</v>
      </c>
      <c r="P78" s="27">
        <v>2021</v>
      </c>
      <c r="Q78" s="27"/>
    </row>
    <row r="79" spans="1:17">
      <c r="A79" s="76" t="s">
        <v>32</v>
      </c>
      <c r="B79" s="77" t="s">
        <v>23</v>
      </c>
      <c r="C79" s="22" t="s">
        <v>33</v>
      </c>
      <c r="D79" s="31" t="s">
        <v>34</v>
      </c>
      <c r="E79" s="32" t="s">
        <v>35</v>
      </c>
      <c r="F79" s="23" t="s">
        <v>24</v>
      </c>
      <c r="G79" s="23" t="s">
        <v>27</v>
      </c>
      <c r="H79" s="24">
        <f>'RESUMEN PERIODOS'!E13</f>
        <v>50</v>
      </c>
      <c r="I79" s="24">
        <f>'RESUMEN PERIODOS'!F13</f>
        <v>0</v>
      </c>
      <c r="J79" s="24">
        <f>'RESUMEN PERIODOS'!G13</f>
        <v>50</v>
      </c>
      <c r="K79" s="24">
        <f>'RESUMEN PERIODOS'!H13</f>
        <v>0</v>
      </c>
      <c r="L79" s="24">
        <f>'RESUMEN PERIODOS'!I13</f>
        <v>50</v>
      </c>
      <c r="M79" s="25">
        <f>'RESUMEN PERIODOS'!J13</f>
        <v>0</v>
      </c>
      <c r="N79" s="22" t="s">
        <v>36</v>
      </c>
      <c r="O79" s="26">
        <f>RESUMEN!$B$5</f>
        <v>44561</v>
      </c>
      <c r="P79" s="27">
        <v>2021</v>
      </c>
      <c r="Q79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K57"/>
  <sheetViews>
    <sheetView workbookViewId="0">
      <selection activeCell="C4" sqref="C4"/>
    </sheetView>
  </sheetViews>
  <sheetFormatPr baseColWidth="10" defaultColWidth="11.42578125" defaultRowHeight="15"/>
  <cols>
    <col min="1" max="1" width="11.42578125" style="1"/>
    <col min="2" max="2" width="41.140625" style="1" customWidth="1"/>
    <col min="3" max="3" width="14.5703125" style="1" customWidth="1"/>
    <col min="4" max="4" width="11.5703125" style="1" bestFit="1" customWidth="1"/>
    <col min="5" max="5" width="11.42578125" style="1"/>
    <col min="6" max="6" width="13.28515625" style="1" bestFit="1" customWidth="1"/>
    <col min="7" max="7" width="11.42578125" style="1"/>
    <col min="8" max="8" width="12" style="1" bestFit="1" customWidth="1"/>
    <col min="9" max="16384" width="11.42578125" style="1"/>
  </cols>
  <sheetData>
    <row r="1" spans="2:11" ht="15.75" thickBot="1"/>
    <row r="2" spans="2:11" ht="15.75" thickBot="1">
      <c r="B2" s="13" t="s">
        <v>39</v>
      </c>
      <c r="C2" s="9" t="s">
        <v>40</v>
      </c>
    </row>
    <row r="3" spans="2:11">
      <c r="B3" s="6" t="s">
        <v>41</v>
      </c>
      <c r="C3" s="7">
        <v>9339</v>
      </c>
      <c r="D3" s="132">
        <f>C3+C4</f>
        <v>23348</v>
      </c>
    </row>
    <row r="4" spans="2:11" ht="15.75" thickBot="1">
      <c r="B4" s="5" t="s">
        <v>42</v>
      </c>
      <c r="C4" s="4">
        <v>14009</v>
      </c>
      <c r="D4" s="133"/>
    </row>
    <row r="5" spans="2:11">
      <c r="B5" s="6" t="s">
        <v>43</v>
      </c>
      <c r="C5" s="7">
        <v>6226</v>
      </c>
      <c r="D5" s="132">
        <f>C5+C6</f>
        <v>15566</v>
      </c>
    </row>
    <row r="6" spans="2:11" ht="15.75" thickBot="1">
      <c r="B6" s="5" t="s">
        <v>44</v>
      </c>
      <c r="C6" s="4">
        <v>9340</v>
      </c>
      <c r="D6" s="133"/>
    </row>
    <row r="7" spans="2:11" ht="15.75" thickBot="1">
      <c r="C7" s="8">
        <f>SUM(C3:C6)</f>
        <v>38914</v>
      </c>
    </row>
    <row r="10" spans="2:11">
      <c r="B10" s="131" t="s">
        <v>45</v>
      </c>
      <c r="C10" s="131"/>
      <c r="D10" s="131"/>
      <c r="E10" s="131"/>
      <c r="F10" s="131"/>
    </row>
    <row r="12" spans="2:11">
      <c r="B12" s="3" t="s">
        <v>46</v>
      </c>
      <c r="C12" s="3" t="s">
        <v>37</v>
      </c>
      <c r="D12" s="3" t="s">
        <v>47</v>
      </c>
      <c r="E12" s="3" t="s">
        <v>48</v>
      </c>
      <c r="F12" s="3" t="s">
        <v>49</v>
      </c>
      <c r="H12" s="15" t="s">
        <v>21</v>
      </c>
      <c r="I12" s="3" t="s">
        <v>47</v>
      </c>
      <c r="J12" s="3" t="s">
        <v>48</v>
      </c>
    </row>
    <row r="13" spans="2:11">
      <c r="B13" s="2" t="s">
        <v>50</v>
      </c>
      <c r="C13" s="2">
        <v>0.29008030000000001</v>
      </c>
      <c r="D13" s="10">
        <f>$C$3*C13</f>
        <v>2709.0599216999999</v>
      </c>
      <c r="E13" s="10">
        <f>$C$4*C13</f>
        <v>4063.7349227</v>
      </c>
      <c r="F13" s="10">
        <f>D13+E13</f>
        <v>6772.7948443999994</v>
      </c>
      <c r="H13" s="2" t="s">
        <v>51</v>
      </c>
      <c r="I13" s="10">
        <f>D15+D16+D19+D20+D30</f>
        <v>383.9813901</v>
      </c>
      <c r="J13" s="10">
        <f>E15+E16+E19+E20+E30</f>
        <v>575.99264310000001</v>
      </c>
      <c r="K13" s="19">
        <f>SUM(I13:J13)</f>
        <v>959.97403320000001</v>
      </c>
    </row>
    <row r="14" spans="2:11">
      <c r="B14" s="2" t="s">
        <v>52</v>
      </c>
      <c r="C14" s="2">
        <v>2.9999999999999997E-4</v>
      </c>
      <c r="D14" s="10">
        <f>$C$3*C14</f>
        <v>2.8016999999999999</v>
      </c>
      <c r="E14" s="10">
        <f t="shared" ref="E14:E35" si="0">$C$4*C14</f>
        <v>4.2026999999999992</v>
      </c>
      <c r="F14" s="10">
        <f t="shared" ref="F14:F35" si="1">D14+E14</f>
        <v>7.0043999999999986</v>
      </c>
    </row>
    <row r="15" spans="2:11">
      <c r="B15" s="2" t="s">
        <v>51</v>
      </c>
      <c r="C15" s="2">
        <v>3.3191600000000002E-2</v>
      </c>
      <c r="D15" s="10">
        <f t="shared" ref="D15:D35" si="2">$C$3*C15</f>
        <v>309.9763524</v>
      </c>
      <c r="E15" s="10">
        <f t="shared" si="0"/>
        <v>464.9811244</v>
      </c>
      <c r="F15" s="10">
        <f t="shared" si="1"/>
        <v>774.95747679999999</v>
      </c>
    </row>
    <row r="16" spans="2:11">
      <c r="B16" s="2" t="s">
        <v>51</v>
      </c>
      <c r="C16" s="2">
        <v>2.0000000000000002E-5</v>
      </c>
      <c r="D16" s="10">
        <f t="shared" si="2"/>
        <v>0.18678</v>
      </c>
      <c r="E16" s="10">
        <f t="shared" si="0"/>
        <v>0.28018000000000004</v>
      </c>
      <c r="F16" s="10">
        <f t="shared" si="1"/>
        <v>0.46696000000000004</v>
      </c>
    </row>
    <row r="17" spans="2:6">
      <c r="B17" s="2" t="s">
        <v>53</v>
      </c>
      <c r="C17" s="2">
        <v>5.4603000000000004E-3</v>
      </c>
      <c r="D17" s="10">
        <f t="shared" si="2"/>
        <v>50.993741700000001</v>
      </c>
      <c r="E17" s="10">
        <f t="shared" si="0"/>
        <v>76.493342699999999</v>
      </c>
      <c r="F17" s="10">
        <f t="shared" si="1"/>
        <v>127.4870844</v>
      </c>
    </row>
    <row r="18" spans="2:6">
      <c r="B18" s="2" t="s">
        <v>54</v>
      </c>
      <c r="C18" s="2">
        <v>0.12668599999999999</v>
      </c>
      <c r="D18" s="10">
        <f t="shared" si="2"/>
        <v>1183.1205539999999</v>
      </c>
      <c r="E18" s="10">
        <f t="shared" si="0"/>
        <v>1774.7441739999999</v>
      </c>
      <c r="F18" s="10">
        <f t="shared" si="1"/>
        <v>2957.8647279999996</v>
      </c>
    </row>
    <row r="19" spans="2:6">
      <c r="B19" s="2" t="s">
        <v>51</v>
      </c>
      <c r="C19" s="2">
        <v>5.3096000000000003E-3</v>
      </c>
      <c r="D19" s="10">
        <f t="shared" si="2"/>
        <v>49.586354400000005</v>
      </c>
      <c r="E19" s="10">
        <f t="shared" si="0"/>
        <v>74.382186400000009</v>
      </c>
      <c r="F19" s="10">
        <f t="shared" si="1"/>
        <v>123.96854080000001</v>
      </c>
    </row>
    <row r="20" spans="2:6">
      <c r="B20" s="2" t="s">
        <v>51</v>
      </c>
      <c r="C20" s="2">
        <v>2.3E-5</v>
      </c>
      <c r="D20" s="10">
        <f t="shared" si="2"/>
        <v>0.21479699999999999</v>
      </c>
      <c r="E20" s="10">
        <f t="shared" si="0"/>
        <v>0.32220700000000002</v>
      </c>
      <c r="F20" s="10">
        <f t="shared" si="1"/>
        <v>0.53700400000000004</v>
      </c>
    </row>
    <row r="21" spans="2:6">
      <c r="B21" s="2" t="s">
        <v>55</v>
      </c>
      <c r="C21" s="2">
        <v>0.14903050000000001</v>
      </c>
      <c r="D21" s="10">
        <f t="shared" si="2"/>
        <v>1391.7958395000001</v>
      </c>
      <c r="E21" s="10">
        <f t="shared" si="0"/>
        <v>2087.7682745000002</v>
      </c>
      <c r="F21" s="10">
        <f t="shared" si="1"/>
        <v>3479.5641140000002</v>
      </c>
    </row>
    <row r="22" spans="2:6">
      <c r="B22" s="2" t="s">
        <v>56</v>
      </c>
      <c r="C22" s="2">
        <v>1.1691500000000001E-2</v>
      </c>
      <c r="D22" s="10">
        <f t="shared" si="2"/>
        <v>109.1869185</v>
      </c>
      <c r="E22" s="10">
        <f t="shared" si="0"/>
        <v>163.78622350000001</v>
      </c>
      <c r="F22" s="10">
        <f t="shared" si="1"/>
        <v>272.973142</v>
      </c>
    </row>
    <row r="23" spans="2:6">
      <c r="B23" s="2" t="s">
        <v>57</v>
      </c>
      <c r="C23" s="2">
        <v>2.9831300000000002E-2</v>
      </c>
      <c r="D23" s="10">
        <f t="shared" si="2"/>
        <v>278.5945107</v>
      </c>
      <c r="E23" s="10">
        <f t="shared" si="0"/>
        <v>417.90668170000004</v>
      </c>
      <c r="F23" s="10">
        <f t="shared" si="1"/>
        <v>696.50119240000004</v>
      </c>
    </row>
    <row r="24" spans="2:6">
      <c r="B24" s="2" t="s">
        <v>58</v>
      </c>
      <c r="C24" s="2">
        <v>1.01E-5</v>
      </c>
      <c r="D24" s="10">
        <f t="shared" si="2"/>
        <v>9.4323900000000002E-2</v>
      </c>
      <c r="E24" s="10">
        <f t="shared" si="0"/>
        <v>0.1414909</v>
      </c>
      <c r="F24" s="10">
        <f t="shared" si="1"/>
        <v>0.23581479999999999</v>
      </c>
    </row>
    <row r="25" spans="2:6">
      <c r="B25" s="2" t="s">
        <v>59</v>
      </c>
      <c r="C25" s="2">
        <v>1.01E-5</v>
      </c>
      <c r="D25" s="10">
        <f t="shared" si="2"/>
        <v>9.4323900000000002E-2</v>
      </c>
      <c r="E25" s="10">
        <f t="shared" si="0"/>
        <v>0.1414909</v>
      </c>
      <c r="F25" s="10">
        <f t="shared" si="1"/>
        <v>0.23581479999999999</v>
      </c>
    </row>
    <row r="26" spans="2:6">
      <c r="B26" s="2" t="s">
        <v>60</v>
      </c>
      <c r="C26" s="2">
        <v>1.01E-5</v>
      </c>
      <c r="D26" s="10">
        <f t="shared" si="2"/>
        <v>9.4323900000000002E-2</v>
      </c>
      <c r="E26" s="10">
        <f t="shared" si="0"/>
        <v>0.1414909</v>
      </c>
      <c r="F26" s="10">
        <f t="shared" si="1"/>
        <v>0.23581479999999999</v>
      </c>
    </row>
    <row r="27" spans="2:6">
      <c r="B27" s="2" t="s">
        <v>61</v>
      </c>
      <c r="C27" s="2">
        <v>8.4750000000000006E-2</v>
      </c>
      <c r="D27" s="10">
        <f t="shared" si="2"/>
        <v>791.48025000000007</v>
      </c>
      <c r="E27" s="10">
        <f t="shared" si="0"/>
        <v>1187.2627500000001</v>
      </c>
      <c r="F27" s="10">
        <f t="shared" si="1"/>
        <v>1978.7430000000002</v>
      </c>
    </row>
    <row r="28" spans="2:6">
      <c r="B28" s="2" t="s">
        <v>62</v>
      </c>
      <c r="C28" s="2">
        <v>0.12590789999999999</v>
      </c>
      <c r="D28" s="10">
        <f t="shared" si="2"/>
        <v>1175.8538781</v>
      </c>
      <c r="E28" s="10">
        <f t="shared" si="0"/>
        <v>1763.8437710999999</v>
      </c>
      <c r="F28" s="10">
        <f t="shared" si="1"/>
        <v>2939.6976491999999</v>
      </c>
    </row>
    <row r="29" spans="2:6">
      <c r="B29" s="2" t="s">
        <v>63</v>
      </c>
      <c r="C29" s="2">
        <v>3.6186999999999999E-3</v>
      </c>
      <c r="D29" s="10">
        <f t="shared" si="2"/>
        <v>33.795039299999999</v>
      </c>
      <c r="E29" s="10">
        <f t="shared" si="0"/>
        <v>50.694368300000001</v>
      </c>
      <c r="F29" s="10">
        <f t="shared" si="1"/>
        <v>84.489407599999993</v>
      </c>
    </row>
    <row r="30" spans="2:6">
      <c r="B30" s="2" t="s">
        <v>51</v>
      </c>
      <c r="C30" s="2">
        <v>2.5717000000000001E-3</v>
      </c>
      <c r="D30" s="10">
        <f t="shared" si="2"/>
        <v>24.017106300000002</v>
      </c>
      <c r="E30" s="10">
        <f t="shared" si="0"/>
        <v>36.026945300000001</v>
      </c>
      <c r="F30" s="10">
        <f t="shared" si="1"/>
        <v>60.044051600000003</v>
      </c>
    </row>
    <row r="31" spans="2:6">
      <c r="B31" s="2" t="s">
        <v>64</v>
      </c>
      <c r="C31" s="2">
        <v>0.1272432</v>
      </c>
      <c r="D31" s="10">
        <f t="shared" si="2"/>
        <v>1188.3242448000001</v>
      </c>
      <c r="E31" s="10">
        <f t="shared" si="0"/>
        <v>1782.5499887999999</v>
      </c>
      <c r="F31" s="10">
        <f t="shared" si="1"/>
        <v>2970.8742336</v>
      </c>
    </row>
    <row r="32" spans="2:6">
      <c r="B32" s="2" t="s">
        <v>65</v>
      </c>
      <c r="C32" s="2">
        <v>4.1539000000000003E-3</v>
      </c>
      <c r="D32" s="10">
        <f t="shared" si="2"/>
        <v>38.793272100000003</v>
      </c>
      <c r="E32" s="10">
        <f t="shared" si="0"/>
        <v>58.191985100000004</v>
      </c>
      <c r="F32" s="10">
        <f t="shared" si="1"/>
        <v>96.985257200000007</v>
      </c>
    </row>
    <row r="33" spans="2:6">
      <c r="B33" s="2" t="s">
        <v>66</v>
      </c>
      <c r="C33" s="2">
        <v>1.01E-5</v>
      </c>
      <c r="D33" s="10">
        <f t="shared" si="2"/>
        <v>9.4323900000000002E-2</v>
      </c>
      <c r="E33" s="10">
        <f t="shared" si="0"/>
        <v>0.1414909</v>
      </c>
      <c r="F33" s="10">
        <f t="shared" si="1"/>
        <v>0.23581479999999999</v>
      </c>
    </row>
    <row r="34" spans="2:6">
      <c r="B34" s="2" t="s">
        <v>67</v>
      </c>
      <c r="C34" s="2">
        <v>4.0000000000000003E-5</v>
      </c>
      <c r="D34" s="10">
        <f t="shared" si="2"/>
        <v>0.37356</v>
      </c>
      <c r="E34" s="10">
        <f t="shared" si="0"/>
        <v>0.56036000000000008</v>
      </c>
      <c r="F34" s="10">
        <f t="shared" si="1"/>
        <v>0.93392000000000008</v>
      </c>
    </row>
    <row r="35" spans="2:6">
      <c r="B35" s="20" t="s">
        <v>77</v>
      </c>
      <c r="C35" s="2">
        <v>5.0000000000000002E-5</v>
      </c>
      <c r="D35" s="10">
        <f t="shared" si="2"/>
        <v>0.46695000000000003</v>
      </c>
      <c r="E35" s="10">
        <f t="shared" si="0"/>
        <v>0.70045000000000002</v>
      </c>
      <c r="F35" s="10">
        <f t="shared" si="1"/>
        <v>1.1674</v>
      </c>
    </row>
    <row r="36" spans="2:6">
      <c r="C36" s="18">
        <f>SUM(C13:C35)</f>
        <v>0.99999989999999994</v>
      </c>
      <c r="D36" s="11">
        <f>SUM(D13:D35)</f>
        <v>9338.9990660999993</v>
      </c>
      <c r="E36" s="11">
        <f>SUM(E13:E35)</f>
        <v>14008.998599099998</v>
      </c>
      <c r="F36" s="11">
        <f>SUM(F13:F35)</f>
        <v>23347.997665199997</v>
      </c>
    </row>
    <row r="39" spans="2:6">
      <c r="B39" s="131" t="s">
        <v>68</v>
      </c>
      <c r="C39" s="131"/>
      <c r="D39" s="131"/>
      <c r="E39" s="131"/>
      <c r="F39" s="131"/>
    </row>
    <row r="41" spans="2:6">
      <c r="B41" s="3" t="s">
        <v>46</v>
      </c>
      <c r="C41" s="3" t="s">
        <v>37</v>
      </c>
      <c r="D41" s="3" t="s">
        <v>47</v>
      </c>
      <c r="E41" s="3" t="s">
        <v>48</v>
      </c>
      <c r="F41" s="3" t="s">
        <v>49</v>
      </c>
    </row>
    <row r="42" spans="2:6">
      <c r="B42" s="2" t="s">
        <v>69</v>
      </c>
      <c r="C42" s="2">
        <v>3.7839999999999998E-4</v>
      </c>
      <c r="D42" s="10">
        <f>$C$5*C42</f>
        <v>2.3559183999999997</v>
      </c>
      <c r="E42" s="10">
        <f>$C$6*C42</f>
        <v>3.5342559999999996</v>
      </c>
      <c r="F42" s="10">
        <f>D42+E42</f>
        <v>5.8901743999999994</v>
      </c>
    </row>
    <row r="43" spans="2:6">
      <c r="B43" s="2" t="s">
        <v>61</v>
      </c>
      <c r="C43" s="2">
        <v>0.402895</v>
      </c>
      <c r="D43" s="10">
        <f t="shared" ref="D43:D47" si="3">$C$5*C43</f>
        <v>2508.42427</v>
      </c>
      <c r="E43" s="10">
        <f t="shared" ref="E43:E47" si="4">$C$6*C43</f>
        <v>3763.0392999999999</v>
      </c>
      <c r="F43" s="10">
        <f t="shared" ref="F43:F47" si="5">D43+E43</f>
        <v>6271.4635699999999</v>
      </c>
    </row>
    <row r="44" spans="2:6">
      <c r="B44" s="2" t="s">
        <v>54</v>
      </c>
      <c r="C44" s="2">
        <v>0.13303760000000001</v>
      </c>
      <c r="D44" s="10">
        <f t="shared" si="3"/>
        <v>828.29209760000003</v>
      </c>
      <c r="E44" s="10">
        <f t="shared" si="4"/>
        <v>1242.5711840000001</v>
      </c>
      <c r="F44" s="10">
        <f t="shared" si="5"/>
        <v>2070.8632815999999</v>
      </c>
    </row>
    <row r="45" spans="2:6">
      <c r="B45" s="2" t="s">
        <v>63</v>
      </c>
      <c r="C45" s="2">
        <v>0.29341210000000001</v>
      </c>
      <c r="D45" s="10">
        <f t="shared" si="3"/>
        <v>1826.7837346000001</v>
      </c>
      <c r="E45" s="10">
        <f t="shared" si="4"/>
        <v>2740.4690140000002</v>
      </c>
      <c r="F45" s="10">
        <f t="shared" si="5"/>
        <v>4567.2527485999999</v>
      </c>
    </row>
    <row r="46" spans="2:6">
      <c r="B46" s="2" t="s">
        <v>66</v>
      </c>
      <c r="C46" s="2">
        <v>1.0000000000000001E-5</v>
      </c>
      <c r="D46" s="10">
        <f t="shared" si="3"/>
        <v>6.2260000000000003E-2</v>
      </c>
      <c r="E46" s="10">
        <f t="shared" si="4"/>
        <v>9.3400000000000011E-2</v>
      </c>
      <c r="F46" s="10">
        <f t="shared" si="5"/>
        <v>0.15566000000000002</v>
      </c>
    </row>
    <row r="47" spans="2:6">
      <c r="B47" s="2" t="s">
        <v>64</v>
      </c>
      <c r="C47" s="2">
        <v>0.17026240000000001</v>
      </c>
      <c r="D47" s="10">
        <f t="shared" si="3"/>
        <v>1060.0537024</v>
      </c>
      <c r="E47" s="10">
        <f t="shared" si="4"/>
        <v>1590.250816</v>
      </c>
      <c r="F47" s="10">
        <f t="shared" si="5"/>
        <v>2650.3045184000002</v>
      </c>
    </row>
    <row r="48" spans="2:6">
      <c r="C48" s="14">
        <f>SUM(C42:C47)</f>
        <v>0.99999550000000004</v>
      </c>
      <c r="D48" s="11">
        <f>SUM(D42:D47)</f>
        <v>6225.9719829999995</v>
      </c>
      <c r="E48" s="11">
        <f>SUM(E42:E47)</f>
        <v>9339.9579699999995</v>
      </c>
      <c r="F48" s="11">
        <f>SUM(F42:F47)</f>
        <v>15565.929953000001</v>
      </c>
    </row>
    <row r="52" spans="2:6">
      <c r="B52" s="131" t="s">
        <v>70</v>
      </c>
      <c r="C52" s="131"/>
      <c r="D52" s="131"/>
      <c r="E52" s="131"/>
      <c r="F52" s="131"/>
    </row>
    <row r="54" spans="2:6">
      <c r="B54" s="12" t="s">
        <v>71</v>
      </c>
      <c r="C54" s="12" t="s">
        <v>72</v>
      </c>
    </row>
    <row r="55" spans="2:6">
      <c r="B55" s="2" t="s">
        <v>33</v>
      </c>
      <c r="C55" s="2">
        <v>95</v>
      </c>
    </row>
    <row r="56" spans="2:6">
      <c r="B56" s="2" t="s">
        <v>73</v>
      </c>
      <c r="C56" s="2">
        <v>855</v>
      </c>
    </row>
    <row r="57" spans="2:6">
      <c r="C57" s="15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RESUMEN PERIODOS</vt:lpstr>
      <vt:lpstr>CUOTA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SBENALCAZAR</cp:lastModifiedBy>
  <dcterms:created xsi:type="dcterms:W3CDTF">2018-02-13T19:46:54Z</dcterms:created>
  <dcterms:modified xsi:type="dcterms:W3CDTF">2022-02-23T19:04:32Z</dcterms:modified>
</cp:coreProperties>
</file>