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3.- Demersales\Congrio Dorado 2018\"/>
    </mc:Choice>
  </mc:AlternateContent>
  <bookViews>
    <workbookView xWindow="0" yWindow="0" windowWidth="9510" windowHeight="11175" tabRatio="89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r:id="rId6"/>
    <sheet name="Pag. Web" sheetId="9" r:id="rId7"/>
  </sheets>
  <externalReferences>
    <externalReference r:id="rId8"/>
  </externalReferences>
  <definedNames>
    <definedName name="_xlnm._FilterDatabase" localSheetId="6" hidden="1">'Pag. Web'!$A$1:$O$100</definedName>
    <definedName name="_xlnm._FilterDatabase" localSheetId="1" hidden="1">'Resumen Periodo Congrio dorado'!$B$6:$K$35</definedName>
  </definedNames>
  <calcPr calcId="162913"/>
</workbook>
</file>

<file path=xl/calcChain.xml><?xml version="1.0" encoding="utf-8"?>
<calcChain xmlns="http://schemas.openxmlformats.org/spreadsheetml/2006/main">
  <c r="H30" i="4" l="1"/>
  <c r="M25" i="9" l="1"/>
  <c r="L25" i="9"/>
  <c r="K25" i="9"/>
  <c r="J25" i="9"/>
  <c r="I25" i="9"/>
  <c r="H25" i="9"/>
  <c r="F28" i="4" l="1"/>
  <c r="F26" i="4"/>
  <c r="F34" i="4" l="1"/>
  <c r="F32" i="4"/>
  <c r="I17" i="4"/>
  <c r="K17" i="4"/>
  <c r="M17" i="4" s="1"/>
  <c r="O17" i="4" s="1"/>
  <c r="L17" i="4"/>
  <c r="N17" i="4"/>
  <c r="P17" i="4" s="1"/>
  <c r="J17" i="4"/>
  <c r="G18" i="4"/>
  <c r="G17" i="4"/>
  <c r="F17" i="4"/>
  <c r="F21" i="4" s="1"/>
  <c r="F20" i="4"/>
  <c r="F19" i="4"/>
  <c r="F12" i="4"/>
  <c r="F8" i="4"/>
  <c r="F14" i="4"/>
  <c r="I18" i="4" l="1"/>
  <c r="J18" i="4"/>
  <c r="I9" i="8" l="1"/>
  <c r="H9" i="8"/>
  <c r="H7" i="8"/>
  <c r="I7" i="8"/>
  <c r="K7" i="5" l="1"/>
  <c r="K8" i="5"/>
  <c r="F9" i="5"/>
  <c r="F8" i="5"/>
  <c r="F10" i="5"/>
  <c r="F7" i="5"/>
  <c r="J9" i="5"/>
  <c r="K9" i="5" l="1"/>
  <c r="N37" i="2"/>
  <c r="L35" i="2"/>
  <c r="G35" i="2"/>
  <c r="O35" i="2"/>
  <c r="F29" i="4" l="1"/>
  <c r="K10" i="5" l="1"/>
  <c r="I8" i="5"/>
  <c r="H40" i="2" l="1"/>
  <c r="H30" i="2" l="1"/>
  <c r="H31" i="2"/>
  <c r="I48" i="9"/>
  <c r="G24" i="7" l="1"/>
  <c r="AA9" i="4" l="1"/>
  <c r="G7" i="4"/>
  <c r="N99" i="9"/>
  <c r="N98" i="9"/>
  <c r="H100" i="9"/>
  <c r="J100" i="9" s="1"/>
  <c r="H99" i="9"/>
  <c r="H98" i="9"/>
  <c r="J98" i="9" s="1"/>
  <c r="N72" i="9" l="1"/>
  <c r="N69" i="9"/>
  <c r="N68" i="9"/>
  <c r="N62" i="9"/>
  <c r="N57" i="9"/>
  <c r="N56" i="9"/>
  <c r="N54" i="9"/>
  <c r="N53" i="9"/>
  <c r="N51" i="9"/>
  <c r="N50" i="9"/>
  <c r="N48" i="9"/>
  <c r="N47" i="9"/>
  <c r="N45" i="9"/>
  <c r="N42" i="9"/>
  <c r="N41" i="9"/>
  <c r="N39" i="9"/>
  <c r="N38" i="9"/>
  <c r="N36" i="9"/>
  <c r="N35" i="9"/>
  <c r="N74" i="9" l="1"/>
  <c r="N71" i="9"/>
  <c r="N66" i="9"/>
  <c r="N65" i="9"/>
  <c r="N63" i="9"/>
  <c r="N60" i="9"/>
  <c r="N59" i="9"/>
  <c r="N44" i="9"/>
  <c r="H35" i="4" l="1"/>
  <c r="E31" i="2" l="1"/>
  <c r="H81" i="9" l="1"/>
  <c r="I81" i="9"/>
  <c r="K81" i="9"/>
  <c r="H82" i="9"/>
  <c r="I82" i="9"/>
  <c r="K82" i="9"/>
  <c r="H83" i="9"/>
  <c r="I83" i="9"/>
  <c r="K83" i="9"/>
  <c r="H84" i="9"/>
  <c r="I84" i="9"/>
  <c r="K84" i="9"/>
  <c r="H85" i="9"/>
  <c r="I85" i="9"/>
  <c r="K85" i="9"/>
  <c r="H86" i="9"/>
  <c r="I86" i="9"/>
  <c r="K86" i="9"/>
  <c r="H87" i="9"/>
  <c r="I87" i="9"/>
  <c r="K87" i="9"/>
  <c r="H88" i="9"/>
  <c r="I88" i="9"/>
  <c r="K88" i="9"/>
  <c r="H89" i="9"/>
  <c r="I89" i="9"/>
  <c r="K89" i="9"/>
  <c r="H90" i="9"/>
  <c r="I90" i="9"/>
  <c r="K90" i="9"/>
  <c r="H91" i="9"/>
  <c r="I91" i="9"/>
  <c r="K91" i="9"/>
  <c r="I80" i="9"/>
  <c r="K80" i="9"/>
  <c r="H80" i="9"/>
  <c r="H75" i="9"/>
  <c r="I75" i="9"/>
  <c r="K75" i="9"/>
  <c r="H77" i="9"/>
  <c r="I77" i="9"/>
  <c r="K77" i="9"/>
  <c r="H78" i="9"/>
  <c r="I78" i="9"/>
  <c r="K78" i="9"/>
  <c r="I74" i="9"/>
  <c r="K74" i="9"/>
  <c r="H74" i="9"/>
  <c r="H69" i="9"/>
  <c r="I69" i="9"/>
  <c r="K69" i="9"/>
  <c r="H71" i="9"/>
  <c r="I71" i="9"/>
  <c r="K71" i="9"/>
  <c r="H72" i="9"/>
  <c r="I72" i="9"/>
  <c r="K72" i="9"/>
  <c r="I68" i="9"/>
  <c r="K68" i="9"/>
  <c r="H68" i="9"/>
  <c r="H36" i="9"/>
  <c r="I36" i="9"/>
  <c r="K36" i="9"/>
  <c r="H38" i="9"/>
  <c r="I38" i="9"/>
  <c r="K38" i="9"/>
  <c r="H39" i="9"/>
  <c r="I39" i="9"/>
  <c r="K39" i="9"/>
  <c r="H41" i="9"/>
  <c r="I41" i="9"/>
  <c r="K41" i="9"/>
  <c r="H42" i="9"/>
  <c r="I42" i="9"/>
  <c r="K42" i="9"/>
  <c r="H44" i="9"/>
  <c r="I44" i="9"/>
  <c r="K44" i="9"/>
  <c r="H45" i="9"/>
  <c r="I45" i="9"/>
  <c r="K45" i="9"/>
  <c r="H47" i="9"/>
  <c r="I47" i="9"/>
  <c r="K47" i="9"/>
  <c r="H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I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I35" i="9"/>
  <c r="K35" i="9"/>
  <c r="H35" i="9"/>
  <c r="I32" i="9"/>
  <c r="K32" i="9"/>
  <c r="I33" i="9"/>
  <c r="K33" i="9"/>
  <c r="H33" i="9"/>
  <c r="H32" i="9"/>
  <c r="I26" i="9"/>
  <c r="K26" i="9"/>
  <c r="I27" i="9"/>
  <c r="K27" i="9"/>
  <c r="I29" i="9"/>
  <c r="K29" i="9"/>
  <c r="I30" i="9"/>
  <c r="K30" i="9"/>
  <c r="H27" i="9"/>
  <c r="H29" i="9"/>
  <c r="H30" i="9"/>
  <c r="H26" i="9"/>
  <c r="K24" i="9"/>
  <c r="K23" i="9"/>
  <c r="I24" i="9"/>
  <c r="I23" i="9"/>
  <c r="H24" i="9"/>
  <c r="H23" i="9"/>
  <c r="K21" i="9"/>
  <c r="K20" i="9"/>
  <c r="I21" i="9"/>
  <c r="I20" i="9"/>
  <c r="H21" i="9"/>
  <c r="H20" i="9"/>
  <c r="K18" i="9"/>
  <c r="K17" i="9"/>
  <c r="I18" i="9"/>
  <c r="I17" i="9"/>
  <c r="H18" i="9"/>
  <c r="H17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H50" i="2" l="1"/>
  <c r="L55" i="2" l="1"/>
  <c r="H92" i="9" s="1"/>
  <c r="AD9" i="4" l="1"/>
  <c r="H68" i="2" l="1"/>
  <c r="H15" i="6" l="1"/>
  <c r="G13" i="7" s="1"/>
  <c r="G26" i="7"/>
  <c r="G25" i="7"/>
  <c r="D26" i="7"/>
  <c r="D25" i="7"/>
  <c r="F25" i="7" s="1"/>
  <c r="D24" i="7"/>
  <c r="F24" i="7" s="1"/>
  <c r="E32" i="6"/>
  <c r="H31" i="6"/>
  <c r="G15" i="7" s="1"/>
  <c r="H30" i="6"/>
  <c r="H29" i="6"/>
  <c r="H28" i="6"/>
  <c r="H27" i="6"/>
  <c r="H26" i="6"/>
  <c r="H25" i="6"/>
  <c r="H24" i="6"/>
  <c r="H23" i="6"/>
  <c r="H22" i="6"/>
  <c r="H21" i="6"/>
  <c r="H20" i="6"/>
  <c r="H19" i="6"/>
  <c r="F31" i="6"/>
  <c r="E15" i="7" s="1"/>
  <c r="F30" i="6"/>
  <c r="F29" i="6"/>
  <c r="F28" i="6"/>
  <c r="F27" i="6"/>
  <c r="F26" i="6"/>
  <c r="F25" i="6"/>
  <c r="F24" i="6"/>
  <c r="F23" i="6"/>
  <c r="F22" i="6"/>
  <c r="F21" i="6"/>
  <c r="F20" i="6"/>
  <c r="F19" i="6"/>
  <c r="E31" i="6"/>
  <c r="D15" i="7" s="1"/>
  <c r="E21" i="6"/>
  <c r="E22" i="6"/>
  <c r="E23" i="6"/>
  <c r="E24" i="6"/>
  <c r="E25" i="6"/>
  <c r="E26" i="6"/>
  <c r="E27" i="6"/>
  <c r="E28" i="6"/>
  <c r="E29" i="6"/>
  <c r="E30" i="6"/>
  <c r="E20" i="6"/>
  <c r="E19" i="6"/>
  <c r="H18" i="6"/>
  <c r="G14" i="7" s="1"/>
  <c r="H17" i="6"/>
  <c r="H16" i="6"/>
  <c r="F18" i="6"/>
  <c r="E14" i="7" s="1"/>
  <c r="F17" i="6"/>
  <c r="F16" i="6"/>
  <c r="E18" i="6"/>
  <c r="D14" i="7" s="1"/>
  <c r="E17" i="6"/>
  <c r="E16" i="6"/>
  <c r="E15" i="6"/>
  <c r="D13" i="7" s="1"/>
  <c r="H14" i="6"/>
  <c r="H13" i="6"/>
  <c r="F14" i="6"/>
  <c r="F13" i="6"/>
  <c r="E14" i="6"/>
  <c r="E13" i="6"/>
  <c r="H12" i="6"/>
  <c r="G12" i="7" s="1"/>
  <c r="F12" i="6"/>
  <c r="E12" i="7" s="1"/>
  <c r="E12" i="6"/>
  <c r="D12" i="7" s="1"/>
  <c r="H9" i="6"/>
  <c r="G11" i="7" s="1"/>
  <c r="F9" i="6"/>
  <c r="E11" i="7" s="1"/>
  <c r="E9" i="6"/>
  <c r="D11" i="7" s="1"/>
  <c r="I26" i="7" l="1"/>
  <c r="H26" i="7"/>
  <c r="G9" i="7"/>
  <c r="E9" i="7"/>
  <c r="G13" i="6"/>
  <c r="D9" i="7"/>
  <c r="G10" i="7"/>
  <c r="K97" i="9" s="1"/>
  <c r="D10" i="7"/>
  <c r="H97" i="9" s="1"/>
  <c r="E10" i="7"/>
  <c r="I97" i="9" s="1"/>
  <c r="E8" i="7"/>
  <c r="D8" i="7"/>
  <c r="H96" i="9" s="1"/>
  <c r="G8" i="7"/>
  <c r="I24" i="7"/>
  <c r="F26" i="7"/>
  <c r="I25" i="7"/>
  <c r="H24" i="7"/>
  <c r="H25" i="7"/>
  <c r="I96" i="9" l="1"/>
  <c r="K96" i="9"/>
  <c r="F14" i="7"/>
  <c r="H14" i="7" s="1"/>
  <c r="F12" i="7"/>
  <c r="H12" i="7" s="1"/>
  <c r="F10" i="7"/>
  <c r="J97" i="9" s="1"/>
  <c r="F8" i="7"/>
  <c r="J31" i="6"/>
  <c r="I31" i="6"/>
  <c r="G31" i="6"/>
  <c r="G19" i="6"/>
  <c r="J18" i="6"/>
  <c r="I18" i="6"/>
  <c r="G18" i="6"/>
  <c r="J15" i="6"/>
  <c r="I15" i="6"/>
  <c r="G15" i="6"/>
  <c r="F15" i="6"/>
  <c r="E13" i="7" s="1"/>
  <c r="J12" i="6"/>
  <c r="I12" i="6"/>
  <c r="G12" i="6"/>
  <c r="I13" i="6" l="1"/>
  <c r="G14" i="6" s="1"/>
  <c r="J14" i="6" s="1"/>
  <c r="F11" i="7"/>
  <c r="H11" i="7" s="1"/>
  <c r="H10" i="7"/>
  <c r="L97" i="9" s="1"/>
  <c r="F15" i="7"/>
  <c r="H15" i="7" s="1"/>
  <c r="H8" i="7"/>
  <c r="F13" i="7"/>
  <c r="H13" i="7" s="1"/>
  <c r="F9" i="7"/>
  <c r="H9" i="7" s="1"/>
  <c r="I8" i="7"/>
  <c r="I12" i="7"/>
  <c r="I14" i="7"/>
  <c r="I10" i="7"/>
  <c r="M97" i="9" s="1"/>
  <c r="G9" i="6"/>
  <c r="J9" i="6" s="1"/>
  <c r="G16" i="6"/>
  <c r="I16" i="6" s="1"/>
  <c r="G17" i="6" s="1"/>
  <c r="I17" i="6" s="1"/>
  <c r="J19" i="6"/>
  <c r="I19" i="6"/>
  <c r="G20" i="6" s="1"/>
  <c r="I20" i="6" s="1"/>
  <c r="G21" i="6" s="1"/>
  <c r="J13" i="6"/>
  <c r="J96" i="9" l="1"/>
  <c r="M96" i="9" s="1"/>
  <c r="L96" i="9"/>
  <c r="I15" i="7"/>
  <c r="I11" i="7"/>
  <c r="I14" i="6"/>
  <c r="I9" i="6"/>
  <c r="I9" i="7"/>
  <c r="I13" i="7"/>
  <c r="J16" i="6"/>
  <c r="J20" i="6"/>
  <c r="J17" i="6"/>
  <c r="I21" i="6"/>
  <c r="G22" i="6" s="1"/>
  <c r="J21" i="6"/>
  <c r="I22" i="6" l="1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J30" i="6"/>
  <c r="H7" i="6" l="1"/>
  <c r="L27" i="2"/>
  <c r="H67" i="9" s="1"/>
  <c r="J10" i="5" l="1"/>
  <c r="J7" i="5"/>
  <c r="I7" i="5"/>
  <c r="H32" i="6"/>
  <c r="AD27" i="4"/>
  <c r="H34" i="6" s="1"/>
  <c r="F35" i="4"/>
  <c r="E35" i="4"/>
  <c r="N33" i="4"/>
  <c r="K34" i="9" s="1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K28" i="9" s="1"/>
  <c r="L29" i="4"/>
  <c r="I28" i="9" s="1"/>
  <c r="K29" i="4"/>
  <c r="H28" i="9" s="1"/>
  <c r="G29" i="4"/>
  <c r="AD28" i="4"/>
  <c r="H35" i="6" s="1"/>
  <c r="AB28" i="4"/>
  <c r="F35" i="6" s="1"/>
  <c r="AA28" i="4"/>
  <c r="E35" i="6" s="1"/>
  <c r="AB27" i="4"/>
  <c r="F34" i="6" s="1"/>
  <c r="AA27" i="4"/>
  <c r="E34" i="6" s="1"/>
  <c r="N27" i="4"/>
  <c r="L27" i="4"/>
  <c r="K27" i="4"/>
  <c r="G27" i="4"/>
  <c r="N25" i="4"/>
  <c r="K22" i="9" s="1"/>
  <c r="L25" i="4"/>
  <c r="I22" i="9" s="1"/>
  <c r="K25" i="4"/>
  <c r="G25" i="4"/>
  <c r="H21" i="4"/>
  <c r="E21" i="4"/>
  <c r="N19" i="4"/>
  <c r="K19" i="9" s="1"/>
  <c r="L19" i="4"/>
  <c r="I19" i="9" s="1"/>
  <c r="K19" i="4"/>
  <c r="H19" i="9" s="1"/>
  <c r="G19" i="4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AD10" i="4"/>
  <c r="H33" i="6" s="1"/>
  <c r="AB10" i="4"/>
  <c r="F33" i="6" s="1"/>
  <c r="AA10" i="4"/>
  <c r="E33" i="6" s="1"/>
  <c r="D16" i="7" s="1"/>
  <c r="H93" i="9" s="1"/>
  <c r="AB9" i="4"/>
  <c r="F32" i="6" s="1"/>
  <c r="N9" i="4"/>
  <c r="K7" i="9" s="1"/>
  <c r="L9" i="4"/>
  <c r="I7" i="9" s="1"/>
  <c r="K9" i="4"/>
  <c r="H7" i="9" s="1"/>
  <c r="G9" i="4"/>
  <c r="N7" i="4"/>
  <c r="K4" i="9" s="1"/>
  <c r="L7" i="4"/>
  <c r="K7" i="4"/>
  <c r="AC9" i="4"/>
  <c r="K21" i="4" l="1"/>
  <c r="H4" i="9"/>
  <c r="I25" i="4"/>
  <c r="L20" i="9" s="1"/>
  <c r="J20" i="9"/>
  <c r="J27" i="4"/>
  <c r="M23" i="9" s="1"/>
  <c r="J23" i="9"/>
  <c r="D17" i="7"/>
  <c r="H94" i="9" s="1"/>
  <c r="M99" i="9"/>
  <c r="K99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M17" i="9"/>
  <c r="J17" i="9"/>
  <c r="K35" i="4"/>
  <c r="H22" i="9"/>
  <c r="M27" i="4"/>
  <c r="J29" i="4"/>
  <c r="M26" i="9" s="1"/>
  <c r="J26" i="9"/>
  <c r="J31" i="4"/>
  <c r="M29" i="9" s="1"/>
  <c r="J29" i="9"/>
  <c r="J33" i="4"/>
  <c r="M32" i="9" s="1"/>
  <c r="J32" i="9"/>
  <c r="L21" i="4"/>
  <c r="I4" i="9"/>
  <c r="K16" i="9"/>
  <c r="K100" i="9"/>
  <c r="K98" i="9"/>
  <c r="M98" i="9"/>
  <c r="J8" i="5"/>
  <c r="L98" i="9" s="1"/>
  <c r="J99" i="9" s="1"/>
  <c r="G17" i="7"/>
  <c r="K94" i="9" s="1"/>
  <c r="N35" i="4"/>
  <c r="E16" i="7"/>
  <c r="G32" i="6"/>
  <c r="I32" i="6" s="1"/>
  <c r="G33" i="6" s="1"/>
  <c r="E17" i="7"/>
  <c r="M9" i="4"/>
  <c r="M11" i="4"/>
  <c r="J10" i="9" s="1"/>
  <c r="M13" i="4"/>
  <c r="M15" i="4"/>
  <c r="L35" i="4"/>
  <c r="M29" i="4"/>
  <c r="J28" i="9" s="1"/>
  <c r="M31" i="4"/>
  <c r="M33" i="4"/>
  <c r="L99" i="9"/>
  <c r="G16" i="7"/>
  <c r="K93" i="9" s="1"/>
  <c r="O29" i="4"/>
  <c r="L28" i="9" s="1"/>
  <c r="AE9" i="4"/>
  <c r="N21" i="4"/>
  <c r="O11" i="4"/>
  <c r="L10" i="9" s="1"/>
  <c r="M19" i="4"/>
  <c r="I27" i="4"/>
  <c r="I19" i="4"/>
  <c r="P11" i="4"/>
  <c r="M10" i="9" s="1"/>
  <c r="AF9" i="4"/>
  <c r="P29" i="4"/>
  <c r="M28" i="9" s="1"/>
  <c r="P31" i="4"/>
  <c r="M31" i="9" s="1"/>
  <c r="I7" i="4"/>
  <c r="M7" i="4"/>
  <c r="I9" i="4"/>
  <c r="J11" i="4"/>
  <c r="M8" i="9" s="1"/>
  <c r="J13" i="4"/>
  <c r="M11" i="9" s="1"/>
  <c r="J15" i="4"/>
  <c r="M14" i="9" s="1"/>
  <c r="J25" i="4"/>
  <c r="M20" i="9" s="1"/>
  <c r="AC27" i="4"/>
  <c r="AE27" i="4" s="1"/>
  <c r="I29" i="4"/>
  <c r="I31" i="4"/>
  <c r="I33" i="4"/>
  <c r="J7" i="4"/>
  <c r="M2" i="9" s="1"/>
  <c r="M25" i="4"/>
  <c r="J22" i="9" s="1"/>
  <c r="G26" i="4"/>
  <c r="J21" i="9" s="1"/>
  <c r="P27" i="4" l="1"/>
  <c r="O27" i="4"/>
  <c r="G14" i="4"/>
  <c r="J12" i="9" s="1"/>
  <c r="I14" i="4"/>
  <c r="L12" i="9" s="1"/>
  <c r="G16" i="4"/>
  <c r="J15" i="9" s="1"/>
  <c r="O13" i="4"/>
  <c r="L13" i="9" s="1"/>
  <c r="J13" i="9"/>
  <c r="G34" i="4"/>
  <c r="J33" i="9" s="1"/>
  <c r="L32" i="9"/>
  <c r="J14" i="4"/>
  <c r="M12" i="9" s="1"/>
  <c r="G12" i="4"/>
  <c r="J9" i="9" s="1"/>
  <c r="O9" i="4"/>
  <c r="L7" i="9" s="1"/>
  <c r="J7" i="9"/>
  <c r="O31" i="4"/>
  <c r="L31" i="9" s="1"/>
  <c r="J31" i="9"/>
  <c r="G30" i="4"/>
  <c r="J27" i="9" s="1"/>
  <c r="L26" i="9"/>
  <c r="G8" i="4"/>
  <c r="L2" i="9"/>
  <c r="P9" i="4"/>
  <c r="M7" i="9" s="1"/>
  <c r="P13" i="4"/>
  <c r="M13" i="9" s="1"/>
  <c r="O19" i="4"/>
  <c r="L19" i="9" s="1"/>
  <c r="J19" i="9"/>
  <c r="O33" i="4"/>
  <c r="L34" i="9" s="1"/>
  <c r="J34" i="9"/>
  <c r="O15" i="4"/>
  <c r="L16" i="9" s="1"/>
  <c r="J16" i="9"/>
  <c r="F17" i="7"/>
  <c r="J94" i="9" s="1"/>
  <c r="I94" i="9"/>
  <c r="P15" i="4"/>
  <c r="M16" i="9" s="1"/>
  <c r="P7" i="4"/>
  <c r="M4" i="9" s="1"/>
  <c r="J4" i="9"/>
  <c r="F16" i="7"/>
  <c r="J93" i="9" s="1"/>
  <c r="I93" i="9"/>
  <c r="M100" i="9"/>
  <c r="L100" i="9"/>
  <c r="G28" i="4"/>
  <c r="L23" i="9"/>
  <c r="I16" i="4"/>
  <c r="L15" i="9" s="1"/>
  <c r="J16" i="4"/>
  <c r="M15" i="9" s="1"/>
  <c r="G20" i="4"/>
  <c r="I20" i="4" s="1"/>
  <c r="L18" i="9" s="1"/>
  <c r="L17" i="9"/>
  <c r="G10" i="4"/>
  <c r="L5" i="9"/>
  <c r="G32" i="4"/>
  <c r="J30" i="9" s="1"/>
  <c r="L29" i="9"/>
  <c r="I12" i="4"/>
  <c r="L9" i="9" s="1"/>
  <c r="J32" i="6"/>
  <c r="M19" i="9"/>
  <c r="P33" i="4"/>
  <c r="M34" i="9" s="1"/>
  <c r="I33" i="6"/>
  <c r="J33" i="6"/>
  <c r="M35" i="4"/>
  <c r="P35" i="4" s="1"/>
  <c r="O25" i="4"/>
  <c r="M21" i="4"/>
  <c r="P21" i="4" s="1"/>
  <c r="O7" i="4"/>
  <c r="J26" i="4"/>
  <c r="M21" i="9" s="1"/>
  <c r="I26" i="4"/>
  <c r="L21" i="9" s="1"/>
  <c r="I30" i="4"/>
  <c r="L27" i="9" s="1"/>
  <c r="I10" i="4"/>
  <c r="L6" i="9" s="1"/>
  <c r="P25" i="4"/>
  <c r="M22" i="9" s="1"/>
  <c r="AF27" i="4"/>
  <c r="J12" i="4" l="1"/>
  <c r="M9" i="9" s="1"/>
  <c r="J30" i="4"/>
  <c r="M27" i="9" s="1"/>
  <c r="I17" i="7"/>
  <c r="M94" i="9" s="1"/>
  <c r="J34" i="4"/>
  <c r="M33" i="9" s="1"/>
  <c r="I34" i="4"/>
  <c r="L33" i="9" s="1"/>
  <c r="H17" i="7"/>
  <c r="L94" i="9" s="1"/>
  <c r="I32" i="4"/>
  <c r="L30" i="9" s="1"/>
  <c r="I8" i="4"/>
  <c r="J3" i="9"/>
  <c r="O21" i="4"/>
  <c r="L4" i="9"/>
  <c r="I16" i="7"/>
  <c r="M93" i="9" s="1"/>
  <c r="H16" i="7"/>
  <c r="L93" i="9" s="1"/>
  <c r="J28" i="4"/>
  <c r="M24" i="9" s="1"/>
  <c r="J24" i="9"/>
  <c r="I28" i="4"/>
  <c r="L24" i="9" s="1"/>
  <c r="O35" i="4"/>
  <c r="L22" i="9"/>
  <c r="AC28" i="4"/>
  <c r="AE28" i="4" s="1"/>
  <c r="J32" i="4"/>
  <c r="M30" i="9" s="1"/>
  <c r="J6" i="9"/>
  <c r="J10" i="4"/>
  <c r="M6" i="9" s="1"/>
  <c r="M18" i="9"/>
  <c r="J18" i="9"/>
  <c r="G35" i="4"/>
  <c r="J35" i="4" s="1"/>
  <c r="AC10" i="4"/>
  <c r="J8" i="4"/>
  <c r="M3" i="9" s="1"/>
  <c r="G21" i="4"/>
  <c r="J21" i="4" s="1"/>
  <c r="I35" i="4" l="1"/>
  <c r="I21" i="4"/>
  <c r="L3" i="9"/>
  <c r="AF28" i="4"/>
  <c r="AE10" i="4"/>
  <c r="AF10" i="4"/>
  <c r="O68" i="2" l="1"/>
  <c r="E68" i="2"/>
  <c r="L68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N76" i="2" s="1"/>
  <c r="O75" i="2"/>
  <c r="M75" i="2"/>
  <c r="L75" i="2"/>
  <c r="G75" i="2"/>
  <c r="J75" i="2" s="1"/>
  <c r="Q75" i="2" s="1"/>
  <c r="O74" i="2"/>
  <c r="M74" i="2"/>
  <c r="L74" i="2"/>
  <c r="G74" i="2"/>
  <c r="I74" i="2" s="1"/>
  <c r="M68" i="2"/>
  <c r="O55" i="2"/>
  <c r="K92" i="9" s="1"/>
  <c r="M55" i="2"/>
  <c r="G55" i="2"/>
  <c r="H51" i="2"/>
  <c r="E51" i="2"/>
  <c r="E50" i="2"/>
  <c r="O47" i="2"/>
  <c r="K79" i="9" s="1"/>
  <c r="M47" i="2"/>
  <c r="I79" i="9" s="1"/>
  <c r="L47" i="2"/>
  <c r="H79" i="9" s="1"/>
  <c r="G47" i="2"/>
  <c r="O45" i="2"/>
  <c r="K76" i="9" s="1"/>
  <c r="M45" i="2"/>
  <c r="I76" i="9" s="1"/>
  <c r="L45" i="2"/>
  <c r="H76" i="9" s="1"/>
  <c r="G45" i="2"/>
  <c r="H41" i="2"/>
  <c r="H11" i="6" s="1"/>
  <c r="F11" i="6"/>
  <c r="E41" i="2"/>
  <c r="E40" i="2"/>
  <c r="O37" i="2"/>
  <c r="K73" i="9" s="1"/>
  <c r="M37" i="2"/>
  <c r="I73" i="9" s="1"/>
  <c r="L37" i="2"/>
  <c r="H73" i="9" s="1"/>
  <c r="G37" i="2"/>
  <c r="K70" i="9"/>
  <c r="M35" i="2"/>
  <c r="I70" i="9" s="1"/>
  <c r="H70" i="9"/>
  <c r="H8" i="6"/>
  <c r="F8" i="6"/>
  <c r="E30" i="2"/>
  <c r="O27" i="2"/>
  <c r="K67" i="9" s="1"/>
  <c r="M27" i="2"/>
  <c r="G27" i="2"/>
  <c r="O25" i="2"/>
  <c r="K64" i="9" s="1"/>
  <c r="M25" i="2"/>
  <c r="I64" i="9" s="1"/>
  <c r="L25" i="2"/>
  <c r="H64" i="9" s="1"/>
  <c r="G25" i="2"/>
  <c r="O23" i="2"/>
  <c r="K61" i="9" s="1"/>
  <c r="M23" i="2"/>
  <c r="I61" i="9" s="1"/>
  <c r="L23" i="2"/>
  <c r="H61" i="9" s="1"/>
  <c r="G23" i="2"/>
  <c r="O21" i="2"/>
  <c r="K58" i="9" s="1"/>
  <c r="M21" i="2"/>
  <c r="I58" i="9" s="1"/>
  <c r="L21" i="2"/>
  <c r="H58" i="9" s="1"/>
  <c r="G21" i="2"/>
  <c r="O19" i="2"/>
  <c r="K55" i="9" s="1"/>
  <c r="M19" i="2"/>
  <c r="I55" i="9" s="1"/>
  <c r="L19" i="2"/>
  <c r="H55" i="9" s="1"/>
  <c r="G19" i="2"/>
  <c r="O17" i="2"/>
  <c r="K52" i="9" s="1"/>
  <c r="M17" i="2"/>
  <c r="I52" i="9" s="1"/>
  <c r="L17" i="2"/>
  <c r="H52" i="9" s="1"/>
  <c r="G17" i="2"/>
  <c r="O15" i="2"/>
  <c r="K49" i="9" s="1"/>
  <c r="M15" i="2"/>
  <c r="I49" i="9" s="1"/>
  <c r="L15" i="2"/>
  <c r="H49" i="9" s="1"/>
  <c r="G15" i="2"/>
  <c r="O13" i="2"/>
  <c r="K46" i="9" s="1"/>
  <c r="M13" i="2"/>
  <c r="I46" i="9" s="1"/>
  <c r="L13" i="2"/>
  <c r="H46" i="9" s="1"/>
  <c r="G13" i="2"/>
  <c r="O11" i="2"/>
  <c r="K43" i="9" s="1"/>
  <c r="M11" i="2"/>
  <c r="I43" i="9" s="1"/>
  <c r="L11" i="2"/>
  <c r="H43" i="9" s="1"/>
  <c r="G11" i="2"/>
  <c r="O9" i="2"/>
  <c r="K40" i="9" s="1"/>
  <c r="M9" i="2"/>
  <c r="I40" i="9" s="1"/>
  <c r="L9" i="2"/>
  <c r="H40" i="9" s="1"/>
  <c r="G9" i="2"/>
  <c r="O7" i="2"/>
  <c r="K37" i="9" s="1"/>
  <c r="M7" i="2"/>
  <c r="I37" i="9" s="1"/>
  <c r="L7" i="2"/>
  <c r="H37" i="9" s="1"/>
  <c r="G7" i="2"/>
  <c r="J7" i="2" l="1"/>
  <c r="M35" i="9" s="1"/>
  <c r="J35" i="9"/>
  <c r="J13" i="2"/>
  <c r="M44" i="9" s="1"/>
  <c r="J44" i="9"/>
  <c r="J19" i="2"/>
  <c r="M53" i="9" s="1"/>
  <c r="J53" i="9"/>
  <c r="J25" i="2"/>
  <c r="M62" i="9" s="1"/>
  <c r="J62" i="9"/>
  <c r="N27" i="2"/>
  <c r="J67" i="9" s="1"/>
  <c r="I67" i="9"/>
  <c r="J45" i="2"/>
  <c r="M74" i="9" s="1"/>
  <c r="J74" i="9"/>
  <c r="J47" i="2"/>
  <c r="M77" i="9" s="1"/>
  <c r="J77" i="9"/>
  <c r="G50" i="2"/>
  <c r="J50" i="2" s="1"/>
  <c r="J9" i="2"/>
  <c r="M38" i="9" s="1"/>
  <c r="J38" i="9"/>
  <c r="J17" i="2"/>
  <c r="M50" i="9" s="1"/>
  <c r="J50" i="9"/>
  <c r="J23" i="2"/>
  <c r="M59" i="9" s="1"/>
  <c r="J59" i="9"/>
  <c r="J27" i="2"/>
  <c r="M65" i="9" s="1"/>
  <c r="J65" i="9"/>
  <c r="I55" i="2"/>
  <c r="G56" i="2" s="1"/>
  <c r="J80" i="9"/>
  <c r="J11" i="2"/>
  <c r="M41" i="9" s="1"/>
  <c r="J41" i="9"/>
  <c r="J21" i="2"/>
  <c r="M56" i="9" s="1"/>
  <c r="J56" i="9"/>
  <c r="J35" i="2"/>
  <c r="M68" i="9" s="1"/>
  <c r="J68" i="9"/>
  <c r="J37" i="2"/>
  <c r="M71" i="9" s="1"/>
  <c r="J71" i="9"/>
  <c r="N55" i="2"/>
  <c r="J92" i="9" s="1"/>
  <c r="I92" i="9"/>
  <c r="J15" i="2"/>
  <c r="M47" i="9" s="1"/>
  <c r="J47" i="9"/>
  <c r="N45" i="2"/>
  <c r="J76" i="9" s="1"/>
  <c r="N7" i="2"/>
  <c r="J37" i="9" s="1"/>
  <c r="I9" i="2"/>
  <c r="I21" i="2"/>
  <c r="G51" i="2"/>
  <c r="I51" i="2" s="1"/>
  <c r="N23" i="2"/>
  <c r="J61" i="9" s="1"/>
  <c r="I25" i="2"/>
  <c r="I17" i="2"/>
  <c r="N11" i="2"/>
  <c r="I13" i="2"/>
  <c r="O30" i="2"/>
  <c r="N15" i="2"/>
  <c r="N19" i="2"/>
  <c r="J55" i="9" s="1"/>
  <c r="N74" i="2"/>
  <c r="Q74" i="2" s="1"/>
  <c r="O40" i="2"/>
  <c r="H10" i="6"/>
  <c r="G7" i="7" s="1"/>
  <c r="I7" i="2"/>
  <c r="N13" i="2"/>
  <c r="I15" i="2"/>
  <c r="N21" i="2"/>
  <c r="J58" i="9" s="1"/>
  <c r="I23" i="2"/>
  <c r="G31" i="2"/>
  <c r="I31" i="2" s="1"/>
  <c r="E8" i="6"/>
  <c r="I35" i="2"/>
  <c r="G36" i="2" s="1"/>
  <c r="N35" i="2" s="1"/>
  <c r="P35" i="2" s="1"/>
  <c r="G41" i="2"/>
  <c r="I41" i="2" s="1"/>
  <c r="E11" i="6"/>
  <c r="I45" i="2"/>
  <c r="P7" i="2"/>
  <c r="L37" i="9" s="1"/>
  <c r="L30" i="2"/>
  <c r="E7" i="6"/>
  <c r="I37" i="2"/>
  <c r="L40" i="2"/>
  <c r="E10" i="6"/>
  <c r="I47" i="2"/>
  <c r="G68" i="2"/>
  <c r="I68" i="2" s="1"/>
  <c r="N9" i="2"/>
  <c r="I11" i="2"/>
  <c r="L41" i="9" s="1"/>
  <c r="N17" i="2"/>
  <c r="I19" i="2"/>
  <c r="N25" i="2"/>
  <c r="I27" i="2"/>
  <c r="M30" i="2"/>
  <c r="F7" i="6"/>
  <c r="E6" i="7" s="1"/>
  <c r="G6" i="7"/>
  <c r="M40" i="2"/>
  <c r="F10" i="6"/>
  <c r="E7" i="7" s="1"/>
  <c r="M50" i="2"/>
  <c r="N47" i="2"/>
  <c r="P21" i="2"/>
  <c r="L58" i="9" s="1"/>
  <c r="O50" i="2"/>
  <c r="P27" i="2"/>
  <c r="L67" i="9" s="1"/>
  <c r="P19" i="2"/>
  <c r="L55" i="9" s="1"/>
  <c r="Q21" i="2"/>
  <c r="M58" i="9" s="1"/>
  <c r="Q25" i="2"/>
  <c r="M64" i="9" s="1"/>
  <c r="N68" i="2"/>
  <c r="P68" i="2" s="1"/>
  <c r="Q7" i="2"/>
  <c r="M37" i="9" s="1"/>
  <c r="Q19" i="2"/>
  <c r="M55" i="9" s="1"/>
  <c r="Q23" i="2"/>
  <c r="M61" i="9" s="1"/>
  <c r="Q27" i="2"/>
  <c r="M67" i="9" s="1"/>
  <c r="Q55" i="2"/>
  <c r="M92" i="9" s="1"/>
  <c r="G30" i="2"/>
  <c r="I30" i="2" s="1"/>
  <c r="G40" i="2"/>
  <c r="I40" i="2" s="1"/>
  <c r="Q45" i="2"/>
  <c r="M76" i="9" s="1"/>
  <c r="L50" i="2"/>
  <c r="J55" i="2"/>
  <c r="M80" i="9" s="1"/>
  <c r="J74" i="2"/>
  <c r="I75" i="2"/>
  <c r="N75" i="2"/>
  <c r="J76" i="2"/>
  <c r="I77" i="2"/>
  <c r="N77" i="2"/>
  <c r="J78" i="2"/>
  <c r="I76" i="2"/>
  <c r="I78" i="2"/>
  <c r="J51" i="2" l="1"/>
  <c r="J41" i="2"/>
  <c r="J81" i="9"/>
  <c r="I56" i="2"/>
  <c r="I95" i="9"/>
  <c r="G38" i="2"/>
  <c r="L71" i="9"/>
  <c r="J68" i="2"/>
  <c r="P23" i="2"/>
  <c r="L61" i="9" s="1"/>
  <c r="P17" i="2"/>
  <c r="L52" i="9" s="1"/>
  <c r="J52" i="9"/>
  <c r="L70" i="9"/>
  <c r="J70" i="9"/>
  <c r="L80" i="9"/>
  <c r="P37" i="2"/>
  <c r="L73" i="9" s="1"/>
  <c r="J73" i="9"/>
  <c r="P13" i="2"/>
  <c r="L46" i="9" s="1"/>
  <c r="J46" i="9"/>
  <c r="P45" i="2"/>
  <c r="L76" i="9" s="1"/>
  <c r="P47" i="2"/>
  <c r="L79" i="9" s="1"/>
  <c r="J79" i="9"/>
  <c r="K95" i="9"/>
  <c r="P25" i="2"/>
  <c r="L64" i="9" s="1"/>
  <c r="J64" i="9"/>
  <c r="Q9" i="2"/>
  <c r="M40" i="9" s="1"/>
  <c r="J40" i="9"/>
  <c r="Q11" i="2"/>
  <c r="M43" i="9" s="1"/>
  <c r="J43" i="9"/>
  <c r="P55" i="2"/>
  <c r="L92" i="9" s="1"/>
  <c r="Q15" i="2"/>
  <c r="M49" i="9" s="1"/>
  <c r="J49" i="9"/>
  <c r="G26" i="2"/>
  <c r="I26" i="2" s="1"/>
  <c r="L63" i="9" s="1"/>
  <c r="L62" i="9"/>
  <c r="G8" i="2"/>
  <c r="L35" i="9"/>
  <c r="G48" i="2"/>
  <c r="I48" i="2" s="1"/>
  <c r="L78" i="9" s="1"/>
  <c r="L77" i="9"/>
  <c r="G22" i="2"/>
  <c r="L56" i="9"/>
  <c r="G20" i="2"/>
  <c r="J20" i="2" s="1"/>
  <c r="M54" i="9" s="1"/>
  <c r="L53" i="9"/>
  <c r="G16" i="2"/>
  <c r="J16" i="2" s="1"/>
  <c r="M48" i="9" s="1"/>
  <c r="L47" i="9"/>
  <c r="G57" i="2"/>
  <c r="J82" i="9" s="1"/>
  <c r="L81" i="9"/>
  <c r="J56" i="2"/>
  <c r="M81" i="9" s="1"/>
  <c r="G46" i="2"/>
  <c r="I46" i="2" s="1"/>
  <c r="L75" i="9" s="1"/>
  <c r="L74" i="9"/>
  <c r="J36" i="2"/>
  <c r="M69" i="9" s="1"/>
  <c r="L68" i="9"/>
  <c r="G28" i="2"/>
  <c r="I28" i="2" s="1"/>
  <c r="L66" i="9" s="1"/>
  <c r="L65" i="9"/>
  <c r="G24" i="2"/>
  <c r="L59" i="9"/>
  <c r="G18" i="2"/>
  <c r="L50" i="9"/>
  <c r="G14" i="2"/>
  <c r="I14" i="2" s="1"/>
  <c r="L45" i="9" s="1"/>
  <c r="L44" i="9"/>
  <c r="G10" i="2"/>
  <c r="L38" i="9"/>
  <c r="Q13" i="2"/>
  <c r="M46" i="9" s="1"/>
  <c r="P74" i="2"/>
  <c r="Q47" i="2"/>
  <c r="M79" i="9" s="1"/>
  <c r="N50" i="2"/>
  <c r="P50" i="2" s="1"/>
  <c r="P9" i="2"/>
  <c r="L40" i="9" s="1"/>
  <c r="I50" i="2"/>
  <c r="N40" i="2"/>
  <c r="P40" i="2" s="1"/>
  <c r="N30" i="2"/>
  <c r="P30" i="2" s="1"/>
  <c r="P11" i="2"/>
  <c r="L43" i="9" s="1"/>
  <c r="J30" i="2"/>
  <c r="Q35" i="2"/>
  <c r="M70" i="9" s="1"/>
  <c r="Q17" i="2"/>
  <c r="M52" i="9" s="1"/>
  <c r="P15" i="2"/>
  <c r="L49" i="9" s="1"/>
  <c r="G12" i="2"/>
  <c r="Q37" i="2"/>
  <c r="M73" i="9" s="1"/>
  <c r="J40" i="2"/>
  <c r="D7" i="7"/>
  <c r="F7" i="7" s="1"/>
  <c r="H7" i="7" s="1"/>
  <c r="G10" i="6"/>
  <c r="D6" i="7"/>
  <c r="F6" i="7" s="1"/>
  <c r="G7" i="6"/>
  <c r="J31" i="2"/>
  <c r="P78" i="2"/>
  <c r="Q78" i="2"/>
  <c r="P77" i="2"/>
  <c r="P76" i="2"/>
  <c r="Q76" i="2"/>
  <c r="P75" i="2"/>
  <c r="Q50" i="2"/>
  <c r="Q68" i="2"/>
  <c r="J72" i="9" l="1"/>
  <c r="J38" i="2"/>
  <c r="M72" i="9" s="1"/>
  <c r="I38" i="2"/>
  <c r="L72" i="9" s="1"/>
  <c r="J57" i="2"/>
  <c r="M82" i="9" s="1"/>
  <c r="I57" i="2"/>
  <c r="L82" i="9" s="1"/>
  <c r="Q30" i="2"/>
  <c r="H95" i="9"/>
  <c r="J26" i="2"/>
  <c r="M63" i="9" s="1"/>
  <c r="J63" i="9"/>
  <c r="I12" i="2"/>
  <c r="L42" i="9" s="1"/>
  <c r="J42" i="9"/>
  <c r="I8" i="2"/>
  <c r="L36" i="9" s="1"/>
  <c r="J36" i="9"/>
  <c r="J8" i="2"/>
  <c r="M36" i="9" s="1"/>
  <c r="J48" i="2"/>
  <c r="M78" i="9" s="1"/>
  <c r="J78" i="9"/>
  <c r="J22" i="2"/>
  <c r="M57" i="9" s="1"/>
  <c r="J57" i="9"/>
  <c r="I22" i="2"/>
  <c r="L57" i="9" s="1"/>
  <c r="I20" i="2"/>
  <c r="L54" i="9" s="1"/>
  <c r="J54" i="9"/>
  <c r="I16" i="2"/>
  <c r="L48" i="9" s="1"/>
  <c r="J48" i="9"/>
  <c r="G58" i="2"/>
  <c r="J83" i="9" s="1"/>
  <c r="J46" i="2"/>
  <c r="M75" i="9" s="1"/>
  <c r="J75" i="9"/>
  <c r="I36" i="2"/>
  <c r="L69" i="9" s="1"/>
  <c r="J69" i="9"/>
  <c r="J28" i="2"/>
  <c r="M66" i="9" s="1"/>
  <c r="J66" i="9"/>
  <c r="J24" i="2"/>
  <c r="M60" i="9" s="1"/>
  <c r="J60" i="9"/>
  <c r="I24" i="2"/>
  <c r="L60" i="9" s="1"/>
  <c r="J18" i="2"/>
  <c r="M51" i="9" s="1"/>
  <c r="J51" i="9"/>
  <c r="I18" i="2"/>
  <c r="L51" i="9" s="1"/>
  <c r="J14" i="2"/>
  <c r="M45" i="9" s="1"/>
  <c r="J45" i="9"/>
  <c r="J39" i="9"/>
  <c r="J10" i="2"/>
  <c r="M39" i="9" s="1"/>
  <c r="I10" i="2"/>
  <c r="L39" i="9" s="1"/>
  <c r="Q40" i="2"/>
  <c r="J12" i="2"/>
  <c r="M42" i="9" s="1"/>
  <c r="I7" i="7"/>
  <c r="J10" i="6"/>
  <c r="I10" i="6"/>
  <c r="I7" i="6"/>
  <c r="G8" i="6" s="1"/>
  <c r="J7" i="6"/>
  <c r="I6" i="7"/>
  <c r="H6" i="7" l="1"/>
  <c r="L95" i="9" s="1"/>
  <c r="J95" i="9"/>
  <c r="M95" i="9" s="1"/>
  <c r="I58" i="2"/>
  <c r="G59" i="2" s="1"/>
  <c r="J58" i="2"/>
  <c r="M83" i="9" s="1"/>
  <c r="G11" i="6"/>
  <c r="J11" i="6" s="1"/>
  <c r="I8" i="6"/>
  <c r="J8" i="6"/>
  <c r="L83" i="9" l="1"/>
  <c r="J84" i="9"/>
  <c r="J59" i="2"/>
  <c r="M84" i="9" s="1"/>
  <c r="I59" i="2"/>
  <c r="I11" i="6"/>
  <c r="G60" i="2" l="1"/>
  <c r="L84" i="9"/>
  <c r="J85" i="9" l="1"/>
  <c r="J60" i="2"/>
  <c r="M85" i="9" s="1"/>
  <c r="I60" i="2"/>
  <c r="G61" i="2" l="1"/>
  <c r="L85" i="9"/>
  <c r="J86" i="9" l="1"/>
  <c r="I61" i="2"/>
  <c r="J61" i="2"/>
  <c r="M86" i="9" s="1"/>
  <c r="G62" i="2" l="1"/>
  <c r="L86" i="9"/>
  <c r="J87" i="9" l="1"/>
  <c r="I62" i="2"/>
  <c r="J62" i="2"/>
  <c r="M87" i="9" s="1"/>
  <c r="G63" i="2" l="1"/>
  <c r="L87" i="9"/>
  <c r="J88" i="9" l="1"/>
  <c r="J63" i="2"/>
  <c r="M88" i="9" s="1"/>
  <c r="I63" i="2"/>
  <c r="G64" i="2" l="1"/>
  <c r="L88" i="9"/>
  <c r="J89" i="9" l="1"/>
  <c r="I64" i="2"/>
  <c r="J64" i="2"/>
  <c r="M89" i="9" s="1"/>
  <c r="G65" i="2" l="1"/>
  <c r="L89" i="9"/>
  <c r="J90" i="9" l="1"/>
  <c r="I65" i="2"/>
  <c r="J65" i="2"/>
  <c r="M90" i="9" s="1"/>
  <c r="G66" i="2" l="1"/>
  <c r="L90" i="9"/>
  <c r="J91" i="9" l="1"/>
  <c r="I66" i="2"/>
  <c r="L91" i="9" s="1"/>
  <c r="J66" i="2"/>
  <c r="M91" i="9" s="1"/>
</calcChain>
</file>

<file path=xl/comments1.xml><?xml version="1.0" encoding="utf-8"?>
<comments xmlns="http://schemas.openxmlformats.org/spreadsheetml/2006/main">
  <authors>
    <author>CEA TELLO, MARIO ANDRES</author>
    <author>practicascc</author>
  </authors>
  <commentList>
    <comment ref="K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54806 (14-11-2018)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51347 (15-03-2018)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52517 (07-06-2018)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2069-18 Modifica cuota de 10,59 a 15,59 Ton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2069-18 Modifica cuota de 10,6 a 5,60 Ton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54810 (15-11-2018)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4411 (05-12-2018)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50741 (31-01-2017)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51563 (29-03-2018)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50740 (31-01-2017)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51564 (29-03-2018)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51168 (10-01-2018)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50472 (12-01-2018) 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50490 (15-01-2018)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15328 (23-01-2018)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Apertura Periodo 16181 (01-07-2018)
Cierre Periodo 16275 (27-07-2018)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16736 (25-10-2018)</t>
        </r>
      </text>
    </comment>
    <comment ref="B77" authorId="1" shapeId="0">
      <text>
        <r>
          <rPr>
            <b/>
            <sz val="8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Cuota de FA modificada por Res Nª 38-18 que Rectifica 4501-17</t>
        </r>
      </text>
    </comment>
    <comment ref="B78" authorId="1" shapeId="0">
      <text>
        <r>
          <rPr>
            <b/>
            <sz val="8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Cuota de FA modificada por Res Nª 38-18 que Rectifica 4501-17</t>
        </r>
      </text>
    </comment>
  </commentList>
</comments>
</file>

<file path=xl/comments2.xml><?xml version="1.0" encoding="utf-8"?>
<comments xmlns="http://schemas.openxmlformats.org/spreadsheetml/2006/main">
  <authors>
    <author>Kamila Molina</author>
    <author>CEA TELLO, MARIO ANDRES</author>
  </authors>
  <commentList>
    <comment ref="F8" authorId="0" shapeId="0">
      <text>
        <r>
          <rPr>
            <b/>
            <sz val="10"/>
            <color indexed="81"/>
            <rFont val="Tahoma"/>
            <family val="2"/>
          </rPr>
          <t>Kamila Molina:</t>
        </r>
        <r>
          <rPr>
            <sz val="10"/>
            <color indexed="81"/>
            <rFont val="Tahoma"/>
            <family val="2"/>
          </rPr>
          <t xml:space="preserve">
(C) Compra 8,747 ton a Deris S.A NE (Res. 2446-18)
(C) Compra 7,052 ton a Pesca Cisne S.A. NE (Res. 3487-18)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Kamila Molina:</t>
        </r>
        <r>
          <rPr>
            <sz val="10"/>
            <color indexed="81"/>
            <rFont val="Tahoma"/>
            <family val="2"/>
          </rPr>
          <t xml:space="preserve">
(V) Venta 8,747 ton a EMDEPES S.A NE (Res. 2446-18)</t>
        </r>
      </text>
    </comment>
    <comment ref="F1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(V) Venta 7,052 ton a EMDEPES S.A NE (Res. 3487-18)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(C) Compra 0,042 ton a Alimentos Marionos S.A. NE (Res. 3779-18)</t>
        </r>
      </text>
    </comment>
    <comment ref="F1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(V) Venta 0,042 ton a Pesquera Isla Quihua S.A NE (Res. 3779-18)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Transferencia 12,173 ton a Deris S.A. SE (Res. 2449-18)
(C) Compra 23,184 ton a Pesca Cisne S.A. SE (Res. 3602-18)
(V) Venta 0,318 ton a Pesquera Sur Austral S.A. SE (Res. 2456-18)
(V) Venta 0,648 ton a Pesquera Grimar S.A. SE (Res. 2464-18)</t>
        </r>
      </text>
    </comment>
    <comment ref="F2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(C) Compra 0,648 ton a Emdepes S.A. SE (Res. 2464-18)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Transferencia 12,173  Ton desde Emdepes S.A. SE (Res. 2449-18)</t>
        </r>
      </text>
    </comment>
    <comment ref="F3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(V) Venta 23,184 ton a EMDEPES S.A SE (Res. 3602-18)</t>
        </r>
      </text>
    </comment>
    <comment ref="F3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(C) Compra 0,318 ton a Emdepes S.A. SE (Res. 2456-18)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1"/>
            <color indexed="81"/>
            <rFont val="Tahoma"/>
            <family val="2"/>
          </rPr>
          <t xml:space="preserve">
Cierre Periodo 132162 (26-10-2018)</t>
        </r>
      </text>
    </comment>
  </commentList>
</comments>
</file>

<file path=xl/sharedStrings.xml><?xml version="1.0" encoding="utf-8"?>
<sst xmlns="http://schemas.openxmlformats.org/spreadsheetml/2006/main" count="1250" uniqueCount="242">
  <si>
    <t>CONTROL CUOTA CONGRIO DORADO ARTESANAL 2018</t>
  </si>
  <si>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</si>
  <si>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</si>
  <si>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</si>
  <si>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</si>
  <si>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</si>
  <si>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</si>
  <si>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</si>
  <si>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</si>
  <si>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</si>
  <si>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</si>
  <si>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</si>
  <si>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</si>
  <si>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</si>
  <si>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</si>
  <si>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</si>
  <si>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</si>
  <si>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</si>
  <si>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</si>
  <si>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</si>
  <si>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</si>
  <si>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</si>
  <si>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</si>
  <si>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</si>
  <si>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</si>
  <si>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</si>
  <si>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</si>
  <si>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</si>
  <si>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</si>
  <si>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</si>
  <si>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</si>
  <si>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</si>
  <si>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</si>
  <si>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</si>
  <si>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</si>
  <si>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</si>
  <si>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</si>
  <si>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</si>
  <si>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</si>
  <si>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</si>
  <si>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</si>
  <si>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</si>
  <si>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</si>
  <si>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</si>
  <si>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</si>
  <si>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</si>
  <si>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</si>
  <si>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</si>
  <si>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</si>
  <si>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</si>
  <si>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</si>
  <si>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</si>
  <si>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</si>
  <si>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</si>
  <si>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</si>
  <si>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</si>
  <si>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</si>
  <si>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</si>
  <si>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</si>
  <si>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</si>
  <si>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</si>
  <si>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</si>
  <si>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</si>
  <si>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</si>
  <si>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</si>
  <si>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</si>
  <si>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</si>
  <si>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</si>
  <si>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</si>
  <si>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</si>
  <si>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</si>
  <si>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</si>
  <si>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</si>
  <si>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</si>
  <si>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</si>
  <si>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</si>
  <si>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</si>
  <si>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</si>
  <si>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</si>
  <si>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</si>
  <si>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</si>
  <si>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CONTROL DE CUOTA CONGRIO DORADO LTP POR TITULAR 2018</t>
  </si>
  <si>
    <t>Congrio Dorado paralelo 41°28,6 al 47° L.S.</t>
  </si>
  <si>
    <t>Ene-Feb.</t>
  </si>
  <si>
    <t>Unidad de Pesquería</t>
  </si>
  <si>
    <t>Zona</t>
  </si>
  <si>
    <t>Cuota Global (t)</t>
  </si>
  <si>
    <t>Cuota Período</t>
  </si>
  <si>
    <t>% Consumido</t>
  </si>
  <si>
    <t>Fecha cierre</t>
  </si>
  <si>
    <t>Mar-Dic.</t>
  </si>
  <si>
    <t>Período</t>
  </si>
  <si>
    <t>autorizada</t>
  </si>
  <si>
    <t xml:space="preserve">Cesiones </t>
  </si>
  <si>
    <t>efectiva</t>
  </si>
  <si>
    <t>Congrio Dorado UPN</t>
  </si>
  <si>
    <t>UPN</t>
  </si>
  <si>
    <t>Enero - Febrero</t>
  </si>
  <si>
    <t>Marzo -Diciembre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</si>
  <si>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</si>
  <si>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</si>
  <si>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</si>
  <si>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</si>
  <si>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Congrio Dorado UPS</t>
  </si>
  <si>
    <t>UPS</t>
  </si>
  <si>
    <t>DERIS S.A.                                96808510-7</t>
  </si>
  <si>
    <t>SUR AUSTRAL S.A. PESQ.     96542880-1</t>
  </si>
  <si>
    <t>Cuota Asignada por R. Ex N° 4507-17</t>
  </si>
  <si>
    <t>Congrio Dorado Fuera de Unidad de Pesquería V-41°28.6´LS. (D. Ex. N°806/27-12-2017)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</si>
  <si>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</si>
  <si>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</si>
  <si>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</si>
  <si>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</si>
  <si>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</si>
  <si>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</si>
  <si>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</si>
  <si>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</si>
  <si>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</si>
  <si>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</si>
  <si>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</si>
  <si>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</si>
  <si>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</si>
  <si>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 ≤ 12 mts eslora</t>
  </si>
  <si>
    <t>Fauna acompañante X &gt; 12 mts eslora</t>
  </si>
  <si>
    <t>Fauna Acompañante XI UP NORTE</t>
  </si>
  <si>
    <t xml:space="preserve">Fauna Acompañante XI UP SUR </t>
  </si>
  <si>
    <t xml:space="preserve">Fauna Acompañante XII </t>
  </si>
  <si>
    <t>RESUMEN  ANUAL CONSUMO DE CUOTA CONGRIO DORADO 2018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</si>
  <si>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</si>
  <si>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</si>
  <si>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</si>
  <si>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</si>
  <si>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</si>
  <si>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</si>
  <si>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</si>
  <si>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Fuera area</t>
  </si>
  <si>
    <t>Investigacion</t>
  </si>
  <si>
    <t>Cierre Periodo 15328 (23-01-2018)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</si>
  <si>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</si>
  <si>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</si>
  <si>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</si>
  <si>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</si>
  <si>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</si>
  <si>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</si>
  <si>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</si>
  <si>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</si>
  <si>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</si>
  <si>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</si>
  <si>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</si>
  <si>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</si>
  <si>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RESUMEN POR PERIODO DEL CONSUMO DE CUOTA  CONGRIO DORADO 2018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</si>
  <si>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</si>
  <si>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</si>
  <si>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</si>
  <si>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</si>
  <si>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</si>
  <si>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</si>
  <si>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</si>
  <si>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</si>
  <si>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</si>
  <si>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</si>
  <si>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</si>
  <si>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</si>
  <si>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</si>
  <si>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</si>
  <si>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</si>
  <si>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</si>
  <si>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</si>
  <si>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</si>
  <si>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</si>
  <si>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</si>
  <si>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</si>
  <si>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</si>
  <si>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</si>
  <si>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</si>
  <si>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CONTROL CUOTA ANUAL DE CAPTURA CONGRIO DORADO FUERA DE UNIDADES DE PESQUERIA 2018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</si>
  <si>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</si>
  <si>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</si>
  <si>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</si>
  <si>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</si>
  <si>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</si>
  <si>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ALIMENTOS MARINOS S.A.               91584000-0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</si>
  <si>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</si>
  <si>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</si>
  <si>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</si>
  <si>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</si>
  <si>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</si>
  <si>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</si>
  <si>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</si>
  <si>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</si>
  <si>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</si>
  <si>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</si>
  <si>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</si>
  <si>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</si>
  <si>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</si>
  <si>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</si>
  <si>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</si>
  <si>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>ALIMENTOS MARINOS SA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</si>
  <si>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</si>
  <si>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</si>
  <si>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</si>
  <si>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</si>
  <si>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</si>
  <si>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</si>
  <si>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</si>
  <si>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</si>
  <si>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</si>
  <si>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RESUMEN ANUAL  CONSUMO CUOTA CONGRIO DORADO FUERA UNIDAD DE PESQUERÍAS AÑO 2018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</si>
  <si>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</si>
  <si>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</si>
  <si>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</si>
  <si>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</si>
  <si>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</si>
  <si>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</si>
  <si>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</si>
  <si>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</si>
  <si>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</si>
  <si>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Res. N° 1578</t>
  </si>
  <si>
    <t>PESCA DE INVESTIGACIÓN CONGRIO DORADO 2018</t>
  </si>
  <si>
    <t>Congrio Dorado</t>
  </si>
  <si>
    <t>X-XII</t>
  </si>
  <si>
    <t>Diosa del Mar III</t>
  </si>
  <si>
    <t>Diosa del Mar II</t>
  </si>
  <si>
    <t>Esperanza I</t>
  </si>
  <si>
    <t>Galicia</t>
  </si>
  <si>
    <t>Pajaro Azul</t>
  </si>
  <si>
    <t>Vagabundo 1</t>
  </si>
  <si>
    <t>RPA</t>
  </si>
  <si>
    <t>Region Operación</t>
  </si>
  <si>
    <t>Los Lagos</t>
  </si>
  <si>
    <t>Aysén</t>
  </si>
  <si>
    <t>Magallenes</t>
  </si>
  <si>
    <t xml:space="preserve">Fecha Termino Operación </t>
  </si>
  <si>
    <t>Res. N° 3463</t>
  </si>
  <si>
    <t>Faconru</t>
  </si>
  <si>
    <t>Maria Luisa II</t>
  </si>
  <si>
    <t>Geminis I</t>
  </si>
  <si>
    <t>Ojos Verdes II</t>
  </si>
  <si>
    <t>Atlantis III</t>
  </si>
  <si>
    <t>Res. N° 3671</t>
  </si>
  <si>
    <t>PESQUERA ISLA QUIHUA S.A. 99546520-5</t>
  </si>
  <si>
    <t>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</si>
</sst>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_ ;[Red]\-#,##0\ "/>
    <numFmt numFmtId="175" formatCode="#,##0.00_ ;[Red]\-#,##0.00\ "/>
    <numFmt numFmtId="176" formatCode="#,##0.000_ ;[Red]\-#,##0.000\ "/>
    <numFmt numFmtId="177" formatCode="yyyy/mm/dd;@"/>
    <numFmt numFmtId="178" formatCode="0.000_ ;[Red]\-0.000\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0" fontId="24" fillId="0" borderId="36" applyNumberFormat="0" applyFill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165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4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3" applyNumberFormat="0" applyAlignment="0" applyProtection="0"/>
    <xf numFmtId="0" fontId="7" fillId="0" borderId="0"/>
    <xf numFmtId="0" fontId="7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165" fontId="1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1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8" fillId="3" borderId="0" applyNumberFormat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1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6" applyNumberFormat="0" applyFill="0" applyAlignment="0" applyProtection="0"/>
    <xf numFmtId="164" fontId="7" fillId="0" borderId="0" applyFont="0" applyFill="0" applyBorder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635">
    <xf numFmtId="0" fontId="0" fillId="0" borderId="0" xfId="0"/>
    <xf numFmtId="0" fontId="2" fillId="0" borderId="46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174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4" fillId="29" borderId="46" xfId="0" applyFont="1" applyFill="1" applyBorder="1" applyAlignment="1">
      <alignment horizontal="center"/>
    </xf>
    <xf numFmtId="0" fontId="0" fillId="31" borderId="0" xfId="0" applyFill="1"/>
    <xf numFmtId="0" fontId="0" fillId="2" borderId="6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/>
    </xf>
    <xf numFmtId="14" fontId="25" fillId="31" borderId="0" xfId="0" applyNumberFormat="1" applyFont="1" applyFill="1" applyAlignment="1">
      <alignment horizontal="center" vertical="center"/>
    </xf>
    <xf numFmtId="0" fontId="25" fillId="31" borderId="0" xfId="0" applyFont="1" applyFill="1" applyAlignment="1">
      <alignment vertical="center"/>
    </xf>
    <xf numFmtId="14" fontId="26" fillId="31" borderId="0" xfId="0" applyNumberFormat="1" applyFont="1" applyFill="1" applyAlignment="1">
      <alignment horizontal="center" vertical="center"/>
    </xf>
    <xf numFmtId="0" fontId="0" fillId="31" borderId="0" xfId="0" applyFill="1" applyBorder="1"/>
    <xf numFmtId="0" fontId="25" fillId="31" borderId="0" xfId="0" applyFont="1" applyFill="1" applyBorder="1" applyAlignment="1">
      <alignment horizontal="center" vertical="center"/>
    </xf>
    <xf numFmtId="14" fontId="25" fillId="31" borderId="0" xfId="0" applyNumberFormat="1" applyFont="1" applyFill="1" applyBorder="1" applyAlignment="1">
      <alignment horizontal="center" vertical="center"/>
    </xf>
    <xf numFmtId="9" fontId="25" fillId="31" borderId="0" xfId="1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vertical="center"/>
    </xf>
    <xf numFmtId="166" fontId="28" fillId="31" borderId="0" xfId="0" applyNumberFormat="1" applyFont="1" applyFill="1" applyBorder="1" applyAlignment="1">
      <alignment horizontal="center" vertical="center"/>
    </xf>
    <xf numFmtId="0" fontId="28" fillId="31" borderId="0" xfId="0" applyFont="1" applyFill="1" applyAlignment="1">
      <alignment vertical="center"/>
    </xf>
    <xf numFmtId="0" fontId="25" fillId="31" borderId="0" xfId="0" applyFont="1" applyFill="1" applyAlignment="1">
      <alignment vertical="center" wrapText="1"/>
    </xf>
    <xf numFmtId="0" fontId="25" fillId="31" borderId="0" xfId="0" applyFont="1" applyFill="1" applyAlignment="1">
      <alignment horizontal="center" vertical="center" wrapText="1"/>
    </xf>
    <xf numFmtId="0" fontId="25" fillId="31" borderId="0" xfId="0" applyFont="1" applyFill="1" applyBorder="1" applyAlignment="1">
      <alignment vertical="center" wrapText="1"/>
    </xf>
    <xf numFmtId="0" fontId="0" fillId="26" borderId="38" xfId="0" applyFill="1" applyBorder="1" applyAlignment="1">
      <alignment horizontal="center" vertical="center"/>
    </xf>
    <xf numFmtId="0" fontId="0" fillId="26" borderId="76" xfId="0" applyFill="1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0" fillId="31" borderId="0" xfId="0" applyFill="1" applyAlignment="1">
      <alignment horizontal="center" vertical="center" wrapText="1"/>
    </xf>
    <xf numFmtId="0" fontId="0" fillId="31" borderId="0" xfId="0" applyFill="1" applyAlignment="1">
      <alignment horizontal="center" vertical="center"/>
    </xf>
    <xf numFmtId="0" fontId="36" fillId="31" borderId="0" xfId="0" applyFont="1" applyFill="1" applyBorder="1" applyAlignment="1">
      <alignment horizontal="center" vertical="center" textRotation="90" wrapText="1"/>
    </xf>
    <xf numFmtId="0" fontId="0" fillId="31" borderId="0" xfId="0" applyFill="1" applyBorder="1" applyAlignment="1">
      <alignment horizontal="center" vertical="center" wrapText="1"/>
    </xf>
    <xf numFmtId="0" fontId="0" fillId="31" borderId="0" xfId="0" applyFill="1" applyBorder="1" applyAlignment="1">
      <alignment horizontal="center" vertical="center"/>
    </xf>
    <xf numFmtId="10" fontId="0" fillId="31" borderId="0" xfId="1" applyNumberFormat="1" applyFont="1" applyFill="1" applyBorder="1" applyAlignment="1">
      <alignment horizontal="center" vertical="center"/>
    </xf>
    <xf numFmtId="10" fontId="0" fillId="31" borderId="0" xfId="1" applyNumberFormat="1" applyFont="1" applyFill="1" applyAlignment="1">
      <alignment horizontal="center" vertical="center"/>
    </xf>
    <xf numFmtId="172" fontId="0" fillId="31" borderId="0" xfId="0" applyNumberFormat="1" applyFill="1" applyAlignment="1">
      <alignment horizontal="center" vertical="center"/>
    </xf>
    <xf numFmtId="10" fontId="0" fillId="31" borderId="0" xfId="0" applyNumberFormat="1" applyFill="1" applyAlignment="1">
      <alignment horizontal="center" vertical="center"/>
    </xf>
    <xf numFmtId="173" fontId="30" fillId="31" borderId="0" xfId="1" applyNumberFormat="1" applyFont="1" applyFill="1" applyAlignment="1">
      <alignment horizontal="center" vertical="center"/>
    </xf>
    <xf numFmtId="0" fontId="30" fillId="31" borderId="0" xfId="0" applyFont="1" applyFill="1" applyAlignment="1">
      <alignment horizontal="center" vertical="center"/>
    </xf>
    <xf numFmtId="0" fontId="41" fillId="35" borderId="4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80" xfId="0" applyFont="1" applyFill="1" applyBorder="1" applyAlignment="1">
      <alignment horizontal="center" vertical="center" wrapText="1"/>
    </xf>
    <xf numFmtId="0" fontId="41" fillId="35" borderId="4" xfId="200" applyFont="1" applyFill="1" applyBorder="1" applyAlignment="1">
      <alignment horizontal="center" vertical="center" wrapText="1"/>
    </xf>
    <xf numFmtId="0" fontId="41" fillId="35" borderId="13" xfId="200" applyFont="1" applyFill="1" applyBorder="1" applyAlignment="1">
      <alignment horizontal="center" vertical="center" wrapText="1"/>
    </xf>
    <xf numFmtId="0" fontId="41" fillId="35" borderId="80" xfId="200" applyFont="1" applyFill="1" applyBorder="1" applyAlignment="1">
      <alignment horizontal="center" vertical="center" wrapText="1"/>
    </xf>
    <xf numFmtId="0" fontId="41" fillId="35" borderId="4" xfId="41860" applyFont="1" applyFill="1" applyBorder="1" applyAlignment="1">
      <alignment horizontal="center" vertical="center" wrapText="1"/>
    </xf>
    <xf numFmtId="172" fontId="41" fillId="35" borderId="13" xfId="200" applyNumberFormat="1" applyFont="1" applyFill="1" applyBorder="1" applyAlignment="1">
      <alignment horizontal="center" vertical="center" wrapText="1"/>
    </xf>
    <xf numFmtId="10" fontId="41" fillId="35" borderId="80" xfId="200" applyNumberFormat="1" applyFont="1" applyFill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41" fillId="35" borderId="63" xfId="0" applyFont="1" applyFill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35" borderId="70" xfId="200" applyFont="1" applyFill="1" applyBorder="1" applyAlignment="1">
      <alignment horizontal="center" vertical="center" wrapText="1"/>
    </xf>
    <xf numFmtId="0" fontId="41" fillId="35" borderId="70" xfId="4186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6" fontId="0" fillId="0" borderId="4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6" fontId="0" fillId="0" borderId="51" xfId="0" applyNumberForma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46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2" fontId="30" fillId="0" borderId="55" xfId="0" applyNumberFormat="1" applyFont="1" applyFill="1" applyBorder="1" applyAlignment="1">
      <alignment horizontal="center" vertical="center"/>
    </xf>
    <xf numFmtId="2" fontId="30" fillId="0" borderId="3" xfId="0" applyNumberFormat="1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14" fontId="30" fillId="0" borderId="74" xfId="0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4" fontId="30" fillId="0" borderId="72" xfId="0" applyNumberFormat="1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9" fontId="30" fillId="34" borderId="14" xfId="1" applyFont="1" applyFill="1" applyBorder="1" applyAlignment="1">
      <alignment horizontal="center" vertical="center"/>
    </xf>
    <xf numFmtId="9" fontId="30" fillId="34" borderId="53" xfId="1" applyFont="1" applyFill="1" applyBorder="1" applyAlignment="1">
      <alignment horizontal="center" vertical="center"/>
    </xf>
    <xf numFmtId="168" fontId="30" fillId="34" borderId="48" xfId="1" applyNumberFormat="1" applyFont="1" applyFill="1" applyBorder="1" applyAlignment="1">
      <alignment horizontal="center" vertical="center"/>
    </xf>
    <xf numFmtId="9" fontId="30" fillId="34" borderId="58" xfId="1" applyFont="1" applyFill="1" applyBorder="1" applyAlignment="1">
      <alignment horizontal="center" vertical="center"/>
    </xf>
    <xf numFmtId="10" fontId="30" fillId="34" borderId="48" xfId="1" applyNumberFormat="1" applyFont="1" applyFill="1" applyBorder="1" applyAlignment="1">
      <alignment horizontal="center" vertical="center"/>
    </xf>
    <xf numFmtId="9" fontId="30" fillId="34" borderId="48" xfId="1" applyFont="1" applyFill="1" applyBorder="1" applyAlignment="1">
      <alignment horizontal="center" vertical="center"/>
    </xf>
    <xf numFmtId="9" fontId="30" fillId="34" borderId="68" xfId="1" applyFont="1" applyFill="1" applyBorder="1" applyAlignment="1">
      <alignment horizontal="center" vertical="center"/>
    </xf>
    <xf numFmtId="0" fontId="41" fillId="35" borderId="5" xfId="20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14" fontId="30" fillId="28" borderId="9" xfId="0" applyNumberFormat="1" applyFont="1" applyFill="1" applyBorder="1" applyAlignment="1">
      <alignment horizontal="center" vertical="center"/>
    </xf>
    <xf numFmtId="9" fontId="25" fillId="31" borderId="0" xfId="1" applyFont="1" applyFill="1" applyAlignment="1">
      <alignment vertical="center"/>
    </xf>
    <xf numFmtId="9" fontId="0" fillId="31" borderId="0" xfId="1" applyFont="1" applyFill="1"/>
    <xf numFmtId="9" fontId="0" fillId="31" borderId="0" xfId="1" applyFont="1" applyFill="1" applyAlignment="1">
      <alignment horizontal="center" vertical="center"/>
    </xf>
    <xf numFmtId="10" fontId="2" fillId="34" borderId="46" xfId="41861" applyNumberFormat="1" applyFont="1" applyFill="1" applyBorder="1" applyAlignment="1">
      <alignment horizontal="center"/>
    </xf>
    <xf numFmtId="10" fontId="2" fillId="34" borderId="51" xfId="41861" applyNumberFormat="1" applyFont="1" applyFill="1" applyBorder="1" applyAlignment="1">
      <alignment horizontal="center"/>
    </xf>
    <xf numFmtId="10" fontId="2" fillId="34" borderId="39" xfId="208" applyNumberFormat="1" applyFont="1" applyFill="1" applyBorder="1" applyAlignment="1">
      <alignment horizontal="center"/>
    </xf>
    <xf numFmtId="0" fontId="42" fillId="30" borderId="39" xfId="0" applyFont="1" applyFill="1" applyBorder="1" applyAlignment="1">
      <alignment horizontal="center" vertical="center" wrapText="1"/>
    </xf>
    <xf numFmtId="0" fontId="42" fillId="30" borderId="77" xfId="0" applyFont="1" applyFill="1" applyBorder="1" applyAlignment="1">
      <alignment horizontal="center" vertical="center" wrapText="1"/>
    </xf>
    <xf numFmtId="170" fontId="42" fillId="30" borderId="63" xfId="0" applyNumberFormat="1" applyFont="1" applyFill="1" applyBorder="1" applyAlignment="1">
      <alignment horizontal="center" vertical="center" wrapText="1"/>
    </xf>
    <xf numFmtId="166" fontId="42" fillId="30" borderId="63" xfId="0" applyNumberFormat="1" applyFont="1" applyFill="1" applyBorder="1" applyAlignment="1">
      <alignment horizontal="center" vertical="center" wrapText="1"/>
    </xf>
    <xf numFmtId="0" fontId="42" fillId="30" borderId="63" xfId="0" applyFont="1" applyFill="1" applyBorder="1" applyAlignment="1">
      <alignment horizontal="center" vertical="center" wrapText="1"/>
    </xf>
    <xf numFmtId="0" fontId="42" fillId="30" borderId="64" xfId="0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6" xfId="0" applyNumberFormat="1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174" fontId="2" fillId="0" borderId="46" xfId="0" applyNumberFormat="1" applyFont="1" applyFill="1" applyBorder="1" applyAlignment="1">
      <alignment horizontal="center" vertical="center"/>
    </xf>
    <xf numFmtId="175" fontId="2" fillId="0" borderId="46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42" fillId="30" borderId="55" xfId="0" applyFont="1" applyFill="1" applyBorder="1" applyAlignment="1">
      <alignment horizontal="center" vertical="center"/>
    </xf>
    <xf numFmtId="0" fontId="42" fillId="30" borderId="55" xfId="0" applyFont="1" applyFill="1" applyBorder="1" applyAlignment="1">
      <alignment horizontal="center" vertical="center" wrapText="1"/>
    </xf>
    <xf numFmtId="0" fontId="42" fillId="30" borderId="62" xfId="0" applyFont="1" applyFill="1" applyBorder="1" applyAlignment="1">
      <alignment horizontal="center" vertical="center" wrapText="1"/>
    </xf>
    <xf numFmtId="0" fontId="42" fillId="30" borderId="75" xfId="0" applyFont="1" applyFill="1" applyBorder="1" applyAlignment="1">
      <alignment horizontal="center" vertical="center" wrapText="1"/>
    </xf>
    <xf numFmtId="10" fontId="30" fillId="34" borderId="66" xfId="1" applyNumberFormat="1" applyFont="1" applyFill="1" applyBorder="1" applyAlignment="1">
      <alignment horizontal="center" vertical="center"/>
    </xf>
    <xf numFmtId="10" fontId="30" fillId="34" borderId="47" xfId="1" applyNumberFormat="1" applyFont="1" applyFill="1" applyBorder="1" applyAlignment="1">
      <alignment horizontal="center" vertical="center"/>
    </xf>
    <xf numFmtId="10" fontId="30" fillId="34" borderId="47" xfId="0" applyNumberFormat="1" applyFont="1" applyFill="1" applyBorder="1" applyAlignment="1">
      <alignment horizontal="center" vertical="center"/>
    </xf>
    <xf numFmtId="10" fontId="30" fillId="34" borderId="52" xfId="1" applyNumberFormat="1" applyFont="1" applyFill="1" applyBorder="1" applyAlignment="1">
      <alignment horizontal="center" vertical="center"/>
    </xf>
    <xf numFmtId="9" fontId="0" fillId="34" borderId="0" xfId="1" applyFont="1" applyFill="1"/>
    <xf numFmtId="10" fontId="2" fillId="34" borderId="46" xfId="208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0" fillId="31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9" xfId="0" applyFont="1" applyFill="1" applyBorder="1" applyAlignment="1">
      <alignment horizontal="center" vertical="center"/>
    </xf>
    <xf numFmtId="166" fontId="0" fillId="0" borderId="47" xfId="0" applyNumberForma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9" fontId="43" fillId="0" borderId="46" xfId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0" fillId="0" borderId="46" xfId="1" applyFont="1" applyBorder="1" applyAlignment="1">
      <alignment horizontal="center" vertical="center"/>
    </xf>
    <xf numFmtId="14" fontId="46" fillId="30" borderId="73" xfId="0" applyNumberFormat="1" applyFont="1" applyFill="1" applyBorder="1" applyAlignment="1">
      <alignment horizontal="center" vertical="center" wrapText="1"/>
    </xf>
    <xf numFmtId="14" fontId="46" fillId="30" borderId="2" xfId="0" applyNumberFormat="1" applyFont="1" applyFill="1" applyBorder="1" applyAlignment="1">
      <alignment horizontal="center" vertical="center" wrapText="1"/>
    </xf>
    <xf numFmtId="14" fontId="46" fillId="30" borderId="5" xfId="0" applyNumberFormat="1" applyFont="1" applyFill="1" applyBorder="1" applyAlignment="1">
      <alignment horizontal="center" vertical="center" wrapText="1"/>
    </xf>
    <xf numFmtId="0" fontId="0" fillId="3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0" fontId="30" fillId="34" borderId="14" xfId="0" applyNumberFormat="1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10" fontId="30" fillId="34" borderId="53" xfId="0" applyNumberFormat="1" applyFont="1" applyFill="1" applyBorder="1" applyAlignment="1">
      <alignment horizontal="center" vertical="center"/>
    </xf>
    <xf numFmtId="10" fontId="30" fillId="34" borderId="53" xfId="1" applyNumberFormat="1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0" fontId="34" fillId="34" borderId="53" xfId="0" applyNumberFormat="1" applyFont="1" applyFill="1" applyBorder="1" applyAlignment="1">
      <alignment horizontal="center" vertical="center"/>
    </xf>
    <xf numFmtId="10" fontId="38" fillId="34" borderId="53" xfId="0" applyNumberFormat="1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0" fontId="30" fillId="34" borderId="48" xfId="0" applyNumberFormat="1" applyFont="1" applyFill="1" applyBorder="1" applyAlignment="1">
      <alignment horizontal="center" vertical="center"/>
    </xf>
    <xf numFmtId="0" fontId="30" fillId="31" borderId="0" xfId="0" applyFont="1" applyFill="1" applyBorder="1" applyAlignment="1">
      <alignment vertical="center" wrapText="1"/>
    </xf>
    <xf numFmtId="0" fontId="0" fillId="31" borderId="0" xfId="0" applyFont="1" applyFill="1" applyBorder="1" applyAlignment="1">
      <alignment horizontal="center" vertical="center"/>
    </xf>
    <xf numFmtId="10" fontId="0" fillId="31" borderId="0" xfId="0" applyNumberFormat="1" applyFont="1" applyFill="1" applyBorder="1" applyAlignment="1">
      <alignment horizontal="center" vertical="center"/>
    </xf>
    <xf numFmtId="14" fontId="0" fillId="31" borderId="0" xfId="0" applyNumberFormat="1" applyFont="1" applyFill="1" applyBorder="1" applyAlignment="1">
      <alignment horizontal="center" vertical="center"/>
    </xf>
    <xf numFmtId="9" fontId="0" fillId="31" borderId="0" xfId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0" fontId="2" fillId="32" borderId="4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9" fontId="30" fillId="34" borderId="7" xfId="0" applyNumberFormat="1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 vertical="center"/>
    </xf>
    <xf numFmtId="9" fontId="30" fillId="34" borderId="52" xfId="0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34" fillId="31" borderId="0" xfId="0" applyFont="1" applyFill="1" applyBorder="1" applyAlignment="1">
      <alignment horizontal="center" vertical="center"/>
    </xf>
    <xf numFmtId="4" fontId="2" fillId="31" borderId="0" xfId="0" applyNumberFormat="1" applyFont="1" applyFill="1" applyBorder="1" applyAlignment="1">
      <alignment horizontal="center" vertical="center"/>
    </xf>
    <xf numFmtId="166" fontId="2" fillId="31" borderId="0" xfId="0" applyNumberFormat="1" applyFont="1" applyFill="1" applyBorder="1" applyAlignment="1">
      <alignment horizontal="center" vertical="center"/>
    </xf>
    <xf numFmtId="9" fontId="0" fillId="31" borderId="0" xfId="0" applyNumberFormat="1" applyFont="1" applyFill="1" applyBorder="1" applyAlignment="1">
      <alignment horizontal="center" vertical="center"/>
    </xf>
    <xf numFmtId="14" fontId="2" fillId="31" borderId="0" xfId="1" applyNumberFormat="1" applyFont="1" applyFill="1" applyBorder="1" applyAlignment="1">
      <alignment horizontal="center" vertical="center"/>
    </xf>
    <xf numFmtId="14" fontId="46" fillId="30" borderId="37" xfId="0" applyNumberFormat="1" applyFont="1" applyFill="1" applyBorder="1" applyAlignment="1">
      <alignment horizontal="center" vertical="center" wrapText="1"/>
    </xf>
    <xf numFmtId="14" fontId="46" fillId="30" borderId="51" xfId="0" applyNumberFormat="1" applyFont="1" applyFill="1" applyBorder="1" applyAlignment="1">
      <alignment horizontal="center" vertical="center" wrapText="1"/>
    </xf>
    <xf numFmtId="14" fontId="46" fillId="30" borderId="52" xfId="0" applyNumberFormat="1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9" fontId="30" fillId="34" borderId="6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9" fontId="30" fillId="34" borderId="47" xfId="0" applyNumberFormat="1" applyFont="1" applyFill="1" applyBorder="1" applyAlignment="1">
      <alignment horizontal="center" vertical="center"/>
    </xf>
    <xf numFmtId="14" fontId="0" fillId="0" borderId="57" xfId="0" applyNumberFormat="1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horizontal="center" vertical="center" wrapText="1"/>
    </xf>
    <xf numFmtId="0" fontId="30" fillId="31" borderId="0" xfId="0" applyFont="1" applyFill="1" applyBorder="1" applyAlignment="1">
      <alignment horizontal="center" vertical="center"/>
    </xf>
    <xf numFmtId="14" fontId="30" fillId="31" borderId="0" xfId="0" applyNumberFormat="1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4" fontId="46" fillId="30" borderId="49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9" fontId="34" fillId="34" borderId="68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9" fontId="30" fillId="34" borderId="53" xfId="0" applyNumberFormat="1" applyFont="1" applyFill="1" applyBorder="1" applyAlignment="1">
      <alignment horizontal="center" vertical="center"/>
    </xf>
    <xf numFmtId="14" fontId="0" fillId="0" borderId="76" xfId="0" applyNumberFormat="1" applyFont="1" applyFill="1" applyBorder="1" applyAlignment="1">
      <alignment horizontal="center" vertical="center"/>
    </xf>
    <xf numFmtId="9" fontId="30" fillId="34" borderId="48" xfId="0" applyNumberFormat="1" applyFont="1" applyFill="1" applyBorder="1" applyAlignment="1">
      <alignment horizontal="center" vertical="center"/>
    </xf>
    <xf numFmtId="14" fontId="0" fillId="0" borderId="74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0" fontId="34" fillId="34" borderId="12" xfId="1" applyNumberFormat="1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10" fontId="34" fillId="34" borderId="51" xfId="1" applyNumberFormat="1" applyFont="1" applyFill="1" applyBorder="1" applyAlignment="1">
      <alignment horizontal="center" vertical="center"/>
    </xf>
    <xf numFmtId="10" fontId="2" fillId="31" borderId="0" xfId="1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vertical="center"/>
    </xf>
    <xf numFmtId="9" fontId="2" fillId="31" borderId="0" xfId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0" fontId="30" fillId="34" borderId="6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10" fontId="30" fillId="34" borderId="52" xfId="0" applyNumberFormat="1" applyFont="1" applyFill="1" applyBorder="1" applyAlignment="1">
      <alignment horizontal="center" vertical="center"/>
    </xf>
    <xf numFmtId="2" fontId="0" fillId="31" borderId="0" xfId="0" applyNumberFormat="1" applyFont="1" applyFill="1" applyBorder="1" applyAlignment="1">
      <alignment horizontal="center" vertical="center"/>
    </xf>
    <xf numFmtId="168" fontId="0" fillId="31" borderId="0" xfId="1" applyNumberFormat="1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vertical="center" wrapText="1"/>
    </xf>
    <xf numFmtId="0" fontId="2" fillId="32" borderId="39" xfId="0" applyFont="1" applyFill="1" applyBorder="1" applyAlignment="1">
      <alignment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66" fontId="2" fillId="0" borderId="63" xfId="0" applyNumberFormat="1" applyFont="1" applyFill="1" applyBorder="1" applyAlignment="1">
      <alignment horizontal="center" vertical="center"/>
    </xf>
    <xf numFmtId="9" fontId="34" fillId="34" borderId="64" xfId="1" applyFont="1" applyFill="1" applyBorder="1" applyAlignment="1">
      <alignment horizontal="center" vertical="center"/>
    </xf>
    <xf numFmtId="14" fontId="2" fillId="0" borderId="26" xfId="1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166" fontId="2" fillId="33" borderId="63" xfId="0" applyNumberFormat="1" applyFont="1" applyFill="1" applyBorder="1" applyAlignment="1">
      <alignment horizontal="center" vertical="center"/>
    </xf>
    <xf numFmtId="9" fontId="30" fillId="34" borderId="64" xfId="1" applyFont="1" applyFill="1" applyBorder="1" applyAlignment="1">
      <alignment horizontal="center" vertical="center"/>
    </xf>
    <xf numFmtId="0" fontId="46" fillId="30" borderId="39" xfId="0" applyFont="1" applyFill="1" applyBorder="1" applyAlignment="1">
      <alignment horizontal="center" vertical="center" wrapText="1"/>
    </xf>
    <xf numFmtId="0" fontId="46" fillId="30" borderId="62" xfId="0" applyFont="1" applyFill="1" applyBorder="1" applyAlignment="1">
      <alignment horizontal="center" vertical="center" wrapText="1"/>
    </xf>
    <xf numFmtId="0" fontId="46" fillId="30" borderId="63" xfId="0" applyFont="1" applyFill="1" applyBorder="1" applyAlignment="1">
      <alignment horizontal="center" vertical="center" wrapText="1"/>
    </xf>
    <xf numFmtId="0" fontId="46" fillId="30" borderId="64" xfId="0" applyFont="1" applyFill="1" applyBorder="1" applyAlignment="1">
      <alignment horizontal="center" vertical="center" wrapText="1"/>
    </xf>
    <xf numFmtId="14" fontId="46" fillId="30" borderId="39" xfId="0" applyNumberFormat="1" applyFont="1" applyFill="1" applyBorder="1" applyAlignment="1">
      <alignment horizontal="center" vertical="center" wrapText="1"/>
    </xf>
    <xf numFmtId="14" fontId="46" fillId="30" borderId="77" xfId="0" applyNumberFormat="1" applyFont="1" applyFill="1" applyBorder="1" applyAlignment="1">
      <alignment horizontal="center" vertical="center" wrapText="1"/>
    </xf>
    <xf numFmtId="14" fontId="46" fillId="30" borderId="63" xfId="0" applyNumberFormat="1" applyFont="1" applyFill="1" applyBorder="1" applyAlignment="1">
      <alignment horizontal="center" vertical="center" wrapText="1"/>
    </xf>
    <xf numFmtId="14" fontId="46" fillId="30" borderId="64" xfId="0" applyNumberFormat="1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0" fontId="30" fillId="34" borderId="66" xfId="0" applyNumberFormat="1" applyFont="1" applyFill="1" applyBorder="1" applyAlignment="1">
      <alignment horizontal="center" vertical="center" wrapText="1"/>
    </xf>
    <xf numFmtId="14" fontId="0" fillId="0" borderId="38" xfId="0" applyNumberFormat="1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wrapText="1"/>
    </xf>
    <xf numFmtId="168" fontId="30" fillId="34" borderId="66" xfId="1" applyNumberFormat="1" applyFont="1" applyFill="1" applyBorder="1" applyAlignment="1">
      <alignment horizontal="center" vertical="center" wrapText="1"/>
    </xf>
    <xf numFmtId="0" fontId="0" fillId="32" borderId="7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0" fontId="30" fillId="34" borderId="47" xfId="0" applyNumberFormat="1" applyFont="1" applyFill="1" applyBorder="1" applyAlignment="1">
      <alignment horizontal="center" vertical="center" wrapText="1"/>
    </xf>
    <xf numFmtId="14" fontId="30" fillId="0" borderId="76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168" fontId="30" fillId="34" borderId="47" xfId="1" applyNumberFormat="1" applyFont="1" applyFill="1" applyBorder="1" applyAlignment="1">
      <alignment horizontal="center" vertical="center" wrapText="1"/>
    </xf>
    <xf numFmtId="0" fontId="0" fillId="32" borderId="7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0" fontId="30" fillId="34" borderId="52" xfId="0" applyNumberFormat="1" applyFont="1" applyFill="1" applyBorder="1" applyAlignment="1">
      <alignment horizontal="center" vertical="center" wrapText="1"/>
    </xf>
    <xf numFmtId="14" fontId="30" fillId="0" borderId="74" xfId="0" applyNumberFormat="1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168" fontId="30" fillId="34" borderId="52" xfId="1" applyNumberFormat="1" applyFont="1" applyFill="1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/>
    </xf>
    <xf numFmtId="14" fontId="30" fillId="28" borderId="76" xfId="0" applyNumberFormat="1" applyFont="1" applyFill="1" applyBorder="1" applyAlignment="1">
      <alignment horizontal="center" vertical="center"/>
    </xf>
    <xf numFmtId="14" fontId="0" fillId="0" borderId="76" xfId="0" applyNumberFormat="1" applyFont="1" applyFill="1" applyBorder="1" applyAlignment="1">
      <alignment horizontal="center" vertical="center" wrapText="1"/>
    </xf>
    <xf numFmtId="14" fontId="2" fillId="0" borderId="78" xfId="1" applyNumberFormat="1" applyFont="1" applyFill="1" applyBorder="1" applyAlignment="1">
      <alignment horizontal="center" vertical="center"/>
    </xf>
    <xf numFmtId="14" fontId="2" fillId="0" borderId="79" xfId="1" applyNumberFormat="1" applyFont="1" applyFill="1" applyBorder="1" applyAlignment="1">
      <alignment horizontal="center" vertical="center"/>
    </xf>
    <xf numFmtId="14" fontId="2" fillId="0" borderId="12" xfId="1" applyNumberFormat="1" applyFont="1" applyFill="1" applyBorder="1" applyAlignment="1">
      <alignment horizontal="center" vertical="center"/>
    </xf>
    <xf numFmtId="14" fontId="2" fillId="0" borderId="51" xfId="1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14" fontId="0" fillId="0" borderId="71" xfId="0" applyNumberFormat="1" applyFont="1" applyFill="1" applyBorder="1" applyAlignment="1">
      <alignment horizontal="center" vertical="center"/>
    </xf>
    <xf numFmtId="166" fontId="34" fillId="0" borderId="46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46" xfId="41862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6" fillId="37" borderId="6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/>
    </xf>
    <xf numFmtId="0" fontId="0" fillId="0" borderId="6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9" fontId="27" fillId="34" borderId="46" xfId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166" fontId="30" fillId="0" borderId="46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/>
    </xf>
    <xf numFmtId="166" fontId="30" fillId="0" borderId="12" xfId="0" applyNumberFormat="1" applyFont="1" applyFill="1" applyBorder="1" applyAlignment="1">
      <alignment horizontal="center" vertical="center"/>
    </xf>
    <xf numFmtId="166" fontId="30" fillId="0" borderId="55" xfId="0" applyNumberFormat="1" applyFont="1" applyFill="1" applyBorder="1" applyAlignment="1">
      <alignment horizontal="center" vertical="center"/>
    </xf>
    <xf numFmtId="166" fontId="38" fillId="0" borderId="51" xfId="0" applyNumberFormat="1" applyFont="1" applyFill="1" applyBorder="1" applyAlignment="1">
      <alignment horizontal="center" vertical="center"/>
    </xf>
    <xf numFmtId="10" fontId="30" fillId="38" borderId="47" xfId="1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51" xfId="0" applyNumberFormat="1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46" fillId="37" borderId="59" xfId="0" applyFont="1" applyFill="1" applyBorder="1" applyAlignment="1">
      <alignment horizontal="center" vertical="center"/>
    </xf>
    <xf numFmtId="174" fontId="2" fillId="0" borderId="37" xfId="0" applyNumberFormat="1" applyFont="1" applyFill="1" applyBorder="1" applyAlignment="1">
      <alignment horizontal="center" vertical="center"/>
    </xf>
    <xf numFmtId="174" fontId="2" fillId="0" borderId="52" xfId="0" applyNumberFormat="1" applyFont="1" applyFill="1" applyBorder="1" applyAlignment="1">
      <alignment horizontal="center" vertical="center"/>
    </xf>
    <xf numFmtId="174" fontId="2" fillId="0" borderId="62" xfId="0" applyNumberFormat="1" applyFont="1" applyFill="1" applyBorder="1" applyAlignment="1">
      <alignment horizontal="center" vertical="center"/>
    </xf>
    <xf numFmtId="174" fontId="2" fillId="0" borderId="64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80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/>
    </xf>
    <xf numFmtId="14" fontId="30" fillId="0" borderId="46" xfId="0" applyNumberFormat="1" applyFont="1" applyBorder="1" applyAlignment="1">
      <alignment horizontal="center"/>
    </xf>
    <xf numFmtId="0" fontId="0" fillId="41" borderId="46" xfId="0" applyFill="1" applyBorder="1"/>
    <xf numFmtId="0" fontId="0" fillId="42" borderId="46" xfId="0" applyFill="1" applyBorder="1"/>
    <xf numFmtId="0" fontId="0" fillId="41" borderId="46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0" fillId="41" borderId="3" xfId="0" applyFill="1" applyBorder="1" applyAlignment="1">
      <alignment horizontal="center"/>
    </xf>
    <xf numFmtId="0" fontId="0" fillId="41" borderId="46" xfId="0" applyFill="1" applyBorder="1" applyAlignment="1">
      <alignment horizontal="center" vertical="center"/>
    </xf>
    <xf numFmtId="0" fontId="0" fillId="41" borderId="55" xfId="0" applyFill="1" applyBorder="1"/>
    <xf numFmtId="0" fontId="0" fillId="41" borderId="5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14" fontId="30" fillId="0" borderId="51" xfId="0" applyNumberFormat="1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2" fontId="30" fillId="0" borderId="52" xfId="0" applyNumberFormat="1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9" fontId="30" fillId="0" borderId="52" xfId="1" applyFont="1" applyBorder="1" applyAlignment="1">
      <alignment horizontal="center"/>
    </xf>
    <xf numFmtId="0" fontId="0" fillId="42" borderId="51" xfId="0" applyFill="1" applyBorder="1"/>
    <xf numFmtId="0" fontId="30" fillId="0" borderId="65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41" borderId="3" xfId="0" applyFill="1" applyBorder="1"/>
    <xf numFmtId="171" fontId="30" fillId="31" borderId="0" xfId="0" applyNumberFormat="1" applyFont="1" applyFill="1"/>
    <xf numFmtId="2" fontId="30" fillId="31" borderId="0" xfId="0" applyNumberFormat="1" applyFont="1" applyFill="1" applyAlignment="1">
      <alignment horizontal="center" vertical="center"/>
    </xf>
    <xf numFmtId="0" fontId="30" fillId="40" borderId="62" xfId="0" applyFont="1" applyFill="1" applyBorder="1" applyAlignment="1">
      <alignment horizontal="center" vertical="center"/>
    </xf>
    <xf numFmtId="0" fontId="30" fillId="40" borderId="63" xfId="0" applyFont="1" applyFill="1" applyBorder="1" applyAlignment="1">
      <alignment horizontal="center" vertical="center"/>
    </xf>
    <xf numFmtId="0" fontId="30" fillId="40" borderId="64" xfId="0" applyFont="1" applyFill="1" applyBorder="1" applyAlignment="1">
      <alignment horizontal="center" vertical="center"/>
    </xf>
    <xf numFmtId="0" fontId="0" fillId="42" borderId="51" xfId="0" applyFill="1" applyBorder="1" applyAlignment="1">
      <alignment horizontal="center"/>
    </xf>
    <xf numFmtId="0" fontId="0" fillId="41" borderId="3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31" borderId="0" xfId="0" applyNumberFormat="1" applyFill="1" applyAlignment="1">
      <alignment horizontal="center" vertical="center"/>
    </xf>
    <xf numFmtId="166" fontId="0" fillId="31" borderId="0" xfId="0" applyNumberForma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 wrapText="1"/>
    </xf>
    <xf numFmtId="14" fontId="30" fillId="0" borderId="76" xfId="0" applyNumberFormat="1" applyFont="1" applyFill="1" applyBorder="1" applyAlignment="1">
      <alignment horizontal="center" vertical="center"/>
    </xf>
    <xf numFmtId="14" fontId="43" fillId="0" borderId="46" xfId="0" applyNumberFormat="1" applyFont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30" borderId="20" xfId="0" applyFont="1" applyFill="1" applyBorder="1" applyAlignment="1">
      <alignment horizontal="center"/>
    </xf>
    <xf numFmtId="0" fontId="45" fillId="30" borderId="6" xfId="0" applyFont="1" applyFill="1" applyBorder="1" applyAlignment="1">
      <alignment horizontal="center"/>
    </xf>
    <xf numFmtId="0" fontId="45" fillId="30" borderId="24" xfId="0" applyFont="1" applyFill="1" applyBorder="1" applyAlignment="1">
      <alignment horizontal="center"/>
    </xf>
    <xf numFmtId="0" fontId="34" fillId="36" borderId="46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 wrapText="1"/>
    </xf>
    <xf numFmtId="0" fontId="30" fillId="36" borderId="76" xfId="0" applyFont="1" applyFill="1" applyBorder="1" applyAlignment="1">
      <alignment horizontal="center" vertical="center" wrapText="1"/>
    </xf>
    <xf numFmtId="0" fontId="30" fillId="36" borderId="74" xfId="0" applyFont="1" applyFill="1" applyBorder="1" applyAlignment="1">
      <alignment horizontal="center" vertical="center" wrapText="1"/>
    </xf>
    <xf numFmtId="0" fontId="42" fillId="30" borderId="21" xfId="0" applyFont="1" applyFill="1" applyBorder="1" applyAlignment="1">
      <alignment horizontal="center" vertical="center"/>
    </xf>
    <xf numFmtId="0" fontId="42" fillId="30" borderId="22" xfId="0" applyFont="1" applyFill="1" applyBorder="1" applyAlignment="1">
      <alignment horizontal="center" vertical="center"/>
    </xf>
    <xf numFmtId="0" fontId="42" fillId="30" borderId="23" xfId="0" applyFont="1" applyFill="1" applyBorder="1" applyAlignment="1">
      <alignment horizontal="center" vertical="center"/>
    </xf>
    <xf numFmtId="171" fontId="42" fillId="30" borderId="20" xfId="0" applyNumberFormat="1" applyFont="1" applyFill="1" applyBorder="1" applyAlignment="1">
      <alignment horizontal="center" vertical="center"/>
    </xf>
    <xf numFmtId="171" fontId="42" fillId="30" borderId="6" xfId="0" applyNumberFormat="1" applyFont="1" applyFill="1" applyBorder="1" applyAlignment="1">
      <alignment horizontal="center" vertical="center"/>
    </xf>
    <xf numFmtId="171" fontId="42" fillId="30" borderId="24" xfId="0" applyNumberFormat="1" applyFont="1" applyFill="1" applyBorder="1" applyAlignment="1">
      <alignment horizontal="center" vertical="center"/>
    </xf>
    <xf numFmtId="0" fontId="33" fillId="36" borderId="9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42" fillId="30" borderId="21" xfId="0" applyFont="1" applyFill="1" applyBorder="1" applyAlignment="1">
      <alignment horizontal="center"/>
    </xf>
    <xf numFmtId="0" fontId="42" fillId="30" borderId="22" xfId="0" applyFont="1" applyFill="1" applyBorder="1" applyAlignment="1">
      <alignment horizontal="center"/>
    </xf>
    <xf numFmtId="0" fontId="42" fillId="30" borderId="23" xfId="0" applyFont="1" applyFill="1" applyBorder="1" applyAlignment="1">
      <alignment horizontal="center"/>
    </xf>
    <xf numFmtId="0" fontId="42" fillId="30" borderId="19" xfId="0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horizontal="center" vertical="center"/>
    </xf>
    <xf numFmtId="0" fontId="42" fillId="30" borderId="25" xfId="0" applyFont="1" applyFill="1" applyBorder="1" applyAlignment="1">
      <alignment horizontal="center" vertical="center"/>
    </xf>
    <xf numFmtId="0" fontId="33" fillId="36" borderId="8" xfId="0" applyFont="1" applyFill="1" applyBorder="1" applyAlignment="1">
      <alignment horizontal="center" vertical="center" wrapText="1"/>
    </xf>
    <xf numFmtId="0" fontId="30" fillId="36" borderId="9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vertical="center" wrapText="1"/>
    </xf>
    <xf numFmtId="0" fontId="30" fillId="36" borderId="9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0" fontId="30" fillId="36" borderId="56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2" borderId="45" xfId="0" applyFont="1" applyFill="1" applyBorder="1" applyAlignment="1">
      <alignment horizontal="left" vertical="center" wrapText="1"/>
    </xf>
    <xf numFmtId="0" fontId="30" fillId="32" borderId="47" xfId="0" applyFont="1" applyFill="1" applyBorder="1" applyAlignment="1">
      <alignment horizontal="left" vertical="center" wrapText="1"/>
    </xf>
    <xf numFmtId="0" fontId="30" fillId="32" borderId="37" xfId="0" applyFont="1" applyFill="1" applyBorder="1" applyAlignment="1">
      <alignment horizontal="left" vertical="center"/>
    </xf>
    <xf numFmtId="0" fontId="30" fillId="32" borderId="52" xfId="0" applyFont="1" applyFill="1" applyBorder="1" applyAlignment="1">
      <alignment horizontal="left" vertical="center"/>
    </xf>
    <xf numFmtId="168" fontId="30" fillId="34" borderId="66" xfId="1" applyNumberFormat="1" applyFont="1" applyFill="1" applyBorder="1" applyAlignment="1">
      <alignment horizontal="center" vertical="center"/>
    </xf>
    <xf numFmtId="168" fontId="30" fillId="34" borderId="47" xfId="1" applyNumberFormat="1" applyFont="1" applyFill="1" applyBorder="1" applyAlignment="1">
      <alignment horizontal="center" vertical="center"/>
    </xf>
    <xf numFmtId="168" fontId="30" fillId="34" borderId="52" xfId="1" applyNumberFormat="1" applyFont="1" applyFill="1" applyBorder="1" applyAlignment="1">
      <alignment horizontal="center" vertical="center"/>
    </xf>
    <xf numFmtId="0" fontId="46" fillId="30" borderId="62" xfId="0" applyFont="1" applyFill="1" applyBorder="1" applyAlignment="1">
      <alignment horizontal="center" vertical="center" wrapText="1"/>
    </xf>
    <xf numFmtId="0" fontId="46" fillId="30" borderId="64" xfId="0" applyFont="1" applyFill="1" applyBorder="1" applyAlignment="1">
      <alignment horizontal="center" vertical="center" wrapText="1"/>
    </xf>
    <xf numFmtId="0" fontId="30" fillId="32" borderId="65" xfId="0" applyFont="1" applyFill="1" applyBorder="1" applyAlignment="1">
      <alignment horizontal="left" vertical="center" wrapText="1"/>
    </xf>
    <xf numFmtId="0" fontId="30" fillId="32" borderId="66" xfId="0" applyFont="1" applyFill="1" applyBorder="1" applyAlignment="1">
      <alignment horizontal="left" vertical="center" wrapText="1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51" xfId="0" applyNumberFormat="1" applyFont="1" applyFill="1" applyBorder="1" applyAlignment="1">
      <alignment horizontal="center" vertical="center"/>
    </xf>
    <xf numFmtId="9" fontId="34" fillId="34" borderId="7" xfId="1" applyFont="1" applyFill="1" applyBorder="1" applyAlignment="1">
      <alignment horizontal="center" vertical="center"/>
    </xf>
    <xf numFmtId="9" fontId="34" fillId="34" borderId="52" xfId="1" applyFont="1" applyFill="1" applyBorder="1" applyAlignment="1">
      <alignment horizontal="center" vertical="center"/>
    </xf>
    <xf numFmtId="0" fontId="46" fillId="30" borderId="15" xfId="0" applyFont="1" applyFill="1" applyBorder="1" applyAlignment="1">
      <alignment horizontal="center" vertical="center"/>
    </xf>
    <xf numFmtId="0" fontId="46" fillId="30" borderId="12" xfId="0" applyFont="1" applyFill="1" applyBorder="1" applyAlignment="1">
      <alignment horizontal="center" vertical="center"/>
    </xf>
    <xf numFmtId="0" fontId="46" fillId="30" borderId="7" xfId="0" applyFont="1" applyFill="1" applyBorder="1" applyAlignment="1">
      <alignment horizontal="center" vertical="center"/>
    </xf>
    <xf numFmtId="0" fontId="30" fillId="32" borderId="38" xfId="0" applyFont="1" applyFill="1" applyBorder="1" applyAlignment="1">
      <alignment horizontal="left" vertical="center" wrapText="1"/>
    </xf>
    <xf numFmtId="0" fontId="30" fillId="32" borderId="76" xfId="0" applyFont="1" applyFill="1" applyBorder="1" applyAlignment="1">
      <alignment horizontal="left" vertical="center" wrapText="1"/>
    </xf>
    <xf numFmtId="0" fontId="30" fillId="32" borderId="74" xfId="0" applyFont="1" applyFill="1" applyBorder="1" applyAlignment="1">
      <alignment horizontal="left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76" xfId="0" applyFont="1" applyFill="1" applyBorder="1" applyAlignment="1">
      <alignment horizontal="center" vertical="center" wrapText="1"/>
    </xf>
    <xf numFmtId="0" fontId="0" fillId="32" borderId="74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166" fontId="0" fillId="33" borderId="3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49" fillId="30" borderId="11" xfId="0" applyFont="1" applyFill="1" applyBorder="1" applyAlignment="1">
      <alignment horizontal="center" vertical="center"/>
    </xf>
    <xf numFmtId="0" fontId="49" fillId="30" borderId="12" xfId="0" applyFont="1" applyFill="1" applyBorder="1" applyAlignment="1">
      <alignment horizontal="center" vertical="center"/>
    </xf>
    <xf numFmtId="0" fontId="49" fillId="30" borderId="45" xfId="0" applyFont="1" applyFill="1" applyBorder="1" applyAlignment="1">
      <alignment horizontal="center" vertical="center"/>
    </xf>
    <xf numFmtId="0" fontId="49" fillId="30" borderId="46" xfId="0" applyFont="1" applyFill="1" applyBorder="1" applyAlignment="1">
      <alignment horizontal="center" vertical="center"/>
    </xf>
    <xf numFmtId="0" fontId="49" fillId="30" borderId="37" xfId="0" applyFont="1" applyFill="1" applyBorder="1" applyAlignment="1">
      <alignment horizontal="center" vertical="center"/>
    </xf>
    <xf numFmtId="0" fontId="49" fillId="30" borderId="51" xfId="0" applyFont="1" applyFill="1" applyBorder="1" applyAlignment="1">
      <alignment horizontal="center" vertical="center"/>
    </xf>
    <xf numFmtId="0" fontId="49" fillId="30" borderId="7" xfId="0" applyFont="1" applyFill="1" applyBorder="1" applyAlignment="1">
      <alignment horizontal="center" vertical="center"/>
    </xf>
    <xf numFmtId="0" fontId="49" fillId="30" borderId="47" xfId="0" applyFont="1" applyFill="1" applyBorder="1" applyAlignment="1">
      <alignment horizontal="center" vertical="center"/>
    </xf>
    <xf numFmtId="0" fontId="49" fillId="30" borderId="52" xfId="0" applyFont="1" applyFill="1" applyBorder="1" applyAlignment="1">
      <alignment horizontal="center" vertical="center"/>
    </xf>
    <xf numFmtId="166" fontId="0" fillId="33" borderId="7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9" fontId="30" fillId="34" borderId="40" xfId="1" applyFont="1" applyFill="1" applyBorder="1" applyAlignment="1">
      <alignment horizontal="center" vertical="center"/>
    </xf>
    <xf numFmtId="9" fontId="30" fillId="34" borderId="50" xfId="1" applyFont="1" applyFill="1" applyBorder="1" applyAlignment="1">
      <alignment horizontal="center" vertical="center"/>
    </xf>
    <xf numFmtId="167" fontId="0" fillId="33" borderId="69" xfId="0" applyNumberFormat="1" applyFont="1" applyFill="1" applyBorder="1" applyAlignment="1">
      <alignment horizontal="center" vertical="center"/>
    </xf>
    <xf numFmtId="167" fontId="0" fillId="33" borderId="54" xfId="0" applyNumberFormat="1" applyFont="1" applyFill="1" applyBorder="1" applyAlignment="1">
      <alignment horizontal="center" vertical="center"/>
    </xf>
    <xf numFmtId="167" fontId="0" fillId="33" borderId="3" xfId="0" applyNumberFormat="1" applyFont="1" applyFill="1" applyBorder="1" applyAlignment="1">
      <alignment horizontal="center" vertical="center"/>
    </xf>
    <xf numFmtId="167" fontId="0" fillId="33" borderId="46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4" fontId="46" fillId="30" borderId="71" xfId="0" applyNumberFormat="1" applyFont="1" applyFill="1" applyBorder="1" applyAlignment="1">
      <alignment horizontal="center" vertical="center" wrapText="1"/>
    </xf>
    <xf numFmtId="14" fontId="46" fillId="30" borderId="74" xfId="0" applyNumberFormat="1" applyFont="1" applyFill="1" applyBorder="1" applyAlignment="1">
      <alignment horizontal="center" vertical="center" wrapText="1"/>
    </xf>
    <xf numFmtId="0" fontId="46" fillId="30" borderId="12" xfId="0" applyFont="1" applyFill="1" applyBorder="1" applyAlignment="1">
      <alignment horizontal="center" vertical="center" wrapText="1"/>
    </xf>
    <xf numFmtId="0" fontId="46" fillId="30" borderId="51" xfId="0" applyFont="1" applyFill="1" applyBorder="1" applyAlignment="1">
      <alignment horizontal="center" vertical="center" wrapText="1"/>
    </xf>
    <xf numFmtId="4" fontId="46" fillId="30" borderId="12" xfId="0" applyNumberFormat="1" applyFont="1" applyFill="1" applyBorder="1" applyAlignment="1">
      <alignment horizontal="center" vertical="center" wrapText="1"/>
    </xf>
    <xf numFmtId="4" fontId="46" fillId="30" borderId="51" xfId="0" applyNumberFormat="1" applyFont="1" applyFill="1" applyBorder="1" applyAlignment="1">
      <alignment horizontal="center" vertical="center" wrapText="1"/>
    </xf>
    <xf numFmtId="0" fontId="46" fillId="30" borderId="15" xfId="0" applyFont="1" applyFill="1" applyBorder="1" applyAlignment="1">
      <alignment horizontal="center" vertical="center" wrapText="1"/>
    </xf>
    <xf numFmtId="0" fontId="46" fillId="30" borderId="49" xfId="0" applyFont="1" applyFill="1" applyBorder="1" applyAlignment="1">
      <alignment horizontal="center" vertical="center" wrapText="1"/>
    </xf>
    <xf numFmtId="0" fontId="46" fillId="30" borderId="71" xfId="0" applyFont="1" applyFill="1" applyBorder="1" applyAlignment="1">
      <alignment horizontal="center" vertical="center" wrapText="1"/>
    </xf>
    <xf numFmtId="0" fontId="46" fillId="30" borderId="74" xfId="0" applyFont="1" applyFill="1" applyBorder="1" applyAlignment="1">
      <alignment horizontal="center" vertical="center" wrapText="1"/>
    </xf>
    <xf numFmtId="9" fontId="30" fillId="34" borderId="66" xfId="1" applyFont="1" applyFill="1" applyBorder="1" applyAlignment="1">
      <alignment horizontal="center" vertical="center"/>
    </xf>
    <xf numFmtId="9" fontId="30" fillId="34" borderId="47" xfId="1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4" fontId="30" fillId="33" borderId="3" xfId="0" applyNumberFormat="1" applyFont="1" applyFill="1" applyBorder="1" applyAlignment="1">
      <alignment horizontal="center" vertical="center"/>
    </xf>
    <xf numFmtId="9" fontId="30" fillId="34" borderId="52" xfId="1" applyFont="1" applyFill="1" applyBorder="1" applyAlignment="1">
      <alignment horizontal="center" vertical="center"/>
    </xf>
    <xf numFmtId="0" fontId="46" fillId="30" borderId="11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30" fillId="33" borderId="3" xfId="0" applyFont="1" applyFill="1" applyBorder="1" applyAlignment="1">
      <alignment horizontal="center" vertical="center"/>
    </xf>
    <xf numFmtId="167" fontId="30" fillId="33" borderId="3" xfId="0" applyNumberFormat="1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9" fontId="30" fillId="34" borderId="7" xfId="1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0" fillId="32" borderId="72" xfId="0" applyFont="1" applyFill="1" applyBorder="1" applyAlignment="1">
      <alignment horizontal="center" vertical="center"/>
    </xf>
    <xf numFmtId="4" fontId="0" fillId="33" borderId="46" xfId="0" applyNumberFormat="1" applyFont="1" applyFill="1" applyBorder="1" applyAlignment="1">
      <alignment horizontal="center" vertical="center"/>
    </xf>
    <xf numFmtId="0" fontId="46" fillId="30" borderId="26" xfId="0" applyFont="1" applyFill="1" applyBorder="1" applyAlignment="1">
      <alignment horizontal="center" vertical="center"/>
    </xf>
    <xf numFmtId="0" fontId="46" fillId="30" borderId="27" xfId="0" applyFont="1" applyFill="1" applyBorder="1" applyAlignment="1">
      <alignment horizontal="center" vertical="center"/>
    </xf>
    <xf numFmtId="0" fontId="30" fillId="32" borderId="8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2" fontId="39" fillId="30" borderId="21" xfId="0" applyNumberFormat="1" applyFont="1" applyFill="1" applyBorder="1" applyAlignment="1">
      <alignment horizontal="center" vertical="center"/>
    </xf>
    <xf numFmtId="2" fontId="39" fillId="30" borderId="22" xfId="0" applyNumberFormat="1" applyFont="1" applyFill="1" applyBorder="1" applyAlignment="1">
      <alignment horizontal="center" vertical="center"/>
    </xf>
    <xf numFmtId="2" fontId="39" fillId="30" borderId="23" xfId="0" applyNumberFormat="1" applyFont="1" applyFill="1" applyBorder="1" applyAlignment="1">
      <alignment horizontal="center" vertical="center"/>
    </xf>
    <xf numFmtId="14" fontId="46" fillId="30" borderId="78" xfId="0" applyNumberFormat="1" applyFont="1" applyFill="1" applyBorder="1" applyAlignment="1">
      <alignment horizontal="center" vertical="center" wrapText="1"/>
    </xf>
    <xf numFmtId="14" fontId="46" fillId="30" borderId="79" xfId="0" applyNumberFormat="1" applyFont="1" applyFill="1" applyBorder="1" applyAlignment="1">
      <alignment horizontal="center" vertical="center" wrapText="1"/>
    </xf>
    <xf numFmtId="0" fontId="46" fillId="30" borderId="7" xfId="0" applyFont="1" applyFill="1" applyBorder="1" applyAlignment="1">
      <alignment horizontal="center" vertical="center" wrapText="1"/>
    </xf>
    <xf numFmtId="0" fontId="46" fillId="30" borderId="52" xfId="0" applyFont="1" applyFill="1" applyBorder="1" applyAlignment="1">
      <alignment horizontal="center" vertical="center" wrapText="1"/>
    </xf>
    <xf numFmtId="0" fontId="46" fillId="30" borderId="11" xfId="0" applyFont="1" applyFill="1" applyBorder="1" applyAlignment="1">
      <alignment horizontal="center" vertical="center" wrapText="1"/>
    </xf>
    <xf numFmtId="0" fontId="46" fillId="30" borderId="37" xfId="0" applyFont="1" applyFill="1" applyBorder="1" applyAlignment="1">
      <alignment horizontal="center" vertical="center" wrapText="1"/>
    </xf>
    <xf numFmtId="14" fontId="46" fillId="30" borderId="72" xfId="0" applyNumberFormat="1" applyFont="1" applyFill="1" applyBorder="1" applyAlignment="1">
      <alignment horizontal="center" vertical="center" wrapText="1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58" xfId="0" applyFont="1" applyFill="1" applyBorder="1" applyAlignment="1">
      <alignment horizontal="center" vertical="center" wrapText="1"/>
    </xf>
    <xf numFmtId="0" fontId="46" fillId="30" borderId="55" xfId="0" applyFont="1" applyFill="1" applyBorder="1" applyAlignment="1">
      <alignment horizontal="center" vertical="center" wrapText="1"/>
    </xf>
    <xf numFmtId="0" fontId="46" fillId="30" borderId="59" xfId="0" applyFont="1" applyFill="1" applyBorder="1" applyAlignment="1">
      <alignment horizontal="center" vertical="center" wrapText="1"/>
    </xf>
    <xf numFmtId="0" fontId="46" fillId="30" borderId="40" xfId="0" applyFont="1" applyFill="1" applyBorder="1" applyAlignment="1">
      <alignment horizontal="center" vertical="center" wrapText="1"/>
    </xf>
    <xf numFmtId="0" fontId="46" fillId="30" borderId="50" xfId="0" applyFont="1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0" fontId="41" fillId="35" borderId="9" xfId="193" applyFont="1" applyFill="1" applyBorder="1" applyAlignment="1">
      <alignment horizontal="center" vertical="center" wrapText="1"/>
    </xf>
    <xf numFmtId="0" fontId="41" fillId="35" borderId="10" xfId="193" applyFont="1" applyFill="1" applyBorder="1" applyAlignment="1">
      <alignment horizontal="center" vertical="center" wrapText="1"/>
    </xf>
    <xf numFmtId="0" fontId="41" fillId="35" borderId="21" xfId="194" applyFont="1" applyFill="1" applyBorder="1" applyAlignment="1">
      <alignment horizontal="center" vertical="center" wrapText="1"/>
    </xf>
    <xf numFmtId="0" fontId="41" fillId="35" borderId="20" xfId="194" applyFont="1" applyFill="1" applyBorder="1" applyAlignment="1">
      <alignment horizontal="center" vertical="center" wrapText="1"/>
    </xf>
    <xf numFmtId="178" fontId="0" fillId="27" borderId="46" xfId="0" applyNumberFormat="1" applyFill="1" applyBorder="1" applyAlignment="1">
      <alignment horizontal="center" vertical="center"/>
    </xf>
    <xf numFmtId="178" fontId="0" fillId="27" borderId="51" xfId="0" applyNumberFormat="1" applyFill="1" applyBorder="1" applyAlignment="1">
      <alignment horizontal="center" vertical="center"/>
    </xf>
    <xf numFmtId="9" fontId="27" fillId="34" borderId="81" xfId="1" applyFont="1" applyFill="1" applyBorder="1" applyAlignment="1">
      <alignment horizontal="center" vertical="center"/>
    </xf>
    <xf numFmtId="9" fontId="27" fillId="34" borderId="66" xfId="1" applyFont="1" applyFill="1" applyBorder="1" applyAlignment="1">
      <alignment horizontal="center" vertical="center"/>
    </xf>
    <xf numFmtId="0" fontId="0" fillId="26" borderId="76" xfId="0" applyFill="1" applyBorder="1" applyAlignment="1">
      <alignment horizontal="left" vertical="center" wrapText="1"/>
    </xf>
    <xf numFmtId="0" fontId="0" fillId="27" borderId="54" xfId="0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 textRotation="90" wrapText="1"/>
    </xf>
    <xf numFmtId="0" fontId="36" fillId="26" borderId="76" xfId="0" applyFont="1" applyFill="1" applyBorder="1" applyAlignment="1">
      <alignment horizontal="center" vertical="center" textRotation="90" wrapText="1"/>
    </xf>
    <xf numFmtId="0" fontId="36" fillId="26" borderId="74" xfId="0" applyFont="1" applyFill="1" applyBorder="1" applyAlignment="1">
      <alignment horizontal="center" vertical="center" textRotation="90" wrapText="1"/>
    </xf>
    <xf numFmtId="0" fontId="0" fillId="27" borderId="3" xfId="0" applyFill="1" applyBorder="1" applyAlignment="1">
      <alignment horizontal="center" vertical="center"/>
    </xf>
    <xf numFmtId="0" fontId="0" fillId="26" borderId="74" xfId="0" applyFill="1" applyBorder="1" applyAlignment="1">
      <alignment horizontal="left" vertical="center" wrapText="1"/>
    </xf>
    <xf numFmtId="0" fontId="0" fillId="27" borderId="49" xfId="0" applyFill="1" applyBorder="1" applyAlignment="1">
      <alignment horizontal="center" vertical="center"/>
    </xf>
    <xf numFmtId="0" fontId="34" fillId="29" borderId="7" xfId="193" applyFont="1" applyFill="1" applyBorder="1" applyAlignment="1">
      <alignment horizontal="center" vertical="center" wrapText="1"/>
    </xf>
    <xf numFmtId="0" fontId="34" fillId="29" borderId="47" xfId="193" applyFont="1" applyFill="1" applyBorder="1" applyAlignment="1">
      <alignment horizontal="center" vertical="center" wrapText="1"/>
    </xf>
    <xf numFmtId="178" fontId="0" fillId="27" borderId="3" xfId="0" applyNumberFormat="1" applyFill="1" applyBorder="1" applyAlignment="1">
      <alignment horizontal="center" vertical="center"/>
    </xf>
    <xf numFmtId="0" fontId="35" fillId="29" borderId="18" xfId="193" applyFont="1" applyFill="1" applyBorder="1" applyAlignment="1">
      <alignment horizontal="center" vertical="center" wrapText="1"/>
    </xf>
    <xf numFmtId="0" fontId="35" fillId="29" borderId="56" xfId="193" applyFont="1" applyFill="1" applyBorder="1" applyAlignment="1">
      <alignment horizontal="center" vertical="center" wrapText="1"/>
    </xf>
    <xf numFmtId="0" fontId="34" fillId="29" borderId="11" xfId="193" applyFont="1" applyFill="1" applyBorder="1" applyAlignment="1">
      <alignment horizontal="center" vertical="center" wrapText="1"/>
    </xf>
    <xf numFmtId="0" fontId="34" fillId="29" borderId="45" xfId="193" applyFont="1" applyFill="1" applyBorder="1" applyAlignment="1">
      <alignment horizontal="center" vertical="center" wrapText="1"/>
    </xf>
    <xf numFmtId="0" fontId="34" fillId="29" borderId="12" xfId="193" applyFont="1" applyFill="1" applyBorder="1" applyAlignment="1">
      <alignment horizontal="center" vertical="center" wrapText="1"/>
    </xf>
    <xf numFmtId="0" fontId="34" fillId="29" borderId="46" xfId="193" applyFont="1" applyFill="1" applyBorder="1" applyAlignment="1">
      <alignment horizontal="center" vertical="center" wrapText="1"/>
    </xf>
    <xf numFmtId="3" fontId="34" fillId="29" borderId="12" xfId="0" applyNumberFormat="1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0" fontId="0" fillId="26" borderId="38" xfId="0" applyFill="1" applyBorder="1" applyAlignment="1">
      <alignment horizontal="left" vertical="center" wrapText="1"/>
    </xf>
    <xf numFmtId="0" fontId="40" fillId="35" borderId="62" xfId="0" applyFont="1" applyFill="1" applyBorder="1" applyAlignment="1">
      <alignment horizontal="center" vertical="center"/>
    </xf>
    <xf numFmtId="0" fontId="40" fillId="35" borderId="63" xfId="0" applyFont="1" applyFill="1" applyBorder="1" applyAlignment="1">
      <alignment horizontal="center" vertical="center"/>
    </xf>
    <xf numFmtId="0" fontId="40" fillId="35" borderId="64" xfId="0" applyFont="1" applyFill="1" applyBorder="1" applyAlignment="1">
      <alignment horizontal="center" vertical="center"/>
    </xf>
    <xf numFmtId="0" fontId="40" fillId="35" borderId="77" xfId="0" applyFont="1" applyFill="1" applyBorder="1" applyAlignment="1">
      <alignment horizontal="center" vertical="center"/>
    </xf>
    <xf numFmtId="0" fontId="0" fillId="26" borderId="72" xfId="0" applyFill="1" applyBorder="1" applyAlignment="1">
      <alignment horizontal="left" vertical="center" wrapText="1"/>
    </xf>
    <xf numFmtId="0" fontId="0" fillId="27" borderId="45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9" fontId="27" fillId="38" borderId="81" xfId="1" applyFont="1" applyFill="1" applyBorder="1" applyAlignment="1">
      <alignment horizontal="center" vertical="center"/>
    </xf>
    <xf numFmtId="9" fontId="27" fillId="38" borderId="66" xfId="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9" fontId="27" fillId="34" borderId="7" xfId="1" applyFont="1" applyFill="1" applyBorder="1" applyAlignment="1">
      <alignment horizontal="center" vertical="center"/>
    </xf>
    <xf numFmtId="9" fontId="27" fillId="34" borderId="47" xfId="1" applyFont="1" applyFill="1" applyBorder="1" applyAlignment="1">
      <alignment horizontal="center" vertical="center"/>
    </xf>
    <xf numFmtId="0" fontId="41" fillId="35" borderId="9" xfId="194" applyFont="1" applyFill="1" applyBorder="1" applyAlignment="1">
      <alignment horizontal="center" vertical="center" wrapText="1"/>
    </xf>
    <xf numFmtId="0" fontId="41" fillId="35" borderId="10" xfId="194" applyFont="1" applyFill="1" applyBorder="1" applyAlignment="1">
      <alignment horizontal="center" vertical="center" wrapText="1"/>
    </xf>
    <xf numFmtId="166" fontId="0" fillId="27" borderId="3" xfId="0" applyNumberFormat="1" applyFill="1" applyBorder="1" applyAlignment="1">
      <alignment horizontal="center" vertical="center"/>
    </xf>
    <xf numFmtId="166" fontId="0" fillId="27" borderId="46" xfId="0" applyNumberFormat="1" applyFill="1" applyBorder="1" applyAlignment="1">
      <alignment horizontal="center" vertical="center"/>
    </xf>
    <xf numFmtId="0" fontId="34" fillId="26" borderId="9" xfId="0" applyFont="1" applyFill="1" applyBorder="1" applyAlignment="1">
      <alignment horizontal="left" vertical="center" wrapText="1"/>
    </xf>
    <xf numFmtId="0" fontId="34" fillId="26" borderId="8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9" fillId="30" borderId="21" xfId="0" applyNumberFormat="1" applyFont="1" applyFill="1" applyBorder="1" applyAlignment="1">
      <alignment horizontal="center" vertical="center"/>
    </xf>
    <xf numFmtId="171" fontId="39" fillId="30" borderId="22" xfId="0" applyNumberFormat="1" applyFont="1" applyFill="1" applyBorder="1" applyAlignment="1">
      <alignment horizontal="center" vertical="center"/>
    </xf>
    <xf numFmtId="171" fontId="39" fillId="30" borderId="23" xfId="0" applyNumberFormat="1" applyFont="1" applyFill="1" applyBorder="1" applyAlignment="1">
      <alignment horizontal="center" vertical="center"/>
    </xf>
    <xf numFmtId="171" fontId="47" fillId="30" borderId="20" xfId="0" applyNumberFormat="1" applyFont="1" applyFill="1" applyBorder="1" applyAlignment="1">
      <alignment horizontal="center" vertical="center"/>
    </xf>
    <xf numFmtId="171" fontId="47" fillId="30" borderId="6" xfId="0" applyNumberFormat="1" applyFont="1" applyFill="1" applyBorder="1" applyAlignment="1">
      <alignment horizontal="center" vertical="center"/>
    </xf>
    <xf numFmtId="171" fontId="47" fillId="30" borderId="24" xfId="0" applyNumberFormat="1" applyFont="1" applyFill="1" applyBorder="1" applyAlignment="1">
      <alignment horizontal="center" vertical="center"/>
    </xf>
    <xf numFmtId="3" fontId="46" fillId="37" borderId="18" xfId="0" applyNumberFormat="1" applyFont="1" applyFill="1" applyBorder="1" applyAlignment="1">
      <alignment horizontal="center" vertical="center" wrapText="1"/>
    </xf>
    <xf numFmtId="3" fontId="46" fillId="37" borderId="61" xfId="0" applyNumberFormat="1" applyFont="1" applyFill="1" applyBorder="1" applyAlignment="1">
      <alignment horizontal="center" vertical="center" wrapText="1"/>
    </xf>
    <xf numFmtId="3" fontId="46" fillId="37" borderId="71" xfId="0" applyNumberFormat="1" applyFont="1" applyFill="1" applyBorder="1" applyAlignment="1">
      <alignment horizontal="center" vertical="center" wrapText="1"/>
    </xf>
    <xf numFmtId="3" fontId="46" fillId="37" borderId="74" xfId="0" applyNumberFormat="1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 vertical="center"/>
    </xf>
    <xf numFmtId="3" fontId="46" fillId="37" borderId="11" xfId="0" applyNumberFormat="1" applyFont="1" applyFill="1" applyBorder="1" applyAlignment="1">
      <alignment horizontal="center" vertical="center" wrapText="1"/>
    </xf>
    <xf numFmtId="3" fontId="46" fillId="37" borderId="37" xfId="0" applyNumberFormat="1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/>
    </xf>
    <xf numFmtId="0" fontId="46" fillId="37" borderId="7" xfId="0" applyFont="1" applyFill="1" applyBorder="1" applyAlignment="1">
      <alignment horizontal="center" vertical="center"/>
    </xf>
    <xf numFmtId="0" fontId="46" fillId="37" borderId="9" xfId="0" applyFont="1" applyFill="1" applyBorder="1" applyAlignment="1">
      <alignment horizontal="center" vertical="center" wrapText="1"/>
    </xf>
    <xf numFmtId="0" fontId="46" fillId="37" borderId="8" xfId="0" applyFont="1" applyFill="1" applyBorder="1" applyAlignment="1">
      <alignment horizontal="center" vertical="center" wrapText="1"/>
    </xf>
    <xf numFmtId="3" fontId="46" fillId="37" borderId="9" xfId="0" applyNumberFormat="1" applyFont="1" applyFill="1" applyBorder="1" applyAlignment="1">
      <alignment horizontal="center" vertical="center"/>
    </xf>
    <xf numFmtId="3" fontId="46" fillId="37" borderId="8" xfId="0" applyNumberFormat="1" applyFont="1" applyFill="1" applyBorder="1" applyAlignment="1">
      <alignment horizontal="center" vertical="center"/>
    </xf>
    <xf numFmtId="3" fontId="46" fillId="37" borderId="72" xfId="0" applyNumberFormat="1" applyFont="1" applyFill="1" applyBorder="1" applyAlignment="1">
      <alignment horizontal="center" vertical="center" wrapText="1"/>
    </xf>
    <xf numFmtId="3" fontId="46" fillId="37" borderId="40" xfId="0" applyNumberFormat="1" applyFont="1" applyFill="1" applyBorder="1" applyAlignment="1">
      <alignment horizontal="center" vertical="center" wrapText="1"/>
    </xf>
    <xf numFmtId="3" fontId="46" fillId="37" borderId="60" xfId="0" applyNumberFormat="1" applyFont="1" applyFill="1" applyBorder="1" applyAlignment="1">
      <alignment horizontal="center" vertical="center" wrapText="1"/>
    </xf>
    <xf numFmtId="3" fontId="46" fillId="37" borderId="7" xfId="0" applyNumberFormat="1" applyFont="1" applyFill="1" applyBorder="1" applyAlignment="1">
      <alignment horizontal="center" vertical="center" wrapText="1"/>
    </xf>
    <xf numFmtId="3" fontId="46" fillId="37" borderId="52" xfId="0" applyNumberFormat="1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/>
    </xf>
    <xf numFmtId="0" fontId="30" fillId="39" borderId="22" xfId="0" applyFont="1" applyFill="1" applyBorder="1" applyAlignment="1">
      <alignment horizontal="center"/>
    </xf>
    <xf numFmtId="0" fontId="30" fillId="39" borderId="23" xfId="0" applyFont="1" applyFill="1" applyBorder="1" applyAlignment="1">
      <alignment horizontal="center"/>
    </xf>
    <xf numFmtId="171" fontId="30" fillId="39" borderId="20" xfId="0" applyNumberFormat="1" applyFont="1" applyFill="1" applyBorder="1" applyAlignment="1">
      <alignment horizontal="center"/>
    </xf>
    <xf numFmtId="171" fontId="30" fillId="39" borderId="6" xfId="0" applyNumberFormat="1" applyFont="1" applyFill="1" applyBorder="1" applyAlignment="1">
      <alignment horizontal="center"/>
    </xf>
    <xf numFmtId="171" fontId="30" fillId="39" borderId="24" xfId="0" applyNumberFormat="1" applyFont="1" applyFill="1" applyBorder="1" applyAlignment="1">
      <alignment horizontal="center"/>
    </xf>
    <xf numFmtId="14" fontId="0" fillId="42" borderId="47" xfId="0" applyNumberFormat="1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41" borderId="65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1" borderId="67" xfId="0" applyFill="1" applyBorder="1" applyAlignment="1">
      <alignment horizontal="center" vertical="center"/>
    </xf>
    <xf numFmtId="0" fontId="0" fillId="41" borderId="82" xfId="0" applyFill="1" applyBorder="1" applyAlignment="1">
      <alignment horizontal="center" vertical="center"/>
    </xf>
    <xf numFmtId="14" fontId="0" fillId="41" borderId="5" xfId="0" applyNumberFormat="1" applyFill="1" applyBorder="1" applyAlignment="1">
      <alignment horizontal="center" vertical="center"/>
    </xf>
    <xf numFmtId="14" fontId="0" fillId="41" borderId="66" xfId="0" applyNumberFormat="1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0" fillId="42" borderId="82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6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6" xfId="1" applyFont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46" xfId="0" applyNumberFormat="1" applyFont="1" applyFill="1" applyBorder="1" applyAlignment="1">
      <alignment horizontal="center" vertical="center"/>
    </xf>
    <xf numFmtId="167" fontId="48" fillId="0" borderId="46" xfId="41709" applyNumberFormat="1" applyFont="1" applyFill="1" applyBorder="1" applyAlignment="1">
      <alignment horizontal="center" vertical="center" wrapText="1"/>
    </xf>
    <xf numFmtId="167" fontId="2" fillId="0" borderId="46" xfId="158" applyNumberFormat="1" applyFont="1" applyFill="1" applyBorder="1" applyAlignment="1">
      <alignment horizontal="center" vertical="center"/>
    </xf>
    <xf numFmtId="167" fontId="2" fillId="0" borderId="46" xfId="0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167" fontId="2" fillId="0" borderId="3" xfId="158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 wrapText="1"/>
    </xf>
    <xf numFmtId="167" fontId="0" fillId="0" borderId="4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66" fontId="30" fillId="0" borderId="65" xfId="0" applyNumberFormat="1" applyFont="1" applyFill="1" applyBorder="1" applyAlignment="1">
      <alignment horizontal="center"/>
    </xf>
    <xf numFmtId="166" fontId="30" fillId="0" borderId="45" xfId="0" applyNumberFormat="1" applyFont="1" applyFill="1" applyBorder="1" applyAlignment="1">
      <alignment horizontal="center"/>
    </xf>
    <xf numFmtId="166" fontId="30" fillId="0" borderId="37" xfId="0" applyNumberFormat="1" applyFont="1" applyFill="1" applyBorder="1" applyAlignment="1">
      <alignment horizont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6"/>
  <sheetViews>
    <sheetView showGridLines="0" tabSelected="1" zoomScale="93" zoomScaleNormal="93" workbookViewId="0">
      <selection activeCell="C5" sqref="C5"/>
    </sheetView>
  </sheetViews>
  <sheetFormatPr baseColWidth="10" defaultColWidth="11.42578125" defaultRowHeight="15"/>
  <cols>
    <col min="1" max="1" width="28.42578125" style="9" customWidth="1"/>
    <col min="2" max="2" width="21.7109375" style="9" customWidth="1"/>
    <col min="3" max="3" width="35" style="9" customWidth="1"/>
    <col min="4" max="4" width="16.28515625" style="9" customWidth="1"/>
    <col min="5" max="5" width="13.85546875" style="9" bestFit="1" customWidth="1"/>
    <col min="6" max="8" width="11.42578125" style="9"/>
    <col min="9" max="9" width="10" style="9" bestFit="1" customWidth="1"/>
    <col min="10" max="16384" width="11.42578125" style="9"/>
  </cols>
  <sheetData>
    <row r="1" spans="2:9" ht="15.75" thickBot="1"/>
    <row r="2" spans="2:9" ht="16.899999999999999" customHeight="1">
      <c r="B2" s="371" t="s">
        <v>127</v>
      </c>
      <c r="C2" s="372"/>
      <c r="D2" s="372"/>
      <c r="E2" s="372"/>
      <c r="F2" s="372"/>
      <c r="G2" s="372"/>
      <c r="H2" s="372"/>
      <c r="I2" s="373"/>
    </row>
    <row r="3" spans="2:9" ht="16.899999999999999" customHeight="1" thickBot="1">
      <c r="B3" s="374">
        <v>43437</v>
      </c>
      <c r="C3" s="375"/>
      <c r="D3" s="375"/>
      <c r="E3" s="375"/>
      <c r="F3" s="375"/>
      <c r="G3" s="375"/>
      <c r="H3" s="375"/>
      <c r="I3" s="376"/>
    </row>
    <row r="4" spans="2:9" ht="15.75" customHeight="1" thickBot="1">
      <c r="B4" s="37"/>
      <c r="C4" s="37"/>
      <c r="D4" s="37"/>
      <c r="E4" s="37"/>
      <c r="F4" s="37"/>
      <c r="G4" s="37"/>
      <c r="H4" s="37"/>
      <c r="I4" s="37"/>
    </row>
    <row r="5" spans="2:9" ht="32.25" thickBot="1">
      <c r="B5" s="105" t="s">
        <v>128</v>
      </c>
      <c r="C5" s="106" t="s">
        <v>2</v>
      </c>
      <c r="D5" s="107" t="s">
        <v>5</v>
      </c>
      <c r="E5" s="108" t="s">
        <v>6</v>
      </c>
      <c r="F5" s="109" t="s">
        <v>7</v>
      </c>
      <c r="G5" s="109" t="s">
        <v>8</v>
      </c>
      <c r="H5" s="109" t="s">
        <v>9</v>
      </c>
      <c r="I5" s="110" t="s">
        <v>10</v>
      </c>
    </row>
    <row r="6" spans="2:9">
      <c r="B6" s="368" t="s">
        <v>120</v>
      </c>
      <c r="C6" s="113" t="s">
        <v>54</v>
      </c>
      <c r="D6" s="111">
        <f>'Resumen Periodo Congrio dorado'!E7+'Resumen Periodo Congrio dorado'!E8</f>
        <v>156.82</v>
      </c>
      <c r="E6" s="303">
        <f>'Resumen Periodo Congrio dorado'!F7+'Resumen Periodo Congrio dorado'!F8</f>
        <v>0</v>
      </c>
      <c r="F6" s="304">
        <f>D6+E6</f>
        <v>156.82</v>
      </c>
      <c r="G6" s="303">
        <f>'Resumen Periodo Congrio dorado'!H7+'Resumen Periodo Congrio dorado'!H8</f>
        <v>144.84899999999999</v>
      </c>
      <c r="H6" s="304">
        <f t="shared" ref="H6:H15" si="0">F6-G6</f>
        <v>11.971000000000004</v>
      </c>
      <c r="I6" s="125">
        <f t="shared" ref="I6:I10" si="1">G6/F6</f>
        <v>0.92366407346001778</v>
      </c>
    </row>
    <row r="7" spans="2:9" ht="18" customHeight="1">
      <c r="B7" s="369"/>
      <c r="C7" s="114" t="s">
        <v>56</v>
      </c>
      <c r="D7" s="74">
        <f>'Resumen Periodo Congrio dorado'!E10+'Resumen Periodo Congrio dorado'!E11</f>
        <v>106.08</v>
      </c>
      <c r="E7" s="305">
        <f>'Resumen Periodo Congrio dorado'!F10+'Resumen Periodo Congrio dorado'!F11</f>
        <v>0</v>
      </c>
      <c r="F7" s="305">
        <f t="shared" ref="F7:F17" si="2">D7+E7</f>
        <v>106.08</v>
      </c>
      <c r="G7" s="305">
        <f>'Resumen Periodo Congrio dorado'!H10+'Resumen Periodo Congrio dorado'!H11</f>
        <v>94.200999999999993</v>
      </c>
      <c r="H7" s="305">
        <f t="shared" si="0"/>
        <v>11.879000000000005</v>
      </c>
      <c r="I7" s="126">
        <f t="shared" si="1"/>
        <v>0.88801847662141775</v>
      </c>
    </row>
    <row r="8" spans="2:9" ht="18" customHeight="1">
      <c r="B8" s="369"/>
      <c r="C8" s="114" t="s">
        <v>57</v>
      </c>
      <c r="D8" s="112">
        <f>'Resumen Periodo Congrio dorado'!E13+'Resumen Periodo Congrio dorado'!E14</f>
        <v>112.69999999999999</v>
      </c>
      <c r="E8" s="285">
        <f>'Resumen Periodo Congrio dorado'!F13+'Resumen Periodo Congrio dorado'!F14</f>
        <v>0</v>
      </c>
      <c r="F8" s="305">
        <f t="shared" si="2"/>
        <v>112.69999999999999</v>
      </c>
      <c r="G8" s="285">
        <f>'Resumen Periodo Congrio dorado'!H13+'Resumen Periodo Congrio dorado'!H14</f>
        <v>115.214</v>
      </c>
      <c r="H8" s="305">
        <f t="shared" si="0"/>
        <v>-2.51400000000001</v>
      </c>
      <c r="I8" s="311">
        <f t="shared" si="1"/>
        <v>1.0223070097604261</v>
      </c>
    </row>
    <row r="9" spans="2:9" ht="18" customHeight="1">
      <c r="B9" s="369"/>
      <c r="C9" s="114" t="s">
        <v>58</v>
      </c>
      <c r="D9" s="74">
        <f>'Resumen Periodo Congrio dorado'!E16+'Resumen Periodo Congrio dorado'!E17</f>
        <v>21.4</v>
      </c>
      <c r="E9" s="305">
        <f>'Resumen Periodo Congrio dorado'!F16+'Resumen Periodo Congrio dorado'!F17</f>
        <v>0</v>
      </c>
      <c r="F9" s="305">
        <f t="shared" si="2"/>
        <v>21.4</v>
      </c>
      <c r="G9" s="305">
        <f>'Resumen Periodo Congrio dorado'!H16+'Resumen Periodo Congrio dorado'!H17</f>
        <v>8.7210000000000001</v>
      </c>
      <c r="H9" s="305">
        <f t="shared" si="0"/>
        <v>12.678999999999998</v>
      </c>
      <c r="I9" s="126">
        <f t="shared" si="1"/>
        <v>0.40752336448598137</v>
      </c>
    </row>
    <row r="10" spans="2:9" ht="18" customHeight="1">
      <c r="B10" s="369"/>
      <c r="C10" s="114" t="s">
        <v>53</v>
      </c>
      <c r="D10" s="112">
        <f>'Resumen Periodo Congrio dorado'!E19+'Resumen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</f>
        <v>213.3</v>
      </c>
      <c r="E10" s="285">
        <f>'Resumen Periodo Congrio dorado'!F19+'Resumen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</f>
        <v>0</v>
      </c>
      <c r="F10" s="305">
        <f t="shared" si="2"/>
        <v>213.3</v>
      </c>
      <c r="G10" s="285">
        <f>'Resumen Periodo Congrio dorado'!H19+'Resumen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</f>
        <v>103.70100000000001</v>
      </c>
      <c r="H10" s="305">
        <f t="shared" si="0"/>
        <v>109.599</v>
      </c>
      <c r="I10" s="126">
        <f t="shared" si="1"/>
        <v>0.48617440225035163</v>
      </c>
    </row>
    <row r="11" spans="2:9" ht="18" customHeight="1">
      <c r="B11" s="369"/>
      <c r="C11" s="114" t="s">
        <v>122</v>
      </c>
      <c r="D11" s="74">
        <f>'Resumen Periodo Congrio dorado'!E9</f>
        <v>17.5</v>
      </c>
      <c r="E11" s="305">
        <f>'Resumen Periodo Congrio dorado'!F9</f>
        <v>0</v>
      </c>
      <c r="F11" s="305">
        <f t="shared" si="2"/>
        <v>17.5</v>
      </c>
      <c r="G11" s="305">
        <f>'Resumen Periodo Congrio dorado'!H9</f>
        <v>3.9049999999999998</v>
      </c>
      <c r="H11" s="305">
        <f t="shared" si="0"/>
        <v>13.595000000000001</v>
      </c>
      <c r="I11" s="127">
        <f t="shared" ref="I11:I17" si="3">G11/F11</f>
        <v>0.22314285714285714</v>
      </c>
    </row>
    <row r="12" spans="2:9" ht="18" customHeight="1">
      <c r="B12" s="369"/>
      <c r="C12" s="114" t="s">
        <v>123</v>
      </c>
      <c r="D12" s="112">
        <f>'Resumen Periodo Congrio dorado'!E12</f>
        <v>11.7</v>
      </c>
      <c r="E12" s="285">
        <f>'Resumen Periodo Congrio dorado'!F12</f>
        <v>0</v>
      </c>
      <c r="F12" s="305">
        <f t="shared" si="2"/>
        <v>11.7</v>
      </c>
      <c r="G12" s="285">
        <f>'Resumen Periodo Congrio dorado'!H12</f>
        <v>0</v>
      </c>
      <c r="H12" s="305">
        <f t="shared" si="0"/>
        <v>11.7</v>
      </c>
      <c r="I12" s="126">
        <f t="shared" si="3"/>
        <v>0</v>
      </c>
    </row>
    <row r="13" spans="2:9" ht="18" customHeight="1">
      <c r="B13" s="369"/>
      <c r="C13" s="114" t="s">
        <v>124</v>
      </c>
      <c r="D13" s="74">
        <f>'Resumen Periodo Congrio dorado'!E15</f>
        <v>12.5</v>
      </c>
      <c r="E13" s="305">
        <f>'Resumen Periodo Congrio dorado'!F15</f>
        <v>0</v>
      </c>
      <c r="F13" s="305">
        <f t="shared" si="2"/>
        <v>12.5</v>
      </c>
      <c r="G13" s="305">
        <f>'Resumen Periodo Congrio dorado'!H15</f>
        <v>15.07</v>
      </c>
      <c r="H13" s="305">
        <f t="shared" si="0"/>
        <v>-2.5700000000000003</v>
      </c>
      <c r="I13" s="126">
        <f t="shared" si="3"/>
        <v>1.2056</v>
      </c>
    </row>
    <row r="14" spans="2:9" ht="18" customHeight="1">
      <c r="B14" s="369"/>
      <c r="C14" s="114" t="s">
        <v>125</v>
      </c>
      <c r="D14" s="112">
        <f>'Resumen Periodo Congrio dorado'!E18</f>
        <v>2</v>
      </c>
      <c r="E14" s="285">
        <f>'Resumen Periodo Congrio dorado'!F18</f>
        <v>0</v>
      </c>
      <c r="F14" s="305">
        <f t="shared" si="2"/>
        <v>2</v>
      </c>
      <c r="G14" s="285">
        <f>'Resumen Periodo Congrio dorado'!H18</f>
        <v>0</v>
      </c>
      <c r="H14" s="305">
        <f t="shared" si="0"/>
        <v>2</v>
      </c>
      <c r="I14" s="126">
        <f t="shared" si="3"/>
        <v>0</v>
      </c>
    </row>
    <row r="15" spans="2:9" ht="18" customHeight="1" thickBot="1">
      <c r="B15" s="370"/>
      <c r="C15" s="115" t="s">
        <v>126</v>
      </c>
      <c r="D15" s="75">
        <f>'Resumen Periodo Congrio dorado'!E31</f>
        <v>21</v>
      </c>
      <c r="E15" s="286">
        <f>'Resumen Periodo Congrio dorado'!F31</f>
        <v>0</v>
      </c>
      <c r="F15" s="286">
        <f t="shared" si="2"/>
        <v>21</v>
      </c>
      <c r="G15" s="286">
        <f>'Resumen Periodo Congrio dorado'!H31</f>
        <v>0</v>
      </c>
      <c r="H15" s="286">
        <f t="shared" si="0"/>
        <v>21</v>
      </c>
      <c r="I15" s="128">
        <f t="shared" si="3"/>
        <v>0</v>
      </c>
    </row>
    <row r="16" spans="2:9" ht="18" customHeight="1">
      <c r="B16" s="377" t="s">
        <v>119</v>
      </c>
      <c r="C16" s="116" t="s">
        <v>129</v>
      </c>
      <c r="D16" s="112">
        <f>'Resumen Periodo Congrio dorado'!E32+'Resumen Periodo Congrio dorado'!E33</f>
        <v>417.29999999999995</v>
      </c>
      <c r="E16" s="285">
        <f>'Resumen Periodo Congrio dorado'!F32+'Resumen Periodo Congrio dorado'!F33</f>
        <v>-4.2000000000000003E-2</v>
      </c>
      <c r="F16" s="305">
        <f t="shared" si="2"/>
        <v>417.25799999999998</v>
      </c>
      <c r="G16" s="285">
        <f>'Resumen Periodo Congrio dorado'!H32+'Resumen Periodo Congrio dorado'!H33</f>
        <v>407.62500000000006</v>
      </c>
      <c r="H16" s="305">
        <f t="shared" ref="H16:H17" si="4">F16-G16</f>
        <v>9.6329999999999245</v>
      </c>
      <c r="I16" s="126">
        <f t="shared" si="3"/>
        <v>0.97691356426958875</v>
      </c>
    </row>
    <row r="17" spans="2:9" ht="15.75" thickBot="1">
      <c r="B17" s="378"/>
      <c r="C17" s="115" t="s">
        <v>130</v>
      </c>
      <c r="D17" s="75">
        <f>'Resumen Periodo Congrio dorado'!E34+'Resumen Periodo Congrio dorado'!E35</f>
        <v>237.29899999999998</v>
      </c>
      <c r="E17" s="286">
        <f>'Resumen Periodo Congrio dorado'!F34+'Resumen Periodo Congrio dorado'!F35</f>
        <v>0</v>
      </c>
      <c r="F17" s="286">
        <f t="shared" si="2"/>
        <v>237.29899999999998</v>
      </c>
      <c r="G17" s="286">
        <f>'Resumen Periodo Congrio dorado'!H34+'Resumen Periodo Congrio dorado'!H35</f>
        <v>183.602</v>
      </c>
      <c r="H17" s="286">
        <f t="shared" si="4"/>
        <v>53.696999999999974</v>
      </c>
      <c r="I17" s="128">
        <f t="shared" si="3"/>
        <v>0.77371586058095487</v>
      </c>
    </row>
    <row r="18" spans="2:9" hidden="1">
      <c r="I18" s="129">
        <v>1</v>
      </c>
    </row>
    <row r="19" spans="2:9" ht="36" customHeight="1" thickBot="1"/>
    <row r="20" spans="2:9" ht="19.5" customHeight="1">
      <c r="B20" s="379" t="s">
        <v>207</v>
      </c>
      <c r="C20" s="380"/>
      <c r="D20" s="380"/>
      <c r="E20" s="380"/>
      <c r="F20" s="380"/>
      <c r="G20" s="380"/>
      <c r="H20" s="380"/>
      <c r="I20" s="381"/>
    </row>
    <row r="21" spans="2:9" ht="15.75" thickBot="1">
      <c r="B21" s="364"/>
      <c r="C21" s="365"/>
      <c r="D21" s="365"/>
      <c r="E21" s="365"/>
      <c r="F21" s="365"/>
      <c r="G21" s="365"/>
      <c r="H21" s="365"/>
      <c r="I21" s="366"/>
    </row>
    <row r="23" spans="2:9" ht="31.5">
      <c r="B23" s="121" t="s">
        <v>128</v>
      </c>
      <c r="C23" s="122" t="s">
        <v>132</v>
      </c>
      <c r="D23" s="122" t="s">
        <v>133</v>
      </c>
      <c r="E23" s="122" t="s">
        <v>6</v>
      </c>
      <c r="F23" s="122" t="s">
        <v>7</v>
      </c>
      <c r="G23" s="122" t="s">
        <v>8</v>
      </c>
      <c r="H23" s="122" t="s">
        <v>9</v>
      </c>
      <c r="I23" s="122" t="s">
        <v>134</v>
      </c>
    </row>
    <row r="24" spans="2:9" ht="14.25" customHeight="1">
      <c r="B24" s="367" t="s">
        <v>110</v>
      </c>
      <c r="C24" s="297" t="s">
        <v>135</v>
      </c>
      <c r="D24" s="117">
        <f>+'Fuera UP'!E8+'Fuera UP'!E9</f>
        <v>105</v>
      </c>
      <c r="E24" s="118">
        <v>0</v>
      </c>
      <c r="F24" s="306">
        <f>+D24+E24</f>
        <v>105</v>
      </c>
      <c r="G24" s="119">
        <f>+'Fuera UP'!G8+'Fuera UP'!H8+'Fuera UP'!G9+'Fuera UP'!H9</f>
        <v>108.489</v>
      </c>
      <c r="H24" s="306">
        <f t="shared" ref="H24:H26" si="5">D24-G24</f>
        <v>-3.4890000000000043</v>
      </c>
      <c r="I24" s="130">
        <f t="shared" ref="I24" si="6">G24/D24</f>
        <v>1.0332285714285714</v>
      </c>
    </row>
    <row r="25" spans="2:9">
      <c r="B25" s="367"/>
      <c r="C25" s="297" t="s">
        <v>113</v>
      </c>
      <c r="D25" s="117">
        <f>+'Fuera UP'!E10</f>
        <v>11</v>
      </c>
      <c r="E25" s="118">
        <v>0</v>
      </c>
      <c r="F25" s="306">
        <f>+D25+E25</f>
        <v>11</v>
      </c>
      <c r="G25" s="119">
        <f>+'Fuera UP'!G10+'Fuera UP'!H10</f>
        <v>3.2310000000000003</v>
      </c>
      <c r="H25" s="306">
        <f t="shared" si="5"/>
        <v>7.7690000000000001</v>
      </c>
      <c r="I25" s="130">
        <f>G25/D25</f>
        <v>0.29372727272727278</v>
      </c>
    </row>
    <row r="26" spans="2:9">
      <c r="B26" s="367"/>
      <c r="C26" s="298" t="s">
        <v>136</v>
      </c>
      <c r="D26" s="120">
        <f>+'Fuera UP'!E7</f>
        <v>2</v>
      </c>
      <c r="E26" s="118">
        <v>0</v>
      </c>
      <c r="F26" s="306">
        <f>+D26+E26</f>
        <v>2</v>
      </c>
      <c r="G26" s="307">
        <f>+'Fuera UP'!G7+'Fuera UP'!H7</f>
        <v>0</v>
      </c>
      <c r="H26" s="306">
        <f t="shared" si="5"/>
        <v>2</v>
      </c>
      <c r="I26" s="130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conditionalFormatting sqref="I6:I10 I12 I14:I15">
    <cfRule type="dataBar" priority="7">
      <dataBar>
        <cfvo type="min"/>
        <cfvo type="max"/>
        <color rgb="FF63C384"/>
      </dataBar>
    </cfRule>
  </conditionalFormatting>
  <conditionalFormatting sqref="I6:I15">
    <cfRule type="dataBar" priority="6">
      <dataBar>
        <cfvo type="min"/>
        <cfvo type="max"/>
        <color rgb="FF63C384"/>
      </dataBar>
    </cfRule>
  </conditionalFormatting>
  <conditionalFormatting sqref="I16:I17">
    <cfRule type="dataBar" priority="5">
      <dataBar>
        <cfvo type="min"/>
        <cfvo type="max"/>
        <color rgb="FF63C384"/>
      </dataBar>
    </cfRule>
  </conditionalFormatting>
  <conditionalFormatting sqref="I6:I1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{4864E47C-33FC-4EEA-A272-1489BCC9E0C0}</x14:id>
        </ext>
      </extLst>
    </cfRule>
  </conditionalFormatting>
  <conditionalFormatting sqref="I1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{22DD229B-D2FA-493C-B90E-618064F40CC9}</x14:id>
        </ext>
      </extLst>
    </cfRule>
  </conditionalFormatting>
  <conditionalFormatting sqref="I24:I26 I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{6A06F9A4-EDA9-45F8-8403-0B30D49CDF2A}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64E47C-33FC-4EEA-A272-1489BCC9E0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I6:I18</xm:sqref>
        </x14:conditionalFormatting>
        <x14:conditionalFormatting xmlns:xm="http://schemas.microsoft.com/office/excel/2006/main">
          <x14:cfRule type="dataBar" id="{22DD229B-D2FA-493C-B90E-618064F40C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6A06F9A4-EDA9-45F8-8403-0B30D49CDF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I24:I26 I18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35"/>
  <sheetViews>
    <sheetView showGridLines="0" zoomScale="90" zoomScaleNormal="90" workbookViewId="0">
      <selection activeCell="F42" sqref="F42"/>
    </sheetView>
  </sheetViews>
  <sheetFormatPr baseColWidth="10" defaultColWidth="11.42578125" defaultRowHeight="15"/>
  <cols>
    <col min="1" max="1" width="27.28515625" style="9" customWidth="1"/>
    <col min="2" max="2" width="11.42578125" style="9"/>
    <col min="3" max="3" width="19.5703125" style="9" customWidth="1"/>
    <col min="4" max="4" width="15.28515625" style="9" bestFit="1" customWidth="1"/>
    <col min="5" max="5" width="11.42578125" style="9"/>
    <col min="6" max="6" width="13.42578125" style="9" bestFit="1" customWidth="1"/>
    <col min="7" max="9" width="11.42578125" style="9"/>
    <col min="10" max="10" width="11" style="9" customWidth="1"/>
    <col min="11" max="11" width="32.140625" style="9" bestFit="1" customWidth="1"/>
    <col min="12" max="16384" width="11.42578125" style="9"/>
  </cols>
  <sheetData>
    <row r="1" spans="2:11" ht="15.75" thickBot="1"/>
    <row r="2" spans="2:11">
      <c r="B2" s="371" t="s">
        <v>150</v>
      </c>
      <c r="C2" s="372"/>
      <c r="D2" s="372"/>
      <c r="E2" s="372"/>
      <c r="F2" s="372"/>
      <c r="G2" s="372"/>
      <c r="H2" s="372"/>
      <c r="I2" s="372"/>
      <c r="J2" s="372"/>
      <c r="K2" s="373"/>
    </row>
    <row r="3" spans="2:11">
      <c r="B3" s="382"/>
      <c r="C3" s="383"/>
      <c r="D3" s="383"/>
      <c r="E3" s="383"/>
      <c r="F3" s="383"/>
      <c r="G3" s="383"/>
      <c r="H3" s="383"/>
      <c r="I3" s="383"/>
      <c r="J3" s="383"/>
      <c r="K3" s="384"/>
    </row>
    <row r="4" spans="2:11" ht="16.5" thickBot="1">
      <c r="B4" s="374">
        <v>43437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1" ht="15.75" thickBot="1"/>
    <row r="6" spans="2:11" ht="32.25" thickBot="1">
      <c r="B6" s="123" t="s">
        <v>128</v>
      </c>
      <c r="C6" s="109" t="s">
        <v>2</v>
      </c>
      <c r="D6" s="109" t="s">
        <v>4</v>
      </c>
      <c r="E6" s="107" t="s">
        <v>5</v>
      </c>
      <c r="F6" s="108" t="s">
        <v>6</v>
      </c>
      <c r="G6" s="109" t="s">
        <v>7</v>
      </c>
      <c r="H6" s="109" t="s">
        <v>8</v>
      </c>
      <c r="I6" s="109" t="s">
        <v>9</v>
      </c>
      <c r="J6" s="124" t="s">
        <v>10</v>
      </c>
      <c r="K6" s="105" t="s">
        <v>11</v>
      </c>
    </row>
    <row r="7" spans="2:11">
      <c r="B7" s="386" t="s">
        <v>120</v>
      </c>
      <c r="C7" s="393" t="s">
        <v>54</v>
      </c>
      <c r="D7" s="131" t="s">
        <v>14</v>
      </c>
      <c r="E7" s="73">
        <f>'Congrio dorado Artesanal'!E30</f>
        <v>83.309999999999988</v>
      </c>
      <c r="F7" s="308">
        <f>'Congrio dorado Artesanal'!F30</f>
        <v>0</v>
      </c>
      <c r="G7" s="308">
        <f>E7+F7</f>
        <v>83.309999999999988</v>
      </c>
      <c r="H7" s="308">
        <f>'Congrio dorado Artesanal'!H30</f>
        <v>66.667999999999992</v>
      </c>
      <c r="I7" s="308">
        <f t="shared" ref="I7:I11" si="0">G7-H7</f>
        <v>16.641999999999996</v>
      </c>
      <c r="J7" s="85">
        <f t="shared" ref="J7:J30" si="1">H7/G7</f>
        <v>0.80024006721882124</v>
      </c>
      <c r="K7" s="78"/>
    </row>
    <row r="8" spans="2:11">
      <c r="B8" s="391"/>
      <c r="C8" s="394"/>
      <c r="D8" s="132" t="s">
        <v>15</v>
      </c>
      <c r="E8" s="74">
        <f>'Congrio dorado Artesanal'!E31</f>
        <v>73.510000000000005</v>
      </c>
      <c r="F8" s="305">
        <f>'Congrio dorado Artesanal'!F31</f>
        <v>0</v>
      </c>
      <c r="G8" s="305">
        <f>E8+F8+I7</f>
        <v>90.152000000000001</v>
      </c>
      <c r="H8" s="305">
        <f>'Congrio dorado Artesanal'!H31</f>
        <v>78.180999999999997</v>
      </c>
      <c r="I8" s="305">
        <f t="shared" si="0"/>
        <v>11.971000000000004</v>
      </c>
      <c r="J8" s="86">
        <f t="shared" si="1"/>
        <v>0.8672131511225486</v>
      </c>
      <c r="K8" s="79"/>
    </row>
    <row r="9" spans="2:11" ht="15.75" thickBot="1">
      <c r="B9" s="391"/>
      <c r="C9" s="395"/>
      <c r="D9" s="133" t="s">
        <v>55</v>
      </c>
      <c r="E9" s="75">
        <f>'Congrio dorado Artesanal'!E74</f>
        <v>17.5</v>
      </c>
      <c r="F9" s="286">
        <f>'Congrio dorado Artesanal'!F74</f>
        <v>0</v>
      </c>
      <c r="G9" s="286">
        <f>E9+F9</f>
        <v>17.5</v>
      </c>
      <c r="H9" s="286">
        <f>'Congrio dorado Artesanal'!H74</f>
        <v>3.9049999999999998</v>
      </c>
      <c r="I9" s="286">
        <f t="shared" si="0"/>
        <v>13.595000000000001</v>
      </c>
      <c r="J9" s="87">
        <f t="shared" si="1"/>
        <v>0.22314285714285714</v>
      </c>
      <c r="K9" s="80"/>
    </row>
    <row r="10" spans="2:11">
      <c r="B10" s="391"/>
      <c r="C10" s="396" t="s">
        <v>56</v>
      </c>
      <c r="D10" s="131" t="s">
        <v>14</v>
      </c>
      <c r="E10" s="73">
        <f>'Congrio dorado Artesanal'!E40</f>
        <v>53.04</v>
      </c>
      <c r="F10" s="308">
        <f>'Congrio dorado Artesanal'!F40</f>
        <v>0</v>
      </c>
      <c r="G10" s="308">
        <f>E10+F10</f>
        <v>53.04</v>
      </c>
      <c r="H10" s="308">
        <f>'Congrio dorado Artesanal'!H40</f>
        <v>52.846999999999994</v>
      </c>
      <c r="I10" s="308">
        <f t="shared" si="0"/>
        <v>0.19300000000000495</v>
      </c>
      <c r="J10" s="85">
        <f t="shared" si="1"/>
        <v>0.99636123680241317</v>
      </c>
      <c r="K10" s="81"/>
    </row>
    <row r="11" spans="2:11">
      <c r="B11" s="391"/>
      <c r="C11" s="397"/>
      <c r="D11" s="132" t="s">
        <v>15</v>
      </c>
      <c r="E11" s="74">
        <f>'Congrio dorado Artesanal'!E41</f>
        <v>53.04</v>
      </c>
      <c r="F11" s="305">
        <f>'Congrio dorado Artesanal'!F41</f>
        <v>0</v>
      </c>
      <c r="G11" s="305">
        <f>E11+F11+I10</f>
        <v>53.233000000000004</v>
      </c>
      <c r="H11" s="305">
        <f>'Congrio dorado Artesanal'!H41</f>
        <v>41.353999999999999</v>
      </c>
      <c r="I11" s="305">
        <f t="shared" si="0"/>
        <v>11.879000000000005</v>
      </c>
      <c r="J11" s="86">
        <f t="shared" si="1"/>
        <v>0.77684894708169738</v>
      </c>
      <c r="K11" s="79"/>
    </row>
    <row r="12" spans="2:11" ht="15.75" thickBot="1">
      <c r="B12" s="391"/>
      <c r="C12" s="395"/>
      <c r="D12" s="134" t="s">
        <v>55</v>
      </c>
      <c r="E12" s="76">
        <f>'Congrio dorado Artesanal'!E75</f>
        <v>11.7</v>
      </c>
      <c r="F12" s="309">
        <f>'Congrio dorado Artesanal'!F75</f>
        <v>0</v>
      </c>
      <c r="G12" s="309">
        <f>'[1]CONGRIO DORADO'!F74</f>
        <v>0</v>
      </c>
      <c r="H12" s="309">
        <f>'Congrio dorado Artesanal'!H75</f>
        <v>0</v>
      </c>
      <c r="I12" s="309">
        <f>'[1]CONGRIO DORADO'!H74</f>
        <v>0</v>
      </c>
      <c r="J12" s="88">
        <f>'[1]CONGRIO DORADO'!I74</f>
        <v>0</v>
      </c>
      <c r="K12" s="82"/>
    </row>
    <row r="13" spans="2:11">
      <c r="B13" s="391"/>
      <c r="C13" s="388" t="s">
        <v>57</v>
      </c>
      <c r="D13" s="131" t="s">
        <v>111</v>
      </c>
      <c r="E13" s="73">
        <f>'Congrio dorado Artesanal'!E45</f>
        <v>56.3</v>
      </c>
      <c r="F13" s="308">
        <f>'Congrio dorado Artesanal'!F45</f>
        <v>0</v>
      </c>
      <c r="G13" s="308">
        <f>E13+F13</f>
        <v>56.3</v>
      </c>
      <c r="H13" s="308">
        <f>'Congrio dorado Artesanal'!H45</f>
        <v>75.805999999999997</v>
      </c>
      <c r="I13" s="308">
        <f>G13-H13</f>
        <v>-19.506</v>
      </c>
      <c r="J13" s="85">
        <f t="shared" si="1"/>
        <v>1.3464653641207815</v>
      </c>
      <c r="K13" s="98" t="s">
        <v>137</v>
      </c>
    </row>
    <row r="14" spans="2:11">
      <c r="B14" s="391"/>
      <c r="C14" s="389"/>
      <c r="D14" s="132" t="s">
        <v>112</v>
      </c>
      <c r="E14" s="74">
        <f>'Congrio dorado Artesanal'!E46</f>
        <v>56.4</v>
      </c>
      <c r="F14" s="305">
        <f>'Congrio dorado Artesanal'!F46</f>
        <v>0</v>
      </c>
      <c r="G14" s="305">
        <f>E14+F14+I13</f>
        <v>36.893999999999998</v>
      </c>
      <c r="H14" s="305">
        <f>'Congrio dorado Artesanal'!H46</f>
        <v>39.408000000000001</v>
      </c>
      <c r="I14" s="305">
        <f>G14-H14</f>
        <v>-2.5140000000000029</v>
      </c>
      <c r="J14" s="86">
        <f t="shared" si="1"/>
        <v>1.0681411611644172</v>
      </c>
      <c r="K14" s="79"/>
    </row>
    <row r="15" spans="2:11" ht="15.75" thickBot="1">
      <c r="B15" s="391"/>
      <c r="C15" s="390"/>
      <c r="D15" s="135" t="s">
        <v>55</v>
      </c>
      <c r="E15" s="75">
        <f>'Congrio dorado Artesanal'!E76</f>
        <v>12.5</v>
      </c>
      <c r="F15" s="286">
        <f>'[1]CONGRIO DORADO'!E75</f>
        <v>0</v>
      </c>
      <c r="G15" s="286">
        <f>'[1]CONGRIO DORADO'!F75</f>
        <v>0</v>
      </c>
      <c r="H15" s="310">
        <f>'Congrio dorado Artesanal'!H76</f>
        <v>15.07</v>
      </c>
      <c r="I15" s="286">
        <f>'[1]CONGRIO DORADO'!H75</f>
        <v>0</v>
      </c>
      <c r="J15" s="89">
        <f>'[1]CONGRIO DORADO'!I75</f>
        <v>0</v>
      </c>
      <c r="K15" s="83"/>
    </row>
    <row r="16" spans="2:11">
      <c r="B16" s="391"/>
      <c r="C16" s="388" t="s">
        <v>58</v>
      </c>
      <c r="D16" s="131" t="s">
        <v>111</v>
      </c>
      <c r="E16" s="73">
        <f>'Congrio dorado Artesanal'!E47</f>
        <v>10.7</v>
      </c>
      <c r="F16" s="308">
        <f>'Congrio dorado Artesanal'!F47</f>
        <v>0</v>
      </c>
      <c r="G16" s="308">
        <f>E16+F16</f>
        <v>10.7</v>
      </c>
      <c r="H16" s="308">
        <f>'Congrio dorado Artesanal'!H47</f>
        <v>6.9669999999999996</v>
      </c>
      <c r="I16" s="308">
        <f t="shared" ref="I16:I28" si="2">G16-H16</f>
        <v>3.7329999999999997</v>
      </c>
      <c r="J16" s="85">
        <f t="shared" si="1"/>
        <v>0.65112149532710284</v>
      </c>
      <c r="K16" s="78"/>
    </row>
    <row r="17" spans="2:11">
      <c r="B17" s="391"/>
      <c r="C17" s="389"/>
      <c r="D17" s="132" t="s">
        <v>112</v>
      </c>
      <c r="E17" s="74">
        <f>'Congrio dorado Artesanal'!E48</f>
        <v>10.7</v>
      </c>
      <c r="F17" s="305">
        <f>'Congrio dorado Artesanal'!F48</f>
        <v>0</v>
      </c>
      <c r="G17" s="305">
        <f>E17+F17+I16</f>
        <v>14.433</v>
      </c>
      <c r="H17" s="305">
        <f>'Congrio dorado Artesanal'!H48</f>
        <v>1.754</v>
      </c>
      <c r="I17" s="305">
        <f t="shared" si="2"/>
        <v>12.679</v>
      </c>
      <c r="J17" s="86">
        <f t="shared" si="1"/>
        <v>0.12152705605210282</v>
      </c>
      <c r="K17" s="79"/>
    </row>
    <row r="18" spans="2:11" ht="15.75" thickBot="1">
      <c r="B18" s="391"/>
      <c r="C18" s="390"/>
      <c r="D18" s="135" t="s">
        <v>55</v>
      </c>
      <c r="E18" s="75">
        <f>'Congrio dorado Artesanal'!E77</f>
        <v>2</v>
      </c>
      <c r="F18" s="286">
        <f>'Congrio dorado Artesanal'!F77</f>
        <v>0</v>
      </c>
      <c r="G18" s="286">
        <f>'[1]CONGRIO DORADO'!F76</f>
        <v>0</v>
      </c>
      <c r="H18" s="286">
        <f>'Congrio dorado Artesanal'!H77</f>
        <v>0</v>
      </c>
      <c r="I18" s="286">
        <f>'[1]CONGRIO DORADO'!H76</f>
        <v>0</v>
      </c>
      <c r="J18" s="90">
        <f>'[1]CONGRIO DORADO'!I76</f>
        <v>0</v>
      </c>
      <c r="K18" s="83"/>
    </row>
    <row r="19" spans="2:11">
      <c r="B19" s="391"/>
      <c r="C19" s="398" t="s">
        <v>53</v>
      </c>
      <c r="D19" s="136" t="s">
        <v>59</v>
      </c>
      <c r="E19" s="77">
        <f>'Congrio dorado Artesanal'!E55</f>
        <v>16.3</v>
      </c>
      <c r="F19" s="304">
        <f>'Congrio dorado Artesanal'!F55</f>
        <v>0</v>
      </c>
      <c r="G19" s="304">
        <f>E19+F19</f>
        <v>16.3</v>
      </c>
      <c r="H19" s="304">
        <f>'Congrio dorado Artesanal'!H55</f>
        <v>9.9619999999999997</v>
      </c>
      <c r="I19" s="304">
        <f t="shared" si="2"/>
        <v>6.338000000000001</v>
      </c>
      <c r="J19" s="91">
        <f t="shared" si="1"/>
        <v>0.6111656441717791</v>
      </c>
      <c r="K19" s="84"/>
    </row>
    <row r="20" spans="2:11">
      <c r="B20" s="391"/>
      <c r="C20" s="394"/>
      <c r="D20" s="132" t="s">
        <v>60</v>
      </c>
      <c r="E20" s="74">
        <f>'Congrio dorado Artesanal'!E56</f>
        <v>16</v>
      </c>
      <c r="F20" s="305">
        <f>'Congrio dorado Artesanal'!F56</f>
        <v>0</v>
      </c>
      <c r="G20" s="304">
        <f>E20+F20+I19</f>
        <v>22.338000000000001</v>
      </c>
      <c r="H20" s="305">
        <f>'Congrio dorado Artesanal'!H56</f>
        <v>7.8120000000000003</v>
      </c>
      <c r="I20" s="305">
        <f t="shared" si="2"/>
        <v>14.526</v>
      </c>
      <c r="J20" s="86">
        <f t="shared" si="1"/>
        <v>0.34971796937953264</v>
      </c>
      <c r="K20" s="79"/>
    </row>
    <row r="21" spans="2:11">
      <c r="B21" s="391"/>
      <c r="C21" s="394"/>
      <c r="D21" s="132" t="s">
        <v>61</v>
      </c>
      <c r="E21" s="74">
        <f>'Congrio dorado Artesanal'!E57</f>
        <v>16</v>
      </c>
      <c r="F21" s="305">
        <f>'Congrio dorado Artesanal'!F57</f>
        <v>0</v>
      </c>
      <c r="G21" s="304">
        <f t="shared" ref="G21:G29" si="3">E21+F21+I20</f>
        <v>30.526</v>
      </c>
      <c r="H21" s="305">
        <f>'Congrio dorado Artesanal'!H57</f>
        <v>13.75</v>
      </c>
      <c r="I21" s="305">
        <f t="shared" si="2"/>
        <v>16.776</v>
      </c>
      <c r="J21" s="86">
        <f t="shared" si="1"/>
        <v>0.45043569416235341</v>
      </c>
      <c r="K21" s="79"/>
    </row>
    <row r="22" spans="2:11">
      <c r="B22" s="391"/>
      <c r="C22" s="394"/>
      <c r="D22" s="132" t="s">
        <v>62</v>
      </c>
      <c r="E22" s="74">
        <f>'Congrio dorado Artesanal'!E58</f>
        <v>16</v>
      </c>
      <c r="F22" s="305">
        <f>'Congrio dorado Artesanal'!F58</f>
        <v>0</v>
      </c>
      <c r="G22" s="304">
        <f t="shared" si="3"/>
        <v>32.775999999999996</v>
      </c>
      <c r="H22" s="305">
        <f>'Congrio dorado Artesanal'!H58</f>
        <v>9.3960000000000008</v>
      </c>
      <c r="I22" s="305">
        <f t="shared" si="2"/>
        <v>23.379999999999995</v>
      </c>
      <c r="J22" s="86">
        <f t="shared" si="1"/>
        <v>0.28667317549426413</v>
      </c>
      <c r="K22" s="79"/>
    </row>
    <row r="23" spans="2:11">
      <c r="B23" s="391"/>
      <c r="C23" s="394"/>
      <c r="D23" s="132" t="s">
        <v>63</v>
      </c>
      <c r="E23" s="74">
        <f>'Congrio dorado Artesanal'!E59</f>
        <v>16</v>
      </c>
      <c r="F23" s="305">
        <f>'Congrio dorado Artesanal'!F59</f>
        <v>0</v>
      </c>
      <c r="G23" s="304">
        <f t="shared" si="3"/>
        <v>39.379999999999995</v>
      </c>
      <c r="H23" s="305">
        <f>'Congrio dorado Artesanal'!H59</f>
        <v>3.2240000000000002</v>
      </c>
      <c r="I23" s="305">
        <f t="shared" si="2"/>
        <v>36.155999999999992</v>
      </c>
      <c r="J23" s="86">
        <f t="shared" si="1"/>
        <v>8.1868969019807017E-2</v>
      </c>
      <c r="K23" s="79"/>
    </row>
    <row r="24" spans="2:11">
      <c r="B24" s="391"/>
      <c r="C24" s="394"/>
      <c r="D24" s="132" t="s">
        <v>64</v>
      </c>
      <c r="E24" s="74">
        <f>'Congrio dorado Artesanal'!E60</f>
        <v>16</v>
      </c>
      <c r="F24" s="305">
        <f>'Congrio dorado Artesanal'!F60</f>
        <v>0</v>
      </c>
      <c r="G24" s="304">
        <f t="shared" si="3"/>
        <v>52.155999999999992</v>
      </c>
      <c r="H24" s="305">
        <f>'Congrio dorado Artesanal'!H60</f>
        <v>20.370999999999999</v>
      </c>
      <c r="I24" s="305">
        <f t="shared" si="2"/>
        <v>31.784999999999993</v>
      </c>
      <c r="J24" s="86">
        <f t="shared" si="1"/>
        <v>0.39057826520438688</v>
      </c>
      <c r="K24" s="79"/>
    </row>
    <row r="25" spans="2:11">
      <c r="B25" s="391"/>
      <c r="C25" s="394"/>
      <c r="D25" s="132" t="s">
        <v>65</v>
      </c>
      <c r="E25" s="74">
        <f>'Congrio dorado Artesanal'!E61</f>
        <v>16</v>
      </c>
      <c r="F25" s="305">
        <f>'Congrio dorado Artesanal'!F61</f>
        <v>0</v>
      </c>
      <c r="G25" s="304">
        <f t="shared" si="3"/>
        <v>47.784999999999997</v>
      </c>
      <c r="H25" s="305">
        <f>'Congrio dorado Artesanal'!H61</f>
        <v>6.7119999999999997</v>
      </c>
      <c r="I25" s="305">
        <f t="shared" si="2"/>
        <v>41.072999999999993</v>
      </c>
      <c r="J25" s="86">
        <f t="shared" si="1"/>
        <v>0.14046248822852361</v>
      </c>
      <c r="K25" s="79"/>
    </row>
    <row r="26" spans="2:11">
      <c r="B26" s="391"/>
      <c r="C26" s="394"/>
      <c r="D26" s="132" t="s">
        <v>66</v>
      </c>
      <c r="E26" s="74">
        <f>'Congrio dorado Artesanal'!E62</f>
        <v>16</v>
      </c>
      <c r="F26" s="305">
        <f>'Congrio dorado Artesanal'!F62</f>
        <v>0</v>
      </c>
      <c r="G26" s="304">
        <f t="shared" si="3"/>
        <v>57.072999999999993</v>
      </c>
      <c r="H26" s="305">
        <f>'Congrio dorado Artesanal'!H62</f>
        <v>11.616</v>
      </c>
      <c r="I26" s="305">
        <f t="shared" si="2"/>
        <v>45.456999999999994</v>
      </c>
      <c r="J26" s="86">
        <f t="shared" si="1"/>
        <v>0.20352881397508457</v>
      </c>
      <c r="K26" s="79"/>
    </row>
    <row r="27" spans="2:11">
      <c r="B27" s="391"/>
      <c r="C27" s="394"/>
      <c r="D27" s="132" t="s">
        <v>67</v>
      </c>
      <c r="E27" s="74">
        <f>'Congrio dorado Artesanal'!E63</f>
        <v>16</v>
      </c>
      <c r="F27" s="305">
        <f>'Congrio dorado Artesanal'!F63</f>
        <v>0</v>
      </c>
      <c r="G27" s="304">
        <f t="shared" si="3"/>
        <v>61.456999999999994</v>
      </c>
      <c r="H27" s="305">
        <f>'Congrio dorado Artesanal'!H63</f>
        <v>10.786</v>
      </c>
      <c r="I27" s="305">
        <f t="shared" si="2"/>
        <v>50.670999999999992</v>
      </c>
      <c r="J27" s="86">
        <f t="shared" si="1"/>
        <v>0.17550482451144703</v>
      </c>
      <c r="K27" s="79"/>
    </row>
    <row r="28" spans="2:11">
      <c r="B28" s="391"/>
      <c r="C28" s="394"/>
      <c r="D28" s="132" t="s">
        <v>68</v>
      </c>
      <c r="E28" s="74">
        <f>'Congrio dorado Artesanal'!E64</f>
        <v>16</v>
      </c>
      <c r="F28" s="305">
        <f>'Congrio dorado Artesanal'!F64</f>
        <v>0</v>
      </c>
      <c r="G28" s="304">
        <f t="shared" si="3"/>
        <v>66.670999999999992</v>
      </c>
      <c r="H28" s="305">
        <f>'Congrio dorado Artesanal'!H64</f>
        <v>6.9080000000000004</v>
      </c>
      <c r="I28" s="305">
        <f t="shared" si="2"/>
        <v>59.762999999999991</v>
      </c>
      <c r="J28" s="86">
        <f t="shared" si="1"/>
        <v>0.10361326513776606</v>
      </c>
      <c r="K28" s="79"/>
    </row>
    <row r="29" spans="2:11">
      <c r="B29" s="391"/>
      <c r="C29" s="394"/>
      <c r="D29" s="132" t="s">
        <v>69</v>
      </c>
      <c r="E29" s="74">
        <f>'Congrio dorado Artesanal'!E65</f>
        <v>16</v>
      </c>
      <c r="F29" s="305">
        <f>'Congrio dorado Artesanal'!F65</f>
        <v>0</v>
      </c>
      <c r="G29" s="304">
        <f t="shared" si="3"/>
        <v>75.762999999999991</v>
      </c>
      <c r="H29" s="305">
        <f>'Congrio dorado Artesanal'!H65</f>
        <v>3.1640000000000001</v>
      </c>
      <c r="I29" s="305">
        <f>G29-H29</f>
        <v>72.59899999999999</v>
      </c>
      <c r="J29" s="86">
        <f t="shared" si="1"/>
        <v>4.1761809854414432E-2</v>
      </c>
      <c r="K29" s="79"/>
    </row>
    <row r="30" spans="2:11">
      <c r="B30" s="391"/>
      <c r="C30" s="394"/>
      <c r="D30" s="132" t="s">
        <v>70</v>
      </c>
      <c r="E30" s="74">
        <f>'Congrio dorado Artesanal'!E66</f>
        <v>16</v>
      </c>
      <c r="F30" s="305">
        <f>'Congrio dorado Artesanal'!F66</f>
        <v>0</v>
      </c>
      <c r="G30" s="304">
        <f>E30+F30+I29</f>
        <v>88.59899999999999</v>
      </c>
      <c r="H30" s="305">
        <f>'Congrio dorado Artesanal'!H66</f>
        <v>0</v>
      </c>
      <c r="I30" s="305">
        <f>G30-H30</f>
        <v>88.59899999999999</v>
      </c>
      <c r="J30" s="86">
        <f t="shared" si="1"/>
        <v>0</v>
      </c>
      <c r="K30" s="79"/>
    </row>
    <row r="31" spans="2:11" ht="15.75" thickBot="1">
      <c r="B31" s="392"/>
      <c r="C31" s="399"/>
      <c r="D31" s="133" t="s">
        <v>71</v>
      </c>
      <c r="E31" s="75">
        <f>'Congrio dorado Artesanal'!E78</f>
        <v>21</v>
      </c>
      <c r="F31" s="286">
        <f>'Congrio dorado Artesanal'!F78</f>
        <v>0</v>
      </c>
      <c r="G31" s="286">
        <f>'[1]CONGRIO DORADO'!F77</f>
        <v>0</v>
      </c>
      <c r="H31" s="286">
        <f>'Congrio dorado Artesanal'!H78</f>
        <v>0</v>
      </c>
      <c r="I31" s="286">
        <f>'[1]CONGRIO DORADO'!H77</f>
        <v>0</v>
      </c>
      <c r="J31" s="90">
        <f>'[1]CONGRIO DORADO'!I77</f>
        <v>0</v>
      </c>
      <c r="K31" s="83"/>
    </row>
    <row r="32" spans="2:11">
      <c r="B32" s="377" t="s">
        <v>119</v>
      </c>
      <c r="C32" s="386" t="s">
        <v>129</v>
      </c>
      <c r="D32" s="132" t="s">
        <v>83</v>
      </c>
      <c r="E32" s="74">
        <f>'Congrio dorado Industrial'!AA9</f>
        <v>208.6</v>
      </c>
      <c r="F32" s="305">
        <f>'Congrio dorado Industrial'!AB9</f>
        <v>-2.1000000000000001E-2</v>
      </c>
      <c r="G32" s="304">
        <f>E32+F32</f>
        <v>208.57900000000001</v>
      </c>
      <c r="H32" s="305">
        <f>'Congrio dorado Industrial'!AD9</f>
        <v>41.112000000000002</v>
      </c>
      <c r="I32" s="305">
        <f>G32-H32</f>
        <v>167.46700000000001</v>
      </c>
      <c r="J32" s="86">
        <f t="shared" ref="J32:J33" si="4">H32/G32</f>
        <v>0.19710517357931528</v>
      </c>
      <c r="K32" s="79"/>
    </row>
    <row r="33" spans="2:11" ht="15.75" thickBot="1">
      <c r="B33" s="385"/>
      <c r="C33" s="387"/>
      <c r="D33" s="132" t="s">
        <v>90</v>
      </c>
      <c r="E33" s="74">
        <f>'Congrio dorado Industrial'!AA10</f>
        <v>208.7</v>
      </c>
      <c r="F33" s="305">
        <f>'Congrio dorado Industrial'!AB10</f>
        <v>-2.1000000000000001E-2</v>
      </c>
      <c r="G33" s="304">
        <f>E33+F33+I32</f>
        <v>376.14600000000002</v>
      </c>
      <c r="H33" s="305">
        <f>'Congrio dorado Industrial'!AD10</f>
        <v>366.51300000000003</v>
      </c>
      <c r="I33" s="305">
        <f>G33-H33</f>
        <v>9.6329999999999814</v>
      </c>
      <c r="J33" s="86">
        <f t="shared" si="4"/>
        <v>0.97439026335518664</v>
      </c>
      <c r="K33" s="79"/>
    </row>
    <row r="34" spans="2:11">
      <c r="B34" s="385"/>
      <c r="C34" s="386" t="s">
        <v>130</v>
      </c>
      <c r="D34" s="132" t="s">
        <v>83</v>
      </c>
      <c r="E34" s="74">
        <f>'Congrio dorado Industrial'!AA27</f>
        <v>118.59899999999999</v>
      </c>
      <c r="F34" s="305">
        <f>'Congrio dorado Industrial'!AB27</f>
        <v>12.173</v>
      </c>
      <c r="G34" s="304">
        <v>208.6</v>
      </c>
      <c r="H34" s="305">
        <f>'Congrio dorado Industrial'!AD27</f>
        <v>44.100999999999999</v>
      </c>
      <c r="I34" s="305">
        <v>167.14099999999999</v>
      </c>
      <c r="J34" s="86">
        <v>0.19874880153403646</v>
      </c>
      <c r="K34" s="79"/>
    </row>
    <row r="35" spans="2:11" ht="15.75" thickBot="1">
      <c r="B35" s="378"/>
      <c r="C35" s="387"/>
      <c r="D35" s="133" t="s">
        <v>90</v>
      </c>
      <c r="E35" s="75">
        <f>'Congrio dorado Industrial'!AA28</f>
        <v>118.69999999999999</v>
      </c>
      <c r="F35" s="286">
        <f>'Congrio dorado Industrial'!AB28</f>
        <v>-12.173</v>
      </c>
      <c r="G35" s="286">
        <v>375.84100000000001</v>
      </c>
      <c r="H35" s="286">
        <f>'Congrio dorado Industrial'!AD28</f>
        <v>139.501</v>
      </c>
      <c r="I35" s="286">
        <v>375.84100000000001</v>
      </c>
      <c r="J35" s="90">
        <v>0</v>
      </c>
      <c r="K35" s="83"/>
    </row>
  </sheetData>
  <mergeCells count="11">
    <mergeCell ref="B2:K3"/>
    <mergeCell ref="B4:K4"/>
    <mergeCell ref="B32:B35"/>
    <mergeCell ref="C32:C33"/>
    <mergeCell ref="C34:C35"/>
    <mergeCell ref="C13:C15"/>
    <mergeCell ref="C16:C18"/>
    <mergeCell ref="B7:B31"/>
    <mergeCell ref="C7:C9"/>
    <mergeCell ref="C10:C12"/>
    <mergeCell ref="C19:C31"/>
  </mergeCells>
  <conditionalFormatting sqref="J32:J35">
    <cfRule type="dataBar" priority="3">
      <dataBar>
        <cfvo type="min"/>
        <cfvo type="max"/>
        <color rgb="FF63C384"/>
      </dataBar>
    </cfRule>
  </conditionalFormatting>
  <conditionalFormatting sqref="J7:J31">
    <cfRule type="dataBar" priority="6">
      <dataBar>
        <cfvo type="min"/>
        <cfvo type="max"/>
        <color rgb="FF63C384"/>
      </dataBar>
    </cfRule>
  </conditionalFormatting>
  <conditionalFormatting sqref="J7:J35">
    <cfRule type="cellIs" dxfId="7" priority="1" operator="greaterThan">
      <formula>0.9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{14F5F3EC-CB43-4EB4-A986-7D5A6063A3AC}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F5F3EC-CB43-4EB4-A986-7D5A6063A3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2"/>
  <sheetViews>
    <sheetView showGridLines="0" zoomScale="90" zoomScaleNormal="90" workbookViewId="0">
      <selection activeCell="K85" sqref="K85"/>
    </sheetView>
  </sheetViews>
  <sheetFormatPr baseColWidth="10" defaultColWidth="11.42578125" defaultRowHeight="15"/>
  <cols>
    <col min="1" max="1" width="12.42578125" style="9" customWidth="1"/>
    <col min="2" max="2" width="16.5703125" style="9" customWidth="1"/>
    <col min="3" max="3" width="24.42578125" style="9" customWidth="1"/>
    <col min="4" max="4" width="16.5703125" style="9" bestFit="1" customWidth="1"/>
    <col min="5" max="5" width="13.7109375" style="9" customWidth="1"/>
    <col min="6" max="6" width="14.85546875" style="9" customWidth="1"/>
    <col min="7" max="10" width="11.42578125" style="9"/>
    <col min="11" max="11" width="14.85546875" style="283" bestFit="1" customWidth="1"/>
    <col min="12" max="12" width="11.42578125" style="9"/>
    <col min="13" max="13" width="15.140625" style="9" customWidth="1"/>
    <col min="14" max="17" width="11.42578125" style="9"/>
    <col min="18" max="20" width="0" style="9" hidden="1" customWidth="1"/>
    <col min="21" max="16384" width="11.42578125" style="9"/>
  </cols>
  <sheetData>
    <row r="1" spans="2:19" ht="15.75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1"/>
      <c r="N1" s="21"/>
      <c r="O1" s="21"/>
      <c r="P1" s="21"/>
      <c r="Q1" s="21"/>
      <c r="R1" s="21"/>
      <c r="S1" s="21"/>
    </row>
    <row r="2" spans="2:19" ht="18.75" customHeight="1">
      <c r="B2" s="494" t="s">
        <v>0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21"/>
      <c r="S2" s="21"/>
    </row>
    <row r="3" spans="2:19" ht="16.5" thickBot="1">
      <c r="B3" s="374">
        <v>43437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21"/>
      <c r="S3" s="21"/>
    </row>
    <row r="4" spans="2:19" ht="15.75" thickBot="1">
      <c r="B4" s="19"/>
      <c r="C4" s="19"/>
      <c r="D4" s="19"/>
      <c r="E4" s="19"/>
      <c r="F4" s="19"/>
      <c r="G4" s="19"/>
      <c r="H4" s="19"/>
      <c r="I4" s="22"/>
      <c r="J4" s="19"/>
      <c r="K4" s="19"/>
      <c r="L4" s="20"/>
      <c r="M4" s="21"/>
      <c r="N4" s="21"/>
      <c r="O4" s="21"/>
      <c r="P4" s="21"/>
      <c r="Q4" s="21"/>
      <c r="R4" s="21"/>
      <c r="S4" s="21"/>
    </row>
    <row r="5" spans="2:19" ht="15.75" thickBot="1">
      <c r="B5" s="466" t="s">
        <v>2</v>
      </c>
      <c r="C5" s="466" t="s">
        <v>3</v>
      </c>
      <c r="D5" s="508" t="s">
        <v>4</v>
      </c>
      <c r="E5" s="464" t="s">
        <v>5</v>
      </c>
      <c r="F5" s="460" t="s">
        <v>6</v>
      </c>
      <c r="G5" s="460" t="s">
        <v>7</v>
      </c>
      <c r="H5" s="460" t="s">
        <v>8</v>
      </c>
      <c r="I5" s="460" t="s">
        <v>9</v>
      </c>
      <c r="J5" s="504" t="s">
        <v>10</v>
      </c>
      <c r="K5" s="458" t="s">
        <v>11</v>
      </c>
      <c r="L5" s="489" t="s">
        <v>1</v>
      </c>
      <c r="M5" s="489"/>
      <c r="N5" s="489"/>
      <c r="O5" s="489"/>
      <c r="P5" s="489"/>
      <c r="Q5" s="490"/>
      <c r="R5" s="21"/>
      <c r="S5" s="21"/>
    </row>
    <row r="6" spans="2:19" ht="30.75" thickBot="1">
      <c r="B6" s="467"/>
      <c r="C6" s="467"/>
      <c r="D6" s="509"/>
      <c r="E6" s="507"/>
      <c r="F6" s="506"/>
      <c r="G6" s="506"/>
      <c r="H6" s="506"/>
      <c r="I6" s="506"/>
      <c r="J6" s="505"/>
      <c r="K6" s="503"/>
      <c r="L6" s="146" t="s">
        <v>5</v>
      </c>
      <c r="M6" s="147" t="s">
        <v>6</v>
      </c>
      <c r="N6" s="147" t="s">
        <v>7</v>
      </c>
      <c r="O6" s="147" t="s">
        <v>8</v>
      </c>
      <c r="P6" s="147" t="s">
        <v>9</v>
      </c>
      <c r="Q6" s="148" t="s">
        <v>10</v>
      </c>
      <c r="R6" s="21"/>
      <c r="S6" s="21"/>
    </row>
    <row r="7" spans="2:19">
      <c r="B7" s="491" t="s">
        <v>121</v>
      </c>
      <c r="C7" s="477" t="s">
        <v>13</v>
      </c>
      <c r="D7" s="149" t="s">
        <v>14</v>
      </c>
      <c r="E7" s="11">
        <v>2.5</v>
      </c>
      <c r="F7" s="150"/>
      <c r="G7" s="150">
        <f>E7+F7</f>
        <v>2.5</v>
      </c>
      <c r="H7" s="618">
        <v>1.6839999999999999</v>
      </c>
      <c r="I7" s="150">
        <f>G7-H7</f>
        <v>0.81600000000000006</v>
      </c>
      <c r="J7" s="151">
        <f>(H7/G7)</f>
        <v>0.67359999999999998</v>
      </c>
      <c r="K7" s="284" t="s">
        <v>190</v>
      </c>
      <c r="L7" s="493">
        <f>E7+E8</f>
        <v>5.05</v>
      </c>
      <c r="M7" s="456">
        <f>F7+F8</f>
        <v>0</v>
      </c>
      <c r="N7" s="456">
        <f>L7+M7</f>
        <v>5.05</v>
      </c>
      <c r="O7" s="456">
        <f>H7+H8</f>
        <v>2.8959999999999999</v>
      </c>
      <c r="P7" s="456">
        <f>N7-O7</f>
        <v>2.1539999999999999</v>
      </c>
      <c r="Q7" s="485">
        <f>O7/N7</f>
        <v>0.57346534653465342</v>
      </c>
      <c r="R7" s="21"/>
      <c r="S7" s="21"/>
    </row>
    <row r="8" spans="2:19">
      <c r="B8" s="491"/>
      <c r="C8" s="478"/>
      <c r="D8" s="152" t="s">
        <v>173</v>
      </c>
      <c r="E8" s="12">
        <v>2.5499999999999998</v>
      </c>
      <c r="F8" s="153"/>
      <c r="G8" s="153">
        <f>E8+F8+I7</f>
        <v>3.3659999999999997</v>
      </c>
      <c r="H8" s="619">
        <v>1.212</v>
      </c>
      <c r="I8" s="153">
        <f>G8-H8</f>
        <v>2.1539999999999999</v>
      </c>
      <c r="J8" s="155">
        <f t="shared" ref="J8:J41" si="0">(H8/G8)</f>
        <v>0.36007130124777187</v>
      </c>
      <c r="K8" s="226" t="s">
        <v>190</v>
      </c>
      <c r="L8" s="425"/>
      <c r="M8" s="428"/>
      <c r="N8" s="428"/>
      <c r="O8" s="428"/>
      <c r="P8" s="428"/>
      <c r="Q8" s="469"/>
      <c r="R8" s="21"/>
      <c r="S8" s="21"/>
    </row>
    <row r="9" spans="2:19">
      <c r="B9" s="491"/>
      <c r="C9" s="478" t="s">
        <v>16</v>
      </c>
      <c r="D9" s="152" t="s">
        <v>14</v>
      </c>
      <c r="E9" s="12">
        <v>2.73</v>
      </c>
      <c r="F9" s="153"/>
      <c r="G9" s="153">
        <f t="shared" ref="G9" si="1">E9+F9</f>
        <v>2.73</v>
      </c>
      <c r="H9" s="620">
        <v>0.22900000000000001</v>
      </c>
      <c r="I9" s="153">
        <f t="shared" ref="I9:I41" si="2">G9-H9</f>
        <v>2.5009999999999999</v>
      </c>
      <c r="J9" s="155">
        <f t="shared" si="0"/>
        <v>8.388278388278389E-2</v>
      </c>
      <c r="K9" s="226" t="s">
        <v>190</v>
      </c>
      <c r="L9" s="425">
        <f>E9+E10</f>
        <v>5.4700000000000006</v>
      </c>
      <c r="M9" s="428">
        <f>F9+F10</f>
        <v>0</v>
      </c>
      <c r="N9" s="428">
        <f>L9+M9</f>
        <v>5.4700000000000006</v>
      </c>
      <c r="O9" s="428">
        <f t="shared" ref="O9" si="3">H9+H10</f>
        <v>0.92699999999999994</v>
      </c>
      <c r="P9" s="428">
        <f>N9-O9</f>
        <v>4.543000000000001</v>
      </c>
      <c r="Q9" s="469">
        <f>O9/N9</f>
        <v>0.16946983546617914</v>
      </c>
      <c r="R9" s="21"/>
      <c r="S9" s="21"/>
    </row>
    <row r="10" spans="2:19">
      <c r="B10" s="491"/>
      <c r="C10" s="478"/>
      <c r="D10" s="152" t="s">
        <v>173</v>
      </c>
      <c r="E10" s="12">
        <v>2.74</v>
      </c>
      <c r="F10" s="153"/>
      <c r="G10" s="153">
        <f t="shared" ref="G10" si="4">E10+F10+I9</f>
        <v>5.2409999999999997</v>
      </c>
      <c r="H10" s="619">
        <v>0.69799999999999995</v>
      </c>
      <c r="I10" s="153">
        <f t="shared" si="2"/>
        <v>4.5429999999999993</v>
      </c>
      <c r="J10" s="155">
        <f t="shared" si="0"/>
        <v>0.13318069070788016</v>
      </c>
      <c r="K10" s="212" t="s">
        <v>190</v>
      </c>
      <c r="L10" s="425"/>
      <c r="M10" s="428"/>
      <c r="N10" s="428"/>
      <c r="O10" s="428"/>
      <c r="P10" s="428"/>
      <c r="Q10" s="469"/>
      <c r="R10" s="21"/>
      <c r="S10" s="21"/>
    </row>
    <row r="11" spans="2:19">
      <c r="B11" s="491"/>
      <c r="C11" s="477" t="s">
        <v>17</v>
      </c>
      <c r="D11" s="152" t="s">
        <v>14</v>
      </c>
      <c r="E11" s="12">
        <v>1.6</v>
      </c>
      <c r="F11" s="153"/>
      <c r="G11" s="153">
        <f t="shared" ref="G11" si="5">E11+F11</f>
        <v>1.6</v>
      </c>
      <c r="H11" s="619">
        <v>0.111</v>
      </c>
      <c r="I11" s="153">
        <f t="shared" si="2"/>
        <v>1.4890000000000001</v>
      </c>
      <c r="J11" s="155">
        <f t="shared" si="0"/>
        <v>6.9374999999999992E-2</v>
      </c>
      <c r="K11" s="226" t="s">
        <v>190</v>
      </c>
      <c r="L11" s="425">
        <f>E11+E12</f>
        <v>3.3</v>
      </c>
      <c r="M11" s="428">
        <f>F11+F12</f>
        <v>0</v>
      </c>
      <c r="N11" s="428">
        <f>L11+M11</f>
        <v>3.3</v>
      </c>
      <c r="O11" s="428">
        <f t="shared" ref="O11" si="6">H11+H12</f>
        <v>3.8580000000000001</v>
      </c>
      <c r="P11" s="428">
        <f>N11-O11</f>
        <v>-0.55800000000000027</v>
      </c>
      <c r="Q11" s="469">
        <f>O11/N11</f>
        <v>1.1690909090909092</v>
      </c>
      <c r="R11" s="21"/>
      <c r="S11" s="21"/>
    </row>
    <row r="12" spans="2:19">
      <c r="B12" s="491"/>
      <c r="C12" s="487"/>
      <c r="D12" s="152" t="s">
        <v>173</v>
      </c>
      <c r="E12" s="12">
        <v>1.7</v>
      </c>
      <c r="F12" s="153"/>
      <c r="G12" s="153">
        <f>E12+F12+I11</f>
        <v>3.1890000000000001</v>
      </c>
      <c r="H12" s="619">
        <v>3.7469999999999999</v>
      </c>
      <c r="I12" s="153">
        <f t="shared" si="2"/>
        <v>-0.55799999999999983</v>
      </c>
      <c r="J12" s="155">
        <f t="shared" si="0"/>
        <v>1.1749764816556914</v>
      </c>
      <c r="K12" s="277">
        <v>43418</v>
      </c>
      <c r="L12" s="425"/>
      <c r="M12" s="428"/>
      <c r="N12" s="428"/>
      <c r="O12" s="428"/>
      <c r="P12" s="428"/>
      <c r="Q12" s="469"/>
      <c r="R12" s="21"/>
      <c r="S12" s="21"/>
    </row>
    <row r="13" spans="2:19">
      <c r="B13" s="491"/>
      <c r="C13" s="478" t="s">
        <v>18</v>
      </c>
      <c r="D13" s="152" t="s">
        <v>14</v>
      </c>
      <c r="E13" s="12">
        <v>5.69</v>
      </c>
      <c r="F13" s="153"/>
      <c r="G13" s="153">
        <f t="shared" ref="G13" si="7">E13+F13</f>
        <v>5.69</v>
      </c>
      <c r="H13" s="621">
        <v>11.785</v>
      </c>
      <c r="I13" s="153">
        <f t="shared" si="2"/>
        <v>-6.0949999999999998</v>
      </c>
      <c r="J13" s="156">
        <f t="shared" si="0"/>
        <v>2.0711775043936731</v>
      </c>
      <c r="K13" s="277">
        <v>43174</v>
      </c>
      <c r="L13" s="425">
        <f>E13+E14</f>
        <v>11.38</v>
      </c>
      <c r="M13" s="428">
        <f>F13+F14</f>
        <v>0</v>
      </c>
      <c r="N13" s="428">
        <f>L13+M13</f>
        <v>11.38</v>
      </c>
      <c r="O13" s="428">
        <f t="shared" ref="O13" si="8">H13+H14</f>
        <v>11.785</v>
      </c>
      <c r="P13" s="428">
        <f>N13-O13</f>
        <v>-0.40499999999999936</v>
      </c>
      <c r="Q13" s="469">
        <f>O13/N13</f>
        <v>1.0355887521968365</v>
      </c>
      <c r="R13" s="21"/>
      <c r="S13" s="21"/>
    </row>
    <row r="14" spans="2:19">
      <c r="B14" s="491"/>
      <c r="C14" s="478"/>
      <c r="D14" s="152" t="s">
        <v>173</v>
      </c>
      <c r="E14" s="12">
        <v>5.69</v>
      </c>
      <c r="F14" s="153"/>
      <c r="G14" s="153">
        <f t="shared" ref="G14" si="9">E14+F14+I13</f>
        <v>-0.40499999999999936</v>
      </c>
      <c r="H14" s="619">
        <v>0</v>
      </c>
      <c r="I14" s="153">
        <f t="shared" si="2"/>
        <v>-0.40499999999999936</v>
      </c>
      <c r="J14" s="156">
        <f t="shared" si="0"/>
        <v>0</v>
      </c>
      <c r="K14" s="277">
        <v>43258</v>
      </c>
      <c r="L14" s="425"/>
      <c r="M14" s="428"/>
      <c r="N14" s="428"/>
      <c r="O14" s="428"/>
      <c r="P14" s="428"/>
      <c r="Q14" s="469"/>
      <c r="R14" s="21"/>
      <c r="S14" s="21"/>
    </row>
    <row r="15" spans="2:19">
      <c r="B15" s="491"/>
      <c r="C15" s="477" t="s">
        <v>19</v>
      </c>
      <c r="D15" s="152" t="s">
        <v>14</v>
      </c>
      <c r="E15" s="12">
        <v>15.59</v>
      </c>
      <c r="F15" s="153"/>
      <c r="G15" s="153">
        <f t="shared" ref="G15" si="10">E15+F15</f>
        <v>15.59</v>
      </c>
      <c r="H15" s="621">
        <v>12.661</v>
      </c>
      <c r="I15" s="153">
        <f t="shared" si="2"/>
        <v>2.9290000000000003</v>
      </c>
      <c r="J15" s="155">
        <f t="shared" si="0"/>
        <v>0.81212315586914685</v>
      </c>
      <c r="K15" s="226" t="s">
        <v>190</v>
      </c>
      <c r="L15" s="425">
        <f>E15+E16</f>
        <v>21.189999999999998</v>
      </c>
      <c r="M15" s="428">
        <f>F15+F16</f>
        <v>0</v>
      </c>
      <c r="N15" s="428">
        <f>L15+M15</f>
        <v>21.189999999999998</v>
      </c>
      <c r="O15" s="428">
        <f t="shared" ref="O15" si="11">H15+H16</f>
        <v>21.371000000000002</v>
      </c>
      <c r="P15" s="488">
        <f>N15-O15</f>
        <v>-0.18100000000000449</v>
      </c>
      <c r="Q15" s="469">
        <f>O15/N15</f>
        <v>1.0085417649834829</v>
      </c>
      <c r="R15" s="21"/>
      <c r="S15" s="21"/>
    </row>
    <row r="16" spans="2:19">
      <c r="B16" s="491"/>
      <c r="C16" s="487"/>
      <c r="D16" s="152" t="s">
        <v>173</v>
      </c>
      <c r="E16" s="12">
        <v>5.6</v>
      </c>
      <c r="F16" s="153"/>
      <c r="G16" s="153">
        <f t="shared" ref="G16" si="12">E16+F16+I15</f>
        <v>8.5289999999999999</v>
      </c>
      <c r="H16" s="619">
        <v>8.7100000000000009</v>
      </c>
      <c r="I16" s="153">
        <f t="shared" si="2"/>
        <v>-0.18100000000000094</v>
      </c>
      <c r="J16" s="155">
        <f t="shared" si="0"/>
        <v>1.0212217141517177</v>
      </c>
      <c r="K16" s="277">
        <v>43419</v>
      </c>
      <c r="L16" s="425"/>
      <c r="M16" s="428"/>
      <c r="N16" s="428"/>
      <c r="O16" s="428"/>
      <c r="P16" s="428"/>
      <c r="Q16" s="469"/>
      <c r="R16" s="21"/>
      <c r="S16" s="21"/>
    </row>
    <row r="17" spans="1:19">
      <c r="B17" s="491"/>
      <c r="C17" s="478" t="s">
        <v>20</v>
      </c>
      <c r="D17" s="152" t="s">
        <v>14</v>
      </c>
      <c r="E17" s="13">
        <v>26.77</v>
      </c>
      <c r="F17" s="153"/>
      <c r="G17" s="153">
        <f t="shared" ref="G17" si="13">E17+F17</f>
        <v>26.77</v>
      </c>
      <c r="H17" s="621">
        <v>11.238</v>
      </c>
      <c r="I17" s="153">
        <f t="shared" si="2"/>
        <v>15.532</v>
      </c>
      <c r="J17" s="155">
        <f t="shared" si="0"/>
        <v>0.41979828165857302</v>
      </c>
      <c r="K17" s="278" t="s">
        <v>190</v>
      </c>
      <c r="L17" s="425">
        <f>E17+E18</f>
        <v>53.57</v>
      </c>
      <c r="M17" s="428">
        <f>F17+F18</f>
        <v>0</v>
      </c>
      <c r="N17" s="428">
        <f>L17+M17</f>
        <v>53.57</v>
      </c>
      <c r="O17" s="428">
        <f t="shared" ref="O17" si="14">H17+H18</f>
        <v>47.381999999999998</v>
      </c>
      <c r="P17" s="488">
        <f>N17-O17</f>
        <v>6.1880000000000024</v>
      </c>
      <c r="Q17" s="469">
        <f>O17/N17</f>
        <v>0.88448758633563562</v>
      </c>
      <c r="R17" s="21"/>
      <c r="S17" s="21"/>
    </row>
    <row r="18" spans="1:19">
      <c r="B18" s="491"/>
      <c r="C18" s="478"/>
      <c r="D18" s="152" t="s">
        <v>173</v>
      </c>
      <c r="E18" s="12">
        <v>26.8</v>
      </c>
      <c r="F18" s="153"/>
      <c r="G18" s="153">
        <f t="shared" ref="G18" si="15">E18+F18+I17</f>
        <v>42.332000000000001</v>
      </c>
      <c r="H18" s="619">
        <v>36.143999999999998</v>
      </c>
      <c r="I18" s="153">
        <f t="shared" si="2"/>
        <v>6.1880000000000024</v>
      </c>
      <c r="J18" s="155">
        <f t="shared" si="0"/>
        <v>0.85382216762732677</v>
      </c>
      <c r="K18" s="277">
        <v>43439</v>
      </c>
      <c r="L18" s="425"/>
      <c r="M18" s="428"/>
      <c r="N18" s="428"/>
      <c r="O18" s="428"/>
      <c r="P18" s="428"/>
      <c r="Q18" s="469"/>
      <c r="R18" s="21"/>
      <c r="S18" s="21"/>
    </row>
    <row r="19" spans="1:19">
      <c r="B19" s="491"/>
      <c r="C19" s="477" t="s">
        <v>21</v>
      </c>
      <c r="D19" s="152" t="s">
        <v>14</v>
      </c>
      <c r="E19" s="12">
        <v>5.43</v>
      </c>
      <c r="F19" s="153"/>
      <c r="G19" s="153">
        <f t="shared" ref="G19" si="16">E19+F19</f>
        <v>5.43</v>
      </c>
      <c r="H19" s="619">
        <v>1.891</v>
      </c>
      <c r="I19" s="153">
        <f t="shared" si="2"/>
        <v>3.5389999999999997</v>
      </c>
      <c r="J19" s="155">
        <f t="shared" si="0"/>
        <v>0.34825046040515656</v>
      </c>
      <c r="K19" s="226" t="s">
        <v>190</v>
      </c>
      <c r="L19" s="425">
        <f>E19+E20</f>
        <v>10.85</v>
      </c>
      <c r="M19" s="428">
        <f>F19+F20</f>
        <v>0</v>
      </c>
      <c r="N19" s="428">
        <f>L19+M19</f>
        <v>10.85</v>
      </c>
      <c r="O19" s="428">
        <f t="shared" ref="O19" si="17">H19+H20</f>
        <v>9.266</v>
      </c>
      <c r="P19" s="428">
        <f>N19-O19</f>
        <v>1.5839999999999996</v>
      </c>
      <c r="Q19" s="469">
        <f>O19/N19</f>
        <v>0.85400921658986173</v>
      </c>
      <c r="R19" s="21"/>
      <c r="S19" s="21"/>
    </row>
    <row r="20" spans="1:19">
      <c r="B20" s="491"/>
      <c r="C20" s="487"/>
      <c r="D20" s="152" t="s">
        <v>173</v>
      </c>
      <c r="E20" s="12">
        <v>5.42</v>
      </c>
      <c r="F20" s="153"/>
      <c r="G20" s="153">
        <f t="shared" ref="G20" si="18">E20+F20+I19</f>
        <v>8.9589999999999996</v>
      </c>
      <c r="H20" s="619">
        <v>7.375</v>
      </c>
      <c r="I20" s="153">
        <f t="shared" si="2"/>
        <v>1.5839999999999996</v>
      </c>
      <c r="J20" s="155">
        <f t="shared" si="0"/>
        <v>0.82319455296350041</v>
      </c>
      <c r="K20" s="212" t="s">
        <v>190</v>
      </c>
      <c r="L20" s="425"/>
      <c r="M20" s="428"/>
      <c r="N20" s="428"/>
      <c r="O20" s="428"/>
      <c r="P20" s="428"/>
      <c r="Q20" s="469"/>
      <c r="R20" s="21"/>
      <c r="S20" s="21"/>
    </row>
    <row r="21" spans="1:19">
      <c r="B21" s="491"/>
      <c r="C21" s="478" t="s">
        <v>22</v>
      </c>
      <c r="D21" s="152" t="s">
        <v>14</v>
      </c>
      <c r="E21" s="12">
        <v>2.59</v>
      </c>
      <c r="F21" s="153"/>
      <c r="G21" s="153">
        <f t="shared" ref="G21" si="19">E21+F21</f>
        <v>2.59</v>
      </c>
      <c r="H21" s="619">
        <v>0.96899999999999997</v>
      </c>
      <c r="I21" s="153">
        <f t="shared" si="2"/>
        <v>1.621</v>
      </c>
      <c r="J21" s="155">
        <f t="shared" si="0"/>
        <v>0.37413127413127412</v>
      </c>
      <c r="K21" s="226" t="s">
        <v>190</v>
      </c>
      <c r="L21" s="425">
        <f>E21+E22</f>
        <v>5.17</v>
      </c>
      <c r="M21" s="428">
        <f>F21+F22</f>
        <v>0</v>
      </c>
      <c r="N21" s="428">
        <f>L21+M21</f>
        <v>5.17</v>
      </c>
      <c r="O21" s="428">
        <f t="shared" ref="O21" si="20">H21+H22</f>
        <v>4.3180000000000005</v>
      </c>
      <c r="P21" s="428">
        <f>N21-O21</f>
        <v>0.85199999999999942</v>
      </c>
      <c r="Q21" s="469">
        <f>O21/N21</f>
        <v>0.83520309477756294</v>
      </c>
      <c r="R21" s="21"/>
      <c r="S21" s="21"/>
    </row>
    <row r="22" spans="1:19">
      <c r="B22" s="491"/>
      <c r="C22" s="478"/>
      <c r="D22" s="152" t="s">
        <v>173</v>
      </c>
      <c r="E22" s="12">
        <v>2.58</v>
      </c>
      <c r="F22" s="153"/>
      <c r="G22" s="153">
        <f t="shared" ref="G22" si="21">E22+F22+I21</f>
        <v>4.2010000000000005</v>
      </c>
      <c r="H22" s="619">
        <v>3.3490000000000002</v>
      </c>
      <c r="I22" s="153">
        <f t="shared" si="2"/>
        <v>0.85200000000000031</v>
      </c>
      <c r="J22" s="155">
        <f t="shared" si="0"/>
        <v>0.79719114496548438</v>
      </c>
      <c r="K22" s="212" t="s">
        <v>190</v>
      </c>
      <c r="L22" s="425"/>
      <c r="M22" s="428"/>
      <c r="N22" s="428"/>
      <c r="O22" s="428"/>
      <c r="P22" s="428"/>
      <c r="Q22" s="469"/>
      <c r="R22" s="21"/>
      <c r="S22" s="21"/>
    </row>
    <row r="23" spans="1:19">
      <c r="B23" s="491"/>
      <c r="C23" s="477" t="s">
        <v>23</v>
      </c>
      <c r="D23" s="152" t="s">
        <v>14</v>
      </c>
      <c r="E23" s="12">
        <v>0.09</v>
      </c>
      <c r="F23" s="153"/>
      <c r="G23" s="153">
        <f t="shared" ref="G23" si="22">E23+F23</f>
        <v>0.09</v>
      </c>
      <c r="H23" s="619">
        <v>0.254</v>
      </c>
      <c r="I23" s="153">
        <f t="shared" si="2"/>
        <v>-0.16400000000000001</v>
      </c>
      <c r="J23" s="155">
        <f t="shared" si="0"/>
        <v>2.8222222222222224</v>
      </c>
      <c r="K23" s="277">
        <v>43131</v>
      </c>
      <c r="L23" s="425">
        <f>E23+E24</f>
        <v>0.18</v>
      </c>
      <c r="M23" s="428">
        <f>F23+F24</f>
        <v>0</v>
      </c>
      <c r="N23" s="428">
        <f>L23+M23</f>
        <v>0.18</v>
      </c>
      <c r="O23" s="428">
        <f t="shared" ref="O23" si="23">H23+H24</f>
        <v>0.254</v>
      </c>
      <c r="P23" s="428">
        <f>N23-O23</f>
        <v>-7.400000000000001E-2</v>
      </c>
      <c r="Q23" s="469">
        <f>O23/N23</f>
        <v>1.4111111111111112</v>
      </c>
      <c r="R23" s="21"/>
      <c r="S23" s="21"/>
    </row>
    <row r="24" spans="1:19">
      <c r="B24" s="491"/>
      <c r="C24" s="487"/>
      <c r="D24" s="152" t="s">
        <v>173</v>
      </c>
      <c r="E24" s="12">
        <v>0.09</v>
      </c>
      <c r="F24" s="153"/>
      <c r="G24" s="153">
        <f t="shared" ref="G24" si="24">E24+F24+I23</f>
        <v>-7.400000000000001E-2</v>
      </c>
      <c r="H24" s="619">
        <v>0</v>
      </c>
      <c r="I24" s="153">
        <f t="shared" si="2"/>
        <v>-7.400000000000001E-2</v>
      </c>
      <c r="J24" s="155">
        <f t="shared" si="0"/>
        <v>0</v>
      </c>
      <c r="K24" s="277">
        <v>43188</v>
      </c>
      <c r="L24" s="425"/>
      <c r="M24" s="428"/>
      <c r="N24" s="428"/>
      <c r="O24" s="428"/>
      <c r="P24" s="428"/>
      <c r="Q24" s="469"/>
      <c r="R24" s="21"/>
      <c r="S24" s="21"/>
    </row>
    <row r="25" spans="1:19">
      <c r="B25" s="491"/>
      <c r="C25" s="486" t="s">
        <v>24</v>
      </c>
      <c r="D25" s="157" t="s">
        <v>14</v>
      </c>
      <c r="E25" s="14">
        <v>0.62</v>
      </c>
      <c r="F25" s="158"/>
      <c r="G25" s="153">
        <f t="shared" ref="G25" si="25">E25+F25</f>
        <v>0.62</v>
      </c>
      <c r="H25" s="621">
        <v>1.3939999999999999</v>
      </c>
      <c r="I25" s="158">
        <f t="shared" si="2"/>
        <v>-0.77399999999999991</v>
      </c>
      <c r="J25" s="159">
        <f t="shared" si="0"/>
        <v>2.2483870967741932</v>
      </c>
      <c r="K25" s="277">
        <v>43131</v>
      </c>
      <c r="L25" s="425">
        <f>E25+E26</f>
        <v>1.23</v>
      </c>
      <c r="M25" s="428">
        <f>F25+F26</f>
        <v>0</v>
      </c>
      <c r="N25" s="428">
        <f>L25+M25</f>
        <v>1.23</v>
      </c>
      <c r="O25" s="428">
        <f t="shared" ref="O25" si="26">H25+H26</f>
        <v>1.3939999999999999</v>
      </c>
      <c r="P25" s="428">
        <f>N25-O25</f>
        <v>-0.16399999999999992</v>
      </c>
      <c r="Q25" s="469">
        <f>O25/N25</f>
        <v>1.1333333333333333</v>
      </c>
      <c r="R25" s="21"/>
      <c r="S25" s="21"/>
    </row>
    <row r="26" spans="1:19">
      <c r="B26" s="491"/>
      <c r="C26" s="486"/>
      <c r="D26" s="157" t="s">
        <v>173</v>
      </c>
      <c r="E26" s="14">
        <v>0.61</v>
      </c>
      <c r="F26" s="158"/>
      <c r="G26" s="153">
        <f t="shared" ref="G26" si="27">E26+F26+I25</f>
        <v>-0.16399999999999992</v>
      </c>
      <c r="H26" s="622">
        <v>0</v>
      </c>
      <c r="I26" s="158">
        <f t="shared" si="2"/>
        <v>-0.16399999999999992</v>
      </c>
      <c r="J26" s="159">
        <f t="shared" si="0"/>
        <v>0</v>
      </c>
      <c r="K26" s="277">
        <v>43188</v>
      </c>
      <c r="L26" s="425"/>
      <c r="M26" s="428"/>
      <c r="N26" s="428"/>
      <c r="O26" s="428"/>
      <c r="P26" s="428"/>
      <c r="Q26" s="469"/>
      <c r="R26" s="21"/>
      <c r="S26" s="21"/>
    </row>
    <row r="27" spans="1:19">
      <c r="B27" s="491"/>
      <c r="C27" s="477" t="s">
        <v>25</v>
      </c>
      <c r="D27" s="152" t="s">
        <v>14</v>
      </c>
      <c r="E27" s="12">
        <v>19.7</v>
      </c>
      <c r="F27" s="153"/>
      <c r="G27" s="153">
        <f t="shared" ref="G27" si="28">E27+F27</f>
        <v>19.7</v>
      </c>
      <c r="H27" s="621">
        <v>24.452000000000002</v>
      </c>
      <c r="I27" s="153">
        <f t="shared" si="2"/>
        <v>-4.7520000000000024</v>
      </c>
      <c r="J27" s="160">
        <f t="shared" si="0"/>
        <v>1.2412182741116753</v>
      </c>
      <c r="K27" s="277">
        <v>43110</v>
      </c>
      <c r="L27" s="425">
        <f>E27+E28</f>
        <v>39.43</v>
      </c>
      <c r="M27" s="428">
        <f>F27+F28</f>
        <v>0</v>
      </c>
      <c r="N27" s="428">
        <f>L27+M27</f>
        <v>39.43</v>
      </c>
      <c r="O27" s="428">
        <f t="shared" ref="O27" si="29">H27+H28</f>
        <v>41.398000000000003</v>
      </c>
      <c r="P27" s="428">
        <f>N27-O27</f>
        <v>-1.9680000000000035</v>
      </c>
      <c r="Q27" s="469">
        <f>O27/N27</f>
        <v>1.0499112351001776</v>
      </c>
      <c r="R27" s="21"/>
      <c r="S27" s="21"/>
    </row>
    <row r="28" spans="1:19" ht="15.75" thickBot="1">
      <c r="B28" s="492"/>
      <c r="C28" s="482"/>
      <c r="D28" s="161" t="s">
        <v>173</v>
      </c>
      <c r="E28" s="15">
        <v>19.73</v>
      </c>
      <c r="F28" s="162"/>
      <c r="G28" s="162">
        <f t="shared" ref="G28" si="30">E28+F28+I27</f>
        <v>14.977999999999998</v>
      </c>
      <c r="H28" s="623">
        <v>16.946000000000002</v>
      </c>
      <c r="I28" s="162">
        <f t="shared" si="2"/>
        <v>-1.9680000000000035</v>
      </c>
      <c r="J28" s="163">
        <f t="shared" si="0"/>
        <v>1.1313927093069838</v>
      </c>
      <c r="K28" s="360"/>
      <c r="L28" s="426"/>
      <c r="M28" s="429"/>
      <c r="N28" s="429"/>
      <c r="O28" s="429"/>
      <c r="P28" s="429"/>
      <c r="Q28" s="475"/>
      <c r="R28" s="21"/>
      <c r="S28" s="21"/>
    </row>
    <row r="29" spans="1:19" ht="15.75" thickBot="1">
      <c r="A29" s="23"/>
      <c r="B29" s="164"/>
      <c r="C29" s="165"/>
      <c r="D29" s="165"/>
      <c r="E29" s="165"/>
      <c r="F29" s="165"/>
      <c r="G29" s="165"/>
      <c r="H29" s="165"/>
      <c r="I29" s="165"/>
      <c r="J29" s="166"/>
      <c r="K29" s="167"/>
      <c r="L29" s="165"/>
      <c r="M29" s="165"/>
      <c r="N29" s="165"/>
      <c r="O29" s="165"/>
      <c r="P29" s="165"/>
      <c r="Q29" s="168"/>
      <c r="R29" s="21"/>
      <c r="S29" s="21"/>
    </row>
    <row r="30" spans="1:19">
      <c r="A30" s="23"/>
      <c r="B30" s="169"/>
      <c r="C30" s="483" t="s">
        <v>26</v>
      </c>
      <c r="D30" s="170" t="s">
        <v>14</v>
      </c>
      <c r="E30" s="171">
        <f>E7+E9+E11+E13+E15+E17+E19+E21+E23+E25+E27</f>
        <v>83.309999999999988</v>
      </c>
      <c r="F30" s="172"/>
      <c r="G30" s="172">
        <f>E30+F30</f>
        <v>83.309999999999988</v>
      </c>
      <c r="H30" s="312">
        <f>H7+H9+H11+H13+H15+H17+H19+H21+H23+H25+H27</f>
        <v>66.667999999999992</v>
      </c>
      <c r="I30" s="174">
        <f t="shared" si="2"/>
        <v>16.641999999999996</v>
      </c>
      <c r="J30" s="175">
        <f t="shared" si="0"/>
        <v>0.80024006721882124</v>
      </c>
      <c r="K30" s="279" t="s">
        <v>190</v>
      </c>
      <c r="L30" s="454">
        <f>E30+E31</f>
        <v>156.82</v>
      </c>
      <c r="M30" s="456">
        <f>F30+F31</f>
        <v>0</v>
      </c>
      <c r="N30" s="456">
        <f>L30+M30</f>
        <v>156.82</v>
      </c>
      <c r="O30" s="457">
        <f>H30+H31</f>
        <v>144.84899999999999</v>
      </c>
      <c r="P30" s="456">
        <f>N30-O30</f>
        <v>11.971000000000004</v>
      </c>
      <c r="Q30" s="485">
        <f>O30/N30</f>
        <v>0.92366407346001778</v>
      </c>
      <c r="R30" s="29"/>
      <c r="S30" s="29"/>
    </row>
    <row r="31" spans="1:19" ht="15.75" thickBot="1">
      <c r="A31" s="23"/>
      <c r="B31" s="169"/>
      <c r="C31" s="484"/>
      <c r="D31" s="176" t="s">
        <v>174</v>
      </c>
      <c r="E31" s="135">
        <f>E8+E10+E12+E14+E16+E18+E20+E22+E24+E26+E28</f>
        <v>73.510000000000005</v>
      </c>
      <c r="F31" s="177"/>
      <c r="G31" s="177">
        <f>E31+F31</f>
        <v>73.510000000000005</v>
      </c>
      <c r="H31" s="313">
        <f>H8+H10+H12+H14+H16+H18+H20+H22+H24+H26+H28</f>
        <v>78.180999999999997</v>
      </c>
      <c r="I31" s="179">
        <f t="shared" si="2"/>
        <v>-4.6709999999999923</v>
      </c>
      <c r="J31" s="180">
        <f t="shared" si="0"/>
        <v>1.0635423751870492</v>
      </c>
      <c r="K31" s="280" t="s">
        <v>190</v>
      </c>
      <c r="L31" s="455"/>
      <c r="M31" s="429"/>
      <c r="N31" s="429"/>
      <c r="O31" s="429"/>
      <c r="P31" s="429"/>
      <c r="Q31" s="475"/>
      <c r="R31" s="29"/>
      <c r="S31" s="29"/>
    </row>
    <row r="32" spans="1:19" ht="50.25" customHeight="1" thickBot="1">
      <c r="A32" s="23"/>
      <c r="B32" s="169"/>
      <c r="C32" s="181"/>
      <c r="D32" s="182"/>
      <c r="E32" s="183"/>
      <c r="F32" s="182"/>
      <c r="G32" s="182"/>
      <c r="H32" s="184"/>
      <c r="I32" s="185"/>
      <c r="J32" s="186"/>
      <c r="K32" s="187"/>
      <c r="L32" s="165"/>
      <c r="M32" s="165"/>
      <c r="N32" s="165"/>
      <c r="O32" s="165"/>
      <c r="P32" s="165"/>
      <c r="Q32" s="168"/>
      <c r="R32" s="29"/>
      <c r="S32" s="29"/>
    </row>
    <row r="33" spans="1:20">
      <c r="B33" s="466" t="s">
        <v>2</v>
      </c>
      <c r="C33" s="466" t="s">
        <v>3</v>
      </c>
      <c r="D33" s="466" t="s">
        <v>4</v>
      </c>
      <c r="E33" s="501" t="s">
        <v>5</v>
      </c>
      <c r="F33" s="460" t="s">
        <v>6</v>
      </c>
      <c r="G33" s="460" t="s">
        <v>7</v>
      </c>
      <c r="H33" s="462" t="s">
        <v>8</v>
      </c>
      <c r="I33" s="460" t="s">
        <v>9</v>
      </c>
      <c r="J33" s="499" t="s">
        <v>10</v>
      </c>
      <c r="K33" s="497" t="s">
        <v>11</v>
      </c>
      <c r="L33" s="476" t="s">
        <v>1</v>
      </c>
      <c r="M33" s="416"/>
      <c r="N33" s="416"/>
      <c r="O33" s="416"/>
      <c r="P33" s="416"/>
      <c r="Q33" s="417"/>
      <c r="R33" s="29"/>
      <c r="S33" s="29"/>
    </row>
    <row r="34" spans="1:20" ht="45.75" thickBot="1">
      <c r="B34" s="467"/>
      <c r="C34" s="467"/>
      <c r="D34" s="467"/>
      <c r="E34" s="502"/>
      <c r="F34" s="461"/>
      <c r="G34" s="461"/>
      <c r="H34" s="463"/>
      <c r="I34" s="461"/>
      <c r="J34" s="500"/>
      <c r="K34" s="498"/>
      <c r="L34" s="188" t="s">
        <v>12</v>
      </c>
      <c r="M34" s="189" t="s">
        <v>6</v>
      </c>
      <c r="N34" s="189" t="s">
        <v>7</v>
      </c>
      <c r="O34" s="189" t="s">
        <v>8</v>
      </c>
      <c r="P34" s="189" t="s">
        <v>9</v>
      </c>
      <c r="Q34" s="190" t="s">
        <v>10</v>
      </c>
      <c r="R34" s="29"/>
      <c r="S34" s="29"/>
    </row>
    <row r="35" spans="1:20">
      <c r="B35" s="418" t="s">
        <v>27</v>
      </c>
      <c r="C35" s="477" t="s">
        <v>28</v>
      </c>
      <c r="D35" s="191" t="s">
        <v>14</v>
      </c>
      <c r="E35" s="18">
        <v>42.61</v>
      </c>
      <c r="F35" s="192"/>
      <c r="G35" s="192">
        <f>E35+F35</f>
        <v>42.61</v>
      </c>
      <c r="H35" s="624">
        <v>25.734999999999999</v>
      </c>
      <c r="I35" s="193">
        <f>G35-H35</f>
        <v>16.875</v>
      </c>
      <c r="J35" s="194">
        <f t="shared" si="0"/>
        <v>0.60396620511616994</v>
      </c>
      <c r="K35" s="195" t="s">
        <v>190</v>
      </c>
      <c r="L35" s="479">
        <f>E35+E36</f>
        <v>85.22</v>
      </c>
      <c r="M35" s="480">
        <f>F35+F36</f>
        <v>0</v>
      </c>
      <c r="N35" s="474">
        <f>G35+G36</f>
        <v>102.095</v>
      </c>
      <c r="O35" s="481">
        <f>H35+H36</f>
        <v>67.088999999999999</v>
      </c>
      <c r="P35" s="481">
        <f>N35-O35</f>
        <v>35.006</v>
      </c>
      <c r="Q35" s="468">
        <f>O35/N35</f>
        <v>0.65712326754493366</v>
      </c>
      <c r="R35" s="21"/>
      <c r="S35" s="21"/>
    </row>
    <row r="36" spans="1:20">
      <c r="B36" s="419"/>
      <c r="C36" s="478"/>
      <c r="D36" s="196" t="s">
        <v>173</v>
      </c>
      <c r="E36" s="12">
        <v>42.61</v>
      </c>
      <c r="F36" s="153"/>
      <c r="G36" s="154">
        <f>E36+F36+I35</f>
        <v>59.484999999999999</v>
      </c>
      <c r="H36" s="619">
        <v>41.353999999999999</v>
      </c>
      <c r="I36" s="153">
        <f>G36-H36</f>
        <v>18.131</v>
      </c>
      <c r="J36" s="197">
        <f t="shared" si="0"/>
        <v>0.69520047070690094</v>
      </c>
      <c r="K36" s="198" t="s">
        <v>190</v>
      </c>
      <c r="L36" s="470"/>
      <c r="M36" s="472"/>
      <c r="N36" s="472"/>
      <c r="O36" s="472"/>
      <c r="P36" s="472"/>
      <c r="Q36" s="469"/>
      <c r="R36" s="21"/>
      <c r="S36" s="21"/>
    </row>
    <row r="37" spans="1:20">
      <c r="B37" s="419"/>
      <c r="C37" s="478" t="s">
        <v>25</v>
      </c>
      <c r="D37" s="196" t="s">
        <v>14</v>
      </c>
      <c r="E37" s="12">
        <v>10.43</v>
      </c>
      <c r="F37" s="153"/>
      <c r="G37" s="153">
        <f t="shared" ref="G37" si="31">E37+F37</f>
        <v>10.43</v>
      </c>
      <c r="H37" s="621">
        <v>27.111999999999998</v>
      </c>
      <c r="I37" s="154">
        <f t="shared" si="2"/>
        <v>-16.681999999999999</v>
      </c>
      <c r="J37" s="197">
        <f t="shared" si="0"/>
        <v>2.5994247363374878</v>
      </c>
      <c r="K37" s="277">
        <v>43112</v>
      </c>
      <c r="L37" s="470">
        <f>E37+E38</f>
        <v>20.86</v>
      </c>
      <c r="M37" s="472">
        <f>F37+F38</f>
        <v>0</v>
      </c>
      <c r="N37" s="474">
        <f>G37+G38</f>
        <v>4.1780000000000008</v>
      </c>
      <c r="O37" s="472">
        <f>H37+H38</f>
        <v>27.111999999999998</v>
      </c>
      <c r="P37" s="472">
        <f>N37-O37</f>
        <v>-22.933999999999997</v>
      </c>
      <c r="Q37" s="469">
        <f>O37/N37</f>
        <v>6.4892292963140239</v>
      </c>
      <c r="R37" s="21"/>
      <c r="S37" s="21"/>
    </row>
    <row r="38" spans="1:20" ht="15.75" thickBot="1">
      <c r="B38" s="420"/>
      <c r="C38" s="482"/>
      <c r="D38" s="199" t="s">
        <v>173</v>
      </c>
      <c r="E38" s="15">
        <v>10.43</v>
      </c>
      <c r="F38" s="162"/>
      <c r="G38" s="162">
        <f t="shared" ref="G38" si="32">E38+F38+I37</f>
        <v>-6.2519999999999989</v>
      </c>
      <c r="H38" s="623">
        <v>0</v>
      </c>
      <c r="I38" s="162">
        <f t="shared" si="2"/>
        <v>-6.2519999999999989</v>
      </c>
      <c r="J38" s="180">
        <f t="shared" si="0"/>
        <v>0</v>
      </c>
      <c r="K38" s="277">
        <v>43115</v>
      </c>
      <c r="L38" s="471"/>
      <c r="M38" s="473"/>
      <c r="N38" s="472"/>
      <c r="O38" s="473"/>
      <c r="P38" s="473"/>
      <c r="Q38" s="475"/>
      <c r="R38" s="21"/>
      <c r="S38" s="21"/>
    </row>
    <row r="39" spans="1:20" ht="15.75" thickBot="1">
      <c r="B39" s="200"/>
      <c r="C39" s="201"/>
      <c r="D39" s="165"/>
      <c r="E39" s="165"/>
      <c r="F39" s="165"/>
      <c r="G39" s="165"/>
      <c r="H39" s="165"/>
      <c r="I39" s="165"/>
      <c r="J39" s="165"/>
      <c r="K39" s="186"/>
      <c r="L39" s="202"/>
      <c r="M39" s="165"/>
      <c r="N39" s="165"/>
      <c r="O39" s="165"/>
      <c r="P39" s="165"/>
      <c r="Q39" s="165"/>
      <c r="R39" s="27"/>
      <c r="S39" s="27"/>
    </row>
    <row r="40" spans="1:20">
      <c r="A40" s="23"/>
      <c r="B40" s="169"/>
      <c r="C40" s="452" t="s">
        <v>26</v>
      </c>
      <c r="D40" s="203" t="s">
        <v>14</v>
      </c>
      <c r="E40" s="204">
        <f>E35+E37</f>
        <v>53.04</v>
      </c>
      <c r="F40" s="172"/>
      <c r="G40" s="172">
        <f>E40+F40</f>
        <v>53.04</v>
      </c>
      <c r="H40" s="173">
        <f>H35+H37</f>
        <v>52.846999999999994</v>
      </c>
      <c r="I40" s="174">
        <f t="shared" si="2"/>
        <v>0.19300000000000495</v>
      </c>
      <c r="J40" s="175">
        <f t="shared" si="0"/>
        <v>0.99636123680241317</v>
      </c>
      <c r="K40" s="279" t="s">
        <v>190</v>
      </c>
      <c r="L40" s="454">
        <f>E40+E41</f>
        <v>106.08</v>
      </c>
      <c r="M40" s="456">
        <f>F40+F41</f>
        <v>0</v>
      </c>
      <c r="N40" s="456">
        <f>L40+M40</f>
        <v>106.08</v>
      </c>
      <c r="O40" s="457">
        <f>H40+H41</f>
        <v>94.200999999999993</v>
      </c>
      <c r="P40" s="444">
        <f>N40-O40</f>
        <v>11.879000000000005</v>
      </c>
      <c r="Q40" s="446">
        <f>O40/N40</f>
        <v>0.88801847662141775</v>
      </c>
      <c r="R40" s="29"/>
      <c r="S40" s="29"/>
    </row>
    <row r="41" spans="1:20" ht="15.75" thickBot="1">
      <c r="A41" s="23"/>
      <c r="B41" s="169"/>
      <c r="C41" s="453"/>
      <c r="D41" s="205" t="s">
        <v>174</v>
      </c>
      <c r="E41" s="206">
        <f>E36+E38</f>
        <v>53.04</v>
      </c>
      <c r="F41" s="177"/>
      <c r="G41" s="177">
        <f>E41+F41</f>
        <v>53.04</v>
      </c>
      <c r="H41" s="178">
        <f>H36+H38</f>
        <v>41.353999999999999</v>
      </c>
      <c r="I41" s="179">
        <f t="shared" si="2"/>
        <v>11.686</v>
      </c>
      <c r="J41" s="180">
        <f t="shared" si="0"/>
        <v>0.77967571644042233</v>
      </c>
      <c r="K41" s="280" t="s">
        <v>190</v>
      </c>
      <c r="L41" s="455"/>
      <c r="M41" s="429"/>
      <c r="N41" s="429"/>
      <c r="O41" s="429"/>
      <c r="P41" s="445"/>
      <c r="Q41" s="447"/>
      <c r="R41" s="29"/>
      <c r="S41" s="29"/>
    </row>
    <row r="42" spans="1:20" ht="48" customHeight="1" thickBot="1">
      <c r="B42" s="169"/>
      <c r="C42" s="181"/>
      <c r="D42" s="182"/>
      <c r="E42" s="182"/>
      <c r="F42" s="182"/>
      <c r="G42" s="182"/>
      <c r="H42" s="184"/>
      <c r="I42" s="185"/>
      <c r="J42" s="186"/>
      <c r="K42" s="187"/>
      <c r="L42" s="165"/>
      <c r="M42" s="165"/>
      <c r="N42" s="165"/>
      <c r="O42" s="165"/>
      <c r="P42" s="165"/>
      <c r="Q42" s="168"/>
      <c r="R42" s="29"/>
      <c r="S42" s="29"/>
    </row>
    <row r="43" spans="1:20">
      <c r="B43" s="466" t="s">
        <v>2</v>
      </c>
      <c r="C43" s="466" t="s">
        <v>3</v>
      </c>
      <c r="D43" s="466" t="s">
        <v>4</v>
      </c>
      <c r="E43" s="464" t="s">
        <v>5</v>
      </c>
      <c r="F43" s="460" t="s">
        <v>6</v>
      </c>
      <c r="G43" s="460" t="s">
        <v>7</v>
      </c>
      <c r="H43" s="462" t="s">
        <v>8</v>
      </c>
      <c r="I43" s="460" t="s">
        <v>9</v>
      </c>
      <c r="J43" s="460" t="s">
        <v>10</v>
      </c>
      <c r="K43" s="458" t="s">
        <v>11</v>
      </c>
      <c r="L43" s="415" t="s">
        <v>1</v>
      </c>
      <c r="M43" s="416"/>
      <c r="N43" s="416"/>
      <c r="O43" s="416"/>
      <c r="P43" s="416"/>
      <c r="Q43" s="417"/>
      <c r="R43" s="21"/>
      <c r="S43" s="21"/>
    </row>
    <row r="44" spans="1:20" ht="45.75" thickBot="1">
      <c r="B44" s="467"/>
      <c r="C44" s="467"/>
      <c r="D44" s="467"/>
      <c r="E44" s="465"/>
      <c r="F44" s="461"/>
      <c r="G44" s="461"/>
      <c r="H44" s="463"/>
      <c r="I44" s="461"/>
      <c r="J44" s="461"/>
      <c r="K44" s="459"/>
      <c r="L44" s="207" t="s">
        <v>12</v>
      </c>
      <c r="M44" s="189" t="s">
        <v>6</v>
      </c>
      <c r="N44" s="189" t="s">
        <v>7</v>
      </c>
      <c r="O44" s="189" t="s">
        <v>8</v>
      </c>
      <c r="P44" s="189" t="s">
        <v>9</v>
      </c>
      <c r="Q44" s="190" t="s">
        <v>10</v>
      </c>
      <c r="R44" s="21"/>
      <c r="S44" s="21"/>
    </row>
    <row r="45" spans="1:20" ht="17.25" customHeight="1">
      <c r="B45" s="418" t="s">
        <v>29</v>
      </c>
      <c r="C45" s="421" t="s">
        <v>30</v>
      </c>
      <c r="D45" s="191" t="s">
        <v>111</v>
      </c>
      <c r="E45" s="10">
        <v>56.3</v>
      </c>
      <c r="F45" s="192"/>
      <c r="G45" s="192">
        <f>E45+F45</f>
        <v>56.3</v>
      </c>
      <c r="H45" s="208">
        <v>75.805999999999997</v>
      </c>
      <c r="I45" s="208">
        <f t="shared" ref="I45:I51" si="33">G45-H45</f>
        <v>-19.506</v>
      </c>
      <c r="J45" s="209">
        <f t="shared" ref="J45:J51" si="34">(H45/G45)</f>
        <v>1.3464653641207815</v>
      </c>
      <c r="K45" s="277">
        <v>43123</v>
      </c>
      <c r="L45" s="448">
        <f>E45+E46</f>
        <v>112.69999999999999</v>
      </c>
      <c r="M45" s="450">
        <f>F45+F46</f>
        <v>0</v>
      </c>
      <c r="N45" s="450">
        <f>L45+M45</f>
        <v>112.69999999999999</v>
      </c>
      <c r="O45" s="450">
        <f>H45+H46</f>
        <v>115.214</v>
      </c>
      <c r="P45" s="450">
        <f>N45-O45</f>
        <v>-2.51400000000001</v>
      </c>
      <c r="Q45" s="468">
        <f>O45/N45</f>
        <v>1.0223070097604261</v>
      </c>
      <c r="R45" s="21"/>
      <c r="S45" s="21"/>
    </row>
    <row r="46" spans="1:20">
      <c r="B46" s="419"/>
      <c r="C46" s="422"/>
      <c r="D46" s="196" t="s">
        <v>112</v>
      </c>
      <c r="E46" s="16">
        <v>56.4</v>
      </c>
      <c r="F46" s="153"/>
      <c r="G46" s="210">
        <f>E46+F46+I45</f>
        <v>36.893999999999998</v>
      </c>
      <c r="H46" s="622">
        <v>39.408000000000001</v>
      </c>
      <c r="I46" s="210">
        <f t="shared" si="33"/>
        <v>-2.5140000000000029</v>
      </c>
      <c r="J46" s="211">
        <f>(H46/G46)</f>
        <v>1.0681411611644172</v>
      </c>
      <c r="K46" s="277">
        <v>43308</v>
      </c>
      <c r="L46" s="449"/>
      <c r="M46" s="451"/>
      <c r="N46" s="451"/>
      <c r="O46" s="451"/>
      <c r="P46" s="451"/>
      <c r="Q46" s="469"/>
      <c r="R46" s="21"/>
      <c r="S46" s="21"/>
      <c r="T46" s="100">
        <v>1</v>
      </c>
    </row>
    <row r="47" spans="1:20">
      <c r="B47" s="419"/>
      <c r="C47" s="422" t="s">
        <v>31</v>
      </c>
      <c r="D47" s="196" t="s">
        <v>111</v>
      </c>
      <c r="E47" s="16">
        <v>10.7</v>
      </c>
      <c r="F47" s="153"/>
      <c r="G47" s="153">
        <f>E47+F47</f>
        <v>10.7</v>
      </c>
      <c r="H47" s="622">
        <v>6.9669999999999996</v>
      </c>
      <c r="I47" s="153">
        <f t="shared" si="33"/>
        <v>3.7329999999999997</v>
      </c>
      <c r="J47" s="211">
        <f t="shared" si="34"/>
        <v>0.65112149532710284</v>
      </c>
      <c r="K47" s="212" t="s">
        <v>190</v>
      </c>
      <c r="L47" s="425">
        <f>E47+E48</f>
        <v>21.4</v>
      </c>
      <c r="M47" s="428">
        <f>F47+F48</f>
        <v>0</v>
      </c>
      <c r="N47" s="428">
        <f>L47+M47</f>
        <v>21.4</v>
      </c>
      <c r="O47" s="428">
        <f>H47+H48</f>
        <v>8.7210000000000001</v>
      </c>
      <c r="P47" s="428">
        <f>N47-O47</f>
        <v>12.678999999999998</v>
      </c>
      <c r="Q47" s="469">
        <f>O47/N47</f>
        <v>0.40752336448598137</v>
      </c>
      <c r="R47" s="21"/>
      <c r="S47" s="21"/>
    </row>
    <row r="48" spans="1:20" ht="15.75" thickBot="1">
      <c r="B48" s="420"/>
      <c r="C48" s="423"/>
      <c r="D48" s="199" t="s">
        <v>112</v>
      </c>
      <c r="E48" s="17">
        <v>10.7</v>
      </c>
      <c r="F48" s="162"/>
      <c r="G48" s="162">
        <f>E48+F48+I47</f>
        <v>14.433</v>
      </c>
      <c r="H48" s="313">
        <v>1.754</v>
      </c>
      <c r="I48" s="162">
        <f t="shared" si="33"/>
        <v>12.679</v>
      </c>
      <c r="J48" s="213">
        <f t="shared" si="34"/>
        <v>0.12152705605210282</v>
      </c>
      <c r="K48" s="214" t="s">
        <v>190</v>
      </c>
      <c r="L48" s="426"/>
      <c r="M48" s="429"/>
      <c r="N48" s="429"/>
      <c r="O48" s="429"/>
      <c r="P48" s="429"/>
      <c r="Q48" s="475"/>
      <c r="R48" s="27"/>
      <c r="S48" s="27"/>
    </row>
    <row r="49" spans="2:19" ht="15.95" customHeight="1" thickBot="1">
      <c r="B49" s="164"/>
      <c r="C49" s="200"/>
      <c r="D49" s="165"/>
      <c r="E49" s="165"/>
      <c r="F49" s="165"/>
      <c r="G49" s="165"/>
      <c r="H49" s="184"/>
      <c r="I49" s="165"/>
      <c r="J49" s="186"/>
      <c r="K49" s="167"/>
      <c r="L49" s="165"/>
      <c r="M49" s="165"/>
      <c r="N49" s="165"/>
      <c r="O49" s="165"/>
      <c r="P49" s="165"/>
      <c r="Q49" s="165"/>
      <c r="R49" s="29"/>
      <c r="S49" s="29"/>
    </row>
    <row r="50" spans="2:19">
      <c r="B50" s="164"/>
      <c r="C50" s="431" t="s">
        <v>26</v>
      </c>
      <c r="D50" s="215" t="s">
        <v>111</v>
      </c>
      <c r="E50" s="172">
        <f>E45+E47</f>
        <v>67</v>
      </c>
      <c r="F50" s="172"/>
      <c r="G50" s="172">
        <f>E50+F50</f>
        <v>67</v>
      </c>
      <c r="H50" s="173">
        <f>H45+H47</f>
        <v>82.772999999999996</v>
      </c>
      <c r="I50" s="174">
        <f>G50-H50</f>
        <v>-15.772999999999996</v>
      </c>
      <c r="J50" s="216">
        <f>(H50/G50)</f>
        <v>1.2354179104477612</v>
      </c>
      <c r="K50" s="281" t="s">
        <v>190</v>
      </c>
      <c r="L50" s="433">
        <f>L45+L47</f>
        <v>134.1</v>
      </c>
      <c r="M50" s="433">
        <f>M45+M47</f>
        <v>0</v>
      </c>
      <c r="N50" s="433">
        <f>L50+M50</f>
        <v>134.1</v>
      </c>
      <c r="O50" s="411">
        <f>O45+O47</f>
        <v>123.935</v>
      </c>
      <c r="P50" s="411">
        <f>N50-O50</f>
        <v>10.164999999999992</v>
      </c>
      <c r="Q50" s="413">
        <f>O50/N50</f>
        <v>0.92419835943325879</v>
      </c>
      <c r="R50" s="29"/>
      <c r="S50" s="29"/>
    </row>
    <row r="51" spans="2:19" ht="15.75" thickBot="1">
      <c r="B51" s="164"/>
      <c r="C51" s="432"/>
      <c r="D51" s="217" t="s">
        <v>112</v>
      </c>
      <c r="E51" s="177">
        <f>E46+E48</f>
        <v>67.099999999999994</v>
      </c>
      <c r="F51" s="177"/>
      <c r="G51" s="177">
        <f>E51+F51</f>
        <v>67.099999999999994</v>
      </c>
      <c r="H51" s="178">
        <f>H46+H48</f>
        <v>41.161999999999999</v>
      </c>
      <c r="I51" s="179">
        <f t="shared" si="33"/>
        <v>25.937999999999995</v>
      </c>
      <c r="J51" s="218">
        <f t="shared" si="34"/>
        <v>0.61344262295081975</v>
      </c>
      <c r="K51" s="282" t="s">
        <v>190</v>
      </c>
      <c r="L51" s="434"/>
      <c r="M51" s="434"/>
      <c r="N51" s="434"/>
      <c r="O51" s="412"/>
      <c r="P51" s="412"/>
      <c r="Q51" s="414"/>
      <c r="R51" s="29"/>
      <c r="S51" s="29"/>
    </row>
    <row r="52" spans="2:19" ht="50.25" customHeight="1" thickBot="1">
      <c r="B52" s="164"/>
      <c r="C52" s="181"/>
      <c r="D52" s="182"/>
      <c r="E52" s="182"/>
      <c r="F52" s="182"/>
      <c r="G52" s="182"/>
      <c r="H52" s="185"/>
      <c r="I52" s="185"/>
      <c r="J52" s="219"/>
      <c r="K52" s="187"/>
      <c r="L52" s="220"/>
      <c r="M52" s="220"/>
      <c r="N52" s="220"/>
      <c r="O52" s="220"/>
      <c r="P52" s="220"/>
      <c r="Q52" s="221"/>
      <c r="R52" s="28"/>
      <c r="S52" s="28"/>
    </row>
    <row r="53" spans="2:19">
      <c r="B53" s="466" t="s">
        <v>2</v>
      </c>
      <c r="C53" s="466" t="s">
        <v>3</v>
      </c>
      <c r="D53" s="466" t="s">
        <v>4</v>
      </c>
      <c r="E53" s="501" t="s">
        <v>5</v>
      </c>
      <c r="F53" s="460" t="s">
        <v>6</v>
      </c>
      <c r="G53" s="460" t="s">
        <v>7</v>
      </c>
      <c r="H53" s="460" t="s">
        <v>8</v>
      </c>
      <c r="I53" s="460" t="s">
        <v>9</v>
      </c>
      <c r="J53" s="460" t="s">
        <v>10</v>
      </c>
      <c r="K53" s="458" t="s">
        <v>11</v>
      </c>
      <c r="L53" s="415" t="s">
        <v>1</v>
      </c>
      <c r="M53" s="416"/>
      <c r="N53" s="416"/>
      <c r="O53" s="416"/>
      <c r="P53" s="416"/>
      <c r="Q53" s="417"/>
      <c r="R53" s="21"/>
      <c r="S53" s="21"/>
    </row>
    <row r="54" spans="2:19" ht="33" customHeight="1" thickBot="1">
      <c r="B54" s="467"/>
      <c r="C54" s="467"/>
      <c r="D54" s="467"/>
      <c r="E54" s="502"/>
      <c r="F54" s="461"/>
      <c r="G54" s="461"/>
      <c r="H54" s="461"/>
      <c r="I54" s="461"/>
      <c r="J54" s="461"/>
      <c r="K54" s="459"/>
      <c r="L54" s="207" t="s">
        <v>12</v>
      </c>
      <c r="M54" s="189" t="s">
        <v>6</v>
      </c>
      <c r="N54" s="189" t="s">
        <v>7</v>
      </c>
      <c r="O54" s="189" t="s">
        <v>8</v>
      </c>
      <c r="P54" s="189" t="s">
        <v>9</v>
      </c>
      <c r="Q54" s="190" t="s">
        <v>10</v>
      </c>
      <c r="R54" s="21"/>
      <c r="S54" s="21"/>
    </row>
    <row r="55" spans="2:19">
      <c r="B55" s="418" t="s">
        <v>32</v>
      </c>
      <c r="C55" s="421" t="s">
        <v>33</v>
      </c>
      <c r="D55" s="191" t="s">
        <v>34</v>
      </c>
      <c r="E55" s="222">
        <v>16.3</v>
      </c>
      <c r="F55" s="192"/>
      <c r="G55" s="223">
        <f>E55+F55</f>
        <v>16.3</v>
      </c>
      <c r="H55" s="625">
        <v>9.9619999999999997</v>
      </c>
      <c r="I55" s="223">
        <f>G55-H55</f>
        <v>6.338000000000001</v>
      </c>
      <c r="J55" s="224">
        <f>(H55/G55)</f>
        <v>0.6111656441717791</v>
      </c>
      <c r="K55" s="225" t="s">
        <v>190</v>
      </c>
      <c r="L55" s="424">
        <f>E55+E56+E57+E58+E59+E60+E61+E62+E63+E64+E65+E66</f>
        <v>192.3</v>
      </c>
      <c r="M55" s="427">
        <f>F55+F56+F57+F58+F59+F60+F61+F62+F63+F64+F65+F66</f>
        <v>0</v>
      </c>
      <c r="N55" s="427">
        <f>L55+M55</f>
        <v>192.3</v>
      </c>
      <c r="O55" s="430">
        <f>H68</f>
        <v>103.70100000000001</v>
      </c>
      <c r="P55" s="430">
        <f>N55-O55</f>
        <v>88.599000000000004</v>
      </c>
      <c r="Q55" s="404">
        <f>O55/N55</f>
        <v>0.53926677067082684</v>
      </c>
      <c r="R55" s="21"/>
      <c r="S55" s="21"/>
    </row>
    <row r="56" spans="2:19">
      <c r="B56" s="419"/>
      <c r="C56" s="422"/>
      <c r="D56" s="196" t="s">
        <v>35</v>
      </c>
      <c r="E56" s="13">
        <v>16</v>
      </c>
      <c r="F56" s="153"/>
      <c r="G56" s="210">
        <f t="shared" ref="G56:G61" si="35">E56+F56+I55</f>
        <v>22.338000000000001</v>
      </c>
      <c r="H56" s="626">
        <v>7.8120000000000003</v>
      </c>
      <c r="I56" s="210">
        <f>G56-H56</f>
        <v>14.526</v>
      </c>
      <c r="J56" s="127">
        <f t="shared" ref="J56:J68" si="36">(H56/G56)</f>
        <v>0.34971796937953264</v>
      </c>
      <c r="K56" s="226" t="s">
        <v>190</v>
      </c>
      <c r="L56" s="425"/>
      <c r="M56" s="428"/>
      <c r="N56" s="428"/>
      <c r="O56" s="428"/>
      <c r="P56" s="428"/>
      <c r="Q56" s="405"/>
      <c r="R56" s="21"/>
      <c r="S56" s="21"/>
    </row>
    <row r="57" spans="2:19">
      <c r="B57" s="419"/>
      <c r="C57" s="422"/>
      <c r="D57" s="196" t="s">
        <v>36</v>
      </c>
      <c r="E57" s="13">
        <v>16</v>
      </c>
      <c r="F57" s="153"/>
      <c r="G57" s="210">
        <f t="shared" si="35"/>
        <v>30.526</v>
      </c>
      <c r="H57" s="626">
        <v>13.75</v>
      </c>
      <c r="I57" s="210">
        <f t="shared" ref="I57:I66" si="37">G57-H57</f>
        <v>16.776</v>
      </c>
      <c r="J57" s="127">
        <f t="shared" si="36"/>
        <v>0.45043569416235341</v>
      </c>
      <c r="K57" s="226" t="s">
        <v>190</v>
      </c>
      <c r="L57" s="425"/>
      <c r="M57" s="428"/>
      <c r="N57" s="428"/>
      <c r="O57" s="428"/>
      <c r="P57" s="428"/>
      <c r="Q57" s="405"/>
      <c r="R57" s="21"/>
      <c r="S57" s="21"/>
    </row>
    <row r="58" spans="2:19">
      <c r="B58" s="419"/>
      <c r="C58" s="422"/>
      <c r="D58" s="196" t="s">
        <v>37</v>
      </c>
      <c r="E58" s="13">
        <v>16</v>
      </c>
      <c r="F58" s="153"/>
      <c r="G58" s="210">
        <f t="shared" si="35"/>
        <v>32.775999999999996</v>
      </c>
      <c r="H58" s="626">
        <v>9.3960000000000008</v>
      </c>
      <c r="I58" s="210">
        <f t="shared" si="37"/>
        <v>23.379999999999995</v>
      </c>
      <c r="J58" s="127">
        <f>(H58/G58)</f>
        <v>0.28667317549426413</v>
      </c>
      <c r="K58" s="226" t="s">
        <v>190</v>
      </c>
      <c r="L58" s="425"/>
      <c r="M58" s="428"/>
      <c r="N58" s="428"/>
      <c r="O58" s="428"/>
      <c r="P58" s="428"/>
      <c r="Q58" s="405"/>
      <c r="R58" s="21"/>
      <c r="S58" s="21"/>
    </row>
    <row r="59" spans="2:19">
      <c r="B59" s="419"/>
      <c r="C59" s="422"/>
      <c r="D59" s="196" t="s">
        <v>38</v>
      </c>
      <c r="E59" s="13">
        <v>16</v>
      </c>
      <c r="F59" s="153"/>
      <c r="G59" s="210">
        <f t="shared" si="35"/>
        <v>39.379999999999995</v>
      </c>
      <c r="H59" s="626">
        <v>3.2240000000000002</v>
      </c>
      <c r="I59" s="210">
        <f>G59-H59</f>
        <v>36.155999999999992</v>
      </c>
      <c r="J59" s="127">
        <f t="shared" si="36"/>
        <v>8.1868969019807017E-2</v>
      </c>
      <c r="K59" s="226" t="s">
        <v>190</v>
      </c>
      <c r="L59" s="425"/>
      <c r="M59" s="428"/>
      <c r="N59" s="428"/>
      <c r="O59" s="428"/>
      <c r="P59" s="428"/>
      <c r="Q59" s="405"/>
      <c r="R59" s="21"/>
      <c r="S59" s="21"/>
    </row>
    <row r="60" spans="2:19">
      <c r="B60" s="419"/>
      <c r="C60" s="422"/>
      <c r="D60" s="196" t="s">
        <v>39</v>
      </c>
      <c r="E60" s="13">
        <v>16</v>
      </c>
      <c r="F60" s="153"/>
      <c r="G60" s="210">
        <f t="shared" si="35"/>
        <v>52.155999999999992</v>
      </c>
      <c r="H60" s="626">
        <v>20.370999999999999</v>
      </c>
      <c r="I60" s="210">
        <f t="shared" si="37"/>
        <v>31.784999999999993</v>
      </c>
      <c r="J60" s="127">
        <f>(H60/G60)</f>
        <v>0.39057826520438688</v>
      </c>
      <c r="K60" s="226" t="s">
        <v>190</v>
      </c>
      <c r="L60" s="425"/>
      <c r="M60" s="428"/>
      <c r="N60" s="428"/>
      <c r="O60" s="428"/>
      <c r="P60" s="428"/>
      <c r="Q60" s="405"/>
      <c r="R60" s="21"/>
      <c r="S60" s="99">
        <v>1</v>
      </c>
    </row>
    <row r="61" spans="2:19">
      <c r="B61" s="419"/>
      <c r="C61" s="422"/>
      <c r="D61" s="196" t="s">
        <v>40</v>
      </c>
      <c r="E61" s="13">
        <v>16</v>
      </c>
      <c r="F61" s="153"/>
      <c r="G61" s="210">
        <f t="shared" si="35"/>
        <v>47.784999999999997</v>
      </c>
      <c r="H61" s="626">
        <v>6.7119999999999997</v>
      </c>
      <c r="I61" s="210">
        <f t="shared" si="37"/>
        <v>41.072999999999993</v>
      </c>
      <c r="J61" s="127">
        <f t="shared" si="36"/>
        <v>0.14046248822852361</v>
      </c>
      <c r="K61" s="226" t="s">
        <v>190</v>
      </c>
      <c r="L61" s="425"/>
      <c r="M61" s="428"/>
      <c r="N61" s="428"/>
      <c r="O61" s="428"/>
      <c r="P61" s="428"/>
      <c r="Q61" s="405"/>
      <c r="R61" s="21"/>
      <c r="S61" s="21"/>
    </row>
    <row r="62" spans="2:19">
      <c r="B62" s="419"/>
      <c r="C62" s="422"/>
      <c r="D62" s="196" t="s">
        <v>41</v>
      </c>
      <c r="E62" s="13">
        <v>16</v>
      </c>
      <c r="F62" s="153"/>
      <c r="G62" s="210">
        <f>E62+F62+I61</f>
        <v>57.072999999999993</v>
      </c>
      <c r="H62" s="626">
        <v>11.616</v>
      </c>
      <c r="I62" s="210">
        <f t="shared" si="37"/>
        <v>45.456999999999994</v>
      </c>
      <c r="J62" s="127">
        <f t="shared" si="36"/>
        <v>0.20352881397508457</v>
      </c>
      <c r="K62" s="212" t="s">
        <v>190</v>
      </c>
      <c r="L62" s="425"/>
      <c r="M62" s="428"/>
      <c r="N62" s="428"/>
      <c r="O62" s="428"/>
      <c r="P62" s="428"/>
      <c r="Q62" s="405"/>
      <c r="R62" s="21"/>
      <c r="S62" s="21"/>
    </row>
    <row r="63" spans="2:19">
      <c r="B63" s="419"/>
      <c r="C63" s="422"/>
      <c r="D63" s="196" t="s">
        <v>42</v>
      </c>
      <c r="E63" s="13">
        <v>16</v>
      </c>
      <c r="F63" s="153"/>
      <c r="G63" s="210">
        <f>E63+F63+I62</f>
        <v>61.456999999999994</v>
      </c>
      <c r="H63" s="626">
        <v>10.786</v>
      </c>
      <c r="I63" s="210">
        <f t="shared" si="37"/>
        <v>50.670999999999992</v>
      </c>
      <c r="J63" s="127">
        <f t="shared" si="36"/>
        <v>0.17550482451144703</v>
      </c>
      <c r="K63" s="212" t="s">
        <v>190</v>
      </c>
      <c r="L63" s="425"/>
      <c r="M63" s="428"/>
      <c r="N63" s="428"/>
      <c r="O63" s="428"/>
      <c r="P63" s="428"/>
      <c r="Q63" s="405"/>
      <c r="R63" s="99">
        <v>1</v>
      </c>
      <c r="S63" s="21"/>
    </row>
    <row r="64" spans="2:19">
      <c r="B64" s="419"/>
      <c r="C64" s="422"/>
      <c r="D64" s="196" t="s">
        <v>43</v>
      </c>
      <c r="E64" s="13">
        <v>16</v>
      </c>
      <c r="F64" s="153"/>
      <c r="G64" s="210">
        <f>E64+F64+I63</f>
        <v>66.670999999999992</v>
      </c>
      <c r="H64" s="626">
        <v>6.9080000000000004</v>
      </c>
      <c r="I64" s="210">
        <f t="shared" si="37"/>
        <v>59.762999999999991</v>
      </c>
      <c r="J64" s="127">
        <f t="shared" si="36"/>
        <v>0.10361326513776606</v>
      </c>
      <c r="K64" s="212" t="s">
        <v>190</v>
      </c>
      <c r="L64" s="425"/>
      <c r="M64" s="428"/>
      <c r="N64" s="428"/>
      <c r="O64" s="428"/>
      <c r="P64" s="428"/>
      <c r="Q64" s="405"/>
      <c r="R64" s="21"/>
      <c r="S64" s="21"/>
    </row>
    <row r="65" spans="2:19">
      <c r="B65" s="419"/>
      <c r="C65" s="422"/>
      <c r="D65" s="196" t="s">
        <v>44</v>
      </c>
      <c r="E65" s="13">
        <v>16</v>
      </c>
      <c r="F65" s="153"/>
      <c r="G65" s="210">
        <f>E65+F65+I64</f>
        <v>75.762999999999991</v>
      </c>
      <c r="H65" s="626">
        <v>3.1640000000000001</v>
      </c>
      <c r="I65" s="210">
        <f t="shared" si="37"/>
        <v>72.59899999999999</v>
      </c>
      <c r="J65" s="127">
        <f t="shared" si="36"/>
        <v>4.1761809854414432E-2</v>
      </c>
      <c r="K65" s="212" t="s">
        <v>190</v>
      </c>
      <c r="L65" s="425"/>
      <c r="M65" s="428"/>
      <c r="N65" s="428"/>
      <c r="O65" s="428"/>
      <c r="P65" s="428"/>
      <c r="Q65" s="405"/>
      <c r="R65" s="29"/>
      <c r="S65" s="29"/>
    </row>
    <row r="66" spans="2:19" ht="15.75" thickBot="1">
      <c r="B66" s="420"/>
      <c r="C66" s="423"/>
      <c r="D66" s="199" t="s">
        <v>45</v>
      </c>
      <c r="E66" s="227">
        <v>16</v>
      </c>
      <c r="F66" s="162"/>
      <c r="G66" s="228">
        <f>E66+F66+I65</f>
        <v>88.59899999999999</v>
      </c>
      <c r="H66" s="627"/>
      <c r="I66" s="228">
        <f t="shared" si="37"/>
        <v>88.59899999999999</v>
      </c>
      <c r="J66" s="229">
        <f t="shared" si="36"/>
        <v>0</v>
      </c>
      <c r="K66" s="214" t="s">
        <v>190</v>
      </c>
      <c r="L66" s="426"/>
      <c r="M66" s="429"/>
      <c r="N66" s="429"/>
      <c r="O66" s="429"/>
      <c r="P66" s="429"/>
      <c r="Q66" s="406"/>
      <c r="R66" s="27"/>
      <c r="S66" s="27"/>
    </row>
    <row r="67" spans="2:19" ht="15.95" customHeight="1" thickBot="1">
      <c r="B67" s="164"/>
      <c r="C67" s="200"/>
      <c r="D67" s="165"/>
      <c r="E67" s="165"/>
      <c r="F67" s="165"/>
      <c r="G67" s="230"/>
      <c r="H67" s="230"/>
      <c r="I67" s="230"/>
      <c r="J67" s="186"/>
      <c r="K67" s="167"/>
      <c r="L67" s="165"/>
      <c r="M67" s="165"/>
      <c r="N67" s="165"/>
      <c r="O67" s="165"/>
      <c r="P67" s="165"/>
      <c r="Q67" s="231"/>
      <c r="R67" s="27"/>
      <c r="S67" s="27"/>
    </row>
    <row r="68" spans="2:19" ht="15.75" thickBot="1">
      <c r="B68" s="232"/>
      <c r="C68" s="233" t="s">
        <v>26</v>
      </c>
      <c r="D68" s="234" t="s">
        <v>46</v>
      </c>
      <c r="E68" s="235">
        <f>SUM(E55:E66)</f>
        <v>192.3</v>
      </c>
      <c r="F68" s="236"/>
      <c r="G68" s="236">
        <f>E68+F68</f>
        <v>192.3</v>
      </c>
      <c r="H68" s="237">
        <f>SUM(H55:H66)</f>
        <v>103.70100000000001</v>
      </c>
      <c r="I68" s="237">
        <f>G68-H68</f>
        <v>88.599000000000004</v>
      </c>
      <c r="J68" s="238">
        <f t="shared" si="36"/>
        <v>0.53926677067082684</v>
      </c>
      <c r="K68" s="239" t="s">
        <v>190</v>
      </c>
      <c r="L68" s="240">
        <f>E68</f>
        <v>192.3</v>
      </c>
      <c r="M68" s="241">
        <f>F68</f>
        <v>0</v>
      </c>
      <c r="N68" s="241">
        <f>L68+M68</f>
        <v>192.3</v>
      </c>
      <c r="O68" s="242">
        <f>H68</f>
        <v>103.70100000000001</v>
      </c>
      <c r="P68" s="242">
        <f>N68-O68</f>
        <v>88.599000000000004</v>
      </c>
      <c r="Q68" s="243">
        <f>O68/N68</f>
        <v>0.53926677067082684</v>
      </c>
      <c r="R68" s="27"/>
      <c r="S68" s="27"/>
    </row>
    <row r="69" spans="2:19" ht="36.75" customHeight="1" thickBot="1">
      <c r="B69" s="164"/>
      <c r="C69" s="181"/>
      <c r="D69" s="181"/>
      <c r="E69" s="182"/>
      <c r="F69" s="182"/>
      <c r="G69" s="182"/>
      <c r="H69" s="182"/>
      <c r="I69" s="185"/>
      <c r="J69" s="185"/>
      <c r="K69" s="221"/>
      <c r="L69" s="187"/>
      <c r="M69" s="182"/>
      <c r="N69" s="182"/>
      <c r="O69" s="182"/>
      <c r="P69" s="185"/>
      <c r="Q69" s="185"/>
      <c r="R69" s="27"/>
      <c r="S69" s="27"/>
    </row>
    <row r="70" spans="2:19" ht="15" customHeight="1">
      <c r="B70" s="435" t="s">
        <v>47</v>
      </c>
      <c r="C70" s="436"/>
      <c r="D70" s="436"/>
      <c r="E70" s="436"/>
      <c r="F70" s="436"/>
      <c r="G70" s="436"/>
      <c r="H70" s="436"/>
      <c r="I70" s="436"/>
      <c r="J70" s="436"/>
      <c r="K70" s="441"/>
      <c r="L70" s="435" t="s">
        <v>1</v>
      </c>
      <c r="M70" s="436"/>
      <c r="N70" s="436"/>
      <c r="O70" s="436"/>
      <c r="P70" s="436"/>
      <c r="Q70" s="436"/>
      <c r="R70" s="27"/>
      <c r="S70" s="27"/>
    </row>
    <row r="71" spans="2:19" ht="15" customHeight="1">
      <c r="B71" s="437"/>
      <c r="C71" s="438"/>
      <c r="D71" s="438"/>
      <c r="E71" s="438"/>
      <c r="F71" s="438"/>
      <c r="G71" s="438"/>
      <c r="H71" s="438"/>
      <c r="I71" s="438"/>
      <c r="J71" s="438"/>
      <c r="K71" s="442"/>
      <c r="L71" s="437"/>
      <c r="M71" s="438"/>
      <c r="N71" s="438"/>
      <c r="O71" s="438"/>
      <c r="P71" s="438"/>
      <c r="Q71" s="438"/>
      <c r="R71" s="27"/>
      <c r="S71" s="27"/>
    </row>
    <row r="72" spans="2:19" ht="15" customHeight="1" thickBot="1">
      <c r="B72" s="439"/>
      <c r="C72" s="440"/>
      <c r="D72" s="440"/>
      <c r="E72" s="440"/>
      <c r="F72" s="440"/>
      <c r="G72" s="440"/>
      <c r="H72" s="440"/>
      <c r="I72" s="440"/>
      <c r="J72" s="440"/>
      <c r="K72" s="443"/>
      <c r="L72" s="439"/>
      <c r="M72" s="440"/>
      <c r="N72" s="440"/>
      <c r="O72" s="440"/>
      <c r="P72" s="440"/>
      <c r="Q72" s="440"/>
      <c r="R72" s="30"/>
      <c r="S72" s="30"/>
    </row>
    <row r="73" spans="2:19" ht="45.75" thickBot="1">
      <c r="B73" s="407" t="s">
        <v>2</v>
      </c>
      <c r="C73" s="408"/>
      <c r="D73" s="244" t="s">
        <v>4</v>
      </c>
      <c r="E73" s="245" t="s">
        <v>5</v>
      </c>
      <c r="F73" s="246" t="s">
        <v>6</v>
      </c>
      <c r="G73" s="246" t="s">
        <v>7</v>
      </c>
      <c r="H73" s="246" t="s">
        <v>8</v>
      </c>
      <c r="I73" s="246" t="s">
        <v>9</v>
      </c>
      <c r="J73" s="247" t="s">
        <v>10</v>
      </c>
      <c r="K73" s="248" t="s">
        <v>11</v>
      </c>
      <c r="L73" s="249" t="s">
        <v>12</v>
      </c>
      <c r="M73" s="250" t="s">
        <v>6</v>
      </c>
      <c r="N73" s="250" t="s">
        <v>7</v>
      </c>
      <c r="O73" s="250" t="s">
        <v>8</v>
      </c>
      <c r="P73" s="250" t="s">
        <v>9</v>
      </c>
      <c r="Q73" s="251" t="s">
        <v>10</v>
      </c>
      <c r="R73" s="31"/>
      <c r="S73" s="31"/>
    </row>
    <row r="74" spans="2:19">
      <c r="B74" s="409" t="s">
        <v>131</v>
      </c>
      <c r="C74" s="410"/>
      <c r="D74" s="252" t="s">
        <v>48</v>
      </c>
      <c r="E74" s="253">
        <v>17.5</v>
      </c>
      <c r="F74" s="254"/>
      <c r="G74" s="254">
        <f>E74+F74</f>
        <v>17.5</v>
      </c>
      <c r="H74" s="628">
        <v>3.9049999999999998</v>
      </c>
      <c r="I74" s="254">
        <f>G74-H74</f>
        <v>13.595000000000001</v>
      </c>
      <c r="J74" s="255">
        <f>(H74/G74)</f>
        <v>0.22314285714285714</v>
      </c>
      <c r="K74" s="256" t="s">
        <v>190</v>
      </c>
      <c r="L74" s="257">
        <f>E74</f>
        <v>17.5</v>
      </c>
      <c r="M74" s="258">
        <f>F74</f>
        <v>0</v>
      </c>
      <c r="N74" s="258">
        <f>L74-M74</f>
        <v>17.5</v>
      </c>
      <c r="O74" s="258">
        <f>H74</f>
        <v>3.9049999999999998</v>
      </c>
      <c r="P74" s="258">
        <f>N74-O74</f>
        <v>13.595000000000001</v>
      </c>
      <c r="Q74" s="259">
        <f>O74/N74</f>
        <v>0.22314285714285714</v>
      </c>
      <c r="R74" s="32"/>
      <c r="S74" s="32"/>
    </row>
    <row r="75" spans="2:19">
      <c r="B75" s="400" t="s">
        <v>49</v>
      </c>
      <c r="C75" s="401"/>
      <c r="D75" s="260" t="s">
        <v>48</v>
      </c>
      <c r="E75" s="261">
        <v>11.7</v>
      </c>
      <c r="F75" s="262"/>
      <c r="G75" s="262">
        <f t="shared" ref="G75:G78" si="38">E75+F75</f>
        <v>11.7</v>
      </c>
      <c r="H75" s="629">
        <v>0</v>
      </c>
      <c r="I75" s="262">
        <f t="shared" ref="I75:I78" si="39">G75-H75</f>
        <v>11.7</v>
      </c>
      <c r="J75" s="263">
        <f>H75/G75</f>
        <v>0</v>
      </c>
      <c r="K75" s="264" t="s">
        <v>190</v>
      </c>
      <c r="L75" s="265">
        <f>E75</f>
        <v>11.7</v>
      </c>
      <c r="M75" s="266">
        <f t="shared" ref="M75:P78" si="40">F75</f>
        <v>0</v>
      </c>
      <c r="N75" s="266">
        <f t="shared" si="40"/>
        <v>11.7</v>
      </c>
      <c r="O75" s="266">
        <f t="shared" si="40"/>
        <v>0</v>
      </c>
      <c r="P75" s="266">
        <f t="shared" si="40"/>
        <v>11.7</v>
      </c>
      <c r="Q75" s="267">
        <f>J75</f>
        <v>0</v>
      </c>
      <c r="R75" s="30"/>
      <c r="S75" s="30"/>
    </row>
    <row r="76" spans="2:19">
      <c r="B76" s="400" t="s">
        <v>50</v>
      </c>
      <c r="C76" s="401"/>
      <c r="D76" s="260" t="s">
        <v>48</v>
      </c>
      <c r="E76" s="261">
        <v>12.5</v>
      </c>
      <c r="F76" s="262"/>
      <c r="G76" s="262">
        <f t="shared" si="38"/>
        <v>12.5</v>
      </c>
      <c r="H76" s="629">
        <v>15.07</v>
      </c>
      <c r="I76" s="262">
        <f t="shared" si="39"/>
        <v>-2.5700000000000003</v>
      </c>
      <c r="J76" s="263">
        <f>H76/G76</f>
        <v>1.2056</v>
      </c>
      <c r="K76" s="277">
        <v>43398</v>
      </c>
      <c r="L76" s="265">
        <f>E76</f>
        <v>12.5</v>
      </c>
      <c r="M76" s="266">
        <f t="shared" si="40"/>
        <v>0</v>
      </c>
      <c r="N76" s="266">
        <f t="shared" si="40"/>
        <v>12.5</v>
      </c>
      <c r="O76" s="266">
        <f t="shared" si="40"/>
        <v>15.07</v>
      </c>
      <c r="P76" s="266">
        <f t="shared" si="40"/>
        <v>-2.5700000000000003</v>
      </c>
      <c r="Q76" s="267">
        <f>J76</f>
        <v>1.2056</v>
      </c>
      <c r="R76" s="27"/>
      <c r="S76" s="27"/>
    </row>
    <row r="77" spans="2:19">
      <c r="B77" s="400" t="s">
        <v>51</v>
      </c>
      <c r="C77" s="401"/>
      <c r="D77" s="260" t="s">
        <v>48</v>
      </c>
      <c r="E77" s="261">
        <v>2</v>
      </c>
      <c r="F77" s="262"/>
      <c r="G77" s="262">
        <f t="shared" si="38"/>
        <v>2</v>
      </c>
      <c r="H77" s="629">
        <v>0</v>
      </c>
      <c r="I77" s="262">
        <f t="shared" si="39"/>
        <v>2</v>
      </c>
      <c r="J77" s="263">
        <f>H77/G77</f>
        <v>0</v>
      </c>
      <c r="K77" s="264" t="s">
        <v>190</v>
      </c>
      <c r="L77" s="265">
        <f>E77</f>
        <v>2</v>
      </c>
      <c r="M77" s="266">
        <f t="shared" si="40"/>
        <v>0</v>
      </c>
      <c r="N77" s="266">
        <f t="shared" si="40"/>
        <v>2</v>
      </c>
      <c r="O77" s="266">
        <f t="shared" si="40"/>
        <v>0</v>
      </c>
      <c r="P77" s="266">
        <f t="shared" si="40"/>
        <v>2</v>
      </c>
      <c r="Q77" s="267">
        <f>J77</f>
        <v>0</v>
      </c>
      <c r="R77" s="27"/>
      <c r="S77" s="27"/>
    </row>
    <row r="78" spans="2:19" ht="15.75" thickBot="1">
      <c r="B78" s="402" t="s">
        <v>52</v>
      </c>
      <c r="C78" s="403"/>
      <c r="D78" s="268" t="s">
        <v>48</v>
      </c>
      <c r="E78" s="269">
        <v>21</v>
      </c>
      <c r="F78" s="270"/>
      <c r="G78" s="270">
        <f t="shared" si="38"/>
        <v>21</v>
      </c>
      <c r="H78" s="359">
        <v>0</v>
      </c>
      <c r="I78" s="270">
        <f t="shared" si="39"/>
        <v>21</v>
      </c>
      <c r="J78" s="271">
        <f>H78/G78</f>
        <v>0</v>
      </c>
      <c r="K78" s="272" t="s">
        <v>190</v>
      </c>
      <c r="L78" s="273">
        <f>E78</f>
        <v>21</v>
      </c>
      <c r="M78" s="274">
        <f t="shared" si="40"/>
        <v>0</v>
      </c>
      <c r="N78" s="274">
        <f t="shared" si="40"/>
        <v>21</v>
      </c>
      <c r="O78" s="274">
        <f t="shared" si="40"/>
        <v>0</v>
      </c>
      <c r="P78" s="274">
        <f t="shared" si="40"/>
        <v>21</v>
      </c>
      <c r="Q78" s="275">
        <f>J78</f>
        <v>0</v>
      </c>
      <c r="R78" s="27"/>
      <c r="S78" s="27"/>
    </row>
    <row r="79" spans="2:19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7"/>
      <c r="N79" s="27"/>
      <c r="O79" s="27"/>
      <c r="P79" s="27"/>
      <c r="Q79" s="27"/>
      <c r="R79" s="27"/>
      <c r="S79" s="27"/>
    </row>
    <row r="80" spans="2:19" hidden="1">
      <c r="B80" s="24"/>
      <c r="C80" s="24"/>
      <c r="D80" s="24"/>
      <c r="E80" s="24"/>
      <c r="F80" s="24"/>
      <c r="G80" s="24"/>
      <c r="H80" s="24"/>
      <c r="I80" s="24"/>
      <c r="J80" s="26">
        <v>1</v>
      </c>
      <c r="K80" s="24"/>
      <c r="L80" s="25"/>
      <c r="M80" s="27"/>
      <c r="N80" s="27"/>
      <c r="O80" s="27"/>
      <c r="P80" s="27"/>
      <c r="Q80" s="27"/>
      <c r="R80" s="27"/>
      <c r="S80" s="27"/>
    </row>
    <row r="81" spans="2:19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7"/>
      <c r="N81" s="27"/>
      <c r="O81" s="27"/>
      <c r="P81" s="27"/>
      <c r="Q81" s="27"/>
      <c r="R81" s="27"/>
      <c r="S81" s="27"/>
    </row>
    <row r="82" spans="2:19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7"/>
      <c r="N82" s="27"/>
      <c r="O82" s="27"/>
      <c r="P82" s="27"/>
      <c r="Q82" s="27"/>
      <c r="R82" s="27"/>
      <c r="S82" s="27"/>
    </row>
  </sheetData>
  <mergeCells count="191">
    <mergeCell ref="L47:L48"/>
    <mergeCell ref="M47:M48"/>
    <mergeCell ref="N47:N48"/>
    <mergeCell ref="O47:O48"/>
    <mergeCell ref="P47:P48"/>
    <mergeCell ref="Q47:Q48"/>
    <mergeCell ref="C43:C44"/>
    <mergeCell ref="B43:B44"/>
    <mergeCell ref="K53:K54"/>
    <mergeCell ref="J53:J54"/>
    <mergeCell ref="I53:I54"/>
    <mergeCell ref="H53:H54"/>
    <mergeCell ref="G53:G54"/>
    <mergeCell ref="F53:F54"/>
    <mergeCell ref="E53:E54"/>
    <mergeCell ref="D53:D54"/>
    <mergeCell ref="C53:C54"/>
    <mergeCell ref="B53:B54"/>
    <mergeCell ref="C47:C48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8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6:C76"/>
    <mergeCell ref="B77:C77"/>
    <mergeCell ref="B78:C78"/>
    <mergeCell ref="Q55:Q66"/>
    <mergeCell ref="B73:C73"/>
    <mergeCell ref="B74:C74"/>
    <mergeCell ref="B75:C75"/>
    <mergeCell ref="P50:P51"/>
    <mergeCell ref="Q50:Q51"/>
    <mergeCell ref="L53:Q53"/>
    <mergeCell ref="B55:B66"/>
    <mergeCell ref="C55:C66"/>
    <mergeCell ref="L55:L66"/>
    <mergeCell ref="M55:M66"/>
    <mergeCell ref="N55:N66"/>
    <mergeCell ref="O55:O66"/>
    <mergeCell ref="P55:P66"/>
    <mergeCell ref="C50:C51"/>
    <mergeCell ref="L50:L51"/>
    <mergeCell ref="M50:M51"/>
    <mergeCell ref="L70:Q72"/>
    <mergeCell ref="B70:K72"/>
    <mergeCell ref="N50:N51"/>
    <mergeCell ref="O50:O51"/>
  </mergeCells>
  <conditionalFormatting sqref="J7:J29">
    <cfRule type="dataBar" priority="38">
      <dataBar>
        <cfvo type="min"/>
        <cfvo type="max"/>
        <color rgb="FF638EC6"/>
      </dataBar>
    </cfRule>
  </conditionalFormatting>
  <conditionalFormatting sqref="J30:J31">
    <cfRule type="dataBar" priority="37">
      <dataBar>
        <cfvo type="min"/>
        <cfvo type="max"/>
        <color rgb="FF638EC6"/>
      </dataBar>
    </cfRule>
  </conditionalFormatting>
  <conditionalFormatting sqref="Q30:Q31">
    <cfRule type="dataBar" priority="36">
      <dataBar>
        <cfvo type="min"/>
        <cfvo type="max"/>
        <color rgb="FF638EC6"/>
      </dataBar>
    </cfRule>
  </conditionalFormatting>
  <conditionalFormatting sqref="J40:J42 J75">
    <cfRule type="dataBar" priority="35">
      <dataBar>
        <cfvo type="min"/>
        <cfvo type="max"/>
        <color rgb="FF638EC6"/>
      </dataBar>
    </cfRule>
  </conditionalFormatting>
  <conditionalFormatting sqref="Q40:Q42 Q75">
    <cfRule type="dataBar" priority="34">
      <dataBar>
        <cfvo type="min"/>
        <cfvo type="max"/>
        <color rgb="FF638EC6"/>
      </dataBar>
    </cfRule>
  </conditionalFormatting>
  <conditionalFormatting sqref="Q7:Q29 Q74">
    <cfRule type="dataBar" priority="33">
      <dataBar>
        <cfvo type="min"/>
        <cfvo type="max"/>
        <color rgb="FF638EC6"/>
      </dataBar>
    </cfRule>
  </conditionalFormatting>
  <conditionalFormatting sqref="J75">
    <cfRule type="dataBar" priority="32">
      <dataBar>
        <cfvo type="min"/>
        <cfvo type="max"/>
        <color rgb="FF638EC6"/>
      </dataBar>
    </cfRule>
  </conditionalFormatting>
  <conditionalFormatting sqref="Q75">
    <cfRule type="dataBar" priority="31">
      <dataBar>
        <cfvo type="min"/>
        <cfvo type="max"/>
        <color rgb="FF638EC6"/>
      </dataBar>
    </cfRule>
  </conditionalFormatting>
  <conditionalFormatting sqref="J35:J38">
    <cfRule type="dataBar" priority="30">
      <dataBar>
        <cfvo type="min"/>
        <cfvo type="max"/>
        <color rgb="FF638EC6"/>
      </dataBar>
    </cfRule>
  </conditionalFormatting>
  <conditionalFormatting sqref="Q35:Q38">
    <cfRule type="dataBar" priority="29">
      <dataBar>
        <cfvo type="min"/>
        <cfvo type="max"/>
        <color rgb="FF638EC6"/>
      </dataBar>
    </cfRule>
  </conditionalFormatting>
  <conditionalFormatting sqref="Q7:Q28">
    <cfRule type="dataBar" priority="28">
      <dataBar>
        <cfvo type="min"/>
        <cfvo type="max"/>
        <color rgb="FF638EC6"/>
      </dataBar>
    </cfRule>
  </conditionalFormatting>
  <conditionalFormatting sqref="J74:J75">
    <cfRule type="dataBar" priority="27">
      <dataBar>
        <cfvo type="min"/>
        <cfvo type="max"/>
        <color rgb="FF638EC6"/>
      </dataBar>
    </cfRule>
  </conditionalFormatting>
  <conditionalFormatting sqref="J76">
    <cfRule type="dataBar" priority="26">
      <dataBar>
        <cfvo type="min"/>
        <cfvo type="max"/>
        <color rgb="FF638EC6"/>
      </dataBar>
    </cfRule>
  </conditionalFormatting>
  <conditionalFormatting sqref="Q76">
    <cfRule type="dataBar" priority="25">
      <dataBar>
        <cfvo type="min"/>
        <cfvo type="max"/>
        <color rgb="FF638EC6"/>
      </dataBar>
    </cfRule>
  </conditionalFormatting>
  <conditionalFormatting sqref="J77:J78">
    <cfRule type="dataBar" priority="24">
      <dataBar>
        <cfvo type="min"/>
        <cfvo type="max"/>
        <color rgb="FF638EC6"/>
      </dataBar>
    </cfRule>
  </conditionalFormatting>
  <conditionalFormatting sqref="Q77:Q78">
    <cfRule type="dataBar" priority="23">
      <dataBar>
        <cfvo type="min"/>
        <cfvo type="max"/>
        <color rgb="FF638EC6"/>
      </dataBar>
    </cfRule>
  </conditionalFormatting>
  <conditionalFormatting sqref="J74:J78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{F554D967-5355-4D63-953F-CE916C7D461F}</x14:id>
        </ext>
      </extLst>
    </cfRule>
  </conditionalFormatting>
  <conditionalFormatting sqref="Q74:Q7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{A8C319C5-0E49-449A-8F83-7BECEBD2D484}</x14:id>
        </ext>
      </extLst>
    </cfRule>
  </conditionalFormatting>
  <conditionalFormatting sqref="J55:J66">
    <cfRule type="dataBar" priority="20">
      <dataBar>
        <cfvo type="min"/>
        <cfvo type="max"/>
        <color rgb="FF008AEF"/>
      </dataBar>
    </cfRule>
  </conditionalFormatting>
  <conditionalFormatting sqref="Q55:Q66">
    <cfRule type="dataBar" priority="19">
      <dataBar>
        <cfvo type="min"/>
        <cfvo type="max"/>
        <color rgb="FF008AEF"/>
      </dataBar>
    </cfRule>
  </conditionalFormatting>
  <conditionalFormatting sqref="Q68">
    <cfRule type="dataBar" priority="18">
      <dataBar>
        <cfvo type="min"/>
        <cfvo type="max"/>
        <color rgb="FF008AEF"/>
      </dataBar>
    </cfRule>
  </conditionalFormatting>
  <conditionalFormatting sqref="J68">
    <cfRule type="dataBar" priority="17">
      <dataBar>
        <cfvo type="min"/>
        <cfvo type="max"/>
        <color rgb="FF008AEF"/>
      </dataBar>
    </cfRule>
  </conditionalFormatting>
  <conditionalFormatting sqref="J45:J48">
    <cfRule type="dataBar" priority="16">
      <dataBar>
        <cfvo type="min"/>
        <cfvo type="max"/>
        <color rgb="FF008AEF"/>
      </dataBar>
    </cfRule>
  </conditionalFormatting>
  <conditionalFormatting sqref="Q45:Q48">
    <cfRule type="dataBar" priority="15">
      <dataBar>
        <cfvo type="min"/>
        <cfvo type="max"/>
        <color rgb="FF008AEF"/>
      </dataBar>
    </cfRule>
  </conditionalFormatting>
  <conditionalFormatting sqref="Q45:Q51">
    <cfRule type="dataBar" priority="13">
      <dataBar>
        <cfvo type="min"/>
        <cfvo type="max"/>
        <color rgb="FF008AEF"/>
      </dataBar>
    </cfRule>
  </conditionalFormatting>
  <conditionalFormatting sqref="J50:J52">
    <cfRule type="dataBar" priority="42">
      <dataBar>
        <cfvo type="min"/>
        <cfvo type="max"/>
        <color rgb="FF008AEF"/>
      </dataBar>
    </cfRule>
  </conditionalFormatting>
  <conditionalFormatting sqref="J7:J28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{C17DF477-EC0E-4879-9A5B-FF7349054658}</x14:id>
        </ext>
      </extLst>
    </cfRule>
  </conditionalFormatting>
  <conditionalFormatting sqref="J7:J31">
    <cfRule type="cellIs" dxfId="6" priority="7" operator="greaterThan">
      <formula>0.9</formula>
    </cfRule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{4ACD6B1C-82C8-4E63-97B0-EE6DB0DD5263}</x14:id>
        </ext>
      </extLst>
    </cfRule>
  </conditionalFormatting>
  <conditionalFormatting sqref="Q7:Q3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{923BEF22-906F-4FDC-87C8-C101D63DE9E2}</x14:id>
        </ext>
      </extLst>
    </cfRule>
  </conditionalFormatting>
  <conditionalFormatting sqref="J35:J42 J45:J52 J55:J68">
    <cfRule type="cellIs" dxfId="5" priority="5" operator="greaterThan">
      <formula>0.9</formula>
    </cfRule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{2B106D1F-D06C-4F8B-B60E-ED185A68CCE1}</x14:id>
        </ext>
      </extLst>
    </cfRule>
  </conditionalFormatting>
  <conditionalFormatting sqref="J55:J68 R6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{EA7E361F-5DD4-49CD-8C36-B8C9A4E1887B}</x14:id>
        </ext>
      </extLst>
    </cfRule>
  </conditionalFormatting>
  <conditionalFormatting sqref="J74:J80 Q74:Q7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{B092B223-F4C9-45FE-AA15-D0BB48FDCC83}</x14:id>
        </ext>
      </extLst>
    </cfRule>
  </conditionalFormatting>
  <conditionalFormatting sqref="J55:J68 Q55:Q68 S6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{6388BBCC-0054-4B1C-9C94-7C33843119EF}</x14:id>
        </ext>
      </extLst>
    </cfRule>
  </conditionalFormatting>
  <conditionalFormatting sqref="J45:J51 Q45:Q5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{4DAD92B3-401E-4949-8822-1C87AA8E7E48}</x14:id>
        </ext>
      </extLst>
    </cfRule>
  </conditionalFormatting>
  <pageMargins left="0.7" right="0.7" top="0.75" bottom="0.75" header="0.3" footer="0.3"/>
  <pageSetup paperSize="17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D967-5355-4D63-953F-CE916C7D461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J74:J78</xm:sqref>
        </x14:conditionalFormatting>
        <x14:conditionalFormatting xmlns:xm="http://schemas.microsoft.com/office/excel/2006/main">
          <x14:cfRule type="dataBar" id="{A8C319C5-0E49-449A-8F83-7BECEBD2D484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Q74:Q78</xm:sqref>
        </x14:conditionalFormatting>
        <x14:conditionalFormatting xmlns:xm="http://schemas.microsoft.com/office/excel/2006/main">
          <x14:cfRule type="dataBar" id="{C17DF477-EC0E-4879-9A5B-FF73490546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J7:J28</xm:sqref>
        </x14:conditionalFormatting>
        <x14:conditionalFormatting xmlns:xm="http://schemas.microsoft.com/office/excel/2006/main">
          <x14:cfRule type="dataBar" id="{4ACD6B1C-82C8-4E63-97B0-EE6DB0DD52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J7:J31</xm:sqref>
        </x14:conditionalFormatting>
        <x14:conditionalFormatting xmlns:xm="http://schemas.microsoft.com/office/excel/2006/main">
          <x14:cfRule type="dataBar" id="{923BEF22-906F-4FDC-87C8-C101D63DE9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Q7:Q31</xm:sqref>
        </x14:conditionalFormatting>
        <x14:conditionalFormatting xmlns:xm="http://schemas.microsoft.com/office/excel/2006/main">
          <x14:cfRule type="dataBar" id="{2B106D1F-D06C-4F8B-B60E-ED185A68CC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J35:J42 J45:J52 J55:J68</xm:sqref>
        </x14:conditionalFormatting>
        <x14:conditionalFormatting xmlns:xm="http://schemas.microsoft.com/office/excel/2006/main">
          <x14:cfRule type="dataBar" id="{EA7E361F-5DD4-49CD-8C36-B8C9A4E188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J55:J68 R63</xm:sqref>
        </x14:conditionalFormatting>
        <x14:conditionalFormatting xmlns:xm="http://schemas.microsoft.com/office/excel/2006/main">
          <x14:cfRule type="dataBar" id="{B092B223-F4C9-45FE-AA15-D0BB48FDCC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J74:J80 Q74:Q78</xm:sqref>
        </x14:conditionalFormatting>
        <x14:conditionalFormatting xmlns:xm="http://schemas.microsoft.com/office/excel/2006/main">
          <x14:cfRule type="dataBar" id="{6388BBCC-0054-4B1C-9C94-7C33843119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J55:J68 Q55:Q68 S60</xm:sqref>
        </x14:conditionalFormatting>
        <x14:conditionalFormatting xmlns:xm="http://schemas.microsoft.com/office/excel/2006/main">
          <x14:cfRule type="dataBar" id="{4DAD92B3-401E-4949-8822-1C87AA8E7E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J45:J51 Q45:Q51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AI39"/>
  <sheetViews>
    <sheetView zoomScale="90" zoomScaleNormal="90" workbookViewId="0">
      <selection activeCell="G49" sqref="G49"/>
    </sheetView>
  </sheetViews>
  <sheetFormatPr baseColWidth="10" defaultColWidth="11.42578125" defaultRowHeight="15"/>
  <cols>
    <col min="1" max="1" width="32.7109375" style="9" customWidth="1"/>
    <col min="2" max="2" width="11.42578125" style="9"/>
    <col min="3" max="3" width="27.5703125" style="9" customWidth="1"/>
    <col min="4" max="4" width="11.42578125" style="9"/>
    <col min="5" max="5" width="14" style="9" customWidth="1"/>
    <col min="6" max="12" width="11.42578125" style="9"/>
    <col min="13" max="13" width="13.85546875" style="9" bestFit="1" customWidth="1"/>
    <col min="14" max="21" width="11.42578125" style="9"/>
    <col min="22" max="22" width="14.7109375" style="9" customWidth="1"/>
    <col min="23" max="25" width="11.42578125" style="9"/>
    <col min="26" max="26" width="16.85546875" style="9" bestFit="1" customWidth="1"/>
    <col min="27" max="34" width="11.42578125" style="9"/>
    <col min="35" max="35" width="0" style="9" hidden="1" customWidth="1"/>
    <col min="36" max="16384" width="11.42578125" style="9"/>
  </cols>
  <sheetData>
    <row r="1" spans="2:35" ht="15.75" thickBot="1"/>
    <row r="2" spans="2:35" s="37" customFormat="1" ht="21">
      <c r="B2" s="494" t="s">
        <v>81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6"/>
    </row>
    <row r="3" spans="2:35" s="37" customFormat="1" ht="16.5" thickBot="1">
      <c r="B3" s="374">
        <v>43437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6"/>
    </row>
    <row r="4" spans="2:35" s="37" customFormat="1" ht="15.7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35" s="37" customFormat="1" ht="15.75" thickBot="1">
      <c r="B5" s="512" t="s">
        <v>74</v>
      </c>
      <c r="C5" s="512" t="s">
        <v>75</v>
      </c>
      <c r="D5" s="557" t="s">
        <v>4</v>
      </c>
      <c r="E5" s="545" t="s">
        <v>72</v>
      </c>
      <c r="F5" s="546"/>
      <c r="G5" s="547"/>
      <c r="H5" s="545" t="s">
        <v>73</v>
      </c>
      <c r="I5" s="546"/>
      <c r="J5" s="547"/>
      <c r="K5" s="545" t="s">
        <v>182</v>
      </c>
      <c r="L5" s="546"/>
      <c r="M5" s="546"/>
      <c r="N5" s="546"/>
      <c r="O5" s="546"/>
      <c r="P5" s="547"/>
    </row>
    <row r="6" spans="2:35" s="36" customFormat="1" ht="58.5" customHeight="1" thickBot="1">
      <c r="B6" s="513"/>
      <c r="C6" s="513"/>
      <c r="D6" s="558"/>
      <c r="E6" s="47" t="s">
        <v>107</v>
      </c>
      <c r="F6" s="48" t="s">
        <v>76</v>
      </c>
      <c r="G6" s="49" t="s">
        <v>7</v>
      </c>
      <c r="H6" s="50" t="s">
        <v>77</v>
      </c>
      <c r="I6" s="51" t="s">
        <v>78</v>
      </c>
      <c r="J6" s="92" t="s">
        <v>79</v>
      </c>
      <c r="K6" s="53" t="s">
        <v>80</v>
      </c>
      <c r="L6" s="51" t="s">
        <v>76</v>
      </c>
      <c r="M6" s="51" t="s">
        <v>7</v>
      </c>
      <c r="N6" s="51" t="s">
        <v>77</v>
      </c>
      <c r="O6" s="54" t="s">
        <v>78</v>
      </c>
      <c r="P6" s="55" t="s">
        <v>79</v>
      </c>
    </row>
    <row r="7" spans="2:35" s="37" customFormat="1" ht="15" customHeight="1">
      <c r="B7" s="522" t="s">
        <v>82</v>
      </c>
      <c r="C7" s="544" t="s">
        <v>176</v>
      </c>
      <c r="D7" s="33" t="s">
        <v>83</v>
      </c>
      <c r="E7" s="61">
        <v>0.52800000000000002</v>
      </c>
      <c r="F7" s="62"/>
      <c r="G7" s="63">
        <f>E7+F7</f>
        <v>0.52800000000000002</v>
      </c>
      <c r="H7" s="61"/>
      <c r="I7" s="64">
        <f>G7-H7</f>
        <v>0.52800000000000002</v>
      </c>
      <c r="J7" s="302">
        <f>H7/G7</f>
        <v>0</v>
      </c>
      <c r="K7" s="554">
        <f>E7+E8</f>
        <v>1.056</v>
      </c>
      <c r="L7" s="559">
        <f>F7+F8</f>
        <v>15.798999999999999</v>
      </c>
      <c r="M7" s="559">
        <f>K7+L7</f>
        <v>16.855</v>
      </c>
      <c r="N7" s="525">
        <f>H7+H8</f>
        <v>8.532</v>
      </c>
      <c r="O7" s="530">
        <f>M7-N7</f>
        <v>8.3230000000000004</v>
      </c>
      <c r="P7" s="518">
        <f>N7/M7</f>
        <v>0.50619994067042418</v>
      </c>
      <c r="W7" s="531" t="s">
        <v>84</v>
      </c>
      <c r="X7" s="533" t="s">
        <v>85</v>
      </c>
      <c r="Y7" s="535" t="s">
        <v>86</v>
      </c>
      <c r="Z7" s="537" t="s">
        <v>87</v>
      </c>
      <c r="AA7" s="537"/>
      <c r="AB7" s="537"/>
      <c r="AC7" s="537"/>
      <c r="AD7" s="535" t="s">
        <v>77</v>
      </c>
      <c r="AE7" s="535" t="s">
        <v>78</v>
      </c>
      <c r="AF7" s="535" t="s">
        <v>88</v>
      </c>
      <c r="AG7" s="528" t="s">
        <v>89</v>
      </c>
    </row>
    <row r="8" spans="2:35" s="37" customFormat="1" ht="15.75" thickBot="1">
      <c r="B8" s="523"/>
      <c r="C8" s="520"/>
      <c r="D8" s="34" t="s">
        <v>90</v>
      </c>
      <c r="E8" s="65">
        <v>0.52800000000000002</v>
      </c>
      <c r="F8" s="68">
        <f>8.747+7.052</f>
        <v>15.798999999999999</v>
      </c>
      <c r="G8" s="140">
        <f>E8+F8+I7</f>
        <v>16.854999999999997</v>
      </c>
      <c r="H8" s="65">
        <v>8.532</v>
      </c>
      <c r="I8" s="68">
        <f>G8-H8</f>
        <v>8.3229999999999968</v>
      </c>
      <c r="J8" s="302">
        <f>H8/G8</f>
        <v>0.50619994067042429</v>
      </c>
      <c r="K8" s="521"/>
      <c r="L8" s="560"/>
      <c r="M8" s="560"/>
      <c r="N8" s="510"/>
      <c r="O8" s="516"/>
      <c r="P8" s="519"/>
      <c r="R8" s="45"/>
      <c r="S8" s="46"/>
      <c r="W8" s="532"/>
      <c r="X8" s="534"/>
      <c r="Y8" s="536"/>
      <c r="Z8" s="8" t="s">
        <v>91</v>
      </c>
      <c r="AA8" s="8" t="s">
        <v>92</v>
      </c>
      <c r="AB8" s="8" t="s">
        <v>93</v>
      </c>
      <c r="AC8" s="8" t="s">
        <v>94</v>
      </c>
      <c r="AD8" s="536"/>
      <c r="AE8" s="536"/>
      <c r="AF8" s="536"/>
      <c r="AG8" s="529"/>
    </row>
    <row r="9" spans="2:35" s="37" customFormat="1">
      <c r="B9" s="523"/>
      <c r="C9" s="520" t="s">
        <v>177</v>
      </c>
      <c r="D9" s="34" t="s">
        <v>83</v>
      </c>
      <c r="E9" s="65">
        <v>7.6989999999999998</v>
      </c>
      <c r="F9" s="66"/>
      <c r="G9" s="67">
        <f>E9+F9</f>
        <v>7.6989999999999998</v>
      </c>
      <c r="H9" s="65">
        <v>1.885</v>
      </c>
      <c r="I9" s="68">
        <f t="shared" ref="I9:I20" si="0">G9-H9</f>
        <v>5.8140000000000001</v>
      </c>
      <c r="J9" s="302">
        <f t="shared" ref="J9:J18" si="1">H9/G9</f>
        <v>0.24483699181711913</v>
      </c>
      <c r="K9" s="550">
        <f>E9+E10</f>
        <v>15.402000000000001</v>
      </c>
      <c r="L9" s="510">
        <f t="shared" ref="L9" si="2">F9+F10</f>
        <v>0</v>
      </c>
      <c r="M9" s="510">
        <f t="shared" ref="M9" si="3">K9+L9</f>
        <v>15.402000000000001</v>
      </c>
      <c r="N9" s="510">
        <f t="shared" ref="N9" si="4">H9+H10</f>
        <v>15.145999999999999</v>
      </c>
      <c r="O9" s="516">
        <f t="shared" ref="O9" si="5">M9-N9</f>
        <v>0.256000000000002</v>
      </c>
      <c r="P9" s="555">
        <f t="shared" ref="P9" si="6">N9/M9</f>
        <v>0.98337878197636652</v>
      </c>
      <c r="W9" s="538" t="s">
        <v>95</v>
      </c>
      <c r="X9" s="540" t="s">
        <v>96</v>
      </c>
      <c r="Y9" s="542">
        <v>417.3</v>
      </c>
      <c r="Z9" s="1" t="s">
        <v>97</v>
      </c>
      <c r="AA9" s="2">
        <f t="shared" ref="AA9:AD10" si="7">E7+E9+E11+E13+E15+E19</f>
        <v>208.6</v>
      </c>
      <c r="AB9" s="2">
        <f t="shared" si="7"/>
        <v>-2.1000000000000001E-2</v>
      </c>
      <c r="AC9" s="2">
        <f t="shared" si="7"/>
        <v>208.57900000000001</v>
      </c>
      <c r="AD9" s="2">
        <f t="shared" si="7"/>
        <v>41.112000000000002</v>
      </c>
      <c r="AE9" s="3">
        <f>AC9-AD9</f>
        <v>167.46700000000001</v>
      </c>
      <c r="AF9" s="102">
        <f>AD9/AC9</f>
        <v>0.19710517357931528</v>
      </c>
      <c r="AG9" s="4"/>
    </row>
    <row r="10" spans="2:35" s="37" customFormat="1" ht="15.75" thickBot="1">
      <c r="B10" s="523"/>
      <c r="C10" s="520"/>
      <c r="D10" s="34" t="s">
        <v>90</v>
      </c>
      <c r="E10" s="65">
        <v>7.7030000000000003</v>
      </c>
      <c r="F10" s="66"/>
      <c r="G10" s="67">
        <f>E10+F10+I9</f>
        <v>13.516999999999999</v>
      </c>
      <c r="H10" s="65">
        <v>13.260999999999999</v>
      </c>
      <c r="I10" s="68">
        <f t="shared" si="0"/>
        <v>0.25600000000000023</v>
      </c>
      <c r="J10" s="302">
        <f>H10/G10</f>
        <v>0.98106088629133681</v>
      </c>
      <c r="K10" s="550"/>
      <c r="L10" s="510"/>
      <c r="M10" s="510"/>
      <c r="N10" s="510"/>
      <c r="O10" s="516"/>
      <c r="P10" s="556"/>
      <c r="W10" s="539"/>
      <c r="X10" s="541"/>
      <c r="Y10" s="543"/>
      <c r="Z10" s="5" t="s">
        <v>98</v>
      </c>
      <c r="AA10" s="6">
        <f t="shared" si="7"/>
        <v>208.7</v>
      </c>
      <c r="AB10" s="6">
        <f t="shared" si="7"/>
        <v>-2.1000000000000001E-2</v>
      </c>
      <c r="AC10" s="6">
        <f t="shared" si="7"/>
        <v>376.14600000000002</v>
      </c>
      <c r="AD10" s="6">
        <f t="shared" si="7"/>
        <v>366.51300000000003</v>
      </c>
      <c r="AE10" s="3">
        <f>AC10-AD10</f>
        <v>9.6329999999999814</v>
      </c>
      <c r="AF10" s="103">
        <f t="shared" ref="AF10" si="8">AD10/AC10</f>
        <v>0.97439026335518664</v>
      </c>
      <c r="AG10" s="7"/>
      <c r="AI10" s="101">
        <v>1</v>
      </c>
    </row>
    <row r="11" spans="2:35" s="37" customFormat="1">
      <c r="B11" s="523"/>
      <c r="C11" s="520" t="s">
        <v>178</v>
      </c>
      <c r="D11" s="34" t="s">
        <v>83</v>
      </c>
      <c r="E11" s="65">
        <v>174.78</v>
      </c>
      <c r="F11" s="66"/>
      <c r="G11" s="67">
        <f>E11+F11</f>
        <v>174.78</v>
      </c>
      <c r="H11" s="65">
        <v>37.435000000000002</v>
      </c>
      <c r="I11" s="68">
        <f t="shared" si="0"/>
        <v>137.345</v>
      </c>
      <c r="J11" s="302">
        <f t="shared" si="1"/>
        <v>0.21418354502803524</v>
      </c>
      <c r="K11" s="550">
        <f>E11+E12</f>
        <v>349.64400000000001</v>
      </c>
      <c r="L11" s="560">
        <f t="shared" ref="L11" si="9">F11+F12</f>
        <v>-8.7469999999999999</v>
      </c>
      <c r="M11" s="560">
        <f t="shared" ref="M11" si="10">K11+L11</f>
        <v>340.89699999999999</v>
      </c>
      <c r="N11" s="510">
        <f t="shared" ref="N11" si="11">H11+H12</f>
        <v>339.57499999999999</v>
      </c>
      <c r="O11" s="516">
        <f t="shared" ref="O11" si="12">M11-N11</f>
        <v>1.3220000000000027</v>
      </c>
      <c r="P11" s="518">
        <f t="shared" ref="P11" si="13">N11/M11</f>
        <v>0.99612199579345084</v>
      </c>
    </row>
    <row r="12" spans="2:35" s="37" customFormat="1" ht="15.75" thickBot="1">
      <c r="B12" s="523"/>
      <c r="C12" s="520"/>
      <c r="D12" s="34" t="s">
        <v>90</v>
      </c>
      <c r="E12" s="65">
        <v>174.864</v>
      </c>
      <c r="F12" s="68">
        <f>-8.747</f>
        <v>-8.7469999999999999</v>
      </c>
      <c r="G12" s="140">
        <f>E12+F12+I11</f>
        <v>303.46199999999999</v>
      </c>
      <c r="H12" s="65">
        <v>302.14</v>
      </c>
      <c r="I12" s="68">
        <f t="shared" si="0"/>
        <v>1.3220000000000027</v>
      </c>
      <c r="J12" s="302">
        <f t="shared" si="1"/>
        <v>0.99564360611872327</v>
      </c>
      <c r="K12" s="550"/>
      <c r="L12" s="560"/>
      <c r="M12" s="560"/>
      <c r="N12" s="510"/>
      <c r="O12" s="516"/>
      <c r="P12" s="519"/>
    </row>
    <row r="13" spans="2:35" s="37" customFormat="1">
      <c r="B13" s="523"/>
      <c r="C13" s="520" t="s">
        <v>179</v>
      </c>
      <c r="D13" s="34" t="s">
        <v>83</v>
      </c>
      <c r="E13" s="65">
        <v>12.34</v>
      </c>
      <c r="F13" s="66"/>
      <c r="G13" s="67">
        <f t="shared" ref="G13" si="14">E13+F13</f>
        <v>12.34</v>
      </c>
      <c r="H13" s="65"/>
      <c r="I13" s="68">
        <f t="shared" si="0"/>
        <v>12.34</v>
      </c>
      <c r="J13" s="302">
        <f t="shared" si="1"/>
        <v>0</v>
      </c>
      <c r="K13" s="550">
        <f>E13+E14</f>
        <v>24.686</v>
      </c>
      <c r="L13" s="510">
        <f t="shared" ref="L13" si="15">F13+F14</f>
        <v>-7.0519999999999996</v>
      </c>
      <c r="M13" s="510">
        <f t="shared" ref="M13" si="16">K13+L13</f>
        <v>17.634</v>
      </c>
      <c r="N13" s="510">
        <f t="shared" ref="N13" si="17">H13+H14</f>
        <v>17.640999999999998</v>
      </c>
      <c r="O13" s="516">
        <f t="shared" ref="O13" si="18">M13-N13</f>
        <v>-6.9999999999978968E-3</v>
      </c>
      <c r="P13" s="518">
        <f t="shared" ref="P13" si="19">N13/M13</f>
        <v>1.0003969604173755</v>
      </c>
    </row>
    <row r="14" spans="2:35" s="37" customFormat="1" ht="15.75" thickBot="1">
      <c r="B14" s="523"/>
      <c r="C14" s="520"/>
      <c r="D14" s="34" t="s">
        <v>90</v>
      </c>
      <c r="E14" s="65">
        <v>12.346</v>
      </c>
      <c r="F14" s="66">
        <f>-7.052</f>
        <v>-7.0519999999999996</v>
      </c>
      <c r="G14" s="67">
        <f t="shared" ref="G14" si="20">E14+F14+I13</f>
        <v>17.634</v>
      </c>
      <c r="H14" s="65">
        <v>17.640999999999998</v>
      </c>
      <c r="I14" s="68">
        <f t="shared" si="0"/>
        <v>-6.9999999999978968E-3</v>
      </c>
      <c r="J14" s="302">
        <f t="shared" si="1"/>
        <v>1.0003969604173755</v>
      </c>
      <c r="K14" s="550"/>
      <c r="L14" s="510"/>
      <c r="M14" s="510"/>
      <c r="N14" s="510"/>
      <c r="O14" s="516"/>
      <c r="P14" s="519"/>
    </row>
    <row r="15" spans="2:35" s="37" customFormat="1">
      <c r="B15" s="523"/>
      <c r="C15" s="520" t="s">
        <v>180</v>
      </c>
      <c r="D15" s="34" t="s">
        <v>83</v>
      </c>
      <c r="E15" s="65">
        <v>13.231999999999999</v>
      </c>
      <c r="F15" s="66"/>
      <c r="G15" s="67">
        <f t="shared" ref="G15:G17" si="21">E15+F15</f>
        <v>13.231999999999999</v>
      </c>
      <c r="H15" s="65">
        <v>1.792</v>
      </c>
      <c r="I15" s="68">
        <f t="shared" si="0"/>
        <v>11.44</v>
      </c>
      <c r="J15" s="302">
        <f t="shared" si="1"/>
        <v>0.13542926239419589</v>
      </c>
      <c r="K15" s="550">
        <f>E15+E16</f>
        <v>26.47</v>
      </c>
      <c r="L15" s="510">
        <f t="shared" ref="L15" si="22">F15+F16</f>
        <v>0</v>
      </c>
      <c r="M15" s="510">
        <f t="shared" ref="M15" si="23">K15+L15</f>
        <v>26.47</v>
      </c>
      <c r="N15" s="510">
        <f t="shared" ref="N15" si="24">H15+H16</f>
        <v>26.731000000000002</v>
      </c>
      <c r="O15" s="516">
        <f t="shared" ref="O15" si="25">M15-N15</f>
        <v>-0.26100000000000279</v>
      </c>
      <c r="P15" s="518">
        <f>N15/M15</f>
        <v>1.0098602191159805</v>
      </c>
    </row>
    <row r="16" spans="2:35" s="37" customFormat="1" ht="15.75" thickBot="1">
      <c r="B16" s="523"/>
      <c r="C16" s="520"/>
      <c r="D16" s="34" t="s">
        <v>90</v>
      </c>
      <c r="E16" s="65">
        <v>13.238</v>
      </c>
      <c r="F16" s="66"/>
      <c r="G16" s="67">
        <f t="shared" ref="G16:G18" si="26">E16+F16+I15</f>
        <v>24.677999999999997</v>
      </c>
      <c r="H16" s="65">
        <v>24.939</v>
      </c>
      <c r="I16" s="68">
        <f t="shared" si="0"/>
        <v>-0.26100000000000279</v>
      </c>
      <c r="J16" s="302">
        <f t="shared" si="1"/>
        <v>1.0105762217359593</v>
      </c>
      <c r="K16" s="550"/>
      <c r="L16" s="510"/>
      <c r="M16" s="510"/>
      <c r="N16" s="510"/>
      <c r="O16" s="516"/>
      <c r="P16" s="519"/>
    </row>
    <row r="17" spans="2:33" s="37" customFormat="1">
      <c r="B17" s="523"/>
      <c r="C17" s="549" t="s">
        <v>240</v>
      </c>
      <c r="D17" s="34" t="s">
        <v>83</v>
      </c>
      <c r="E17" s="65">
        <v>0</v>
      </c>
      <c r="F17" s="66">
        <f>0.021+0.021</f>
        <v>4.2000000000000003E-2</v>
      </c>
      <c r="G17" s="67">
        <f t="shared" si="21"/>
        <v>4.2000000000000003E-2</v>
      </c>
      <c r="H17" s="65"/>
      <c r="I17" s="68">
        <f>G17-H17</f>
        <v>4.2000000000000003E-2</v>
      </c>
      <c r="J17" s="302">
        <f>H17/G17</f>
        <v>0</v>
      </c>
      <c r="K17" s="550">
        <f>E17+E18</f>
        <v>0</v>
      </c>
      <c r="L17" s="510">
        <f t="shared" ref="L17" si="27">F17+F18</f>
        <v>4.2000000000000003E-2</v>
      </c>
      <c r="M17" s="510">
        <f t="shared" ref="M17" si="28">K17+L17</f>
        <v>4.2000000000000003E-2</v>
      </c>
      <c r="N17" s="510">
        <f t="shared" ref="N17" si="29">H17+H18</f>
        <v>0</v>
      </c>
      <c r="O17" s="516">
        <f t="shared" ref="O17" si="30">M17-N17</f>
        <v>4.2000000000000003E-2</v>
      </c>
      <c r="P17" s="518">
        <f>N17/M17</f>
        <v>0</v>
      </c>
    </row>
    <row r="18" spans="2:33" s="37" customFormat="1" ht="15.75" thickBot="1">
      <c r="B18" s="523"/>
      <c r="C18" s="544"/>
      <c r="D18" s="34" t="s">
        <v>90</v>
      </c>
      <c r="E18" s="65">
        <v>0</v>
      </c>
      <c r="F18" s="66"/>
      <c r="G18" s="67">
        <f t="shared" si="26"/>
        <v>4.2000000000000003E-2</v>
      </c>
      <c r="H18" s="65"/>
      <c r="I18" s="68">
        <f t="shared" si="0"/>
        <v>4.2000000000000003E-2</v>
      </c>
      <c r="J18" s="302">
        <f t="shared" si="1"/>
        <v>0</v>
      </c>
      <c r="K18" s="550"/>
      <c r="L18" s="510"/>
      <c r="M18" s="510"/>
      <c r="N18" s="510"/>
      <c r="O18" s="516"/>
      <c r="P18" s="519"/>
    </row>
    <row r="19" spans="2:33" s="37" customFormat="1">
      <c r="B19" s="523"/>
      <c r="C19" s="520" t="s">
        <v>181</v>
      </c>
      <c r="D19" s="34" t="s">
        <v>83</v>
      </c>
      <c r="E19" s="65">
        <v>2.1000000000000001E-2</v>
      </c>
      <c r="F19" s="66">
        <f>-0.021</f>
        <v>-2.1000000000000001E-2</v>
      </c>
      <c r="G19" s="67">
        <f t="shared" ref="G19" si="31">E19+F19</f>
        <v>0</v>
      </c>
      <c r="H19" s="65"/>
      <c r="I19" s="68">
        <f t="shared" si="0"/>
        <v>0</v>
      </c>
      <c r="J19" s="302">
        <v>0</v>
      </c>
      <c r="K19" s="550">
        <f>E19+E20</f>
        <v>4.2000000000000003E-2</v>
      </c>
      <c r="L19" s="510">
        <f t="shared" ref="L19" si="32">F19+F20</f>
        <v>-4.2000000000000003E-2</v>
      </c>
      <c r="M19" s="510">
        <f t="shared" ref="M19" si="33">K19+L19</f>
        <v>0</v>
      </c>
      <c r="N19" s="510">
        <f t="shared" ref="N19" si="34">H19+H20</f>
        <v>0</v>
      </c>
      <c r="O19" s="516">
        <f t="shared" ref="O19" si="35">M19-N19</f>
        <v>0</v>
      </c>
      <c r="P19" s="552">
        <v>0</v>
      </c>
    </row>
    <row r="20" spans="2:33" s="37" customFormat="1" ht="15.75" thickBot="1">
      <c r="B20" s="524"/>
      <c r="C20" s="526"/>
      <c r="D20" s="35" t="s">
        <v>90</v>
      </c>
      <c r="E20" s="69">
        <v>2.1000000000000001E-2</v>
      </c>
      <c r="F20" s="70">
        <f>-0.021</f>
        <v>-2.1000000000000001E-2</v>
      </c>
      <c r="G20" s="71">
        <f t="shared" ref="G20" si="36">E20+F20+I19</f>
        <v>0</v>
      </c>
      <c r="H20" s="69"/>
      <c r="I20" s="72">
        <f t="shared" si="0"/>
        <v>0</v>
      </c>
      <c r="J20" s="302">
        <v>0</v>
      </c>
      <c r="K20" s="551"/>
      <c r="L20" s="511"/>
      <c r="M20" s="511"/>
      <c r="N20" s="511"/>
      <c r="O20" s="517"/>
      <c r="P20" s="553"/>
    </row>
    <row r="21" spans="2:33" s="37" customFormat="1">
      <c r="B21" s="38"/>
      <c r="C21" s="39"/>
      <c r="D21" s="40"/>
      <c r="E21" s="40">
        <f>SUM(E7:E20)</f>
        <v>417.3</v>
      </c>
      <c r="F21" s="358">
        <f>SUM(F7:F20)</f>
        <v>0</v>
      </c>
      <c r="G21" s="40">
        <f>SUM(G7:G20)</f>
        <v>584.80900000000008</v>
      </c>
      <c r="H21" s="40">
        <f>SUM(H7:H20)</f>
        <v>407.625</v>
      </c>
      <c r="I21" s="40">
        <f>SUM(I7:I20)</f>
        <v>177.184</v>
      </c>
      <c r="J21" s="41">
        <f>H21/G21</f>
        <v>0.69702244664497293</v>
      </c>
      <c r="K21" s="40">
        <f>SUM(K7:K20)</f>
        <v>417.3</v>
      </c>
      <c r="L21" s="40">
        <f t="shared" ref="L21:O21" si="37">SUM(L7:L20)</f>
        <v>0</v>
      </c>
      <c r="M21" s="40">
        <f t="shared" si="37"/>
        <v>417.3</v>
      </c>
      <c r="N21" s="40">
        <f t="shared" si="37"/>
        <v>407.625</v>
      </c>
      <c r="O21" s="40">
        <f t="shared" si="37"/>
        <v>9.6750000000000043</v>
      </c>
      <c r="P21" s="41">
        <f>N21/M21</f>
        <v>0.97681524083393234</v>
      </c>
    </row>
    <row r="22" spans="2:33" s="37" customFormat="1" ht="15.75" thickBot="1">
      <c r="B22" s="38"/>
      <c r="C22" s="39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1"/>
    </row>
    <row r="23" spans="2:33" s="37" customFormat="1" ht="15.75" thickBot="1">
      <c r="B23" s="512" t="s">
        <v>74</v>
      </c>
      <c r="C23" s="512" t="s">
        <v>75</v>
      </c>
      <c r="D23" s="514" t="s">
        <v>4</v>
      </c>
      <c r="E23" s="545" t="s">
        <v>72</v>
      </c>
      <c r="F23" s="546"/>
      <c r="G23" s="547"/>
      <c r="H23" s="548" t="s">
        <v>73</v>
      </c>
      <c r="I23" s="546"/>
      <c r="J23" s="547"/>
      <c r="K23" s="548" t="s">
        <v>182</v>
      </c>
      <c r="L23" s="546"/>
      <c r="M23" s="546"/>
      <c r="N23" s="546"/>
      <c r="O23" s="546"/>
      <c r="P23" s="547"/>
    </row>
    <row r="24" spans="2:33" s="37" customFormat="1" ht="51.75" thickBot="1">
      <c r="B24" s="513"/>
      <c r="C24" s="513"/>
      <c r="D24" s="515"/>
      <c r="E24" s="56" t="s">
        <v>107</v>
      </c>
      <c r="F24" s="57" t="s">
        <v>76</v>
      </c>
      <c r="G24" s="58" t="s">
        <v>7</v>
      </c>
      <c r="H24" s="59" t="s">
        <v>77</v>
      </c>
      <c r="I24" s="51" t="s">
        <v>78</v>
      </c>
      <c r="J24" s="52" t="s">
        <v>79</v>
      </c>
      <c r="K24" s="60" t="s">
        <v>80</v>
      </c>
      <c r="L24" s="51" t="s">
        <v>76</v>
      </c>
      <c r="M24" s="51" t="s">
        <v>7</v>
      </c>
      <c r="N24" s="51" t="s">
        <v>77</v>
      </c>
      <c r="O24" s="54" t="s">
        <v>78</v>
      </c>
      <c r="P24" s="55" t="s">
        <v>79</v>
      </c>
    </row>
    <row r="25" spans="2:33" s="37" customFormat="1">
      <c r="B25" s="522" t="s">
        <v>100</v>
      </c>
      <c r="C25" s="544" t="s">
        <v>101</v>
      </c>
      <c r="D25" s="93" t="s">
        <v>83</v>
      </c>
      <c r="E25" s="61">
        <v>20.594999999999999</v>
      </c>
      <c r="F25" s="62"/>
      <c r="G25" s="63">
        <f>E25+F25</f>
        <v>20.594999999999999</v>
      </c>
      <c r="H25" s="299"/>
      <c r="I25" s="64">
        <f>G25-H25</f>
        <v>20.594999999999999</v>
      </c>
      <c r="J25" s="302">
        <f>H25/G25</f>
        <v>0</v>
      </c>
      <c r="K25" s="554">
        <f>E25+E26</f>
        <v>41.207999999999998</v>
      </c>
      <c r="L25" s="525">
        <f>F25+F26</f>
        <v>10.045000000000002</v>
      </c>
      <c r="M25" s="525">
        <f>K25+L25</f>
        <v>51.253</v>
      </c>
      <c r="N25" s="525">
        <f>H25+H26</f>
        <v>6.2930000000000001</v>
      </c>
      <c r="O25" s="530">
        <f>M25-N25</f>
        <v>44.96</v>
      </c>
      <c r="P25" s="518">
        <f>N25/M25</f>
        <v>0.12278305660156479</v>
      </c>
      <c r="W25" s="531" t="s">
        <v>84</v>
      </c>
      <c r="X25" s="533" t="s">
        <v>85</v>
      </c>
      <c r="Y25" s="535" t="s">
        <v>86</v>
      </c>
      <c r="Z25" s="537" t="s">
        <v>87</v>
      </c>
      <c r="AA25" s="537"/>
      <c r="AB25" s="537"/>
      <c r="AC25" s="537"/>
      <c r="AD25" s="535" t="s">
        <v>77</v>
      </c>
      <c r="AE25" s="535" t="s">
        <v>78</v>
      </c>
      <c r="AF25" s="535" t="s">
        <v>88</v>
      </c>
      <c r="AG25" s="528" t="s">
        <v>89</v>
      </c>
    </row>
    <row r="26" spans="2:33" s="37" customFormat="1" ht="15.75" thickBot="1">
      <c r="B26" s="523"/>
      <c r="C26" s="520"/>
      <c r="D26" s="94" t="s">
        <v>90</v>
      </c>
      <c r="E26" s="65">
        <v>20.613</v>
      </c>
      <c r="F26" s="66">
        <f>-12.173+23.184-0.318-0.648</f>
        <v>10.045000000000002</v>
      </c>
      <c r="G26" s="67">
        <f>E26+F26+I25</f>
        <v>51.253</v>
      </c>
      <c r="H26" s="300">
        <v>6.2930000000000001</v>
      </c>
      <c r="I26" s="68">
        <f t="shared" ref="I26:I34" si="38">G26-H26</f>
        <v>44.96</v>
      </c>
      <c r="J26" s="302">
        <f>H26/G26</f>
        <v>0.12278305660156479</v>
      </c>
      <c r="K26" s="521"/>
      <c r="L26" s="510"/>
      <c r="M26" s="510"/>
      <c r="N26" s="510"/>
      <c r="O26" s="516"/>
      <c r="P26" s="519"/>
      <c r="W26" s="532"/>
      <c r="X26" s="534"/>
      <c r="Y26" s="536"/>
      <c r="Z26" s="8" t="s">
        <v>91</v>
      </c>
      <c r="AA26" s="8" t="s">
        <v>92</v>
      </c>
      <c r="AB26" s="8" t="s">
        <v>93</v>
      </c>
      <c r="AC26" s="8" t="s">
        <v>94</v>
      </c>
      <c r="AD26" s="536"/>
      <c r="AE26" s="536"/>
      <c r="AF26" s="536"/>
      <c r="AG26" s="529"/>
    </row>
    <row r="27" spans="2:33" s="37" customFormat="1">
      <c r="B27" s="523"/>
      <c r="C27" s="520" t="s">
        <v>102</v>
      </c>
      <c r="D27" s="94" t="s">
        <v>83</v>
      </c>
      <c r="E27" s="65">
        <v>6.0999999999999999E-2</v>
      </c>
      <c r="F27" s="66"/>
      <c r="G27" s="67">
        <f>E27+F27</f>
        <v>6.0999999999999999E-2</v>
      </c>
      <c r="H27" s="300"/>
      <c r="I27" s="68">
        <f t="shared" si="38"/>
        <v>6.0999999999999999E-2</v>
      </c>
      <c r="J27" s="302">
        <f t="shared" ref="J27:J34" si="39">H27/G27</f>
        <v>0</v>
      </c>
      <c r="K27" s="521">
        <f>E27+E28</f>
        <v>0.122</v>
      </c>
      <c r="L27" s="510">
        <f t="shared" ref="L27" si="40">F27+F28</f>
        <v>0.64800000000000002</v>
      </c>
      <c r="M27" s="510">
        <f t="shared" ref="M27" si="41">K27+L27</f>
        <v>0.77</v>
      </c>
      <c r="N27" s="510">
        <f t="shared" ref="N27" si="42">H27+H28</f>
        <v>0</v>
      </c>
      <c r="O27" s="516">
        <f t="shared" ref="O27" si="43">M27-N27</f>
        <v>0.77</v>
      </c>
      <c r="P27" s="518">
        <f t="shared" ref="P27" si="44">N27/M27</f>
        <v>0</v>
      </c>
      <c r="W27" s="538" t="s">
        <v>103</v>
      </c>
      <c r="X27" s="540" t="s">
        <v>104</v>
      </c>
      <c r="Y27" s="542">
        <v>237.3</v>
      </c>
      <c r="Z27" s="1" t="s">
        <v>97</v>
      </c>
      <c r="AA27" s="2">
        <f>E25+E27+E29+E31+E33</f>
        <v>118.59899999999999</v>
      </c>
      <c r="AB27" s="2">
        <f t="shared" ref="AB27:AD28" si="45">F25+F27+F29+F31+F33</f>
        <v>12.173</v>
      </c>
      <c r="AC27" s="2">
        <f t="shared" si="45"/>
        <v>130.77199999999999</v>
      </c>
      <c r="AD27" s="2">
        <f>H25+H27+H29+H31+H33</f>
        <v>44.100999999999999</v>
      </c>
      <c r="AE27" s="3">
        <f>AC27-AD27</f>
        <v>86.670999999999992</v>
      </c>
      <c r="AF27" s="102">
        <f>AD27/AC27</f>
        <v>0.33723579971247669</v>
      </c>
      <c r="AG27" s="4"/>
    </row>
    <row r="28" spans="2:33" s="37" customFormat="1" ht="15.75" thickBot="1">
      <c r="B28" s="523"/>
      <c r="C28" s="520"/>
      <c r="D28" s="94" t="s">
        <v>90</v>
      </c>
      <c r="E28" s="65">
        <v>6.0999999999999999E-2</v>
      </c>
      <c r="F28" s="66">
        <f>0.648</f>
        <v>0.64800000000000002</v>
      </c>
      <c r="G28" s="67">
        <f>E28+F28+I27</f>
        <v>0.77</v>
      </c>
      <c r="H28" s="300"/>
      <c r="I28" s="68">
        <f t="shared" si="38"/>
        <v>0.77</v>
      </c>
      <c r="J28" s="302">
        <f t="shared" si="39"/>
        <v>0</v>
      </c>
      <c r="K28" s="521"/>
      <c r="L28" s="510"/>
      <c r="M28" s="510"/>
      <c r="N28" s="510"/>
      <c r="O28" s="516"/>
      <c r="P28" s="519"/>
      <c r="W28" s="539"/>
      <c r="X28" s="541"/>
      <c r="Y28" s="543"/>
      <c r="Z28" s="5" t="s">
        <v>98</v>
      </c>
      <c r="AA28" s="6">
        <f>E26+E28+E30+E32+E34</f>
        <v>118.69999999999999</v>
      </c>
      <c r="AB28" s="6">
        <f t="shared" si="45"/>
        <v>-12.173</v>
      </c>
      <c r="AC28" s="6">
        <f t="shared" si="45"/>
        <v>193.19800000000001</v>
      </c>
      <c r="AD28" s="6">
        <f t="shared" si="45"/>
        <v>139.501</v>
      </c>
      <c r="AE28" s="3">
        <f>AC28-AD28</f>
        <v>53.697000000000003</v>
      </c>
      <c r="AF28" s="103">
        <f t="shared" ref="AF28" si="46">AD28/AC28</f>
        <v>0.72206234018985704</v>
      </c>
      <c r="AG28" s="7"/>
    </row>
    <row r="29" spans="2:33" s="37" customFormat="1">
      <c r="B29" s="523"/>
      <c r="C29" s="520" t="s">
        <v>105</v>
      </c>
      <c r="D29" s="94" t="s">
        <v>83</v>
      </c>
      <c r="E29" s="65">
        <v>70.52</v>
      </c>
      <c r="F29" s="66">
        <f>12.173</f>
        <v>12.173</v>
      </c>
      <c r="G29" s="67">
        <f>E29+F29</f>
        <v>82.692999999999998</v>
      </c>
      <c r="H29" s="300">
        <v>27.05</v>
      </c>
      <c r="I29" s="68">
        <f t="shared" si="38"/>
        <v>55.643000000000001</v>
      </c>
      <c r="J29" s="302">
        <f t="shared" si="39"/>
        <v>0.3271135404447777</v>
      </c>
      <c r="K29" s="521">
        <f>E29+E30</f>
        <v>141.1</v>
      </c>
      <c r="L29" s="510">
        <f t="shared" ref="L29" si="47">F29+F30</f>
        <v>12.173</v>
      </c>
      <c r="M29" s="510">
        <f t="shared" ref="M29" si="48">K29+L29</f>
        <v>153.273</v>
      </c>
      <c r="N29" s="510">
        <f t="shared" ref="N29" si="49">H29+H30</f>
        <v>146.54300000000001</v>
      </c>
      <c r="O29" s="516">
        <f t="shared" ref="O29" si="50">M29-N29</f>
        <v>6.7299999999999898</v>
      </c>
      <c r="P29" s="518">
        <f t="shared" ref="P29" si="51">N29/M29</f>
        <v>0.95609141857991953</v>
      </c>
    </row>
    <row r="30" spans="2:33" s="37" customFormat="1" ht="15.75" thickBot="1">
      <c r="B30" s="523"/>
      <c r="C30" s="520"/>
      <c r="D30" s="94" t="s">
        <v>90</v>
      </c>
      <c r="E30" s="65">
        <v>70.58</v>
      </c>
      <c r="F30" s="66"/>
      <c r="G30" s="67">
        <f>E30+F30+I29</f>
        <v>126.223</v>
      </c>
      <c r="H30" s="300">
        <f>0.023+119.47</f>
        <v>119.49299999999999</v>
      </c>
      <c r="I30" s="68">
        <f t="shared" si="38"/>
        <v>6.730000000000004</v>
      </c>
      <c r="J30" s="302">
        <f t="shared" si="39"/>
        <v>0.94668166657423758</v>
      </c>
      <c r="K30" s="521"/>
      <c r="L30" s="510"/>
      <c r="M30" s="510"/>
      <c r="N30" s="510"/>
      <c r="O30" s="516"/>
      <c r="P30" s="519"/>
    </row>
    <row r="31" spans="2:33" s="37" customFormat="1">
      <c r="B31" s="523"/>
      <c r="C31" s="520" t="s">
        <v>99</v>
      </c>
      <c r="D31" s="94" t="s">
        <v>83</v>
      </c>
      <c r="E31" s="65">
        <v>27.393000000000001</v>
      </c>
      <c r="F31" s="66"/>
      <c r="G31" s="67">
        <f t="shared" ref="G31" si="52">E31+F31</f>
        <v>27.393000000000001</v>
      </c>
      <c r="H31" s="300">
        <v>17.050999999999998</v>
      </c>
      <c r="I31" s="68">
        <f t="shared" si="38"/>
        <v>10.342000000000002</v>
      </c>
      <c r="J31" s="302">
        <f t="shared" si="39"/>
        <v>0.62245829226444704</v>
      </c>
      <c r="K31" s="521">
        <f>E31+E32</f>
        <v>54.808999999999997</v>
      </c>
      <c r="L31" s="510">
        <f t="shared" ref="L31" si="53">F31+F32</f>
        <v>-23.184000000000001</v>
      </c>
      <c r="M31" s="510">
        <f t="shared" ref="M31" si="54">K31+L31</f>
        <v>31.624999999999996</v>
      </c>
      <c r="N31" s="510">
        <f t="shared" ref="N31" si="55">H31+H32</f>
        <v>30.765999999999998</v>
      </c>
      <c r="O31" s="516">
        <f t="shared" ref="O31" si="56">M31-N31</f>
        <v>0.85899999999999821</v>
      </c>
      <c r="P31" s="518">
        <f t="shared" ref="P31" si="57">N31/M31</f>
        <v>0.97283794466403173</v>
      </c>
    </row>
    <row r="32" spans="2:33" s="37" customFormat="1" ht="15.75" thickBot="1">
      <c r="B32" s="523"/>
      <c r="C32" s="520"/>
      <c r="D32" s="94" t="s">
        <v>90</v>
      </c>
      <c r="E32" s="65">
        <v>27.416</v>
      </c>
      <c r="F32" s="66">
        <f>-23.184</f>
        <v>-23.184000000000001</v>
      </c>
      <c r="G32" s="67">
        <f t="shared" ref="G32" si="58">E32+F32+I31</f>
        <v>14.574000000000002</v>
      </c>
      <c r="H32" s="300">
        <v>13.715</v>
      </c>
      <c r="I32" s="68">
        <f t="shared" si="38"/>
        <v>0.85900000000000176</v>
      </c>
      <c r="J32" s="302">
        <f t="shared" si="39"/>
        <v>0.94105942088651007</v>
      </c>
      <c r="K32" s="521"/>
      <c r="L32" s="510"/>
      <c r="M32" s="510"/>
      <c r="N32" s="510"/>
      <c r="O32" s="516"/>
      <c r="P32" s="519"/>
    </row>
    <row r="33" spans="2:16" s="37" customFormat="1">
      <c r="B33" s="523"/>
      <c r="C33" s="520" t="s">
        <v>106</v>
      </c>
      <c r="D33" s="94" t="s">
        <v>83</v>
      </c>
      <c r="E33" s="355">
        <v>0.03</v>
      </c>
      <c r="F33" s="66"/>
      <c r="G33" s="67">
        <f t="shared" ref="G33" si="59">E33+F33</f>
        <v>0.03</v>
      </c>
      <c r="H33" s="300"/>
      <c r="I33" s="68">
        <f t="shared" si="38"/>
        <v>0.03</v>
      </c>
      <c r="J33" s="302">
        <f t="shared" si="39"/>
        <v>0</v>
      </c>
      <c r="K33" s="521">
        <f>E33+E34</f>
        <v>0.06</v>
      </c>
      <c r="L33" s="510">
        <f t="shared" ref="L33" si="60">F33+F34</f>
        <v>0.318</v>
      </c>
      <c r="M33" s="510">
        <f t="shared" ref="M33" si="61">K33+L33</f>
        <v>0.378</v>
      </c>
      <c r="N33" s="510">
        <f t="shared" ref="N33" si="62">H33+H34</f>
        <v>0</v>
      </c>
      <c r="O33" s="516">
        <f t="shared" ref="O33" si="63">M33-N33</f>
        <v>0.378</v>
      </c>
      <c r="P33" s="518">
        <f t="shared" ref="P33" si="64">N33/M33</f>
        <v>0</v>
      </c>
    </row>
    <row r="34" spans="2:16" s="37" customFormat="1" ht="15.75" thickBot="1">
      <c r="B34" s="524"/>
      <c r="C34" s="526"/>
      <c r="D34" s="95" t="s">
        <v>90</v>
      </c>
      <c r="E34" s="356">
        <v>0.03</v>
      </c>
      <c r="F34" s="70">
        <f>0.318</f>
        <v>0.318</v>
      </c>
      <c r="G34" s="71">
        <f t="shared" ref="G34" si="65">E34+F34+I33</f>
        <v>0.378</v>
      </c>
      <c r="H34" s="301"/>
      <c r="I34" s="72">
        <f t="shared" si="38"/>
        <v>0.378</v>
      </c>
      <c r="J34" s="302">
        <f t="shared" si="39"/>
        <v>0</v>
      </c>
      <c r="K34" s="527"/>
      <c r="L34" s="511"/>
      <c r="M34" s="511"/>
      <c r="N34" s="511"/>
      <c r="O34" s="517"/>
      <c r="P34" s="519"/>
    </row>
    <row r="35" spans="2:16" s="37" customFormat="1">
      <c r="C35" s="36"/>
      <c r="E35" s="37">
        <f>SUM(E25:E34)</f>
        <v>237.29900000000001</v>
      </c>
      <c r="F35" s="357">
        <f t="shared" ref="F35:I35" si="66">SUM(F25:F34)</f>
        <v>-1.3877787807814457E-15</v>
      </c>
      <c r="G35" s="37">
        <f t="shared" si="66"/>
        <v>323.97000000000003</v>
      </c>
      <c r="H35" s="37">
        <f>SUM(H25:H34)</f>
        <v>183.602</v>
      </c>
      <c r="I35" s="37">
        <f t="shared" si="66"/>
        <v>140.36800000000002</v>
      </c>
      <c r="J35" s="42">
        <f>H35/G35</f>
        <v>0.56672531407229065</v>
      </c>
      <c r="K35" s="37">
        <f>SUM(K25:K34)</f>
        <v>237.29900000000001</v>
      </c>
      <c r="L35" s="37">
        <f t="shared" ref="L35:O35" si="67">SUM(L25:L34)</f>
        <v>-1.3877787807814457E-15</v>
      </c>
      <c r="M35" s="37">
        <f t="shared" si="67"/>
        <v>237.29899999999998</v>
      </c>
      <c r="N35" s="37">
        <f t="shared" si="67"/>
        <v>183.602</v>
      </c>
      <c r="O35" s="37">
        <f t="shared" si="67"/>
        <v>53.696999999999989</v>
      </c>
      <c r="P35" s="42">
        <f>N35/M35</f>
        <v>0.77371586058095487</v>
      </c>
    </row>
    <row r="36" spans="2:16" s="37" customFormat="1">
      <c r="C36" s="36"/>
      <c r="O36" s="43"/>
      <c r="P36" s="44"/>
    </row>
    <row r="39" spans="2:16" hidden="1">
      <c r="J39" s="100">
        <v>1</v>
      </c>
    </row>
  </sheetData>
  <mergeCells count="122">
    <mergeCell ref="C15:C16"/>
    <mergeCell ref="K15:K16"/>
    <mergeCell ref="P11:P12"/>
    <mergeCell ref="C13:C14"/>
    <mergeCell ref="M13:M14"/>
    <mergeCell ref="N13:N14"/>
    <mergeCell ref="AD7:AD8"/>
    <mergeCell ref="AE7:AE8"/>
    <mergeCell ref="O13:O14"/>
    <mergeCell ref="P13:P14"/>
    <mergeCell ref="B5:B6"/>
    <mergeCell ref="C5:C6"/>
    <mergeCell ref="D5:D6"/>
    <mergeCell ref="E5:G5"/>
    <mergeCell ref="H5:J5"/>
    <mergeCell ref="K5:P5"/>
    <mergeCell ref="B7:B20"/>
    <mergeCell ref="C7:C8"/>
    <mergeCell ref="K7:K8"/>
    <mergeCell ref="L7:L8"/>
    <mergeCell ref="M7:M8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M15:M16"/>
    <mergeCell ref="AG7:AG8"/>
    <mergeCell ref="C9:C10"/>
    <mergeCell ref="K9:K10"/>
    <mergeCell ref="L9:L10"/>
    <mergeCell ref="M9:M10"/>
    <mergeCell ref="N9:N10"/>
    <mergeCell ref="N7:N8"/>
    <mergeCell ref="O7:O8"/>
    <mergeCell ref="P7:P8"/>
    <mergeCell ref="W7:W8"/>
    <mergeCell ref="X7:X8"/>
    <mergeCell ref="Y7:Y8"/>
    <mergeCell ref="O9:O10"/>
    <mergeCell ref="P9:P10"/>
    <mergeCell ref="W9:W10"/>
    <mergeCell ref="X9:X10"/>
    <mergeCell ref="Y9:Y10"/>
    <mergeCell ref="Z7:AC7"/>
    <mergeCell ref="AF7:AF8"/>
    <mergeCell ref="E23:G23"/>
    <mergeCell ref="H23:J23"/>
    <mergeCell ref="K23:P23"/>
    <mergeCell ref="C29:C30"/>
    <mergeCell ref="K29:K30"/>
    <mergeCell ref="L29:L30"/>
    <mergeCell ref="M29:M30"/>
    <mergeCell ref="C17:C18"/>
    <mergeCell ref="K17:K18"/>
    <mergeCell ref="L17:L18"/>
    <mergeCell ref="M17:M18"/>
    <mergeCell ref="N17:N18"/>
    <mergeCell ref="O17:O18"/>
    <mergeCell ref="P17:P18"/>
    <mergeCell ref="C19:C20"/>
    <mergeCell ref="K19:K20"/>
    <mergeCell ref="L19:L20"/>
    <mergeCell ref="M19:M20"/>
    <mergeCell ref="N19:N20"/>
    <mergeCell ref="O19:O20"/>
    <mergeCell ref="P19:P20"/>
    <mergeCell ref="K25:K26"/>
    <mergeCell ref="AG25:AG26"/>
    <mergeCell ref="C27:C28"/>
    <mergeCell ref="K27:K28"/>
    <mergeCell ref="L27:L28"/>
    <mergeCell ref="M27:M28"/>
    <mergeCell ref="N27:N28"/>
    <mergeCell ref="O27:O28"/>
    <mergeCell ref="O25:O26"/>
    <mergeCell ref="P25:P26"/>
    <mergeCell ref="W25:W26"/>
    <mergeCell ref="X25:X26"/>
    <mergeCell ref="Y25:Y26"/>
    <mergeCell ref="Z25:AC25"/>
    <mergeCell ref="P27:P28"/>
    <mergeCell ref="W27:W28"/>
    <mergeCell ref="X27:X28"/>
    <mergeCell ref="Y27:Y28"/>
    <mergeCell ref="C25:C26"/>
    <mergeCell ref="AD25:AD26"/>
    <mergeCell ref="AE25:AE26"/>
    <mergeCell ref="AF25:AF26"/>
    <mergeCell ref="L25:L26"/>
    <mergeCell ref="M25:M26"/>
    <mergeCell ref="M33:M34"/>
    <mergeCell ref="N29:N30"/>
    <mergeCell ref="B23:B24"/>
    <mergeCell ref="C23:C24"/>
    <mergeCell ref="D23:D24"/>
    <mergeCell ref="B2:P2"/>
    <mergeCell ref="B3:P3"/>
    <mergeCell ref="O29:O30"/>
    <mergeCell ref="N33:N34"/>
    <mergeCell ref="O33:O34"/>
    <mergeCell ref="P33:P34"/>
    <mergeCell ref="P29:P30"/>
    <mergeCell ref="C31:C32"/>
    <mergeCell ref="K31:K32"/>
    <mergeCell ref="L31:L32"/>
    <mergeCell ref="M31:M32"/>
    <mergeCell ref="N31:N32"/>
    <mergeCell ref="O31:O32"/>
    <mergeCell ref="P31:P32"/>
    <mergeCell ref="B25:B34"/>
    <mergeCell ref="N25:N26"/>
    <mergeCell ref="C33:C34"/>
    <mergeCell ref="K33:K34"/>
    <mergeCell ref="L33:L34"/>
  </mergeCells>
  <conditionalFormatting sqref="O25:O36 O4:O22">
    <cfRule type="cellIs" dxfId="4" priority="50" operator="lessThan">
      <formula>0</formula>
    </cfRule>
  </conditionalFormatting>
  <conditionalFormatting sqref="AF9:AF10">
    <cfRule type="dataBar" priority="49">
      <dataBar>
        <cfvo type="min"/>
        <cfvo type="max"/>
        <color rgb="FFFFB628"/>
      </dataBar>
    </cfRule>
  </conditionalFormatting>
  <conditionalFormatting sqref="AF7:AF10">
    <cfRule type="dataBar" priority="48">
      <dataBar>
        <cfvo type="min"/>
        <cfvo type="max"/>
        <color rgb="FFFFB628"/>
      </dataBar>
    </cfRule>
  </conditionalFormatting>
  <conditionalFormatting sqref="AF27:AF28">
    <cfRule type="dataBar" priority="47">
      <dataBar>
        <cfvo type="min"/>
        <cfvo type="max"/>
        <color rgb="FFFFB628"/>
      </dataBar>
    </cfRule>
  </conditionalFormatting>
  <conditionalFormatting sqref="AF25:AF28">
    <cfRule type="dataBar" priority="46">
      <dataBar>
        <cfvo type="min"/>
        <cfvo type="max"/>
        <color rgb="FFFFB628"/>
      </dataBar>
    </cfRule>
  </conditionalFormatting>
  <conditionalFormatting sqref="J21:J22 P21:P22">
    <cfRule type="dataBar" priority="45">
      <dataBar>
        <cfvo type="min"/>
        <cfvo type="max"/>
        <color rgb="FF63C384"/>
      </dataBar>
    </cfRule>
  </conditionalFormatting>
  <conditionalFormatting sqref="P21:P22 P35 J21:J22 J35:J36">
    <cfRule type="dataBar" priority="43">
      <dataBar>
        <cfvo type="min"/>
        <cfvo type="max"/>
        <color rgb="FF63C384"/>
      </dataBar>
    </cfRule>
  </conditionalFormatting>
  <conditionalFormatting sqref="P7:P8 P25:P36 P11:P22">
    <cfRule type="dataBar" priority="56">
      <dataBar>
        <cfvo type="min"/>
        <cfvo type="max"/>
        <color rgb="FF63C384"/>
      </dataBar>
    </cfRule>
  </conditionalFormatting>
  <conditionalFormatting sqref="P7:P8 P25:P34 P11:P22">
    <cfRule type="dataBar" priority="57">
      <dataBar>
        <cfvo type="min"/>
        <cfvo type="max"/>
        <color rgb="FF63C384"/>
      </dataBar>
    </cfRule>
  </conditionalFormatting>
  <conditionalFormatting sqref="O24">
    <cfRule type="cellIs" dxfId="3" priority="39" operator="lessThan">
      <formula>0</formula>
    </cfRule>
  </conditionalFormatting>
  <conditionalFormatting sqref="O23">
    <cfRule type="cellIs" dxfId="2" priority="38" operator="lessThan">
      <formula>0</formula>
    </cfRule>
  </conditionalFormatting>
  <conditionalFormatting sqref="P7:P8 P11:P2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{2A18271C-A6E9-4D61-A53D-A23C8ECE46E7}</x14:id>
        </ext>
      </extLst>
    </cfRule>
  </conditionalFormatting>
  <conditionalFormatting sqref="P25:P34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{BA6BFE01-A712-4E8F-8974-6BCB4E830D54}</x14:id>
        </ext>
      </extLst>
    </cfRule>
  </conditionalFormatting>
  <conditionalFormatting sqref="P7:P8 P11:P20">
    <cfRule type="dataBar" priority="32">
      <dataBar>
        <cfvo type="min"/>
        <cfvo type="max"/>
        <color rgb="FF638EC6"/>
      </dataBar>
    </cfRule>
  </conditionalFormatting>
  <conditionalFormatting sqref="P7:P8">
    <cfRule type="dataBar" priority="31">
      <dataBar>
        <cfvo type="min"/>
        <cfvo type="max"/>
        <color rgb="FF638EC6"/>
      </dataBar>
    </cfRule>
  </conditionalFormatting>
  <conditionalFormatting sqref="P11:P12">
    <cfRule type="dataBar" priority="30">
      <dataBar>
        <cfvo type="min"/>
        <cfvo type="max"/>
        <color rgb="FF638EC6"/>
      </dataBar>
    </cfRule>
  </conditionalFormatting>
  <conditionalFormatting sqref="P13:P20">
    <cfRule type="dataBar" priority="29">
      <dataBar>
        <cfvo type="min"/>
        <cfvo type="max"/>
        <color rgb="FF638EC6"/>
      </dataBar>
    </cfRule>
  </conditionalFormatting>
  <conditionalFormatting sqref="J7:J8">
    <cfRule type="dataBar" priority="27">
      <dataBar>
        <cfvo type="min"/>
        <cfvo type="max"/>
        <color rgb="FF63C384"/>
      </dataBar>
    </cfRule>
  </conditionalFormatting>
  <conditionalFormatting sqref="J7:J8">
    <cfRule type="dataBar" priority="28">
      <dataBar>
        <cfvo type="min"/>
        <cfvo type="max"/>
        <color rgb="FF63C384"/>
      </dataBar>
    </cfRule>
  </conditionalFormatting>
  <conditionalFormatting sqref="J7:J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{8817F09B-ECCA-44DE-9528-53828EC2604F}</x14:id>
        </ext>
      </extLst>
    </cfRule>
  </conditionalFormatting>
  <conditionalFormatting sqref="J7:J8">
    <cfRule type="dataBar" priority="25">
      <dataBar>
        <cfvo type="min"/>
        <cfvo type="max"/>
        <color rgb="FF638EC6"/>
      </dataBar>
    </cfRule>
  </conditionalFormatting>
  <conditionalFormatting sqref="J7:J8">
    <cfRule type="dataBar" priority="24">
      <dataBar>
        <cfvo type="min"/>
        <cfvo type="max"/>
        <color rgb="FF638EC6"/>
      </dataBar>
    </cfRule>
  </conditionalFormatting>
  <conditionalFormatting sqref="J9:J20">
    <cfRule type="dataBar" priority="22">
      <dataBar>
        <cfvo type="min"/>
        <cfvo type="max"/>
        <color rgb="FF63C384"/>
      </dataBar>
    </cfRule>
  </conditionalFormatting>
  <conditionalFormatting sqref="J9:J20">
    <cfRule type="dataBar" priority="23">
      <dataBar>
        <cfvo type="min"/>
        <cfvo type="max"/>
        <color rgb="FF63C384"/>
      </dataBar>
    </cfRule>
  </conditionalFormatting>
  <conditionalFormatting sqref="J9:J2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{B15DE6DB-6366-4DC5-96EA-32D9BE1AD472}</x14:id>
        </ext>
      </extLst>
    </cfRule>
  </conditionalFormatting>
  <conditionalFormatting sqref="J9:J20">
    <cfRule type="dataBar" priority="20">
      <dataBar>
        <cfvo type="min"/>
        <cfvo type="max"/>
        <color rgb="FF638EC6"/>
      </dataBar>
    </cfRule>
  </conditionalFormatting>
  <conditionalFormatting sqref="J9:J20">
    <cfRule type="dataBar" priority="19">
      <dataBar>
        <cfvo type="min"/>
        <cfvo type="max"/>
        <color rgb="FF638EC6"/>
      </dataBar>
    </cfRule>
  </conditionalFormatting>
  <conditionalFormatting sqref="J25:J34">
    <cfRule type="cellIs" dxfId="1" priority="5" operator="greaterThan">
      <formula>0.9</formula>
    </cfRule>
    <cfRule type="dataBar" priority="17">
      <dataBar>
        <cfvo type="min"/>
        <cfvo type="max"/>
        <color rgb="FF63C384"/>
      </dataBar>
    </cfRule>
  </conditionalFormatting>
  <conditionalFormatting sqref="J25:J34">
    <cfRule type="dataBar" priority="18">
      <dataBar>
        <cfvo type="min"/>
        <cfvo type="max"/>
        <color rgb="FF63C384"/>
      </dataBar>
    </cfRule>
  </conditionalFormatting>
  <conditionalFormatting sqref="J25:J34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{98A1B587-E3CA-4A04-ADBB-98A907B60853}</x14:id>
        </ext>
      </extLst>
    </cfRule>
  </conditionalFormatting>
  <conditionalFormatting sqref="J25:J34">
    <cfRule type="dataBar" priority="15">
      <dataBar>
        <cfvo type="min"/>
        <cfvo type="max"/>
        <color rgb="FF638EC6"/>
      </dataBar>
    </cfRule>
  </conditionalFormatting>
  <conditionalFormatting sqref="J25:J3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{476970AD-9F87-4899-955D-B5CCEE1A6997}</x14:id>
        </ext>
      </extLst>
    </cfRule>
  </conditionalFormatting>
  <conditionalFormatting sqref="P25:P34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{964081A9-852E-4820-8762-64E66165B505}</x14:id>
        </ext>
      </extLst>
    </cfRule>
  </conditionalFormatting>
  <conditionalFormatting sqref="P25:P34">
    <cfRule type="dataBar" priority="12">
      <dataBar>
        <cfvo type="min"/>
        <cfvo type="max"/>
        <color rgb="FF638EC6"/>
      </dataBar>
    </cfRule>
  </conditionalFormatting>
  <conditionalFormatting sqref="P25:P3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{189C6EA7-B287-42B0-9F40-C75E72631C2E}</x14:id>
        </ext>
      </extLst>
    </cfRule>
  </conditionalFormatting>
  <conditionalFormatting sqref="P9:P10">
    <cfRule type="dataBar" priority="10">
      <dataBar>
        <cfvo type="min"/>
        <cfvo type="max"/>
        <color rgb="FF638EC6"/>
      </dataBar>
    </cfRule>
  </conditionalFormatting>
  <conditionalFormatting sqref="P9:P10">
    <cfRule type="dataBar" priority="9">
      <dataBar>
        <cfvo type="min"/>
        <cfvo type="max"/>
        <color rgb="FF638EC6"/>
      </dataBar>
    </cfRule>
  </conditionalFormatting>
  <conditionalFormatting sqref="J7:J20">
    <cfRule type="cellIs" dxfId="0" priority="7" operator="greaterThan">
      <formula>0.9</formula>
    </cfRule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{CFD4FC24-5B18-4643-B60C-5445DFAA769D}</x14:id>
        </ext>
      </extLst>
    </cfRule>
  </conditionalFormatting>
  <conditionalFormatting sqref="P7:P2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{5FA46A06-249E-4A4E-A0E0-EF506729194E}</x14:id>
        </ext>
      </extLst>
    </cfRule>
  </conditionalFormatting>
  <conditionalFormatting sqref="J25:J35 P25:P34 J39 J6:J20 P7:P2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{A35562AF-9ED6-4F00-B856-F843E7B225FF}</x14:id>
        </ext>
      </extLst>
    </cfRule>
  </conditionalFormatting>
  <conditionalFormatting sqref="AF9:AF10 AF27:AF28 AI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{4E829664-B700-4475-BAAD-B6A823E83388}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18271C-A6E9-4D61-A53D-A23C8ECE46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P7:P8 P11:P20</xm:sqref>
        </x14:conditionalFormatting>
        <x14:conditionalFormatting xmlns:xm="http://schemas.microsoft.com/office/excel/2006/main">
          <x14:cfRule type="dataBar" id="{BA6BFE01-A712-4E8F-8974-6BCB4E830D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P25:P34</xm:sqref>
        </x14:conditionalFormatting>
        <x14:conditionalFormatting xmlns:xm="http://schemas.microsoft.com/office/excel/2006/main">
          <x14:cfRule type="dataBar" id="{8817F09B-ECCA-44DE-9528-53828EC260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J7:J8</xm:sqref>
        </x14:conditionalFormatting>
        <x14:conditionalFormatting xmlns:xm="http://schemas.microsoft.com/office/excel/2006/main">
          <x14:cfRule type="dataBar" id="{B15DE6DB-6366-4DC5-96EA-32D9BE1AD4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J9:J20</xm:sqref>
        </x14:conditionalFormatting>
        <x14:conditionalFormatting xmlns:xm="http://schemas.microsoft.com/office/excel/2006/main">
          <x14:cfRule type="dataBar" id="{98A1B587-E3CA-4A04-ADBB-98A907B60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J25:J34</xm:sqref>
        </x14:conditionalFormatting>
        <x14:conditionalFormatting xmlns:xm="http://schemas.microsoft.com/office/excel/2006/main">
          <x14:cfRule type="dataBar" id="{476970AD-9F87-4899-955D-B5CCEE1A6997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638EC6"/>
            </x14:dataBar>
          </x14:cfRule>
          <xm:sqref>J25:J34</xm:sqref>
        </x14:conditionalFormatting>
        <x14:conditionalFormatting xmlns:xm="http://schemas.microsoft.com/office/excel/2006/main">
          <x14:cfRule type="dataBar" id="{964081A9-852E-4820-8762-64E66165B5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P25:P34</xm:sqref>
        </x14:conditionalFormatting>
        <x14:conditionalFormatting xmlns:xm="http://schemas.microsoft.com/office/excel/2006/main">
          <x14:cfRule type="dataBar" id="{189C6EA7-B287-42B0-9F40-C75E72631C2E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638EC6"/>
            </x14:dataBar>
          </x14:cfRule>
          <xm:sqref>P25:P34</xm:sqref>
        </x14:conditionalFormatting>
        <x14:conditionalFormatting xmlns:xm="http://schemas.microsoft.com/office/excel/2006/main">
          <x14:cfRule type="dataBar" id="{CFD4FC24-5B18-4643-B60C-5445DFAA76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J7:J20</xm:sqref>
        </x14:conditionalFormatting>
        <x14:conditionalFormatting xmlns:xm="http://schemas.microsoft.com/office/excel/2006/main">
          <x14:cfRule type="dataBar" id="{5FA46A06-249E-4A4E-A0E0-EF50672919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P7:P20</xm:sqref>
        </x14:conditionalFormatting>
        <x14:conditionalFormatting xmlns:xm="http://schemas.microsoft.com/office/excel/2006/main">
          <x14:cfRule type="dataBar" id="{A35562AF-9ED6-4F00-B856-F843E7B225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J25:J35 P25:P34 J39 J6:J20 P7:P20</xm:sqref>
        </x14:conditionalFormatting>
        <x14:conditionalFormatting xmlns:xm="http://schemas.microsoft.com/office/excel/2006/main">
          <x14:cfRule type="dataBar" id="{4E829664-B700-4475-BAAD-B6A823E833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AF9:AF10 AF27:AF28 AI10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zoomScale="80" zoomScaleNormal="80" workbookViewId="0">
      <selection activeCell="J27" sqref="J27"/>
    </sheetView>
  </sheetViews>
  <sheetFormatPr baseColWidth="10" defaultColWidth="11.42578125" defaultRowHeight="15"/>
  <cols>
    <col min="1" max="1" width="28.28515625" style="9" customWidth="1"/>
    <col min="2" max="2" width="50.5703125" style="9" customWidth="1"/>
    <col min="3" max="3" width="23" style="9" bestFit="1" customWidth="1"/>
    <col min="4" max="4" width="11.42578125" style="9"/>
    <col min="5" max="6" width="14" style="9" customWidth="1"/>
    <col min="7" max="7" width="12.140625" style="9" bestFit="1" customWidth="1"/>
    <col min="8" max="8" width="12.5703125" style="9" bestFit="1" customWidth="1"/>
    <col min="9" max="9" width="17.140625" style="9" customWidth="1"/>
    <col min="10" max="10" width="11.42578125" style="9"/>
    <col min="11" max="11" width="12.7109375" style="9" customWidth="1"/>
    <col min="12" max="12" width="16" style="9" bestFit="1" customWidth="1"/>
    <col min="13" max="16384" width="11.42578125" style="9"/>
  </cols>
  <sheetData>
    <row r="1" spans="2:12" s="137" customFormat="1" ht="34.5" customHeight="1" thickBot="1"/>
    <row r="2" spans="2:12" s="137" customFormat="1" ht="20.100000000000001" customHeight="1">
      <c r="B2" s="566" t="s">
        <v>175</v>
      </c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2:12" s="137" customFormat="1" ht="19.899999999999999" customHeight="1" thickBot="1">
      <c r="B3" s="569">
        <v>43437</v>
      </c>
      <c r="C3" s="570"/>
      <c r="D3" s="570"/>
      <c r="E3" s="570"/>
      <c r="F3" s="570"/>
      <c r="G3" s="570"/>
      <c r="H3" s="570"/>
      <c r="I3" s="570"/>
      <c r="J3" s="570"/>
      <c r="K3" s="570"/>
      <c r="L3" s="571"/>
    </row>
    <row r="4" spans="2:12" s="137" customFormat="1" ht="22.5" customHeight="1" thickBot="1"/>
    <row r="5" spans="2:12" s="137" customFormat="1" ht="26.25" customHeight="1">
      <c r="B5" s="572" t="s">
        <v>84</v>
      </c>
      <c r="C5" s="574" t="s">
        <v>114</v>
      </c>
      <c r="D5" s="576" t="s">
        <v>91</v>
      </c>
      <c r="E5" s="578" t="s">
        <v>115</v>
      </c>
      <c r="F5" s="589" t="s">
        <v>210</v>
      </c>
      <c r="G5" s="580" t="s">
        <v>116</v>
      </c>
      <c r="H5" s="581"/>
      <c r="I5" s="582" t="s">
        <v>117</v>
      </c>
      <c r="J5" s="584" t="s">
        <v>78</v>
      </c>
      <c r="K5" s="574" t="s">
        <v>118</v>
      </c>
      <c r="L5" s="587" t="s">
        <v>89</v>
      </c>
    </row>
    <row r="6" spans="2:12" s="137" customFormat="1" ht="30.75" customHeight="1" thickBot="1">
      <c r="B6" s="573"/>
      <c r="C6" s="575"/>
      <c r="D6" s="577"/>
      <c r="E6" s="579"/>
      <c r="F6" s="590"/>
      <c r="G6" s="315" t="s">
        <v>119</v>
      </c>
      <c r="H6" s="296" t="s">
        <v>120</v>
      </c>
      <c r="I6" s="583"/>
      <c r="J6" s="585"/>
      <c r="K6" s="586"/>
      <c r="L6" s="588"/>
    </row>
    <row r="7" spans="2:12" s="137" customFormat="1" ht="25.5" customHeight="1" thickBot="1">
      <c r="B7" s="561" t="s">
        <v>108</v>
      </c>
      <c r="C7" s="138" t="s">
        <v>109</v>
      </c>
      <c r="D7" s="314" t="s">
        <v>48</v>
      </c>
      <c r="E7" s="318">
        <v>2</v>
      </c>
      <c r="F7" s="319">
        <f>E7</f>
        <v>2</v>
      </c>
      <c r="G7" s="630">
        <v>0</v>
      </c>
      <c r="H7" s="287">
        <v>0</v>
      </c>
      <c r="I7" s="324">
        <f t="shared" ref="I7" si="0">G7+H7</f>
        <v>0</v>
      </c>
      <c r="J7" s="287">
        <f t="shared" ref="J7:J10" si="1">E7-I7</f>
        <v>2</v>
      </c>
      <c r="K7" s="104">
        <f>I7/E7</f>
        <v>0</v>
      </c>
      <c r="L7" s="96" t="s">
        <v>190</v>
      </c>
    </row>
    <row r="8" spans="2:12" s="137" customFormat="1" ht="20.100000000000001" customHeight="1" thickBot="1">
      <c r="B8" s="562"/>
      <c r="C8" s="564" t="s">
        <v>110</v>
      </c>
      <c r="D8" s="314" t="s">
        <v>111</v>
      </c>
      <c r="E8" s="322">
        <v>52</v>
      </c>
      <c r="F8" s="323">
        <f>E8</f>
        <v>52</v>
      </c>
      <c r="G8" s="630">
        <v>0</v>
      </c>
      <c r="H8" s="631">
        <v>20.831</v>
      </c>
      <c r="I8" s="324">
        <f>G8+H8</f>
        <v>20.831</v>
      </c>
      <c r="J8" s="287">
        <f>E8-I8</f>
        <v>31.169</v>
      </c>
      <c r="K8" s="104">
        <f>I8/F8</f>
        <v>0.40059615384615382</v>
      </c>
      <c r="L8" s="97" t="s">
        <v>190</v>
      </c>
    </row>
    <row r="9" spans="2:12" s="137" customFormat="1" ht="20.100000000000001" customHeight="1" thickBot="1">
      <c r="B9" s="562"/>
      <c r="C9" s="565"/>
      <c r="D9" s="314" t="s">
        <v>112</v>
      </c>
      <c r="E9" s="316">
        <v>53</v>
      </c>
      <c r="F9" s="317">
        <f>E9+J8</f>
        <v>84.168999999999997</v>
      </c>
      <c r="G9" s="630">
        <v>2.117</v>
      </c>
      <c r="H9" s="631">
        <v>85.540999999999997</v>
      </c>
      <c r="I9" s="324">
        <v>97.65</v>
      </c>
      <c r="J9" s="287">
        <f>F9-I9</f>
        <v>-13.481000000000009</v>
      </c>
      <c r="K9" s="104">
        <f>I9/F9</f>
        <v>1.1601658567881288</v>
      </c>
      <c r="L9" s="277">
        <v>43399</v>
      </c>
    </row>
    <row r="10" spans="2:12" s="137" customFormat="1" ht="20.100000000000001" customHeight="1" thickBot="1">
      <c r="B10" s="563"/>
      <c r="C10" s="139" t="s">
        <v>113</v>
      </c>
      <c r="D10" s="314" t="s">
        <v>48</v>
      </c>
      <c r="E10" s="320">
        <v>11</v>
      </c>
      <c r="F10" s="321">
        <f t="shared" ref="F10" si="2">E10</f>
        <v>11</v>
      </c>
      <c r="G10" s="630">
        <v>1.9E-2</v>
      </c>
      <c r="H10" s="631">
        <v>3.2120000000000002</v>
      </c>
      <c r="I10" s="324">
        <v>3.1419999999999999</v>
      </c>
      <c r="J10" s="287">
        <f t="shared" si="1"/>
        <v>7.8580000000000005</v>
      </c>
      <c r="K10" s="104">
        <f>I10/E10</f>
        <v>0.28563636363636363</v>
      </c>
      <c r="L10" s="96" t="s">
        <v>190</v>
      </c>
    </row>
    <row r="12" spans="2:12" hidden="1">
      <c r="K12" s="100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conditionalFormatting sqref="K7:K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{67E8C0E6-5519-4CC5-8EE9-EA480E3ADA3C}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ignoredErrors>
    <ignoredError sqref="F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E8C0E6-5519-4CC5-8EE9-EA480E3ADA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J17" sqref="J17"/>
    </sheetView>
  </sheetViews>
  <sheetFormatPr baseColWidth="10" defaultRowHeight="15"/>
  <cols>
    <col min="1" max="1" width="12.28515625" style="9" customWidth="1"/>
    <col min="2" max="2" width="37.7109375" style="9" bestFit="1" customWidth="1"/>
    <col min="3" max="3" width="19.5703125" style="9" customWidth="1"/>
    <col min="4" max="4" width="14.7109375" style="9" bestFit="1" customWidth="1"/>
    <col min="5" max="5" width="21.42578125" style="9" customWidth="1"/>
    <col min="6" max="6" width="24.28515625" style="9" bestFit="1" customWidth="1"/>
    <col min="7" max="7" width="16.5703125" style="9" customWidth="1"/>
    <col min="8" max="8" width="11.42578125" style="9"/>
    <col min="9" max="9" width="14.140625" style="9" customWidth="1"/>
    <col min="10" max="10" width="21.85546875" style="9" customWidth="1"/>
    <col min="11" max="11" width="11.42578125" style="9"/>
    <col min="12" max="12" width="18" style="9" customWidth="1"/>
    <col min="13" max="16384" width="11.42578125" style="9"/>
  </cols>
  <sheetData>
    <row r="1" spans="2:9" ht="41.25" customHeight="1" thickBot="1"/>
    <row r="2" spans="2:9">
      <c r="B2" s="591" t="s">
        <v>218</v>
      </c>
      <c r="C2" s="592"/>
      <c r="D2" s="592"/>
      <c r="E2" s="592"/>
      <c r="F2" s="592"/>
      <c r="G2" s="592"/>
      <c r="H2" s="592"/>
      <c r="I2" s="593"/>
    </row>
    <row r="3" spans="2:9" ht="15.75" thickBot="1">
      <c r="B3" s="594">
        <v>43437</v>
      </c>
      <c r="C3" s="595"/>
      <c r="D3" s="595"/>
      <c r="E3" s="595"/>
      <c r="F3" s="595"/>
      <c r="G3" s="595"/>
      <c r="H3" s="595"/>
      <c r="I3" s="596"/>
    </row>
    <row r="4" spans="2:9">
      <c r="B4" s="348"/>
    </row>
    <row r="5" spans="2:9" ht="15.75" thickBot="1">
      <c r="B5" s="348"/>
    </row>
    <row r="6" spans="2:9" s="37" customFormat="1" ht="19.5" customHeight="1" thickBot="1">
      <c r="B6" s="350" t="s">
        <v>211</v>
      </c>
      <c r="C6" s="351" t="s">
        <v>212</v>
      </c>
      <c r="D6" s="351" t="s">
        <v>213</v>
      </c>
      <c r="E6" s="351" t="s">
        <v>85</v>
      </c>
      <c r="F6" s="352" t="s">
        <v>144</v>
      </c>
      <c r="G6" s="350" t="s">
        <v>8</v>
      </c>
      <c r="H6" s="351" t="s">
        <v>9</v>
      </c>
      <c r="I6" s="352" t="s">
        <v>214</v>
      </c>
    </row>
    <row r="7" spans="2:9">
      <c r="B7" s="344">
        <v>1578</v>
      </c>
      <c r="C7" s="345">
        <v>43214</v>
      </c>
      <c r="D7" s="346" t="s">
        <v>219</v>
      </c>
      <c r="E7" s="346" t="s">
        <v>220</v>
      </c>
      <c r="F7" s="612">
        <v>11.6</v>
      </c>
      <c r="G7" s="632">
        <v>6.8689999999999998</v>
      </c>
      <c r="H7" s="614">
        <f>F7-(G7+G8)</f>
        <v>4.7309999999999999</v>
      </c>
      <c r="I7" s="616">
        <f>(G7+G8)/F7</f>
        <v>0.59215517241379312</v>
      </c>
    </row>
    <row r="8" spans="2:9">
      <c r="B8" s="336">
        <v>3463</v>
      </c>
      <c r="C8" s="326">
        <v>43376</v>
      </c>
      <c r="D8" s="325" t="s">
        <v>219</v>
      </c>
      <c r="E8" s="325" t="s">
        <v>170</v>
      </c>
      <c r="F8" s="613"/>
      <c r="G8" s="633"/>
      <c r="H8" s="615"/>
      <c r="I8" s="617"/>
    </row>
    <row r="9" spans="2:9" ht="15.75" thickBot="1">
      <c r="B9" s="337">
        <v>3671</v>
      </c>
      <c r="C9" s="338">
        <v>43391</v>
      </c>
      <c r="D9" s="339" t="s">
        <v>219</v>
      </c>
      <c r="E9" s="339" t="s">
        <v>170</v>
      </c>
      <c r="F9" s="340">
        <v>2.5</v>
      </c>
      <c r="G9" s="634">
        <v>1.8540000000000001</v>
      </c>
      <c r="H9" s="341">
        <f>F9-G9</f>
        <v>0.64599999999999991</v>
      </c>
      <c r="I9" s="342">
        <f>G9/F9</f>
        <v>0.74160000000000004</v>
      </c>
    </row>
    <row r="10" spans="2:9">
      <c r="G10" s="349"/>
    </row>
    <row r="11" spans="2:9" ht="22.5" customHeight="1" thickBot="1"/>
    <row r="12" spans="2:9" s="37" customFormat="1" ht="26.25" customHeight="1" thickBot="1">
      <c r="B12" s="350" t="s">
        <v>216</v>
      </c>
      <c r="C12" s="351" t="s">
        <v>215</v>
      </c>
      <c r="D12" s="351" t="s">
        <v>227</v>
      </c>
      <c r="E12" s="351" t="s">
        <v>228</v>
      </c>
      <c r="F12" s="352" t="s">
        <v>232</v>
      </c>
      <c r="G12" s="201"/>
    </row>
    <row r="13" spans="2:9">
      <c r="B13" s="600" t="s">
        <v>217</v>
      </c>
      <c r="C13" s="347" t="s">
        <v>221</v>
      </c>
      <c r="D13" s="331">
        <v>951285</v>
      </c>
      <c r="E13" s="354" t="s">
        <v>229</v>
      </c>
      <c r="F13" s="604">
        <v>43434</v>
      </c>
      <c r="G13" s="23"/>
    </row>
    <row r="14" spans="2:9">
      <c r="B14" s="601"/>
      <c r="C14" s="327" t="s">
        <v>222</v>
      </c>
      <c r="D14" s="329">
        <v>27905</v>
      </c>
      <c r="E14" s="332" t="s">
        <v>229</v>
      </c>
      <c r="F14" s="604"/>
      <c r="G14" s="23"/>
    </row>
    <row r="15" spans="2:9">
      <c r="B15" s="601"/>
      <c r="C15" s="327" t="s">
        <v>223</v>
      </c>
      <c r="D15" s="329">
        <v>923184</v>
      </c>
      <c r="E15" s="332" t="s">
        <v>230</v>
      </c>
      <c r="F15" s="604"/>
      <c r="G15" s="23"/>
    </row>
    <row r="16" spans="2:9">
      <c r="B16" s="601"/>
      <c r="C16" s="327" t="s">
        <v>224</v>
      </c>
      <c r="D16" s="329">
        <v>925999</v>
      </c>
      <c r="E16" s="332" t="s">
        <v>230</v>
      </c>
      <c r="F16" s="604"/>
    </row>
    <row r="17" spans="2:6">
      <c r="B17" s="601"/>
      <c r="C17" s="327" t="s">
        <v>225</v>
      </c>
      <c r="D17" s="329">
        <v>961104</v>
      </c>
      <c r="E17" s="332" t="s">
        <v>231</v>
      </c>
      <c r="F17" s="604"/>
    </row>
    <row r="18" spans="2:6">
      <c r="B18" s="601"/>
      <c r="C18" s="327" t="s">
        <v>226</v>
      </c>
      <c r="D18" s="329">
        <v>15714</v>
      </c>
      <c r="E18" s="332" t="s">
        <v>231</v>
      </c>
      <c r="F18" s="604"/>
    </row>
    <row r="19" spans="2:6">
      <c r="B19" s="602" t="s">
        <v>233</v>
      </c>
      <c r="C19" s="333" t="s">
        <v>241</v>
      </c>
      <c r="D19" s="330">
        <v>962056</v>
      </c>
      <c r="E19" s="334" t="s">
        <v>230</v>
      </c>
      <c r="F19" s="604"/>
    </row>
    <row r="20" spans="2:6">
      <c r="B20" s="603"/>
      <c r="C20" s="333" t="s">
        <v>234</v>
      </c>
      <c r="D20" s="330">
        <v>41155</v>
      </c>
      <c r="E20" s="334" t="s">
        <v>230</v>
      </c>
      <c r="F20" s="604"/>
    </row>
    <row r="21" spans="2:6">
      <c r="B21" s="600"/>
      <c r="C21" s="333" t="s">
        <v>235</v>
      </c>
      <c r="D21" s="330">
        <v>964003</v>
      </c>
      <c r="E21" s="334" t="s">
        <v>230</v>
      </c>
      <c r="F21" s="605"/>
    </row>
    <row r="22" spans="2:6">
      <c r="B22" s="606" t="s">
        <v>239</v>
      </c>
      <c r="C22" s="328" t="s">
        <v>236</v>
      </c>
      <c r="D22" s="335">
        <v>963949</v>
      </c>
      <c r="E22" s="609" t="s">
        <v>230</v>
      </c>
      <c r="F22" s="597">
        <v>43465</v>
      </c>
    </row>
    <row r="23" spans="2:6">
      <c r="B23" s="607"/>
      <c r="C23" s="328" t="s">
        <v>237</v>
      </c>
      <c r="D23" s="335">
        <v>965090</v>
      </c>
      <c r="E23" s="610"/>
      <c r="F23" s="598"/>
    </row>
    <row r="24" spans="2:6" ht="15.75" thickBot="1">
      <c r="B24" s="608"/>
      <c r="C24" s="343" t="s">
        <v>238</v>
      </c>
      <c r="D24" s="353">
        <v>927895</v>
      </c>
      <c r="E24" s="611"/>
      <c r="F24" s="599"/>
    </row>
    <row r="26" spans="2:6">
      <c r="B26" s="23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00"/>
  <sheetViews>
    <sheetView zoomScale="80" zoomScaleNormal="80" workbookViewId="0">
      <pane ySplit="1" topLeftCell="A2" activePane="bottomLeft" state="frozen"/>
      <selection pane="bottomLeft" activeCell="R8" sqref="R8"/>
    </sheetView>
  </sheetViews>
  <sheetFormatPr baseColWidth="10" defaultColWidth="11.42578125" defaultRowHeight="15"/>
  <cols>
    <col min="1" max="1" width="34.140625" style="290" bestFit="1" customWidth="1"/>
    <col min="2" max="2" width="18.85546875" style="290" bestFit="1" customWidth="1"/>
    <col min="3" max="3" width="30.140625" style="290" bestFit="1" customWidth="1"/>
    <col min="4" max="4" width="30.5703125" style="290" bestFit="1" customWidth="1"/>
    <col min="5" max="5" width="29.85546875" style="290" bestFit="1" customWidth="1"/>
    <col min="6" max="6" width="14.5703125" style="290" bestFit="1" customWidth="1"/>
    <col min="7" max="7" width="13.85546875" style="290" bestFit="1" customWidth="1"/>
    <col min="8" max="8" width="9.85546875" style="290" bestFit="1" customWidth="1"/>
    <col min="9" max="9" width="21.7109375" style="290" bestFit="1" customWidth="1"/>
    <col min="10" max="11" width="15" style="290" bestFit="1" customWidth="1"/>
    <col min="12" max="12" width="8.7109375" style="290" bestFit="1" customWidth="1"/>
    <col min="13" max="13" width="17.7109375" style="295" bestFit="1" customWidth="1"/>
    <col min="14" max="14" width="11.28515625" style="363" bestFit="1" customWidth="1"/>
    <col min="15" max="15" width="11.42578125" style="290" bestFit="1" customWidth="1"/>
    <col min="16" max="16384" width="11.42578125" style="290"/>
  </cols>
  <sheetData>
    <row r="1" spans="1:15" s="289" customFormat="1" ht="15.75">
      <c r="A1" s="141" t="s">
        <v>138</v>
      </c>
      <c r="B1" s="141" t="s">
        <v>139</v>
      </c>
      <c r="C1" s="141" t="s">
        <v>85</v>
      </c>
      <c r="D1" s="141" t="s">
        <v>140</v>
      </c>
      <c r="E1" s="141" t="s">
        <v>141</v>
      </c>
      <c r="F1" s="141" t="s">
        <v>142</v>
      </c>
      <c r="G1" s="141" t="s">
        <v>143</v>
      </c>
      <c r="H1" s="141" t="s">
        <v>144</v>
      </c>
      <c r="I1" s="141" t="s">
        <v>145</v>
      </c>
      <c r="J1" s="141" t="s">
        <v>7</v>
      </c>
      <c r="K1" s="141" t="s">
        <v>146</v>
      </c>
      <c r="L1" s="141" t="s">
        <v>9</v>
      </c>
      <c r="M1" s="142" t="s">
        <v>147</v>
      </c>
      <c r="N1" s="361" t="s">
        <v>148</v>
      </c>
      <c r="O1" s="143" t="s">
        <v>149</v>
      </c>
    </row>
    <row r="2" spans="1:15">
      <c r="A2" s="144" t="s">
        <v>157</v>
      </c>
      <c r="B2" s="144" t="s">
        <v>151</v>
      </c>
      <c r="C2" s="144" t="s">
        <v>184</v>
      </c>
      <c r="D2" s="144" t="s">
        <v>152</v>
      </c>
      <c r="E2" s="144" t="s">
        <v>153</v>
      </c>
      <c r="F2" s="144" t="s">
        <v>34</v>
      </c>
      <c r="G2" s="144" t="s">
        <v>35</v>
      </c>
      <c r="H2" s="144">
        <f>'Congrio dorado Industrial'!E7</f>
        <v>0.52800000000000002</v>
      </c>
      <c r="I2" s="144">
        <f>'Congrio dorado Industrial'!F7</f>
        <v>0</v>
      </c>
      <c r="J2" s="144">
        <f>'Congrio dorado Industrial'!G7</f>
        <v>0.52800000000000002</v>
      </c>
      <c r="K2" s="144">
        <f>'Congrio dorado Industrial'!H7</f>
        <v>0</v>
      </c>
      <c r="L2" s="144">
        <f>'Congrio dorado Industrial'!I7</f>
        <v>0.52800000000000002</v>
      </c>
      <c r="M2" s="145">
        <f>'Congrio dorado Industrial'!J7</f>
        <v>0</v>
      </c>
      <c r="N2" s="276" t="s">
        <v>190</v>
      </c>
      <c r="O2" s="288">
        <v>43437</v>
      </c>
    </row>
    <row r="3" spans="1:15">
      <c r="A3" s="144" t="s">
        <v>157</v>
      </c>
      <c r="B3" s="144" t="s">
        <v>151</v>
      </c>
      <c r="C3" s="144" t="s">
        <v>184</v>
      </c>
      <c r="D3" s="144" t="s">
        <v>152</v>
      </c>
      <c r="E3" s="144" t="s">
        <v>153</v>
      </c>
      <c r="F3" s="144" t="s">
        <v>154</v>
      </c>
      <c r="G3" s="144" t="s">
        <v>45</v>
      </c>
      <c r="H3" s="144">
        <f>'Congrio dorado Industrial'!E8</f>
        <v>0.52800000000000002</v>
      </c>
      <c r="I3" s="144">
        <f>'Congrio dorado Industrial'!F8</f>
        <v>15.798999999999999</v>
      </c>
      <c r="J3" s="144">
        <f>'Congrio dorado Industrial'!G8</f>
        <v>16.854999999999997</v>
      </c>
      <c r="K3" s="144">
        <f>'Congrio dorado Industrial'!H8</f>
        <v>8.532</v>
      </c>
      <c r="L3" s="144">
        <f>'Congrio dorado Industrial'!I8</f>
        <v>8.3229999999999968</v>
      </c>
      <c r="M3" s="145">
        <f>'Congrio dorado Industrial'!J8</f>
        <v>0.50619994067042429</v>
      </c>
      <c r="N3" s="276" t="s">
        <v>190</v>
      </c>
      <c r="O3" s="288">
        <v>43437</v>
      </c>
    </row>
    <row r="4" spans="1:15">
      <c r="A4" s="144" t="s">
        <v>157</v>
      </c>
      <c r="B4" s="144" t="s">
        <v>151</v>
      </c>
      <c r="C4" s="144" t="s">
        <v>184</v>
      </c>
      <c r="D4" s="144" t="s">
        <v>152</v>
      </c>
      <c r="E4" s="144" t="s">
        <v>153</v>
      </c>
      <c r="F4" s="144" t="s">
        <v>155</v>
      </c>
      <c r="G4" s="144" t="s">
        <v>45</v>
      </c>
      <c r="H4" s="144">
        <f>'Congrio dorado Industrial'!K7</f>
        <v>1.056</v>
      </c>
      <c r="I4" s="144">
        <f>'Congrio dorado Industrial'!L7</f>
        <v>15.798999999999999</v>
      </c>
      <c r="J4" s="144">
        <f>'Congrio dorado Industrial'!M7</f>
        <v>16.855</v>
      </c>
      <c r="K4" s="144">
        <f>'Congrio dorado Industrial'!N7</f>
        <v>8.532</v>
      </c>
      <c r="L4" s="144">
        <f>'Congrio dorado Industrial'!O7</f>
        <v>8.3230000000000004</v>
      </c>
      <c r="M4" s="145">
        <f>'Congrio dorado Industrial'!P7</f>
        <v>0.50619994067042418</v>
      </c>
      <c r="N4" s="276" t="s">
        <v>190</v>
      </c>
      <c r="O4" s="288">
        <v>43437</v>
      </c>
    </row>
    <row r="5" spans="1:15">
      <c r="A5" s="144" t="s">
        <v>157</v>
      </c>
      <c r="B5" s="144" t="s">
        <v>151</v>
      </c>
      <c r="C5" s="144" t="s">
        <v>184</v>
      </c>
      <c r="D5" s="144" t="s">
        <v>152</v>
      </c>
      <c r="E5" s="144" t="s">
        <v>193</v>
      </c>
      <c r="F5" s="144" t="s">
        <v>34</v>
      </c>
      <c r="G5" s="144" t="s">
        <v>35</v>
      </c>
      <c r="H5" s="144">
        <f>'Congrio dorado Industrial'!E9</f>
        <v>7.6989999999999998</v>
      </c>
      <c r="I5" s="144">
        <f>'Congrio dorado Industrial'!F9</f>
        <v>0</v>
      </c>
      <c r="J5" s="144">
        <f>'Congrio dorado Industrial'!G9</f>
        <v>7.6989999999999998</v>
      </c>
      <c r="K5" s="144">
        <f>'Congrio dorado Industrial'!H9</f>
        <v>1.885</v>
      </c>
      <c r="L5" s="144">
        <f>'Congrio dorado Industrial'!I9</f>
        <v>5.8140000000000001</v>
      </c>
      <c r="M5" s="145">
        <f>'Congrio dorado Industrial'!J9</f>
        <v>0.24483699181711913</v>
      </c>
      <c r="N5" s="276" t="s">
        <v>190</v>
      </c>
      <c r="O5" s="288">
        <v>43437</v>
      </c>
    </row>
    <row r="6" spans="1:15">
      <c r="A6" s="144" t="s">
        <v>157</v>
      </c>
      <c r="B6" s="144" t="s">
        <v>151</v>
      </c>
      <c r="C6" s="144" t="s">
        <v>184</v>
      </c>
      <c r="D6" s="144" t="s">
        <v>152</v>
      </c>
      <c r="E6" s="144" t="s">
        <v>193</v>
      </c>
      <c r="F6" s="144" t="s">
        <v>154</v>
      </c>
      <c r="G6" s="144" t="s">
        <v>45</v>
      </c>
      <c r="H6" s="144">
        <f>'Congrio dorado Industrial'!E10</f>
        <v>7.7030000000000003</v>
      </c>
      <c r="I6" s="144">
        <f>'Congrio dorado Industrial'!F10</f>
        <v>0</v>
      </c>
      <c r="J6" s="144">
        <f>'Congrio dorado Industrial'!G10</f>
        <v>13.516999999999999</v>
      </c>
      <c r="K6" s="144">
        <f>'Congrio dorado Industrial'!H10</f>
        <v>13.260999999999999</v>
      </c>
      <c r="L6" s="144">
        <f>'Congrio dorado Industrial'!I10</f>
        <v>0.25600000000000023</v>
      </c>
      <c r="M6" s="145">
        <f>'Congrio dorado Industrial'!J10</f>
        <v>0.98106088629133681</v>
      </c>
      <c r="N6" s="276" t="s">
        <v>190</v>
      </c>
      <c r="O6" s="288">
        <v>43437</v>
      </c>
    </row>
    <row r="7" spans="1:15">
      <c r="A7" s="144" t="s">
        <v>157</v>
      </c>
      <c r="B7" s="144" t="s">
        <v>151</v>
      </c>
      <c r="C7" s="144" t="s">
        <v>184</v>
      </c>
      <c r="D7" s="144" t="s">
        <v>152</v>
      </c>
      <c r="E7" s="144" t="s">
        <v>193</v>
      </c>
      <c r="F7" s="144" t="s">
        <v>155</v>
      </c>
      <c r="G7" s="144" t="s">
        <v>45</v>
      </c>
      <c r="H7" s="144">
        <f>'Congrio dorado Industrial'!K9</f>
        <v>15.402000000000001</v>
      </c>
      <c r="I7" s="144">
        <f>'Congrio dorado Industrial'!L9</f>
        <v>0</v>
      </c>
      <c r="J7" s="144">
        <f>'Congrio dorado Industrial'!M9</f>
        <v>15.402000000000001</v>
      </c>
      <c r="K7" s="144">
        <f>'Congrio dorado Industrial'!N9</f>
        <v>15.145999999999999</v>
      </c>
      <c r="L7" s="144">
        <f>'Congrio dorado Industrial'!O9</f>
        <v>0.256000000000002</v>
      </c>
      <c r="M7" s="145">
        <f>'Congrio dorado Industrial'!P9</f>
        <v>0.98337878197636652</v>
      </c>
      <c r="N7" s="276" t="s">
        <v>190</v>
      </c>
      <c r="O7" s="288">
        <v>43437</v>
      </c>
    </row>
    <row r="8" spans="1:15">
      <c r="A8" s="144" t="s">
        <v>157</v>
      </c>
      <c r="B8" s="144" t="s">
        <v>151</v>
      </c>
      <c r="C8" s="144" t="s">
        <v>184</v>
      </c>
      <c r="D8" s="144" t="s">
        <v>152</v>
      </c>
      <c r="E8" s="144" t="s">
        <v>194</v>
      </c>
      <c r="F8" s="144" t="s">
        <v>34</v>
      </c>
      <c r="G8" s="144" t="s">
        <v>35</v>
      </c>
      <c r="H8" s="144">
        <f>'Congrio dorado Industrial'!E11</f>
        <v>174.78</v>
      </c>
      <c r="I8" s="144">
        <f>'Congrio dorado Industrial'!F11</f>
        <v>0</v>
      </c>
      <c r="J8" s="144">
        <f>'Congrio dorado Industrial'!G11</f>
        <v>174.78</v>
      </c>
      <c r="K8" s="144">
        <f>'Congrio dorado Industrial'!H11</f>
        <v>37.435000000000002</v>
      </c>
      <c r="L8" s="144">
        <f>'Congrio dorado Industrial'!I11</f>
        <v>137.345</v>
      </c>
      <c r="M8" s="145">
        <f>'Congrio dorado Industrial'!J11</f>
        <v>0.21418354502803524</v>
      </c>
      <c r="N8" s="276" t="s">
        <v>190</v>
      </c>
      <c r="O8" s="288">
        <v>43437</v>
      </c>
    </row>
    <row r="9" spans="1:15">
      <c r="A9" s="144" t="s">
        <v>157</v>
      </c>
      <c r="B9" s="144" t="s">
        <v>151</v>
      </c>
      <c r="C9" s="144" t="s">
        <v>184</v>
      </c>
      <c r="D9" s="144" t="s">
        <v>152</v>
      </c>
      <c r="E9" s="144" t="s">
        <v>194</v>
      </c>
      <c r="F9" s="144" t="s">
        <v>154</v>
      </c>
      <c r="G9" s="144" t="s">
        <v>45</v>
      </c>
      <c r="H9" s="144">
        <f>'Congrio dorado Industrial'!E12</f>
        <v>174.864</v>
      </c>
      <c r="I9" s="144">
        <f>'Congrio dorado Industrial'!F12</f>
        <v>-8.7469999999999999</v>
      </c>
      <c r="J9" s="144">
        <f>'Congrio dorado Industrial'!G12</f>
        <v>303.46199999999999</v>
      </c>
      <c r="K9" s="144">
        <f>'Congrio dorado Industrial'!H12</f>
        <v>302.14</v>
      </c>
      <c r="L9" s="144">
        <f>'Congrio dorado Industrial'!I12</f>
        <v>1.3220000000000027</v>
      </c>
      <c r="M9" s="145">
        <f>'Congrio dorado Industrial'!J12</f>
        <v>0.99564360611872327</v>
      </c>
      <c r="N9" s="276" t="s">
        <v>190</v>
      </c>
      <c r="O9" s="288">
        <v>43437</v>
      </c>
    </row>
    <row r="10" spans="1:15">
      <c r="A10" s="144" t="s">
        <v>157</v>
      </c>
      <c r="B10" s="144" t="s">
        <v>151</v>
      </c>
      <c r="C10" s="144" t="s">
        <v>184</v>
      </c>
      <c r="D10" s="144" t="s">
        <v>152</v>
      </c>
      <c r="E10" s="144" t="s">
        <v>194</v>
      </c>
      <c r="F10" s="144" t="s">
        <v>155</v>
      </c>
      <c r="G10" s="144" t="s">
        <v>45</v>
      </c>
      <c r="H10" s="144">
        <f>'Congrio dorado Industrial'!K11</f>
        <v>349.64400000000001</v>
      </c>
      <c r="I10" s="144">
        <f>'Congrio dorado Industrial'!L11</f>
        <v>-8.7469999999999999</v>
      </c>
      <c r="J10" s="144">
        <f>'Congrio dorado Industrial'!M11</f>
        <v>340.89699999999999</v>
      </c>
      <c r="K10" s="144">
        <f>'Congrio dorado Industrial'!N11</f>
        <v>339.57499999999999</v>
      </c>
      <c r="L10" s="144">
        <f>'Congrio dorado Industrial'!O11</f>
        <v>1.3220000000000027</v>
      </c>
      <c r="M10" s="145">
        <f>'Congrio dorado Industrial'!P11</f>
        <v>0.99612199579345084</v>
      </c>
      <c r="N10" s="276" t="s">
        <v>190</v>
      </c>
      <c r="O10" s="288">
        <v>43437</v>
      </c>
    </row>
    <row r="11" spans="1:15">
      <c r="A11" s="144" t="s">
        <v>157</v>
      </c>
      <c r="B11" s="144" t="s">
        <v>151</v>
      </c>
      <c r="C11" s="144" t="s">
        <v>184</v>
      </c>
      <c r="D11" s="144" t="s">
        <v>152</v>
      </c>
      <c r="E11" s="144" t="s">
        <v>195</v>
      </c>
      <c r="F11" s="144" t="s">
        <v>34</v>
      </c>
      <c r="G11" s="144" t="s">
        <v>35</v>
      </c>
      <c r="H11" s="144">
        <f>'Congrio dorado Industrial'!E13</f>
        <v>12.34</v>
      </c>
      <c r="I11" s="144">
        <f>'Congrio dorado Industrial'!F13</f>
        <v>0</v>
      </c>
      <c r="J11" s="144">
        <f>'Congrio dorado Industrial'!G13</f>
        <v>12.34</v>
      </c>
      <c r="K11" s="144">
        <f>'Congrio dorado Industrial'!H13</f>
        <v>0</v>
      </c>
      <c r="L11" s="144">
        <f>'Congrio dorado Industrial'!I13</f>
        <v>12.34</v>
      </c>
      <c r="M11" s="145">
        <f>'Congrio dorado Industrial'!J13</f>
        <v>0</v>
      </c>
      <c r="N11" s="276" t="s">
        <v>190</v>
      </c>
      <c r="O11" s="288">
        <v>43437</v>
      </c>
    </row>
    <row r="12" spans="1:15">
      <c r="A12" s="144" t="s">
        <v>157</v>
      </c>
      <c r="B12" s="144" t="s">
        <v>151</v>
      </c>
      <c r="C12" s="144" t="s">
        <v>184</v>
      </c>
      <c r="D12" s="144" t="s">
        <v>152</v>
      </c>
      <c r="E12" s="144" t="s">
        <v>195</v>
      </c>
      <c r="F12" s="144" t="s">
        <v>154</v>
      </c>
      <c r="G12" s="144" t="s">
        <v>45</v>
      </c>
      <c r="H12" s="144">
        <f>'Congrio dorado Industrial'!E14</f>
        <v>12.346</v>
      </c>
      <c r="I12" s="144">
        <f>'Congrio dorado Industrial'!F14</f>
        <v>-7.0519999999999996</v>
      </c>
      <c r="J12" s="144">
        <f>'Congrio dorado Industrial'!G14</f>
        <v>17.634</v>
      </c>
      <c r="K12" s="144">
        <f>'Congrio dorado Industrial'!H14</f>
        <v>17.640999999999998</v>
      </c>
      <c r="L12" s="144">
        <f>'Congrio dorado Industrial'!I14</f>
        <v>-6.9999999999978968E-3</v>
      </c>
      <c r="M12" s="145">
        <f>'Congrio dorado Industrial'!J14</f>
        <v>1.0003969604173755</v>
      </c>
      <c r="N12" s="276" t="s">
        <v>190</v>
      </c>
      <c r="O12" s="288">
        <v>43437</v>
      </c>
    </row>
    <row r="13" spans="1:15">
      <c r="A13" s="144" t="s">
        <v>157</v>
      </c>
      <c r="B13" s="144" t="s">
        <v>151</v>
      </c>
      <c r="C13" s="144" t="s">
        <v>184</v>
      </c>
      <c r="D13" s="144" t="s">
        <v>152</v>
      </c>
      <c r="E13" s="144" t="s">
        <v>195</v>
      </c>
      <c r="F13" s="144" t="s">
        <v>155</v>
      </c>
      <c r="G13" s="144" t="s">
        <v>45</v>
      </c>
      <c r="H13" s="144">
        <f>'Congrio dorado Industrial'!K13:K14</f>
        <v>24.686</v>
      </c>
      <c r="I13" s="144">
        <f>'Congrio dorado Industrial'!L13:L14</f>
        <v>-7.0519999999999996</v>
      </c>
      <c r="J13" s="144">
        <f>'Congrio dorado Industrial'!M13:M14</f>
        <v>17.634</v>
      </c>
      <c r="K13" s="144">
        <f>'Congrio dorado Industrial'!N13</f>
        <v>17.640999999999998</v>
      </c>
      <c r="L13" s="144">
        <f>'Congrio dorado Industrial'!O13:O14</f>
        <v>-6.9999999999978968E-3</v>
      </c>
      <c r="M13" s="145">
        <f>'Congrio dorado Industrial'!P13:P14</f>
        <v>1.0003969604173755</v>
      </c>
      <c r="N13" s="276" t="s">
        <v>190</v>
      </c>
      <c r="O13" s="288">
        <v>43437</v>
      </c>
    </row>
    <row r="14" spans="1:15">
      <c r="A14" s="144" t="s">
        <v>157</v>
      </c>
      <c r="B14" s="144" t="s">
        <v>151</v>
      </c>
      <c r="C14" s="144" t="s">
        <v>184</v>
      </c>
      <c r="D14" s="144" t="s">
        <v>152</v>
      </c>
      <c r="E14" s="144" t="s">
        <v>196</v>
      </c>
      <c r="F14" s="144" t="s">
        <v>34</v>
      </c>
      <c r="G14" s="144" t="s">
        <v>35</v>
      </c>
      <c r="H14" s="144">
        <f>'Congrio dorado Industrial'!E15</f>
        <v>13.231999999999999</v>
      </c>
      <c r="I14" s="144">
        <f>'Congrio dorado Industrial'!F15</f>
        <v>0</v>
      </c>
      <c r="J14" s="144">
        <f>'Congrio dorado Industrial'!G15</f>
        <v>13.231999999999999</v>
      </c>
      <c r="K14" s="144">
        <f>'Congrio dorado Industrial'!H15</f>
        <v>1.792</v>
      </c>
      <c r="L14" s="144">
        <f>'Congrio dorado Industrial'!I15</f>
        <v>11.44</v>
      </c>
      <c r="M14" s="145">
        <f>'Congrio dorado Industrial'!J15</f>
        <v>0.13542926239419589</v>
      </c>
      <c r="N14" s="276" t="s">
        <v>190</v>
      </c>
      <c r="O14" s="288">
        <v>43437</v>
      </c>
    </row>
    <row r="15" spans="1:15">
      <c r="A15" s="144" t="s">
        <v>157</v>
      </c>
      <c r="B15" s="144" t="s">
        <v>151</v>
      </c>
      <c r="C15" s="144" t="s">
        <v>184</v>
      </c>
      <c r="D15" s="144" t="s">
        <v>152</v>
      </c>
      <c r="E15" s="144" t="s">
        <v>196</v>
      </c>
      <c r="F15" s="144" t="s">
        <v>154</v>
      </c>
      <c r="G15" s="144" t="s">
        <v>45</v>
      </c>
      <c r="H15" s="144">
        <f>'Congrio dorado Industrial'!E16</f>
        <v>13.238</v>
      </c>
      <c r="I15" s="144">
        <f>'Congrio dorado Industrial'!F16</f>
        <v>0</v>
      </c>
      <c r="J15" s="144">
        <f>'Congrio dorado Industrial'!G16</f>
        <v>24.677999999999997</v>
      </c>
      <c r="K15" s="144">
        <f>'Congrio dorado Industrial'!H16</f>
        <v>24.939</v>
      </c>
      <c r="L15" s="144">
        <f>'Congrio dorado Industrial'!I16</f>
        <v>-0.26100000000000279</v>
      </c>
      <c r="M15" s="145">
        <f>'Congrio dorado Industrial'!J16</f>
        <v>1.0105762217359593</v>
      </c>
      <c r="N15" s="276" t="s">
        <v>190</v>
      </c>
      <c r="O15" s="288">
        <v>43437</v>
      </c>
    </row>
    <row r="16" spans="1:15">
      <c r="A16" s="144" t="s">
        <v>157</v>
      </c>
      <c r="B16" s="144" t="s">
        <v>151</v>
      </c>
      <c r="C16" s="144" t="s">
        <v>184</v>
      </c>
      <c r="D16" s="144" t="s">
        <v>152</v>
      </c>
      <c r="E16" s="144" t="s">
        <v>196</v>
      </c>
      <c r="F16" s="144" t="s">
        <v>155</v>
      </c>
      <c r="G16" s="144" t="s">
        <v>45</v>
      </c>
      <c r="H16" s="144">
        <f>'Congrio dorado Industrial'!K15</f>
        <v>26.47</v>
      </c>
      <c r="I16" s="144">
        <f>'Congrio dorado Industrial'!L15:L16</f>
        <v>0</v>
      </c>
      <c r="J16" s="144">
        <f>'Congrio dorado Industrial'!M15</f>
        <v>26.47</v>
      </c>
      <c r="K16" s="144">
        <f>'Congrio dorado Industrial'!N15</f>
        <v>26.731000000000002</v>
      </c>
      <c r="L16" s="144">
        <f>'Congrio dorado Industrial'!O15</f>
        <v>-0.26100000000000279</v>
      </c>
      <c r="M16" s="145">
        <f>'Congrio dorado Industrial'!P15</f>
        <v>1.0098602191159805</v>
      </c>
      <c r="N16" s="276" t="s">
        <v>190</v>
      </c>
      <c r="O16" s="288">
        <v>43437</v>
      </c>
    </row>
    <row r="17" spans="1:15">
      <c r="A17" s="144" t="s">
        <v>157</v>
      </c>
      <c r="B17" s="144" t="s">
        <v>151</v>
      </c>
      <c r="C17" s="144" t="s">
        <v>184</v>
      </c>
      <c r="D17" s="144" t="s">
        <v>152</v>
      </c>
      <c r="E17" s="144" t="s">
        <v>197</v>
      </c>
      <c r="F17" s="144" t="s">
        <v>34</v>
      </c>
      <c r="G17" s="144" t="s">
        <v>35</v>
      </c>
      <c r="H17" s="144">
        <f>'Congrio dorado Industrial'!E19</f>
        <v>2.1000000000000001E-2</v>
      </c>
      <c r="I17" s="144">
        <f>'Congrio dorado Industrial'!F19</f>
        <v>-2.1000000000000001E-2</v>
      </c>
      <c r="J17" s="144">
        <f>'Congrio dorado Industrial'!G19</f>
        <v>0</v>
      </c>
      <c r="K17" s="144">
        <f>'Congrio dorado Industrial'!H19</f>
        <v>0</v>
      </c>
      <c r="L17" s="144">
        <f>'Congrio dorado Industrial'!I19</f>
        <v>0</v>
      </c>
      <c r="M17" s="145">
        <f>'Congrio dorado Industrial'!J19</f>
        <v>0</v>
      </c>
      <c r="N17" s="276" t="s">
        <v>190</v>
      </c>
      <c r="O17" s="288">
        <v>43437</v>
      </c>
    </row>
    <row r="18" spans="1:15">
      <c r="A18" s="144" t="s">
        <v>157</v>
      </c>
      <c r="B18" s="144" t="s">
        <v>151</v>
      </c>
      <c r="C18" s="144" t="s">
        <v>184</v>
      </c>
      <c r="D18" s="144" t="s">
        <v>152</v>
      </c>
      <c r="E18" s="144" t="s">
        <v>197</v>
      </c>
      <c r="F18" s="144" t="s">
        <v>154</v>
      </c>
      <c r="G18" s="144" t="s">
        <v>45</v>
      </c>
      <c r="H18" s="144">
        <f>'Congrio dorado Industrial'!E20</f>
        <v>2.1000000000000001E-2</v>
      </c>
      <c r="I18" s="144">
        <f>'Congrio dorado Industrial'!F20</f>
        <v>-2.1000000000000001E-2</v>
      </c>
      <c r="J18" s="144">
        <f>'Congrio dorado Industrial'!G20</f>
        <v>0</v>
      </c>
      <c r="K18" s="144">
        <f>'Congrio dorado Industrial'!H20</f>
        <v>0</v>
      </c>
      <c r="L18" s="144">
        <f>'Congrio dorado Industrial'!I20</f>
        <v>0</v>
      </c>
      <c r="M18" s="145">
        <f>'Congrio dorado Industrial'!J20</f>
        <v>0</v>
      </c>
      <c r="N18" s="276" t="s">
        <v>190</v>
      </c>
      <c r="O18" s="288">
        <v>43437</v>
      </c>
    </row>
    <row r="19" spans="1:15">
      <c r="A19" s="144" t="s">
        <v>157</v>
      </c>
      <c r="B19" s="144" t="s">
        <v>151</v>
      </c>
      <c r="C19" s="144" t="s">
        <v>184</v>
      </c>
      <c r="D19" s="144" t="s">
        <v>152</v>
      </c>
      <c r="E19" s="144" t="s">
        <v>197</v>
      </c>
      <c r="F19" s="144" t="s">
        <v>155</v>
      </c>
      <c r="G19" s="144" t="s">
        <v>45</v>
      </c>
      <c r="H19" s="144">
        <f>'Congrio dorado Industrial'!K19</f>
        <v>4.2000000000000003E-2</v>
      </c>
      <c r="I19" s="144">
        <f>'Congrio dorado Industrial'!L19</f>
        <v>-4.2000000000000003E-2</v>
      </c>
      <c r="J19" s="144">
        <f>'Congrio dorado Industrial'!M19</f>
        <v>0</v>
      </c>
      <c r="K19" s="144">
        <f>'Congrio dorado Industrial'!N19</f>
        <v>0</v>
      </c>
      <c r="L19" s="144">
        <f>'Congrio dorado Industrial'!O19</f>
        <v>0</v>
      </c>
      <c r="M19" s="145">
        <f>'Congrio dorado Industrial'!P19</f>
        <v>0</v>
      </c>
      <c r="N19" s="276" t="s">
        <v>190</v>
      </c>
      <c r="O19" s="288">
        <v>43437</v>
      </c>
    </row>
    <row r="20" spans="1:15">
      <c r="A20" s="291" t="s">
        <v>186</v>
      </c>
      <c r="B20" s="144" t="s">
        <v>151</v>
      </c>
      <c r="C20" s="144" t="s">
        <v>183</v>
      </c>
      <c r="D20" s="144" t="s">
        <v>152</v>
      </c>
      <c r="E20" s="144" t="s">
        <v>198</v>
      </c>
      <c r="F20" s="144" t="s">
        <v>34</v>
      </c>
      <c r="G20" s="144" t="s">
        <v>35</v>
      </c>
      <c r="H20" s="144">
        <f>'Congrio dorado Industrial'!E25</f>
        <v>20.594999999999999</v>
      </c>
      <c r="I20" s="144">
        <f>'Congrio dorado Industrial'!F25</f>
        <v>0</v>
      </c>
      <c r="J20" s="144">
        <f>'Congrio dorado Industrial'!G25</f>
        <v>20.594999999999999</v>
      </c>
      <c r="K20" s="144">
        <f>'Congrio dorado Industrial'!H25</f>
        <v>0</v>
      </c>
      <c r="L20" s="144">
        <f>'Congrio dorado Industrial'!I25</f>
        <v>20.594999999999999</v>
      </c>
      <c r="M20" s="145">
        <f>'Congrio dorado Industrial'!J25</f>
        <v>0</v>
      </c>
      <c r="N20" s="276" t="s">
        <v>190</v>
      </c>
      <c r="O20" s="288">
        <v>43437</v>
      </c>
    </row>
    <row r="21" spans="1:15">
      <c r="A21" s="291" t="s">
        <v>186</v>
      </c>
      <c r="B21" s="144" t="s">
        <v>151</v>
      </c>
      <c r="C21" s="144" t="s">
        <v>183</v>
      </c>
      <c r="D21" s="144" t="s">
        <v>152</v>
      </c>
      <c r="E21" s="144" t="s">
        <v>198</v>
      </c>
      <c r="F21" s="144" t="s">
        <v>154</v>
      </c>
      <c r="G21" s="144" t="s">
        <v>45</v>
      </c>
      <c r="H21" s="144">
        <f>'Congrio dorado Industrial'!E26</f>
        <v>20.613</v>
      </c>
      <c r="I21" s="144">
        <f>'Congrio dorado Industrial'!F26</f>
        <v>10.045000000000002</v>
      </c>
      <c r="J21" s="144">
        <f>'Congrio dorado Industrial'!G26</f>
        <v>51.253</v>
      </c>
      <c r="K21" s="144">
        <f>'Congrio dorado Industrial'!H26</f>
        <v>6.2930000000000001</v>
      </c>
      <c r="L21" s="144">
        <f>'Congrio dorado Industrial'!I26</f>
        <v>44.96</v>
      </c>
      <c r="M21" s="145">
        <f>'Congrio dorado Industrial'!J26</f>
        <v>0.12278305660156479</v>
      </c>
      <c r="N21" s="276" t="s">
        <v>190</v>
      </c>
      <c r="O21" s="288">
        <v>43437</v>
      </c>
    </row>
    <row r="22" spans="1:15">
      <c r="A22" s="291" t="s">
        <v>186</v>
      </c>
      <c r="B22" s="144" t="s">
        <v>151</v>
      </c>
      <c r="C22" s="144" t="s">
        <v>183</v>
      </c>
      <c r="D22" s="144" t="s">
        <v>152</v>
      </c>
      <c r="E22" s="144" t="s">
        <v>198</v>
      </c>
      <c r="F22" s="144" t="s">
        <v>155</v>
      </c>
      <c r="G22" s="144" t="s">
        <v>45</v>
      </c>
      <c r="H22" s="144">
        <f>'Congrio dorado Industrial'!K25</f>
        <v>41.207999999999998</v>
      </c>
      <c r="I22" s="144">
        <f>'Congrio dorado Industrial'!L25</f>
        <v>10.045000000000002</v>
      </c>
      <c r="J22" s="144">
        <f>'Congrio dorado Industrial'!M25</f>
        <v>51.253</v>
      </c>
      <c r="K22" s="144">
        <f>'Congrio dorado Industrial'!N25</f>
        <v>6.2930000000000001</v>
      </c>
      <c r="L22" s="144">
        <f>'Congrio dorado Industrial'!O25</f>
        <v>44.96</v>
      </c>
      <c r="M22" s="145">
        <f>'Congrio dorado Industrial'!P25</f>
        <v>0.12278305660156479</v>
      </c>
      <c r="N22" s="276" t="s">
        <v>190</v>
      </c>
      <c r="O22" s="288">
        <v>43437</v>
      </c>
    </row>
    <row r="23" spans="1:15">
      <c r="A23" s="291" t="s">
        <v>186</v>
      </c>
      <c r="B23" s="144" t="s">
        <v>151</v>
      </c>
      <c r="C23" s="144" t="s">
        <v>183</v>
      </c>
      <c r="D23" s="144" t="s">
        <v>152</v>
      </c>
      <c r="E23" s="144" t="s">
        <v>199</v>
      </c>
      <c r="F23" s="144" t="s">
        <v>34</v>
      </c>
      <c r="G23" s="144" t="s">
        <v>35</v>
      </c>
      <c r="H23" s="144">
        <f>'Congrio dorado Industrial'!E27</f>
        <v>6.0999999999999999E-2</v>
      </c>
      <c r="I23" s="144">
        <f>'Congrio dorado Industrial'!F27</f>
        <v>0</v>
      </c>
      <c r="J23" s="144">
        <f>'Congrio dorado Industrial'!G27</f>
        <v>6.0999999999999999E-2</v>
      </c>
      <c r="K23" s="144">
        <f>'Congrio dorado Industrial'!H27</f>
        <v>0</v>
      </c>
      <c r="L23" s="144">
        <f>'Congrio dorado Industrial'!I27</f>
        <v>6.0999999999999999E-2</v>
      </c>
      <c r="M23" s="145">
        <f>'Congrio dorado Industrial'!J27</f>
        <v>0</v>
      </c>
      <c r="N23" s="276" t="s">
        <v>190</v>
      </c>
      <c r="O23" s="288">
        <v>43437</v>
      </c>
    </row>
    <row r="24" spans="1:15">
      <c r="A24" s="291" t="s">
        <v>186</v>
      </c>
      <c r="B24" s="144" t="s">
        <v>151</v>
      </c>
      <c r="C24" s="144" t="s">
        <v>183</v>
      </c>
      <c r="D24" s="144" t="s">
        <v>152</v>
      </c>
      <c r="E24" s="144" t="s">
        <v>199</v>
      </c>
      <c r="F24" s="144" t="s">
        <v>154</v>
      </c>
      <c r="G24" s="144" t="s">
        <v>45</v>
      </c>
      <c r="H24" s="144">
        <f>'Congrio dorado Industrial'!E28</f>
        <v>6.0999999999999999E-2</v>
      </c>
      <c r="I24" s="144">
        <f>'Congrio dorado Industrial'!F28</f>
        <v>0.64800000000000002</v>
      </c>
      <c r="J24" s="144">
        <f>'Congrio dorado Industrial'!G28</f>
        <v>0.77</v>
      </c>
      <c r="K24" s="144">
        <f>'Congrio dorado Industrial'!H28</f>
        <v>0</v>
      </c>
      <c r="L24" s="144">
        <f>'Congrio dorado Industrial'!I28</f>
        <v>0.77</v>
      </c>
      <c r="M24" s="145">
        <f>'Congrio dorado Industrial'!J28</f>
        <v>0</v>
      </c>
      <c r="N24" s="276" t="s">
        <v>190</v>
      </c>
      <c r="O24" s="288">
        <v>43437</v>
      </c>
    </row>
    <row r="25" spans="1:15">
      <c r="A25" s="291" t="s">
        <v>186</v>
      </c>
      <c r="B25" s="144" t="s">
        <v>151</v>
      </c>
      <c r="C25" s="144" t="s">
        <v>183</v>
      </c>
      <c r="D25" s="144" t="s">
        <v>152</v>
      </c>
      <c r="E25" s="144" t="s">
        <v>199</v>
      </c>
      <c r="F25" s="144" t="s">
        <v>155</v>
      </c>
      <c r="G25" s="144" t="s">
        <v>45</v>
      </c>
      <c r="H25" s="144">
        <f>'Congrio dorado Industrial'!K27</f>
        <v>0.122</v>
      </c>
      <c r="I25" s="144">
        <f>'Congrio dorado Industrial'!L27</f>
        <v>0.64800000000000002</v>
      </c>
      <c r="J25" s="144">
        <f>'Congrio dorado Industrial'!M27</f>
        <v>0.77</v>
      </c>
      <c r="K25" s="144">
        <f>'Congrio dorado Industrial'!N27</f>
        <v>0</v>
      </c>
      <c r="L25" s="144">
        <f>'Congrio dorado Industrial'!O27</f>
        <v>0.77</v>
      </c>
      <c r="M25" s="145">
        <f>'Congrio dorado Industrial'!P27</f>
        <v>0</v>
      </c>
      <c r="N25" s="276" t="s">
        <v>190</v>
      </c>
      <c r="O25" s="288">
        <v>43437</v>
      </c>
    </row>
    <row r="26" spans="1:15">
      <c r="A26" s="291" t="s">
        <v>186</v>
      </c>
      <c r="B26" s="144" t="s">
        <v>151</v>
      </c>
      <c r="C26" s="144" t="s">
        <v>183</v>
      </c>
      <c r="D26" s="144" t="s">
        <v>152</v>
      </c>
      <c r="E26" s="144" t="s">
        <v>200</v>
      </c>
      <c r="F26" s="144" t="s">
        <v>34</v>
      </c>
      <c r="G26" s="144" t="s">
        <v>35</v>
      </c>
      <c r="H26" s="144">
        <f>'Congrio dorado Industrial'!E29</f>
        <v>70.52</v>
      </c>
      <c r="I26" s="144">
        <f>'Congrio dorado Industrial'!F29</f>
        <v>12.173</v>
      </c>
      <c r="J26" s="144">
        <f>'Congrio dorado Industrial'!G29</f>
        <v>82.692999999999998</v>
      </c>
      <c r="K26" s="144">
        <f>'Congrio dorado Industrial'!H29</f>
        <v>27.05</v>
      </c>
      <c r="L26" s="144">
        <f>'Congrio dorado Industrial'!I29</f>
        <v>55.643000000000001</v>
      </c>
      <c r="M26" s="145">
        <f>'Congrio dorado Industrial'!J29</f>
        <v>0.3271135404447777</v>
      </c>
      <c r="N26" s="276" t="s">
        <v>190</v>
      </c>
      <c r="O26" s="288">
        <v>43437</v>
      </c>
    </row>
    <row r="27" spans="1:15">
      <c r="A27" s="291" t="s">
        <v>186</v>
      </c>
      <c r="B27" s="144" t="s">
        <v>151</v>
      </c>
      <c r="C27" s="144" t="s">
        <v>183</v>
      </c>
      <c r="D27" s="144" t="s">
        <v>152</v>
      </c>
      <c r="E27" s="144" t="s">
        <v>200</v>
      </c>
      <c r="F27" s="144" t="s">
        <v>154</v>
      </c>
      <c r="G27" s="144" t="s">
        <v>45</v>
      </c>
      <c r="H27" s="144">
        <f>'Congrio dorado Industrial'!E30</f>
        <v>70.58</v>
      </c>
      <c r="I27" s="144">
        <f>'Congrio dorado Industrial'!F30</f>
        <v>0</v>
      </c>
      <c r="J27" s="144">
        <f>'Congrio dorado Industrial'!G30</f>
        <v>126.223</v>
      </c>
      <c r="K27" s="144">
        <f>'Congrio dorado Industrial'!H30</f>
        <v>119.49299999999999</v>
      </c>
      <c r="L27" s="144">
        <f>'Congrio dorado Industrial'!I30</f>
        <v>6.730000000000004</v>
      </c>
      <c r="M27" s="145">
        <f>'Congrio dorado Industrial'!J30</f>
        <v>0.94668166657423758</v>
      </c>
      <c r="N27" s="276" t="s">
        <v>190</v>
      </c>
      <c r="O27" s="288">
        <v>43437</v>
      </c>
    </row>
    <row r="28" spans="1:15">
      <c r="A28" s="291" t="s">
        <v>186</v>
      </c>
      <c r="B28" s="144" t="s">
        <v>151</v>
      </c>
      <c r="C28" s="144" t="s">
        <v>183</v>
      </c>
      <c r="D28" s="144" t="s">
        <v>152</v>
      </c>
      <c r="E28" s="144" t="s">
        <v>200</v>
      </c>
      <c r="F28" s="144" t="s">
        <v>34</v>
      </c>
      <c r="G28" s="144" t="s">
        <v>45</v>
      </c>
      <c r="H28" s="144">
        <f>'Congrio dorado Industrial'!K29</f>
        <v>141.1</v>
      </c>
      <c r="I28" s="144">
        <f>'Congrio dorado Industrial'!L29</f>
        <v>12.173</v>
      </c>
      <c r="J28" s="144">
        <f>'Congrio dorado Industrial'!M29</f>
        <v>153.273</v>
      </c>
      <c r="K28" s="144">
        <f>'Congrio dorado Industrial'!N29</f>
        <v>146.54300000000001</v>
      </c>
      <c r="L28" s="144">
        <f>'Congrio dorado Industrial'!O29</f>
        <v>6.7299999999999898</v>
      </c>
      <c r="M28" s="145">
        <f>'Congrio dorado Industrial'!P29</f>
        <v>0.95609141857991953</v>
      </c>
      <c r="N28" s="276" t="s">
        <v>190</v>
      </c>
      <c r="O28" s="288">
        <v>43437</v>
      </c>
    </row>
    <row r="29" spans="1:15">
      <c r="A29" s="291" t="s">
        <v>186</v>
      </c>
      <c r="B29" s="144" t="s">
        <v>151</v>
      </c>
      <c r="C29" s="144" t="s">
        <v>183</v>
      </c>
      <c r="D29" s="144" t="s">
        <v>152</v>
      </c>
      <c r="E29" s="144" t="s">
        <v>195</v>
      </c>
      <c r="F29" s="144" t="s">
        <v>34</v>
      </c>
      <c r="G29" s="144" t="s">
        <v>35</v>
      </c>
      <c r="H29" s="144">
        <f>'Congrio dorado Industrial'!E31</f>
        <v>27.393000000000001</v>
      </c>
      <c r="I29" s="144">
        <f>'Congrio dorado Industrial'!F31</f>
        <v>0</v>
      </c>
      <c r="J29" s="144">
        <f>'Congrio dorado Industrial'!G31</f>
        <v>27.393000000000001</v>
      </c>
      <c r="K29" s="144">
        <f>'Congrio dorado Industrial'!H31</f>
        <v>17.050999999999998</v>
      </c>
      <c r="L29" s="144">
        <f>'Congrio dorado Industrial'!I31</f>
        <v>10.342000000000002</v>
      </c>
      <c r="M29" s="145">
        <f>'Congrio dorado Industrial'!J31</f>
        <v>0.62245829226444704</v>
      </c>
      <c r="N29" s="276" t="s">
        <v>190</v>
      </c>
      <c r="O29" s="288">
        <v>43437</v>
      </c>
    </row>
    <row r="30" spans="1:15">
      <c r="A30" s="291" t="s">
        <v>186</v>
      </c>
      <c r="B30" s="144" t="s">
        <v>151</v>
      </c>
      <c r="C30" s="144" t="s">
        <v>183</v>
      </c>
      <c r="D30" s="144" t="s">
        <v>152</v>
      </c>
      <c r="E30" s="144" t="s">
        <v>195</v>
      </c>
      <c r="F30" s="144" t="s">
        <v>154</v>
      </c>
      <c r="G30" s="144" t="s">
        <v>45</v>
      </c>
      <c r="H30" s="144">
        <f>'Congrio dorado Industrial'!E32</f>
        <v>27.416</v>
      </c>
      <c r="I30" s="144">
        <f>'Congrio dorado Industrial'!F32</f>
        <v>-23.184000000000001</v>
      </c>
      <c r="J30" s="144">
        <f>'Congrio dorado Industrial'!G32</f>
        <v>14.574000000000002</v>
      </c>
      <c r="K30" s="144">
        <f>'Congrio dorado Industrial'!H32</f>
        <v>13.715</v>
      </c>
      <c r="L30" s="144">
        <f>'Congrio dorado Industrial'!I32</f>
        <v>0.85900000000000176</v>
      </c>
      <c r="M30" s="145">
        <f>'Congrio dorado Industrial'!J32</f>
        <v>0.94105942088651007</v>
      </c>
      <c r="N30" s="276" t="s">
        <v>190</v>
      </c>
      <c r="O30" s="288">
        <v>43437</v>
      </c>
    </row>
    <row r="31" spans="1:15">
      <c r="A31" s="291" t="s">
        <v>186</v>
      </c>
      <c r="B31" s="144" t="s">
        <v>151</v>
      </c>
      <c r="C31" s="144" t="s">
        <v>183</v>
      </c>
      <c r="D31" s="144" t="s">
        <v>152</v>
      </c>
      <c r="E31" s="144" t="s">
        <v>195</v>
      </c>
      <c r="F31" s="144" t="s">
        <v>34</v>
      </c>
      <c r="G31" s="144" t="s">
        <v>45</v>
      </c>
      <c r="H31" s="144">
        <f>'Congrio dorado Industrial'!K31</f>
        <v>54.808999999999997</v>
      </c>
      <c r="I31" s="144">
        <f>'Congrio dorado Industrial'!L31</f>
        <v>-23.184000000000001</v>
      </c>
      <c r="J31" s="144">
        <f>'Congrio dorado Industrial'!M31</f>
        <v>31.624999999999996</v>
      </c>
      <c r="K31" s="144">
        <f>'Congrio dorado Industrial'!N31</f>
        <v>30.765999999999998</v>
      </c>
      <c r="L31" s="144">
        <f>'Congrio dorado Industrial'!O31</f>
        <v>0.85899999999999821</v>
      </c>
      <c r="M31" s="145">
        <f>'Congrio dorado Industrial'!P31</f>
        <v>0.97283794466403173</v>
      </c>
      <c r="N31" s="276" t="s">
        <v>190</v>
      </c>
      <c r="O31" s="288">
        <v>43437</v>
      </c>
    </row>
    <row r="32" spans="1:15">
      <c r="A32" s="291" t="s">
        <v>186</v>
      </c>
      <c r="B32" s="144" t="s">
        <v>151</v>
      </c>
      <c r="C32" s="144" t="s">
        <v>183</v>
      </c>
      <c r="D32" s="144" t="s">
        <v>152</v>
      </c>
      <c r="E32" s="144" t="s">
        <v>196</v>
      </c>
      <c r="F32" s="144" t="s">
        <v>34</v>
      </c>
      <c r="G32" s="144" t="s">
        <v>35</v>
      </c>
      <c r="H32" s="144">
        <f>'Congrio dorado Industrial'!E33</f>
        <v>0.03</v>
      </c>
      <c r="I32" s="144">
        <f>'Congrio dorado Industrial'!F33</f>
        <v>0</v>
      </c>
      <c r="J32" s="144">
        <f>'Congrio dorado Industrial'!G33</f>
        <v>0.03</v>
      </c>
      <c r="K32" s="144">
        <f>'Congrio dorado Industrial'!H33</f>
        <v>0</v>
      </c>
      <c r="L32" s="144">
        <f>'Congrio dorado Industrial'!I33</f>
        <v>0.03</v>
      </c>
      <c r="M32" s="145">
        <f>'Congrio dorado Industrial'!J33</f>
        <v>0</v>
      </c>
      <c r="N32" s="276" t="s">
        <v>190</v>
      </c>
      <c r="O32" s="288">
        <v>43437</v>
      </c>
    </row>
    <row r="33" spans="1:15">
      <c r="A33" s="291" t="s">
        <v>186</v>
      </c>
      <c r="B33" s="144" t="s">
        <v>151</v>
      </c>
      <c r="C33" s="144" t="s">
        <v>183</v>
      </c>
      <c r="D33" s="144" t="s">
        <v>152</v>
      </c>
      <c r="E33" s="144" t="s">
        <v>196</v>
      </c>
      <c r="F33" s="144" t="s">
        <v>154</v>
      </c>
      <c r="G33" s="144" t="s">
        <v>45</v>
      </c>
      <c r="H33" s="144">
        <f>'Congrio dorado Industrial'!E34</f>
        <v>0.03</v>
      </c>
      <c r="I33" s="144">
        <f>'Congrio dorado Industrial'!F34</f>
        <v>0.318</v>
      </c>
      <c r="J33" s="144">
        <f>'Congrio dorado Industrial'!G34</f>
        <v>0.378</v>
      </c>
      <c r="K33" s="144">
        <f>'Congrio dorado Industrial'!H34</f>
        <v>0</v>
      </c>
      <c r="L33" s="144">
        <f>'Congrio dorado Industrial'!I34</f>
        <v>0.378</v>
      </c>
      <c r="M33" s="145">
        <f>'Congrio dorado Industrial'!J34</f>
        <v>0</v>
      </c>
      <c r="N33" s="276" t="s">
        <v>190</v>
      </c>
      <c r="O33" s="288">
        <v>43437</v>
      </c>
    </row>
    <row r="34" spans="1:15">
      <c r="A34" s="291" t="s">
        <v>186</v>
      </c>
      <c r="B34" s="144" t="s">
        <v>151</v>
      </c>
      <c r="C34" s="144" t="s">
        <v>183</v>
      </c>
      <c r="D34" s="144" t="s">
        <v>152</v>
      </c>
      <c r="E34" s="144" t="s">
        <v>196</v>
      </c>
      <c r="F34" s="144" t="s">
        <v>34</v>
      </c>
      <c r="G34" s="144" t="s">
        <v>45</v>
      </c>
      <c r="H34" s="144">
        <f>'Congrio dorado Industrial'!K33</f>
        <v>0.06</v>
      </c>
      <c r="I34" s="144">
        <f>'Congrio dorado Industrial'!L33</f>
        <v>0.318</v>
      </c>
      <c r="J34" s="144">
        <f>'Congrio dorado Industrial'!M33</f>
        <v>0.378</v>
      </c>
      <c r="K34" s="144">
        <f>'Congrio dorado Industrial'!N33</f>
        <v>0</v>
      </c>
      <c r="L34" s="144">
        <f>'Congrio dorado Industrial'!O33</f>
        <v>0.378</v>
      </c>
      <c r="M34" s="145">
        <f>'Congrio dorado Industrial'!P33</f>
        <v>0</v>
      </c>
      <c r="N34" s="276" t="s">
        <v>190</v>
      </c>
      <c r="O34" s="288">
        <v>43437</v>
      </c>
    </row>
    <row r="35" spans="1:15">
      <c r="A35" s="144" t="s">
        <v>201</v>
      </c>
      <c r="B35" s="144" t="s">
        <v>151</v>
      </c>
      <c r="C35" s="144" t="s">
        <v>156</v>
      </c>
      <c r="D35" s="144" t="s">
        <v>158</v>
      </c>
      <c r="E35" s="144" t="s">
        <v>159</v>
      </c>
      <c r="F35" s="144" t="s">
        <v>34</v>
      </c>
      <c r="G35" s="144" t="s">
        <v>39</v>
      </c>
      <c r="H35" s="144">
        <f>'Congrio dorado Artesanal'!E7</f>
        <v>2.5</v>
      </c>
      <c r="I35" s="144">
        <f>'Congrio dorado Artesanal'!F7</f>
        <v>0</v>
      </c>
      <c r="J35" s="144">
        <f>'Congrio dorado Artesanal'!G7</f>
        <v>2.5</v>
      </c>
      <c r="K35" s="144">
        <f>'Congrio dorado Artesanal'!H7</f>
        <v>1.6839999999999999</v>
      </c>
      <c r="L35" s="144">
        <f>'Congrio dorado Artesanal'!I7</f>
        <v>0.81600000000000006</v>
      </c>
      <c r="M35" s="145">
        <f>'Congrio dorado Artesanal'!J7</f>
        <v>0.67359999999999998</v>
      </c>
      <c r="N35" s="276" t="str">
        <f>'Congrio dorado Artesanal'!K7</f>
        <v>-</v>
      </c>
      <c r="O35" s="288">
        <v>43437</v>
      </c>
    </row>
    <row r="36" spans="1:15">
      <c r="A36" s="144" t="s">
        <v>201</v>
      </c>
      <c r="B36" s="144" t="s">
        <v>151</v>
      </c>
      <c r="C36" s="144" t="s">
        <v>156</v>
      </c>
      <c r="D36" s="144" t="s">
        <v>158</v>
      </c>
      <c r="E36" s="144" t="s">
        <v>159</v>
      </c>
      <c r="F36" s="144" t="s">
        <v>40</v>
      </c>
      <c r="G36" s="144" t="s">
        <v>45</v>
      </c>
      <c r="H36" s="144">
        <f>'Congrio dorado Artesanal'!E8</f>
        <v>2.5499999999999998</v>
      </c>
      <c r="I36" s="144">
        <f>'Congrio dorado Artesanal'!F8</f>
        <v>0</v>
      </c>
      <c r="J36" s="144">
        <f>'Congrio dorado Artesanal'!G8</f>
        <v>3.3659999999999997</v>
      </c>
      <c r="K36" s="144">
        <f>'Congrio dorado Artesanal'!H8</f>
        <v>1.212</v>
      </c>
      <c r="L36" s="144">
        <f>'Congrio dorado Artesanal'!I8</f>
        <v>2.1539999999999999</v>
      </c>
      <c r="M36" s="145">
        <f>'Congrio dorado Artesanal'!J8</f>
        <v>0.36007130124777187</v>
      </c>
      <c r="N36" s="276" t="str">
        <f>'Congrio dorado Artesanal'!K8</f>
        <v>-</v>
      </c>
      <c r="O36" s="288">
        <v>43437</v>
      </c>
    </row>
    <row r="37" spans="1:15">
      <c r="A37" s="144" t="s">
        <v>201</v>
      </c>
      <c r="B37" s="144" t="s">
        <v>151</v>
      </c>
      <c r="C37" s="144" t="s">
        <v>156</v>
      </c>
      <c r="D37" s="144" t="s">
        <v>158</v>
      </c>
      <c r="E37" s="144" t="s">
        <v>159</v>
      </c>
      <c r="F37" s="144" t="s">
        <v>34</v>
      </c>
      <c r="G37" s="144" t="s">
        <v>45</v>
      </c>
      <c r="H37" s="144">
        <f>'Congrio dorado Artesanal'!L7</f>
        <v>5.05</v>
      </c>
      <c r="I37" s="144">
        <f>'Congrio dorado Artesanal'!M7</f>
        <v>0</v>
      </c>
      <c r="J37" s="144">
        <f>'Congrio dorado Artesanal'!N7</f>
        <v>5.05</v>
      </c>
      <c r="K37" s="144">
        <f>'Congrio dorado Artesanal'!O7</f>
        <v>2.8959999999999999</v>
      </c>
      <c r="L37" s="144">
        <f>'Congrio dorado Artesanal'!P7</f>
        <v>2.1539999999999999</v>
      </c>
      <c r="M37" s="145">
        <f>'Congrio dorado Artesanal'!Q7</f>
        <v>0.57346534653465342</v>
      </c>
      <c r="N37" s="276" t="s">
        <v>190</v>
      </c>
      <c r="O37" s="288">
        <v>43437</v>
      </c>
    </row>
    <row r="38" spans="1:15">
      <c r="A38" s="144" t="s">
        <v>201</v>
      </c>
      <c r="B38" s="144" t="s">
        <v>151</v>
      </c>
      <c r="C38" s="144" t="s">
        <v>156</v>
      </c>
      <c r="D38" s="144" t="s">
        <v>158</v>
      </c>
      <c r="E38" s="144" t="s">
        <v>160</v>
      </c>
      <c r="F38" s="144" t="s">
        <v>34</v>
      </c>
      <c r="G38" s="144" t="s">
        <v>39</v>
      </c>
      <c r="H38" s="144">
        <f>'Congrio dorado Artesanal'!E9</f>
        <v>2.73</v>
      </c>
      <c r="I38" s="144">
        <f>'Congrio dorado Artesanal'!F9</f>
        <v>0</v>
      </c>
      <c r="J38" s="144">
        <f>'Congrio dorado Artesanal'!G9</f>
        <v>2.73</v>
      </c>
      <c r="K38" s="144">
        <f>'Congrio dorado Artesanal'!H9</f>
        <v>0.22900000000000001</v>
      </c>
      <c r="L38" s="144">
        <f>'Congrio dorado Artesanal'!I9</f>
        <v>2.5009999999999999</v>
      </c>
      <c r="M38" s="145">
        <f>'Congrio dorado Artesanal'!J9</f>
        <v>8.388278388278389E-2</v>
      </c>
      <c r="N38" s="276" t="str">
        <f>'Congrio dorado Artesanal'!K9</f>
        <v>-</v>
      </c>
      <c r="O38" s="288">
        <v>43437</v>
      </c>
    </row>
    <row r="39" spans="1:15">
      <c r="A39" s="144" t="s">
        <v>201</v>
      </c>
      <c r="B39" s="144" t="s">
        <v>151</v>
      </c>
      <c r="C39" s="144" t="s">
        <v>156</v>
      </c>
      <c r="D39" s="144" t="s">
        <v>158</v>
      </c>
      <c r="E39" s="144" t="s">
        <v>160</v>
      </c>
      <c r="F39" s="144" t="s">
        <v>40</v>
      </c>
      <c r="G39" s="144" t="s">
        <v>45</v>
      </c>
      <c r="H39" s="144">
        <f>'Congrio dorado Artesanal'!E10</f>
        <v>2.74</v>
      </c>
      <c r="I39" s="144">
        <f>'Congrio dorado Artesanal'!F10</f>
        <v>0</v>
      </c>
      <c r="J39" s="144">
        <f>'Congrio dorado Artesanal'!G10</f>
        <v>5.2409999999999997</v>
      </c>
      <c r="K39" s="144">
        <f>'Congrio dorado Artesanal'!H10</f>
        <v>0.69799999999999995</v>
      </c>
      <c r="L39" s="144">
        <f>'Congrio dorado Artesanal'!I10</f>
        <v>4.5429999999999993</v>
      </c>
      <c r="M39" s="145">
        <f>'Congrio dorado Artesanal'!J10</f>
        <v>0.13318069070788016</v>
      </c>
      <c r="N39" s="276" t="str">
        <f>'Congrio dorado Artesanal'!K10</f>
        <v>-</v>
      </c>
      <c r="O39" s="288">
        <v>43437</v>
      </c>
    </row>
    <row r="40" spans="1:15">
      <c r="A40" s="144" t="s">
        <v>201</v>
      </c>
      <c r="B40" s="144" t="s">
        <v>151</v>
      </c>
      <c r="C40" s="144" t="s">
        <v>156</v>
      </c>
      <c r="D40" s="144" t="s">
        <v>158</v>
      </c>
      <c r="E40" s="144" t="s">
        <v>160</v>
      </c>
      <c r="F40" s="144" t="s">
        <v>34</v>
      </c>
      <c r="G40" s="144" t="s">
        <v>45</v>
      </c>
      <c r="H40" s="144">
        <f>'Congrio dorado Artesanal'!L9</f>
        <v>5.4700000000000006</v>
      </c>
      <c r="I40" s="144">
        <f>'Congrio dorado Artesanal'!M9</f>
        <v>0</v>
      </c>
      <c r="J40" s="144">
        <f>'Congrio dorado Artesanal'!N9</f>
        <v>5.4700000000000006</v>
      </c>
      <c r="K40" s="144">
        <f>'Congrio dorado Artesanal'!O9</f>
        <v>0.92699999999999994</v>
      </c>
      <c r="L40" s="144">
        <f>'Congrio dorado Artesanal'!P9</f>
        <v>4.543000000000001</v>
      </c>
      <c r="M40" s="145">
        <f>'Congrio dorado Artesanal'!Q9</f>
        <v>0.16946983546617914</v>
      </c>
      <c r="N40" s="276" t="s">
        <v>190</v>
      </c>
      <c r="O40" s="288">
        <v>43437</v>
      </c>
    </row>
    <row r="41" spans="1:15">
      <c r="A41" s="144" t="s">
        <v>201</v>
      </c>
      <c r="B41" s="144" t="s">
        <v>151</v>
      </c>
      <c r="C41" s="144" t="s">
        <v>156</v>
      </c>
      <c r="D41" s="144" t="s">
        <v>158</v>
      </c>
      <c r="E41" s="144" t="s">
        <v>161</v>
      </c>
      <c r="F41" s="144" t="s">
        <v>34</v>
      </c>
      <c r="G41" s="144" t="s">
        <v>39</v>
      </c>
      <c r="H41" s="144">
        <f>'Congrio dorado Artesanal'!E11</f>
        <v>1.6</v>
      </c>
      <c r="I41" s="144">
        <f>'Congrio dorado Artesanal'!F11</f>
        <v>0</v>
      </c>
      <c r="J41" s="144">
        <f>'Congrio dorado Artesanal'!G11</f>
        <v>1.6</v>
      </c>
      <c r="K41" s="144">
        <f>'Congrio dorado Artesanal'!H11</f>
        <v>0.111</v>
      </c>
      <c r="L41" s="144">
        <f>'Congrio dorado Artesanal'!I11</f>
        <v>1.4890000000000001</v>
      </c>
      <c r="M41" s="145">
        <f>'Congrio dorado Artesanal'!J11</f>
        <v>6.9374999999999992E-2</v>
      </c>
      <c r="N41" s="276" t="str">
        <f>'Congrio dorado Artesanal'!K11</f>
        <v>-</v>
      </c>
      <c r="O41" s="288">
        <v>43437</v>
      </c>
    </row>
    <row r="42" spans="1:15">
      <c r="A42" s="144" t="s">
        <v>201</v>
      </c>
      <c r="B42" s="144" t="s">
        <v>151</v>
      </c>
      <c r="C42" s="144" t="s">
        <v>156</v>
      </c>
      <c r="D42" s="144" t="s">
        <v>158</v>
      </c>
      <c r="E42" s="144" t="s">
        <v>161</v>
      </c>
      <c r="F42" s="144" t="s">
        <v>40</v>
      </c>
      <c r="G42" s="144" t="s">
        <v>45</v>
      </c>
      <c r="H42" s="144">
        <f>'Congrio dorado Artesanal'!E12</f>
        <v>1.7</v>
      </c>
      <c r="I42" s="144">
        <f>'Congrio dorado Artesanal'!F12</f>
        <v>0</v>
      </c>
      <c r="J42" s="144">
        <f>'Congrio dorado Artesanal'!G12</f>
        <v>3.1890000000000001</v>
      </c>
      <c r="K42" s="144">
        <f>'Congrio dorado Artesanal'!H12</f>
        <v>3.7469999999999999</v>
      </c>
      <c r="L42" s="144">
        <f>'Congrio dorado Artesanal'!I12</f>
        <v>-0.55799999999999983</v>
      </c>
      <c r="M42" s="145">
        <f>'Congrio dorado Artesanal'!J12</f>
        <v>1.1749764816556914</v>
      </c>
      <c r="N42" s="276">
        <f>'Congrio dorado Artesanal'!K12</f>
        <v>43418</v>
      </c>
      <c r="O42" s="288">
        <v>43437</v>
      </c>
    </row>
    <row r="43" spans="1:15">
      <c r="A43" s="144" t="s">
        <v>201</v>
      </c>
      <c r="B43" s="144" t="s">
        <v>151</v>
      </c>
      <c r="C43" s="144" t="s">
        <v>156</v>
      </c>
      <c r="D43" s="144" t="s">
        <v>158</v>
      </c>
      <c r="E43" s="144" t="s">
        <v>161</v>
      </c>
      <c r="F43" s="144" t="s">
        <v>34</v>
      </c>
      <c r="G43" s="144" t="s">
        <v>45</v>
      </c>
      <c r="H43" s="144">
        <f>'Congrio dorado Artesanal'!L11</f>
        <v>3.3</v>
      </c>
      <c r="I43" s="144">
        <f>'Congrio dorado Artesanal'!M11</f>
        <v>0</v>
      </c>
      <c r="J43" s="144">
        <f>'Congrio dorado Artesanal'!N11</f>
        <v>3.3</v>
      </c>
      <c r="K43" s="144">
        <f>'Congrio dorado Artesanal'!O11</f>
        <v>3.8580000000000001</v>
      </c>
      <c r="L43" s="144">
        <f>'Congrio dorado Artesanal'!P11</f>
        <v>-0.55800000000000027</v>
      </c>
      <c r="M43" s="145">
        <f>'Congrio dorado Artesanal'!Q11</f>
        <v>1.1690909090909092</v>
      </c>
      <c r="N43" s="276" t="s">
        <v>190</v>
      </c>
      <c r="O43" s="288">
        <v>43437</v>
      </c>
    </row>
    <row r="44" spans="1:15">
      <c r="A44" s="144" t="s">
        <v>201</v>
      </c>
      <c r="B44" s="144" t="s">
        <v>151</v>
      </c>
      <c r="C44" s="144" t="s">
        <v>156</v>
      </c>
      <c r="D44" s="144" t="s">
        <v>158</v>
      </c>
      <c r="E44" s="144" t="s">
        <v>162</v>
      </c>
      <c r="F44" s="144" t="s">
        <v>34</v>
      </c>
      <c r="G44" s="144" t="s">
        <v>39</v>
      </c>
      <c r="H44" s="144">
        <f>'Congrio dorado Artesanal'!E13</f>
        <v>5.69</v>
      </c>
      <c r="I44" s="144">
        <f>'Congrio dorado Artesanal'!F13</f>
        <v>0</v>
      </c>
      <c r="J44" s="144">
        <f>'Congrio dorado Artesanal'!G13</f>
        <v>5.69</v>
      </c>
      <c r="K44" s="144">
        <f>'Congrio dorado Artesanal'!H13</f>
        <v>11.785</v>
      </c>
      <c r="L44" s="144">
        <f>'Congrio dorado Artesanal'!I13</f>
        <v>-6.0949999999999998</v>
      </c>
      <c r="M44" s="145">
        <f>'Congrio dorado Artesanal'!J13</f>
        <v>2.0711775043936731</v>
      </c>
      <c r="N44" s="276">
        <f>'Congrio dorado Artesanal'!K13</f>
        <v>43174</v>
      </c>
      <c r="O44" s="288">
        <v>43437</v>
      </c>
    </row>
    <row r="45" spans="1:15">
      <c r="A45" s="144" t="s">
        <v>201</v>
      </c>
      <c r="B45" s="144" t="s">
        <v>151</v>
      </c>
      <c r="C45" s="144" t="s">
        <v>156</v>
      </c>
      <c r="D45" s="144" t="s">
        <v>158</v>
      </c>
      <c r="E45" s="144" t="s">
        <v>162</v>
      </c>
      <c r="F45" s="144" t="s">
        <v>40</v>
      </c>
      <c r="G45" s="144" t="s">
        <v>45</v>
      </c>
      <c r="H45" s="144">
        <f>'Congrio dorado Artesanal'!E14</f>
        <v>5.69</v>
      </c>
      <c r="I45" s="144">
        <f>'Congrio dorado Artesanal'!F14</f>
        <v>0</v>
      </c>
      <c r="J45" s="144">
        <f>'Congrio dorado Artesanal'!G14</f>
        <v>-0.40499999999999936</v>
      </c>
      <c r="K45" s="144">
        <f>'Congrio dorado Artesanal'!H14</f>
        <v>0</v>
      </c>
      <c r="L45" s="144">
        <f>'Congrio dorado Artesanal'!I14</f>
        <v>-0.40499999999999936</v>
      </c>
      <c r="M45" s="145">
        <f>'Congrio dorado Artesanal'!J14</f>
        <v>0</v>
      </c>
      <c r="N45" s="276">
        <f>'Congrio dorado Artesanal'!K14</f>
        <v>43258</v>
      </c>
      <c r="O45" s="288">
        <v>43437</v>
      </c>
    </row>
    <row r="46" spans="1:15">
      <c r="A46" s="144" t="s">
        <v>201</v>
      </c>
      <c r="B46" s="144" t="s">
        <v>151</v>
      </c>
      <c r="C46" s="144" t="s">
        <v>156</v>
      </c>
      <c r="D46" s="144" t="s">
        <v>158</v>
      </c>
      <c r="E46" s="144" t="s">
        <v>162</v>
      </c>
      <c r="F46" s="144" t="s">
        <v>34</v>
      </c>
      <c r="G46" s="144" t="s">
        <v>45</v>
      </c>
      <c r="H46" s="144">
        <f>'Congrio dorado Artesanal'!L13</f>
        <v>11.38</v>
      </c>
      <c r="I46" s="144">
        <f>'Congrio dorado Artesanal'!M13</f>
        <v>0</v>
      </c>
      <c r="J46" s="144">
        <f>'Congrio dorado Artesanal'!N13</f>
        <v>11.38</v>
      </c>
      <c r="K46" s="144">
        <f>'Congrio dorado Artesanal'!O13</f>
        <v>11.785</v>
      </c>
      <c r="L46" s="144">
        <f>'Congrio dorado Artesanal'!P13</f>
        <v>-0.40499999999999936</v>
      </c>
      <c r="M46" s="145">
        <f>'Congrio dorado Artesanal'!Q13</f>
        <v>1.0355887521968365</v>
      </c>
      <c r="N46" s="276" t="s">
        <v>190</v>
      </c>
      <c r="O46" s="288">
        <v>43437</v>
      </c>
    </row>
    <row r="47" spans="1:15">
      <c r="A47" s="144" t="s">
        <v>201</v>
      </c>
      <c r="B47" s="144" t="s">
        <v>151</v>
      </c>
      <c r="C47" s="144" t="s">
        <v>156</v>
      </c>
      <c r="D47" s="144" t="s">
        <v>158</v>
      </c>
      <c r="E47" s="144" t="s">
        <v>163</v>
      </c>
      <c r="F47" s="144" t="s">
        <v>34</v>
      </c>
      <c r="G47" s="144" t="s">
        <v>39</v>
      </c>
      <c r="H47" s="144">
        <f>'Congrio dorado Artesanal'!E15</f>
        <v>15.59</v>
      </c>
      <c r="I47" s="144">
        <f>'Congrio dorado Artesanal'!F15</f>
        <v>0</v>
      </c>
      <c r="J47" s="144">
        <f>'Congrio dorado Artesanal'!G15</f>
        <v>15.59</v>
      </c>
      <c r="K47" s="144">
        <f>'Congrio dorado Artesanal'!H15</f>
        <v>12.661</v>
      </c>
      <c r="L47" s="144">
        <f>'Congrio dorado Artesanal'!I15</f>
        <v>2.9290000000000003</v>
      </c>
      <c r="M47" s="145">
        <f>'Congrio dorado Artesanal'!J15</f>
        <v>0.81212315586914685</v>
      </c>
      <c r="N47" s="276" t="str">
        <f>'Congrio dorado Artesanal'!K15</f>
        <v>-</v>
      </c>
      <c r="O47" s="288">
        <v>43437</v>
      </c>
    </row>
    <row r="48" spans="1:15" ht="14.25" customHeight="1">
      <c r="A48" s="144" t="s">
        <v>201</v>
      </c>
      <c r="B48" s="144" t="s">
        <v>151</v>
      </c>
      <c r="C48" s="144" t="s">
        <v>156</v>
      </c>
      <c r="D48" s="144" t="s">
        <v>158</v>
      </c>
      <c r="E48" s="144" t="s">
        <v>163</v>
      </c>
      <c r="F48" s="144" t="s">
        <v>40</v>
      </c>
      <c r="G48" s="144" t="s">
        <v>45</v>
      </c>
      <c r="H48" s="144">
        <f>'Congrio dorado Artesanal'!E16</f>
        <v>5.6</v>
      </c>
      <c r="I48" s="144">
        <f>'Congrio dorado Artesanal'!F16</f>
        <v>0</v>
      </c>
      <c r="J48" s="144">
        <f>'Congrio dorado Artesanal'!G16</f>
        <v>8.5289999999999999</v>
      </c>
      <c r="K48" s="144">
        <f>'Congrio dorado Artesanal'!H16</f>
        <v>8.7100000000000009</v>
      </c>
      <c r="L48" s="144">
        <f>'Congrio dorado Artesanal'!I16</f>
        <v>-0.18100000000000094</v>
      </c>
      <c r="M48" s="145">
        <f>'Congrio dorado Artesanal'!J16</f>
        <v>1.0212217141517177</v>
      </c>
      <c r="N48" s="276">
        <f>'Congrio dorado Artesanal'!K16</f>
        <v>43419</v>
      </c>
      <c r="O48" s="288">
        <v>43437</v>
      </c>
    </row>
    <row r="49" spans="1:15" ht="14.25" customHeight="1">
      <c r="A49" s="144" t="s">
        <v>201</v>
      </c>
      <c r="B49" s="144" t="s">
        <v>151</v>
      </c>
      <c r="C49" s="144" t="s">
        <v>156</v>
      </c>
      <c r="D49" s="144" t="s">
        <v>158</v>
      </c>
      <c r="E49" s="144" t="s">
        <v>163</v>
      </c>
      <c r="F49" s="144" t="s">
        <v>34</v>
      </c>
      <c r="G49" s="144" t="s">
        <v>45</v>
      </c>
      <c r="H49" s="144">
        <f>'Congrio dorado Artesanal'!L15</f>
        <v>21.189999999999998</v>
      </c>
      <c r="I49" s="144">
        <f>'Congrio dorado Artesanal'!M15</f>
        <v>0</v>
      </c>
      <c r="J49" s="144">
        <f>'Congrio dorado Artesanal'!N15</f>
        <v>21.189999999999998</v>
      </c>
      <c r="K49" s="144">
        <f>'Congrio dorado Artesanal'!O15</f>
        <v>21.371000000000002</v>
      </c>
      <c r="L49" s="144">
        <f>'Congrio dorado Artesanal'!P15</f>
        <v>-0.18100000000000449</v>
      </c>
      <c r="M49" s="145">
        <f>'Congrio dorado Artesanal'!Q15</f>
        <v>1.0085417649834829</v>
      </c>
      <c r="N49" s="276" t="s">
        <v>190</v>
      </c>
      <c r="O49" s="288">
        <v>43437</v>
      </c>
    </row>
    <row r="50" spans="1:15">
      <c r="A50" s="144" t="s">
        <v>201</v>
      </c>
      <c r="B50" s="144" t="s">
        <v>151</v>
      </c>
      <c r="C50" s="144" t="s">
        <v>156</v>
      </c>
      <c r="D50" s="144" t="s">
        <v>158</v>
      </c>
      <c r="E50" s="144" t="s">
        <v>164</v>
      </c>
      <c r="F50" s="144" t="s">
        <v>34</v>
      </c>
      <c r="G50" s="144" t="s">
        <v>39</v>
      </c>
      <c r="H50" s="144">
        <f>'Congrio dorado Artesanal'!E17</f>
        <v>26.77</v>
      </c>
      <c r="I50" s="144">
        <f>'Congrio dorado Artesanal'!F17</f>
        <v>0</v>
      </c>
      <c r="J50" s="144">
        <f>'Congrio dorado Artesanal'!G17</f>
        <v>26.77</v>
      </c>
      <c r="K50" s="144">
        <f>'Congrio dorado Artesanal'!H17</f>
        <v>11.238</v>
      </c>
      <c r="L50" s="144">
        <f>'Congrio dorado Artesanal'!I17</f>
        <v>15.532</v>
      </c>
      <c r="M50" s="145">
        <f>'Congrio dorado Artesanal'!J17</f>
        <v>0.41979828165857302</v>
      </c>
      <c r="N50" s="276" t="str">
        <f>'Congrio dorado Artesanal'!K17</f>
        <v>-</v>
      </c>
      <c r="O50" s="288">
        <v>43437</v>
      </c>
    </row>
    <row r="51" spans="1:15">
      <c r="A51" s="144" t="s">
        <v>201</v>
      </c>
      <c r="B51" s="144" t="s">
        <v>151</v>
      </c>
      <c r="C51" s="144" t="s">
        <v>156</v>
      </c>
      <c r="D51" s="144" t="s">
        <v>158</v>
      </c>
      <c r="E51" s="144" t="s">
        <v>164</v>
      </c>
      <c r="F51" s="144" t="s">
        <v>40</v>
      </c>
      <c r="G51" s="144" t="s">
        <v>45</v>
      </c>
      <c r="H51" s="144">
        <f>'Congrio dorado Artesanal'!E18</f>
        <v>26.8</v>
      </c>
      <c r="I51" s="144">
        <f>'Congrio dorado Artesanal'!F18</f>
        <v>0</v>
      </c>
      <c r="J51" s="144">
        <f>'Congrio dorado Artesanal'!G18</f>
        <v>42.332000000000001</v>
      </c>
      <c r="K51" s="144">
        <f>'Congrio dorado Artesanal'!H18</f>
        <v>36.143999999999998</v>
      </c>
      <c r="L51" s="144">
        <f>'Congrio dorado Artesanal'!I18</f>
        <v>6.1880000000000024</v>
      </c>
      <c r="M51" s="145">
        <f>'Congrio dorado Artesanal'!J18</f>
        <v>0.85382216762732677</v>
      </c>
      <c r="N51" s="276">
        <f>'Congrio dorado Artesanal'!K18</f>
        <v>43439</v>
      </c>
      <c r="O51" s="288">
        <v>43437</v>
      </c>
    </row>
    <row r="52" spans="1:15">
      <c r="A52" s="144" t="s">
        <v>201</v>
      </c>
      <c r="B52" s="144" t="s">
        <v>151</v>
      </c>
      <c r="C52" s="144" t="s">
        <v>156</v>
      </c>
      <c r="D52" s="144" t="s">
        <v>158</v>
      </c>
      <c r="E52" s="144" t="s">
        <v>164</v>
      </c>
      <c r="F52" s="144" t="s">
        <v>34</v>
      </c>
      <c r="G52" s="144" t="s">
        <v>45</v>
      </c>
      <c r="H52" s="144">
        <f>'Congrio dorado Artesanal'!L17</f>
        <v>53.57</v>
      </c>
      <c r="I52" s="144">
        <f>'Congrio dorado Artesanal'!M17</f>
        <v>0</v>
      </c>
      <c r="J52" s="144">
        <f>'Congrio dorado Artesanal'!N17</f>
        <v>53.57</v>
      </c>
      <c r="K52" s="144">
        <f>'Congrio dorado Artesanal'!O17</f>
        <v>47.381999999999998</v>
      </c>
      <c r="L52" s="144">
        <f>'Congrio dorado Artesanal'!P17</f>
        <v>6.1880000000000024</v>
      </c>
      <c r="M52" s="145">
        <f>'Congrio dorado Artesanal'!Q17</f>
        <v>0.88448758633563562</v>
      </c>
      <c r="N52" s="276" t="s">
        <v>190</v>
      </c>
      <c r="O52" s="288">
        <v>43437</v>
      </c>
    </row>
    <row r="53" spans="1:15">
      <c r="A53" s="144" t="s">
        <v>201</v>
      </c>
      <c r="B53" s="144" t="s">
        <v>151</v>
      </c>
      <c r="C53" s="144" t="s">
        <v>156</v>
      </c>
      <c r="D53" s="144" t="s">
        <v>158</v>
      </c>
      <c r="E53" s="144" t="s">
        <v>165</v>
      </c>
      <c r="F53" s="144" t="s">
        <v>34</v>
      </c>
      <c r="G53" s="144" t="s">
        <v>39</v>
      </c>
      <c r="H53" s="144">
        <f>'Congrio dorado Artesanal'!E19</f>
        <v>5.43</v>
      </c>
      <c r="I53" s="144">
        <f>'Congrio dorado Artesanal'!F19</f>
        <v>0</v>
      </c>
      <c r="J53" s="144">
        <f>'Congrio dorado Artesanal'!G19</f>
        <v>5.43</v>
      </c>
      <c r="K53" s="144">
        <f>'Congrio dorado Artesanal'!H19</f>
        <v>1.891</v>
      </c>
      <c r="L53" s="144">
        <f>'Congrio dorado Artesanal'!I19</f>
        <v>3.5389999999999997</v>
      </c>
      <c r="M53" s="145">
        <f>'Congrio dorado Artesanal'!J19</f>
        <v>0.34825046040515656</v>
      </c>
      <c r="N53" s="276" t="str">
        <f>'Congrio dorado Artesanal'!K19</f>
        <v>-</v>
      </c>
      <c r="O53" s="288">
        <v>43437</v>
      </c>
    </row>
    <row r="54" spans="1:15">
      <c r="A54" s="144" t="s">
        <v>201</v>
      </c>
      <c r="B54" s="144" t="s">
        <v>151</v>
      </c>
      <c r="C54" s="144" t="s">
        <v>156</v>
      </c>
      <c r="D54" s="144" t="s">
        <v>158</v>
      </c>
      <c r="E54" s="144" t="s">
        <v>165</v>
      </c>
      <c r="F54" s="144" t="s">
        <v>40</v>
      </c>
      <c r="G54" s="144" t="s">
        <v>45</v>
      </c>
      <c r="H54" s="144">
        <f>'Congrio dorado Artesanal'!E20</f>
        <v>5.42</v>
      </c>
      <c r="I54" s="144">
        <f>'Congrio dorado Artesanal'!F20</f>
        <v>0</v>
      </c>
      <c r="J54" s="144">
        <f>'Congrio dorado Artesanal'!G20</f>
        <v>8.9589999999999996</v>
      </c>
      <c r="K54" s="144">
        <f>'Congrio dorado Artesanal'!H20</f>
        <v>7.375</v>
      </c>
      <c r="L54" s="144">
        <f>'Congrio dorado Artesanal'!I20</f>
        <v>1.5839999999999996</v>
      </c>
      <c r="M54" s="145">
        <f>'Congrio dorado Artesanal'!J20</f>
        <v>0.82319455296350041</v>
      </c>
      <c r="N54" s="276" t="str">
        <f>'Congrio dorado Artesanal'!K20</f>
        <v>-</v>
      </c>
      <c r="O54" s="288">
        <v>43437</v>
      </c>
    </row>
    <row r="55" spans="1:15">
      <c r="A55" s="144" t="s">
        <v>201</v>
      </c>
      <c r="B55" s="144" t="s">
        <v>151</v>
      </c>
      <c r="C55" s="144" t="s">
        <v>156</v>
      </c>
      <c r="D55" s="144" t="s">
        <v>158</v>
      </c>
      <c r="E55" s="144" t="s">
        <v>165</v>
      </c>
      <c r="F55" s="144" t="s">
        <v>34</v>
      </c>
      <c r="G55" s="144" t="s">
        <v>45</v>
      </c>
      <c r="H55" s="144">
        <f>'Congrio dorado Artesanal'!L19</f>
        <v>10.85</v>
      </c>
      <c r="I55" s="144">
        <f>'Congrio dorado Artesanal'!M19</f>
        <v>0</v>
      </c>
      <c r="J55" s="144">
        <f>'Congrio dorado Artesanal'!N19</f>
        <v>10.85</v>
      </c>
      <c r="K55" s="144">
        <f>'Congrio dorado Artesanal'!O19</f>
        <v>9.266</v>
      </c>
      <c r="L55" s="144">
        <f>'Congrio dorado Artesanal'!P19</f>
        <v>1.5839999999999996</v>
      </c>
      <c r="M55" s="145">
        <f>'Congrio dorado Artesanal'!Q19</f>
        <v>0.85400921658986173</v>
      </c>
      <c r="N55" s="276" t="s">
        <v>190</v>
      </c>
      <c r="O55" s="288">
        <v>43437</v>
      </c>
    </row>
    <row r="56" spans="1:15">
      <c r="A56" s="144" t="s">
        <v>201</v>
      </c>
      <c r="B56" s="144" t="s">
        <v>151</v>
      </c>
      <c r="C56" s="144" t="s">
        <v>156</v>
      </c>
      <c r="D56" s="144" t="s">
        <v>158</v>
      </c>
      <c r="E56" s="144" t="s">
        <v>166</v>
      </c>
      <c r="F56" s="144" t="s">
        <v>34</v>
      </c>
      <c r="G56" s="144" t="s">
        <v>39</v>
      </c>
      <c r="H56" s="144">
        <f>'Congrio dorado Artesanal'!E21</f>
        <v>2.59</v>
      </c>
      <c r="I56" s="144">
        <f>'Congrio dorado Artesanal'!F21</f>
        <v>0</v>
      </c>
      <c r="J56" s="144">
        <f>'Congrio dorado Artesanal'!G21</f>
        <v>2.59</v>
      </c>
      <c r="K56" s="144">
        <f>'Congrio dorado Artesanal'!H21</f>
        <v>0.96899999999999997</v>
      </c>
      <c r="L56" s="144">
        <f>'Congrio dorado Artesanal'!I21</f>
        <v>1.621</v>
      </c>
      <c r="M56" s="145">
        <f>'Congrio dorado Artesanal'!J21</f>
        <v>0.37413127413127412</v>
      </c>
      <c r="N56" s="276" t="str">
        <f>'Congrio dorado Artesanal'!K21</f>
        <v>-</v>
      </c>
      <c r="O56" s="288">
        <v>43437</v>
      </c>
    </row>
    <row r="57" spans="1:15">
      <c r="A57" s="144" t="s">
        <v>201</v>
      </c>
      <c r="B57" s="144" t="s">
        <v>151</v>
      </c>
      <c r="C57" s="144" t="s">
        <v>156</v>
      </c>
      <c r="D57" s="144" t="s">
        <v>158</v>
      </c>
      <c r="E57" s="144" t="s">
        <v>166</v>
      </c>
      <c r="F57" s="144" t="s">
        <v>40</v>
      </c>
      <c r="G57" s="144" t="s">
        <v>45</v>
      </c>
      <c r="H57" s="144">
        <f>'Congrio dorado Artesanal'!E22</f>
        <v>2.58</v>
      </c>
      <c r="I57" s="144">
        <f>'Congrio dorado Artesanal'!F22</f>
        <v>0</v>
      </c>
      <c r="J57" s="144">
        <f>'Congrio dorado Artesanal'!G22</f>
        <v>4.2010000000000005</v>
      </c>
      <c r="K57" s="144">
        <f>'Congrio dorado Artesanal'!H22</f>
        <v>3.3490000000000002</v>
      </c>
      <c r="L57" s="144">
        <f>'Congrio dorado Artesanal'!I22</f>
        <v>0.85200000000000031</v>
      </c>
      <c r="M57" s="145">
        <f>'Congrio dorado Artesanal'!J22</f>
        <v>0.79719114496548438</v>
      </c>
      <c r="N57" s="276" t="str">
        <f>'Congrio dorado Artesanal'!K22</f>
        <v>-</v>
      </c>
      <c r="O57" s="288">
        <v>43437</v>
      </c>
    </row>
    <row r="58" spans="1:15">
      <c r="A58" s="144" t="s">
        <v>201</v>
      </c>
      <c r="B58" s="144" t="s">
        <v>151</v>
      </c>
      <c r="C58" s="144" t="s">
        <v>156</v>
      </c>
      <c r="D58" s="144" t="s">
        <v>158</v>
      </c>
      <c r="E58" s="144" t="s">
        <v>166</v>
      </c>
      <c r="F58" s="144" t="s">
        <v>34</v>
      </c>
      <c r="G58" s="144" t="s">
        <v>45</v>
      </c>
      <c r="H58" s="144">
        <f>'Congrio dorado Artesanal'!L21</f>
        <v>5.17</v>
      </c>
      <c r="I58" s="144">
        <f>'Congrio dorado Artesanal'!M21</f>
        <v>0</v>
      </c>
      <c r="J58" s="144">
        <f>'Congrio dorado Artesanal'!N21</f>
        <v>5.17</v>
      </c>
      <c r="K58" s="144">
        <f>'Congrio dorado Artesanal'!O21</f>
        <v>4.3180000000000005</v>
      </c>
      <c r="L58" s="144">
        <f>'Congrio dorado Artesanal'!P21</f>
        <v>0.85199999999999942</v>
      </c>
      <c r="M58" s="145">
        <f>'Congrio dorado Artesanal'!Q21</f>
        <v>0.83520309477756294</v>
      </c>
      <c r="N58" s="276" t="s">
        <v>190</v>
      </c>
      <c r="O58" s="288">
        <v>43437</v>
      </c>
    </row>
    <row r="59" spans="1:15">
      <c r="A59" s="144" t="s">
        <v>201</v>
      </c>
      <c r="B59" s="144" t="s">
        <v>151</v>
      </c>
      <c r="C59" s="144" t="s">
        <v>156</v>
      </c>
      <c r="D59" s="144" t="s">
        <v>158</v>
      </c>
      <c r="E59" s="144" t="s">
        <v>167</v>
      </c>
      <c r="F59" s="144" t="s">
        <v>34</v>
      </c>
      <c r="G59" s="144" t="s">
        <v>39</v>
      </c>
      <c r="H59" s="144">
        <f>'Congrio dorado Artesanal'!E23</f>
        <v>0.09</v>
      </c>
      <c r="I59" s="144">
        <f>'Congrio dorado Artesanal'!F23</f>
        <v>0</v>
      </c>
      <c r="J59" s="144">
        <f>'Congrio dorado Artesanal'!G23</f>
        <v>0.09</v>
      </c>
      <c r="K59" s="144">
        <f>'Congrio dorado Artesanal'!H23</f>
        <v>0.254</v>
      </c>
      <c r="L59" s="144">
        <f>'Congrio dorado Artesanal'!I23</f>
        <v>-0.16400000000000001</v>
      </c>
      <c r="M59" s="145">
        <f>'Congrio dorado Artesanal'!J23</f>
        <v>2.8222222222222224</v>
      </c>
      <c r="N59" s="276">
        <f>'Congrio dorado Artesanal'!K23</f>
        <v>43131</v>
      </c>
      <c r="O59" s="288">
        <v>43437</v>
      </c>
    </row>
    <row r="60" spans="1:15">
      <c r="A60" s="144" t="s">
        <v>201</v>
      </c>
      <c r="B60" s="144" t="s">
        <v>151</v>
      </c>
      <c r="C60" s="144" t="s">
        <v>156</v>
      </c>
      <c r="D60" s="144" t="s">
        <v>158</v>
      </c>
      <c r="E60" s="144" t="s">
        <v>167</v>
      </c>
      <c r="F60" s="144" t="s">
        <v>40</v>
      </c>
      <c r="G60" s="144" t="s">
        <v>45</v>
      </c>
      <c r="H60" s="144">
        <f>'Congrio dorado Artesanal'!E24</f>
        <v>0.09</v>
      </c>
      <c r="I60" s="144">
        <f>'Congrio dorado Artesanal'!F24</f>
        <v>0</v>
      </c>
      <c r="J60" s="144">
        <f>'Congrio dorado Artesanal'!G24</f>
        <v>-7.400000000000001E-2</v>
      </c>
      <c r="K60" s="144">
        <f>'Congrio dorado Artesanal'!H24</f>
        <v>0</v>
      </c>
      <c r="L60" s="144">
        <f>'Congrio dorado Artesanal'!I24</f>
        <v>-7.400000000000001E-2</v>
      </c>
      <c r="M60" s="145">
        <f>'Congrio dorado Artesanal'!J24</f>
        <v>0</v>
      </c>
      <c r="N60" s="276">
        <f>'Congrio dorado Artesanal'!K24</f>
        <v>43188</v>
      </c>
      <c r="O60" s="288">
        <v>43437</v>
      </c>
    </row>
    <row r="61" spans="1:15">
      <c r="A61" s="144" t="s">
        <v>201</v>
      </c>
      <c r="B61" s="144" t="s">
        <v>151</v>
      </c>
      <c r="C61" s="144" t="s">
        <v>156</v>
      </c>
      <c r="D61" s="144" t="s">
        <v>158</v>
      </c>
      <c r="E61" s="144" t="s">
        <v>167</v>
      </c>
      <c r="F61" s="144" t="s">
        <v>34</v>
      </c>
      <c r="G61" s="144" t="s">
        <v>45</v>
      </c>
      <c r="H61" s="144">
        <f>'Congrio dorado Artesanal'!L23</f>
        <v>0.18</v>
      </c>
      <c r="I61" s="144">
        <f>'Congrio dorado Artesanal'!M23</f>
        <v>0</v>
      </c>
      <c r="J61" s="144">
        <f>'Congrio dorado Artesanal'!N23</f>
        <v>0.18</v>
      </c>
      <c r="K61" s="144">
        <f>'Congrio dorado Artesanal'!O23</f>
        <v>0.254</v>
      </c>
      <c r="L61" s="144">
        <f>'Congrio dorado Artesanal'!P23</f>
        <v>-7.400000000000001E-2</v>
      </c>
      <c r="M61" s="145">
        <f>'Congrio dorado Artesanal'!Q23</f>
        <v>1.4111111111111112</v>
      </c>
      <c r="N61" s="276" t="s">
        <v>190</v>
      </c>
      <c r="O61" s="288">
        <v>43437</v>
      </c>
    </row>
    <row r="62" spans="1:15">
      <c r="A62" s="144" t="s">
        <v>201</v>
      </c>
      <c r="B62" s="144" t="s">
        <v>151</v>
      </c>
      <c r="C62" s="144" t="s">
        <v>156</v>
      </c>
      <c r="D62" s="144" t="s">
        <v>158</v>
      </c>
      <c r="E62" s="144" t="s">
        <v>168</v>
      </c>
      <c r="F62" s="144" t="s">
        <v>34</v>
      </c>
      <c r="G62" s="144" t="s">
        <v>39</v>
      </c>
      <c r="H62" s="144">
        <f>'Congrio dorado Artesanal'!E25</f>
        <v>0.62</v>
      </c>
      <c r="I62" s="144">
        <f>'Congrio dorado Artesanal'!F25</f>
        <v>0</v>
      </c>
      <c r="J62" s="144">
        <f>'Congrio dorado Artesanal'!G25</f>
        <v>0.62</v>
      </c>
      <c r="K62" s="144">
        <f>'Congrio dorado Artesanal'!H25</f>
        <v>1.3939999999999999</v>
      </c>
      <c r="L62" s="144">
        <f>'Congrio dorado Artesanal'!I25</f>
        <v>-0.77399999999999991</v>
      </c>
      <c r="M62" s="145">
        <f>'Congrio dorado Artesanal'!J25</f>
        <v>2.2483870967741932</v>
      </c>
      <c r="N62" s="276">
        <f>'Congrio dorado Artesanal'!K25</f>
        <v>43131</v>
      </c>
      <c r="O62" s="288">
        <v>43437</v>
      </c>
    </row>
    <row r="63" spans="1:15">
      <c r="A63" s="144" t="s">
        <v>201</v>
      </c>
      <c r="B63" s="144" t="s">
        <v>151</v>
      </c>
      <c r="C63" s="144" t="s">
        <v>156</v>
      </c>
      <c r="D63" s="144" t="s">
        <v>158</v>
      </c>
      <c r="E63" s="144" t="s">
        <v>168</v>
      </c>
      <c r="F63" s="144" t="s">
        <v>40</v>
      </c>
      <c r="G63" s="144" t="s">
        <v>45</v>
      </c>
      <c r="H63" s="144">
        <f>'Congrio dorado Artesanal'!E26</f>
        <v>0.61</v>
      </c>
      <c r="I63" s="144">
        <f>'Congrio dorado Artesanal'!F26</f>
        <v>0</v>
      </c>
      <c r="J63" s="144">
        <f>'Congrio dorado Artesanal'!G26</f>
        <v>-0.16399999999999992</v>
      </c>
      <c r="K63" s="144">
        <f>'Congrio dorado Artesanal'!H26</f>
        <v>0</v>
      </c>
      <c r="L63" s="144">
        <f>'Congrio dorado Artesanal'!I26</f>
        <v>-0.16399999999999992</v>
      </c>
      <c r="M63" s="145">
        <f>'Congrio dorado Artesanal'!J26</f>
        <v>0</v>
      </c>
      <c r="N63" s="276">
        <f>'Congrio dorado Artesanal'!K26</f>
        <v>43188</v>
      </c>
      <c r="O63" s="288">
        <v>43437</v>
      </c>
    </row>
    <row r="64" spans="1:15">
      <c r="A64" s="144" t="s">
        <v>201</v>
      </c>
      <c r="B64" s="144" t="s">
        <v>151</v>
      </c>
      <c r="C64" s="144" t="s">
        <v>156</v>
      </c>
      <c r="D64" s="144" t="s">
        <v>158</v>
      </c>
      <c r="E64" s="144" t="s">
        <v>168</v>
      </c>
      <c r="F64" s="144" t="s">
        <v>34</v>
      </c>
      <c r="G64" s="144" t="s">
        <v>45</v>
      </c>
      <c r="H64" s="144">
        <f>'Congrio dorado Artesanal'!L25</f>
        <v>1.23</v>
      </c>
      <c r="I64" s="144">
        <f>'Congrio dorado Artesanal'!M25</f>
        <v>0</v>
      </c>
      <c r="J64" s="144">
        <f>'Congrio dorado Artesanal'!N25</f>
        <v>1.23</v>
      </c>
      <c r="K64" s="144">
        <f>'Congrio dorado Artesanal'!O25</f>
        <v>1.3939999999999999</v>
      </c>
      <c r="L64" s="144">
        <f>'Congrio dorado Artesanal'!P25</f>
        <v>-0.16399999999999992</v>
      </c>
      <c r="M64" s="145">
        <f>'Congrio dorado Artesanal'!Q25</f>
        <v>1.1333333333333333</v>
      </c>
      <c r="N64" s="276" t="s">
        <v>190</v>
      </c>
      <c r="O64" s="288">
        <v>43437</v>
      </c>
    </row>
    <row r="65" spans="1:15">
      <c r="A65" s="144" t="s">
        <v>201</v>
      </c>
      <c r="B65" s="144" t="s">
        <v>151</v>
      </c>
      <c r="C65" s="144" t="s">
        <v>156</v>
      </c>
      <c r="D65" s="144" t="s">
        <v>185</v>
      </c>
      <c r="E65" s="144" t="s">
        <v>209</v>
      </c>
      <c r="F65" s="144" t="s">
        <v>34</v>
      </c>
      <c r="G65" s="144" t="s">
        <v>39</v>
      </c>
      <c r="H65" s="144">
        <f>'Congrio dorado Artesanal'!E27</f>
        <v>19.7</v>
      </c>
      <c r="I65" s="144">
        <f>'Congrio dorado Artesanal'!F27</f>
        <v>0</v>
      </c>
      <c r="J65" s="144">
        <f>'Congrio dorado Artesanal'!G27</f>
        <v>19.7</v>
      </c>
      <c r="K65" s="144">
        <f>'Congrio dorado Artesanal'!H27</f>
        <v>24.452000000000002</v>
      </c>
      <c r="L65" s="144">
        <f>'Congrio dorado Artesanal'!I27</f>
        <v>-4.7520000000000024</v>
      </c>
      <c r="M65" s="145">
        <f>'Congrio dorado Artesanal'!J27</f>
        <v>1.2412182741116753</v>
      </c>
      <c r="N65" s="276">
        <f>'Congrio dorado Artesanal'!K27</f>
        <v>43110</v>
      </c>
      <c r="O65" s="288">
        <v>43437</v>
      </c>
    </row>
    <row r="66" spans="1:15">
      <c r="A66" s="144" t="s">
        <v>201</v>
      </c>
      <c r="B66" s="144" t="s">
        <v>151</v>
      </c>
      <c r="C66" s="144" t="s">
        <v>156</v>
      </c>
      <c r="D66" s="144" t="s">
        <v>185</v>
      </c>
      <c r="E66" s="144" t="s">
        <v>209</v>
      </c>
      <c r="F66" s="144" t="s">
        <v>40</v>
      </c>
      <c r="G66" s="144" t="s">
        <v>45</v>
      </c>
      <c r="H66" s="144">
        <f>'Congrio dorado Artesanal'!E28</f>
        <v>19.73</v>
      </c>
      <c r="I66" s="144">
        <f>'Congrio dorado Artesanal'!F28</f>
        <v>0</v>
      </c>
      <c r="J66" s="144">
        <f>'Congrio dorado Artesanal'!G28</f>
        <v>14.977999999999998</v>
      </c>
      <c r="K66" s="144">
        <f>'Congrio dorado Artesanal'!H28</f>
        <v>16.946000000000002</v>
      </c>
      <c r="L66" s="144">
        <f>'Congrio dorado Artesanal'!I28</f>
        <v>-1.9680000000000035</v>
      </c>
      <c r="M66" s="145">
        <f>'Congrio dorado Artesanal'!J28</f>
        <v>1.1313927093069838</v>
      </c>
      <c r="N66" s="276">
        <f>'Congrio dorado Artesanal'!K28</f>
        <v>0</v>
      </c>
      <c r="O66" s="288">
        <v>43437</v>
      </c>
    </row>
    <row r="67" spans="1:15">
      <c r="A67" s="144" t="s">
        <v>201</v>
      </c>
      <c r="B67" s="144" t="s">
        <v>151</v>
      </c>
      <c r="C67" s="144" t="s">
        <v>156</v>
      </c>
      <c r="D67" s="144" t="s">
        <v>185</v>
      </c>
      <c r="E67" s="144" t="s">
        <v>209</v>
      </c>
      <c r="F67" s="144" t="s">
        <v>34</v>
      </c>
      <c r="G67" s="144" t="s">
        <v>45</v>
      </c>
      <c r="H67" s="144">
        <f>'Congrio dorado Artesanal'!L27</f>
        <v>39.43</v>
      </c>
      <c r="I67" s="144">
        <f>'Congrio dorado Artesanal'!M27</f>
        <v>0</v>
      </c>
      <c r="J67" s="144">
        <f>'Congrio dorado Artesanal'!N27</f>
        <v>39.43</v>
      </c>
      <c r="K67" s="144">
        <f>'Congrio dorado Artesanal'!O27</f>
        <v>41.398000000000003</v>
      </c>
      <c r="L67" s="144">
        <f>'Congrio dorado Artesanal'!P27</f>
        <v>-1.9680000000000035</v>
      </c>
      <c r="M67" s="145">
        <f>'Congrio dorado Artesanal'!Q27</f>
        <v>1.0499112351001776</v>
      </c>
      <c r="N67" s="276" t="s">
        <v>190</v>
      </c>
      <c r="O67" s="288">
        <v>43437</v>
      </c>
    </row>
    <row r="68" spans="1:15">
      <c r="A68" s="144" t="s">
        <v>201</v>
      </c>
      <c r="B68" s="144" t="s">
        <v>151</v>
      </c>
      <c r="C68" s="144" t="s">
        <v>156</v>
      </c>
      <c r="D68" s="144" t="s">
        <v>192</v>
      </c>
      <c r="E68" s="144" t="s">
        <v>169</v>
      </c>
      <c r="F68" s="144" t="s">
        <v>34</v>
      </c>
      <c r="G68" s="144" t="s">
        <v>39</v>
      </c>
      <c r="H68" s="144">
        <f>'Congrio dorado Artesanal'!E35</f>
        <v>42.61</v>
      </c>
      <c r="I68" s="144">
        <f>'Congrio dorado Artesanal'!F35</f>
        <v>0</v>
      </c>
      <c r="J68" s="144">
        <f>'Congrio dorado Artesanal'!G35</f>
        <v>42.61</v>
      </c>
      <c r="K68" s="144">
        <f>'Congrio dorado Artesanal'!H35</f>
        <v>25.734999999999999</v>
      </c>
      <c r="L68" s="144">
        <f>'Congrio dorado Artesanal'!I35</f>
        <v>16.875</v>
      </c>
      <c r="M68" s="145">
        <f>'Congrio dorado Artesanal'!J35</f>
        <v>0.60396620511616994</v>
      </c>
      <c r="N68" s="276" t="str">
        <f>'Congrio dorado Artesanal'!K35</f>
        <v>-</v>
      </c>
      <c r="O68" s="288">
        <v>43437</v>
      </c>
    </row>
    <row r="69" spans="1:15">
      <c r="A69" s="144" t="s">
        <v>201</v>
      </c>
      <c r="B69" s="144" t="s">
        <v>151</v>
      </c>
      <c r="C69" s="144" t="s">
        <v>156</v>
      </c>
      <c r="D69" s="144" t="s">
        <v>192</v>
      </c>
      <c r="E69" s="144" t="s">
        <v>169</v>
      </c>
      <c r="F69" s="144" t="s">
        <v>40</v>
      </c>
      <c r="G69" s="144" t="s">
        <v>45</v>
      </c>
      <c r="H69" s="144">
        <f>'Congrio dorado Artesanal'!E36</f>
        <v>42.61</v>
      </c>
      <c r="I69" s="144">
        <f>'Congrio dorado Artesanal'!F36</f>
        <v>0</v>
      </c>
      <c r="J69" s="144">
        <f>'Congrio dorado Artesanal'!G36</f>
        <v>59.484999999999999</v>
      </c>
      <c r="K69" s="144">
        <f>'Congrio dorado Artesanal'!H36</f>
        <v>41.353999999999999</v>
      </c>
      <c r="L69" s="144">
        <f>'Congrio dorado Artesanal'!I36</f>
        <v>18.131</v>
      </c>
      <c r="M69" s="145">
        <f>'Congrio dorado Artesanal'!J36</f>
        <v>0.69520047070690094</v>
      </c>
      <c r="N69" s="276" t="str">
        <f>'Congrio dorado Artesanal'!K36</f>
        <v>-</v>
      </c>
      <c r="O69" s="288">
        <v>43437</v>
      </c>
    </row>
    <row r="70" spans="1:15">
      <c r="A70" s="144" t="s">
        <v>201</v>
      </c>
      <c r="B70" s="144" t="s">
        <v>151</v>
      </c>
      <c r="C70" s="144" t="s">
        <v>156</v>
      </c>
      <c r="D70" s="144" t="s">
        <v>192</v>
      </c>
      <c r="E70" s="144" t="s">
        <v>169</v>
      </c>
      <c r="F70" s="144" t="s">
        <v>34</v>
      </c>
      <c r="G70" s="144" t="s">
        <v>45</v>
      </c>
      <c r="H70" s="144">
        <f>'Congrio dorado Artesanal'!L35</f>
        <v>85.22</v>
      </c>
      <c r="I70" s="144">
        <f>'Congrio dorado Artesanal'!M35</f>
        <v>0</v>
      </c>
      <c r="J70" s="144">
        <f>'Congrio dorado Artesanal'!N35</f>
        <v>102.095</v>
      </c>
      <c r="K70" s="144">
        <f>'Congrio dorado Artesanal'!O35</f>
        <v>67.088999999999999</v>
      </c>
      <c r="L70" s="144">
        <f>'Congrio dorado Artesanal'!P35</f>
        <v>35.006</v>
      </c>
      <c r="M70" s="145">
        <f>'Congrio dorado Artesanal'!Q35</f>
        <v>0.65712326754493366</v>
      </c>
      <c r="N70" s="276" t="s">
        <v>190</v>
      </c>
      <c r="O70" s="288">
        <v>43437</v>
      </c>
    </row>
    <row r="71" spans="1:15">
      <c r="A71" s="144" t="s">
        <v>201</v>
      </c>
      <c r="B71" s="144" t="s">
        <v>151</v>
      </c>
      <c r="C71" s="144" t="s">
        <v>156</v>
      </c>
      <c r="D71" s="144" t="s">
        <v>185</v>
      </c>
      <c r="E71" s="144" t="s">
        <v>208</v>
      </c>
      <c r="F71" s="144" t="s">
        <v>34</v>
      </c>
      <c r="G71" s="144" t="s">
        <v>39</v>
      </c>
      <c r="H71" s="144">
        <f>'Congrio dorado Artesanal'!E37</f>
        <v>10.43</v>
      </c>
      <c r="I71" s="144">
        <f>'Congrio dorado Artesanal'!F37</f>
        <v>0</v>
      </c>
      <c r="J71" s="144">
        <f>'Congrio dorado Artesanal'!G37</f>
        <v>10.43</v>
      </c>
      <c r="K71" s="144">
        <f>'Congrio dorado Artesanal'!H37</f>
        <v>27.111999999999998</v>
      </c>
      <c r="L71" s="144">
        <f>'Congrio dorado Artesanal'!I37</f>
        <v>-16.681999999999999</v>
      </c>
      <c r="M71" s="145">
        <f>'Congrio dorado Artesanal'!J37</f>
        <v>2.5994247363374878</v>
      </c>
      <c r="N71" s="276">
        <f>'Congrio dorado Artesanal'!K37</f>
        <v>43112</v>
      </c>
      <c r="O71" s="288">
        <v>43437</v>
      </c>
    </row>
    <row r="72" spans="1:15">
      <c r="A72" s="144" t="s">
        <v>201</v>
      </c>
      <c r="B72" s="144" t="s">
        <v>151</v>
      </c>
      <c r="C72" s="144" t="s">
        <v>156</v>
      </c>
      <c r="D72" s="144" t="s">
        <v>185</v>
      </c>
      <c r="E72" s="144" t="s">
        <v>208</v>
      </c>
      <c r="F72" s="144" t="s">
        <v>40</v>
      </c>
      <c r="G72" s="144" t="s">
        <v>45</v>
      </c>
      <c r="H72" s="144">
        <f>'Congrio dorado Artesanal'!E38</f>
        <v>10.43</v>
      </c>
      <c r="I72" s="144">
        <f>'Congrio dorado Artesanal'!F38</f>
        <v>0</v>
      </c>
      <c r="J72" s="144">
        <f>'Congrio dorado Artesanal'!G38</f>
        <v>-6.2519999999999989</v>
      </c>
      <c r="K72" s="144">
        <f>'Congrio dorado Artesanal'!H38</f>
        <v>0</v>
      </c>
      <c r="L72" s="144">
        <f>'Congrio dorado Artesanal'!I38</f>
        <v>-6.2519999999999989</v>
      </c>
      <c r="M72" s="145">
        <f>'Congrio dorado Artesanal'!J38</f>
        <v>0</v>
      </c>
      <c r="N72" s="276">
        <f>'Congrio dorado Artesanal'!K38</f>
        <v>43115</v>
      </c>
      <c r="O72" s="288">
        <v>43437</v>
      </c>
    </row>
    <row r="73" spans="1:15">
      <c r="A73" s="144" t="s">
        <v>201</v>
      </c>
      <c r="B73" s="144" t="s">
        <v>151</v>
      </c>
      <c r="C73" s="144" t="s">
        <v>156</v>
      </c>
      <c r="D73" s="144" t="s">
        <v>185</v>
      </c>
      <c r="E73" s="144" t="s">
        <v>208</v>
      </c>
      <c r="F73" s="144" t="s">
        <v>34</v>
      </c>
      <c r="G73" s="144" t="s">
        <v>45</v>
      </c>
      <c r="H73" s="144">
        <f>'Congrio dorado Artesanal'!L37</f>
        <v>20.86</v>
      </c>
      <c r="I73" s="144">
        <f>'Congrio dorado Artesanal'!M37</f>
        <v>0</v>
      </c>
      <c r="J73" s="144">
        <f>'Congrio dorado Artesanal'!N37</f>
        <v>4.1780000000000008</v>
      </c>
      <c r="K73" s="144">
        <f>'Congrio dorado Artesanal'!O37</f>
        <v>27.111999999999998</v>
      </c>
      <c r="L73" s="144">
        <f>'Congrio dorado Artesanal'!P37</f>
        <v>-22.933999999999997</v>
      </c>
      <c r="M73" s="145">
        <f>'Congrio dorado Artesanal'!Q37</f>
        <v>6.4892292963140239</v>
      </c>
      <c r="N73" s="276" t="s">
        <v>190</v>
      </c>
      <c r="O73" s="288">
        <v>43437</v>
      </c>
    </row>
    <row r="74" spans="1:15">
      <c r="A74" s="144" t="s">
        <v>202</v>
      </c>
      <c r="B74" s="144" t="s">
        <v>151</v>
      </c>
      <c r="C74" s="144" t="s">
        <v>170</v>
      </c>
      <c r="D74" s="144" t="s">
        <v>158</v>
      </c>
      <c r="E74" s="144" t="s">
        <v>96</v>
      </c>
      <c r="F74" s="144" t="s">
        <v>34</v>
      </c>
      <c r="G74" s="144" t="s">
        <v>39</v>
      </c>
      <c r="H74" s="144">
        <f>'Congrio dorado Artesanal'!E45</f>
        <v>56.3</v>
      </c>
      <c r="I74" s="144">
        <f>'Congrio dorado Artesanal'!F45</f>
        <v>0</v>
      </c>
      <c r="J74" s="144">
        <f>'Congrio dorado Artesanal'!G45</f>
        <v>56.3</v>
      </c>
      <c r="K74" s="144">
        <f>'Congrio dorado Artesanal'!H45</f>
        <v>75.805999999999997</v>
      </c>
      <c r="L74" s="144">
        <f>'Congrio dorado Artesanal'!I45</f>
        <v>-19.506</v>
      </c>
      <c r="M74" s="145">
        <f>'Congrio dorado Artesanal'!J45</f>
        <v>1.3464653641207815</v>
      </c>
      <c r="N74" s="276">
        <f>'Congrio dorado Artesanal'!K45</f>
        <v>43123</v>
      </c>
      <c r="O74" s="288">
        <v>43437</v>
      </c>
    </row>
    <row r="75" spans="1:15">
      <c r="A75" s="144" t="s">
        <v>202</v>
      </c>
      <c r="B75" s="144" t="s">
        <v>151</v>
      </c>
      <c r="C75" s="144" t="s">
        <v>170</v>
      </c>
      <c r="D75" s="144" t="s">
        <v>158</v>
      </c>
      <c r="E75" s="144" t="s">
        <v>96</v>
      </c>
      <c r="F75" s="144" t="s">
        <v>40</v>
      </c>
      <c r="G75" s="144" t="s">
        <v>45</v>
      </c>
      <c r="H75" s="144">
        <f>'Congrio dorado Artesanal'!E46</f>
        <v>56.4</v>
      </c>
      <c r="I75" s="144">
        <f>'Congrio dorado Artesanal'!F46</f>
        <v>0</v>
      </c>
      <c r="J75" s="144">
        <f>'Congrio dorado Artesanal'!G46</f>
        <v>36.893999999999998</v>
      </c>
      <c r="K75" s="144">
        <f>'Congrio dorado Artesanal'!H46</f>
        <v>39.408000000000001</v>
      </c>
      <c r="L75" s="144">
        <f>'Congrio dorado Artesanal'!I46</f>
        <v>-2.5140000000000029</v>
      </c>
      <c r="M75" s="145">
        <f>'Congrio dorado Artesanal'!J46</f>
        <v>1.0681411611644172</v>
      </c>
      <c r="N75" s="276" t="s">
        <v>190</v>
      </c>
      <c r="O75" s="288">
        <v>43437</v>
      </c>
    </row>
    <row r="76" spans="1:15">
      <c r="A76" s="144" t="s">
        <v>202</v>
      </c>
      <c r="B76" s="144" t="s">
        <v>151</v>
      </c>
      <c r="C76" s="144" t="s">
        <v>170</v>
      </c>
      <c r="D76" s="144" t="s">
        <v>158</v>
      </c>
      <c r="E76" s="144" t="s">
        <v>96</v>
      </c>
      <c r="F76" s="144" t="s">
        <v>34</v>
      </c>
      <c r="G76" s="144" t="s">
        <v>45</v>
      </c>
      <c r="H76" s="144">
        <f>'Congrio dorado Artesanal'!L45</f>
        <v>112.69999999999999</v>
      </c>
      <c r="I76" s="144">
        <f>'Congrio dorado Artesanal'!M45</f>
        <v>0</v>
      </c>
      <c r="J76" s="144">
        <f>'Congrio dorado Artesanal'!N45</f>
        <v>112.69999999999999</v>
      </c>
      <c r="K76" s="144">
        <f>'Congrio dorado Artesanal'!O45</f>
        <v>115.214</v>
      </c>
      <c r="L76" s="144">
        <f>'Congrio dorado Artesanal'!P45</f>
        <v>-2.51400000000001</v>
      </c>
      <c r="M76" s="145">
        <f>'Congrio dorado Artesanal'!Q45</f>
        <v>1.0223070097604261</v>
      </c>
      <c r="N76" s="276" t="s">
        <v>190</v>
      </c>
      <c r="O76" s="288">
        <v>43437</v>
      </c>
    </row>
    <row r="77" spans="1:15">
      <c r="A77" s="144" t="s">
        <v>202</v>
      </c>
      <c r="B77" s="144" t="s">
        <v>151</v>
      </c>
      <c r="C77" s="144" t="s">
        <v>170</v>
      </c>
      <c r="D77" s="144" t="s">
        <v>158</v>
      </c>
      <c r="E77" s="144" t="s">
        <v>104</v>
      </c>
      <c r="F77" s="144" t="s">
        <v>34</v>
      </c>
      <c r="G77" s="144" t="s">
        <v>39</v>
      </c>
      <c r="H77" s="144">
        <f>'Congrio dorado Artesanal'!E47</f>
        <v>10.7</v>
      </c>
      <c r="I77" s="144">
        <f>'Congrio dorado Artesanal'!F47</f>
        <v>0</v>
      </c>
      <c r="J77" s="144">
        <f>'Congrio dorado Artesanal'!G47</f>
        <v>10.7</v>
      </c>
      <c r="K77" s="144">
        <f>'Congrio dorado Artesanal'!H47</f>
        <v>6.9669999999999996</v>
      </c>
      <c r="L77" s="144">
        <f>'Congrio dorado Artesanal'!I47</f>
        <v>3.7329999999999997</v>
      </c>
      <c r="M77" s="145">
        <f>'Congrio dorado Artesanal'!J47</f>
        <v>0.65112149532710284</v>
      </c>
      <c r="N77" s="276" t="s">
        <v>190</v>
      </c>
      <c r="O77" s="288">
        <v>43437</v>
      </c>
    </row>
    <row r="78" spans="1:15">
      <c r="A78" s="144" t="s">
        <v>202</v>
      </c>
      <c r="B78" s="144" t="s">
        <v>151</v>
      </c>
      <c r="C78" s="144" t="s">
        <v>170</v>
      </c>
      <c r="D78" s="144" t="s">
        <v>158</v>
      </c>
      <c r="E78" s="144" t="s">
        <v>104</v>
      </c>
      <c r="F78" s="144" t="s">
        <v>40</v>
      </c>
      <c r="G78" s="144" t="s">
        <v>45</v>
      </c>
      <c r="H78" s="144">
        <f>'Congrio dorado Artesanal'!E48</f>
        <v>10.7</v>
      </c>
      <c r="I78" s="144">
        <f>'Congrio dorado Artesanal'!F48</f>
        <v>0</v>
      </c>
      <c r="J78" s="144">
        <f>'Congrio dorado Artesanal'!G48</f>
        <v>14.433</v>
      </c>
      <c r="K78" s="144">
        <f>'Congrio dorado Artesanal'!H48</f>
        <v>1.754</v>
      </c>
      <c r="L78" s="144">
        <f>'Congrio dorado Artesanal'!I48</f>
        <v>12.679</v>
      </c>
      <c r="M78" s="145">
        <f>'Congrio dorado Artesanal'!J48</f>
        <v>0.12152705605210282</v>
      </c>
      <c r="N78" s="276" t="s">
        <v>190</v>
      </c>
      <c r="O78" s="288">
        <v>43437</v>
      </c>
    </row>
    <row r="79" spans="1:15">
      <c r="A79" s="144" t="s">
        <v>202</v>
      </c>
      <c r="B79" s="144" t="s">
        <v>151</v>
      </c>
      <c r="C79" s="144" t="s">
        <v>170</v>
      </c>
      <c r="D79" s="144" t="s">
        <v>158</v>
      </c>
      <c r="E79" s="144" t="s">
        <v>104</v>
      </c>
      <c r="F79" s="144" t="s">
        <v>34</v>
      </c>
      <c r="G79" s="144" t="s">
        <v>45</v>
      </c>
      <c r="H79" s="144">
        <f>'Congrio dorado Artesanal'!L47</f>
        <v>21.4</v>
      </c>
      <c r="I79" s="144">
        <f>'Congrio dorado Artesanal'!M47</f>
        <v>0</v>
      </c>
      <c r="J79" s="144">
        <f>'Congrio dorado Artesanal'!N47</f>
        <v>21.4</v>
      </c>
      <c r="K79" s="144">
        <f>'Congrio dorado Artesanal'!O47</f>
        <v>8.7210000000000001</v>
      </c>
      <c r="L79" s="144">
        <f>'Congrio dorado Artesanal'!P47</f>
        <v>12.678999999999998</v>
      </c>
      <c r="M79" s="145">
        <f>'Congrio dorado Artesanal'!Q47</f>
        <v>0.40752336448598137</v>
      </c>
      <c r="N79" s="276" t="s">
        <v>190</v>
      </c>
      <c r="O79" s="288">
        <v>43437</v>
      </c>
    </row>
    <row r="80" spans="1:15">
      <c r="A80" s="144" t="s">
        <v>203</v>
      </c>
      <c r="B80" s="144" t="s">
        <v>151</v>
      </c>
      <c r="C80" s="144" t="s">
        <v>53</v>
      </c>
      <c r="D80" s="144" t="s">
        <v>171</v>
      </c>
      <c r="E80" s="144" t="s">
        <v>172</v>
      </c>
      <c r="F80" s="144" t="s">
        <v>34</v>
      </c>
      <c r="G80" s="144" t="s">
        <v>34</v>
      </c>
      <c r="H80" s="144">
        <f>'Congrio dorado Artesanal'!E55</f>
        <v>16.3</v>
      </c>
      <c r="I80" s="144">
        <f>'Congrio dorado Artesanal'!F55</f>
        <v>0</v>
      </c>
      <c r="J80" s="144">
        <f>'Congrio dorado Artesanal'!G55</f>
        <v>16.3</v>
      </c>
      <c r="K80" s="144">
        <f>'Congrio dorado Artesanal'!H55</f>
        <v>9.9619999999999997</v>
      </c>
      <c r="L80" s="144">
        <f>'Congrio dorado Artesanal'!I55</f>
        <v>6.338000000000001</v>
      </c>
      <c r="M80" s="145">
        <f>'Congrio dorado Artesanal'!J55</f>
        <v>0.6111656441717791</v>
      </c>
      <c r="N80" s="276" t="s">
        <v>190</v>
      </c>
      <c r="O80" s="288">
        <v>43437</v>
      </c>
    </row>
    <row r="81" spans="1:15">
      <c r="A81" s="144" t="s">
        <v>203</v>
      </c>
      <c r="B81" s="144" t="s">
        <v>151</v>
      </c>
      <c r="C81" s="144" t="s">
        <v>53</v>
      </c>
      <c r="D81" s="144" t="s">
        <v>171</v>
      </c>
      <c r="E81" s="144" t="s">
        <v>172</v>
      </c>
      <c r="F81" s="144" t="s">
        <v>35</v>
      </c>
      <c r="G81" s="144" t="s">
        <v>35</v>
      </c>
      <c r="H81" s="144">
        <f>'Congrio dorado Artesanal'!E56</f>
        <v>16</v>
      </c>
      <c r="I81" s="144">
        <f>'Congrio dorado Artesanal'!F56</f>
        <v>0</v>
      </c>
      <c r="J81" s="144">
        <f>'Congrio dorado Artesanal'!G56</f>
        <v>22.338000000000001</v>
      </c>
      <c r="K81" s="144">
        <f>'Congrio dorado Artesanal'!H56</f>
        <v>7.8120000000000003</v>
      </c>
      <c r="L81" s="144">
        <f>'Congrio dorado Artesanal'!I56</f>
        <v>14.526</v>
      </c>
      <c r="M81" s="145">
        <f>'Congrio dorado Artesanal'!J56</f>
        <v>0.34971796937953264</v>
      </c>
      <c r="N81" s="276" t="s">
        <v>190</v>
      </c>
      <c r="O81" s="288">
        <v>43437</v>
      </c>
    </row>
    <row r="82" spans="1:15">
      <c r="A82" s="144" t="s">
        <v>203</v>
      </c>
      <c r="B82" s="144" t="s">
        <v>151</v>
      </c>
      <c r="C82" s="144" t="s">
        <v>53</v>
      </c>
      <c r="D82" s="144" t="s">
        <v>171</v>
      </c>
      <c r="E82" s="144" t="s">
        <v>172</v>
      </c>
      <c r="F82" s="144" t="s">
        <v>36</v>
      </c>
      <c r="G82" s="144" t="s">
        <v>36</v>
      </c>
      <c r="H82" s="144">
        <f>'Congrio dorado Artesanal'!E57</f>
        <v>16</v>
      </c>
      <c r="I82" s="144">
        <f>'Congrio dorado Artesanal'!F57</f>
        <v>0</v>
      </c>
      <c r="J82" s="144">
        <f>'Congrio dorado Artesanal'!G57</f>
        <v>30.526</v>
      </c>
      <c r="K82" s="144">
        <f>'Congrio dorado Artesanal'!H57</f>
        <v>13.75</v>
      </c>
      <c r="L82" s="144">
        <f>'Congrio dorado Artesanal'!I57</f>
        <v>16.776</v>
      </c>
      <c r="M82" s="145">
        <f>'Congrio dorado Artesanal'!J57</f>
        <v>0.45043569416235341</v>
      </c>
      <c r="N82" s="276" t="s">
        <v>190</v>
      </c>
      <c r="O82" s="288">
        <v>43437</v>
      </c>
    </row>
    <row r="83" spans="1:15">
      <c r="A83" s="144" t="s">
        <v>203</v>
      </c>
      <c r="B83" s="144" t="s">
        <v>151</v>
      </c>
      <c r="C83" s="144" t="s">
        <v>53</v>
      </c>
      <c r="D83" s="144" t="s">
        <v>171</v>
      </c>
      <c r="E83" s="144" t="s">
        <v>172</v>
      </c>
      <c r="F83" s="144" t="s">
        <v>37</v>
      </c>
      <c r="G83" s="144" t="s">
        <v>37</v>
      </c>
      <c r="H83" s="144">
        <f>'Congrio dorado Artesanal'!E58</f>
        <v>16</v>
      </c>
      <c r="I83" s="144">
        <f>'Congrio dorado Artesanal'!F58</f>
        <v>0</v>
      </c>
      <c r="J83" s="144">
        <f>'Congrio dorado Artesanal'!G58</f>
        <v>32.775999999999996</v>
      </c>
      <c r="K83" s="144">
        <f>'Congrio dorado Artesanal'!H58</f>
        <v>9.3960000000000008</v>
      </c>
      <c r="L83" s="144">
        <f>'Congrio dorado Artesanal'!I58</f>
        <v>23.379999999999995</v>
      </c>
      <c r="M83" s="145">
        <f>'Congrio dorado Artesanal'!J58</f>
        <v>0.28667317549426413</v>
      </c>
      <c r="N83" s="276" t="s">
        <v>190</v>
      </c>
      <c r="O83" s="288">
        <v>43437</v>
      </c>
    </row>
    <row r="84" spans="1:15">
      <c r="A84" s="144" t="s">
        <v>203</v>
      </c>
      <c r="B84" s="144" t="s">
        <v>151</v>
      </c>
      <c r="C84" s="144" t="s">
        <v>53</v>
      </c>
      <c r="D84" s="144" t="s">
        <v>171</v>
      </c>
      <c r="E84" s="144" t="s">
        <v>172</v>
      </c>
      <c r="F84" s="144" t="s">
        <v>38</v>
      </c>
      <c r="G84" s="144" t="s">
        <v>38</v>
      </c>
      <c r="H84" s="144">
        <f>'Congrio dorado Artesanal'!E59</f>
        <v>16</v>
      </c>
      <c r="I84" s="144">
        <f>'Congrio dorado Artesanal'!F59</f>
        <v>0</v>
      </c>
      <c r="J84" s="144">
        <f>'Congrio dorado Artesanal'!G59</f>
        <v>39.379999999999995</v>
      </c>
      <c r="K84" s="144">
        <f>'Congrio dorado Artesanal'!H59</f>
        <v>3.2240000000000002</v>
      </c>
      <c r="L84" s="144">
        <f>'Congrio dorado Artesanal'!I59</f>
        <v>36.155999999999992</v>
      </c>
      <c r="M84" s="145">
        <f>'Congrio dorado Artesanal'!J59</f>
        <v>8.1868969019807017E-2</v>
      </c>
      <c r="N84" s="276" t="s">
        <v>190</v>
      </c>
      <c r="O84" s="288">
        <v>43437</v>
      </c>
    </row>
    <row r="85" spans="1:15">
      <c r="A85" s="144" t="s">
        <v>203</v>
      </c>
      <c r="B85" s="144" t="s">
        <v>151</v>
      </c>
      <c r="C85" s="144" t="s">
        <v>53</v>
      </c>
      <c r="D85" s="144" t="s">
        <v>171</v>
      </c>
      <c r="E85" s="144" t="s">
        <v>172</v>
      </c>
      <c r="F85" s="144" t="s">
        <v>39</v>
      </c>
      <c r="G85" s="144" t="s">
        <v>39</v>
      </c>
      <c r="H85" s="144">
        <f>'Congrio dorado Artesanal'!E60</f>
        <v>16</v>
      </c>
      <c r="I85" s="144">
        <f>'Congrio dorado Artesanal'!F60</f>
        <v>0</v>
      </c>
      <c r="J85" s="144">
        <f>'Congrio dorado Artesanal'!G60</f>
        <v>52.155999999999992</v>
      </c>
      <c r="K85" s="144">
        <f>'Congrio dorado Artesanal'!H60</f>
        <v>20.370999999999999</v>
      </c>
      <c r="L85" s="144">
        <f>'Congrio dorado Artesanal'!I60</f>
        <v>31.784999999999993</v>
      </c>
      <c r="M85" s="145">
        <f>'Congrio dorado Artesanal'!J60</f>
        <v>0.39057826520438688</v>
      </c>
      <c r="N85" s="276" t="s">
        <v>190</v>
      </c>
      <c r="O85" s="288">
        <v>43437</v>
      </c>
    </row>
    <row r="86" spans="1:15">
      <c r="A86" s="144" t="s">
        <v>203</v>
      </c>
      <c r="B86" s="144" t="s">
        <v>151</v>
      </c>
      <c r="C86" s="144" t="s">
        <v>53</v>
      </c>
      <c r="D86" s="144" t="s">
        <v>171</v>
      </c>
      <c r="E86" s="144" t="s">
        <v>172</v>
      </c>
      <c r="F86" s="144" t="s">
        <v>40</v>
      </c>
      <c r="G86" s="144" t="s">
        <v>40</v>
      </c>
      <c r="H86" s="144">
        <f>'Congrio dorado Artesanal'!E61</f>
        <v>16</v>
      </c>
      <c r="I86" s="144">
        <f>'Congrio dorado Artesanal'!F61</f>
        <v>0</v>
      </c>
      <c r="J86" s="144">
        <f>'Congrio dorado Artesanal'!G61</f>
        <v>47.784999999999997</v>
      </c>
      <c r="K86" s="144">
        <f>'Congrio dorado Artesanal'!H61</f>
        <v>6.7119999999999997</v>
      </c>
      <c r="L86" s="144">
        <f>'Congrio dorado Artesanal'!I61</f>
        <v>41.072999999999993</v>
      </c>
      <c r="M86" s="145">
        <f>'Congrio dorado Artesanal'!J61</f>
        <v>0.14046248822852361</v>
      </c>
      <c r="N86" s="276" t="s">
        <v>190</v>
      </c>
      <c r="O86" s="288">
        <v>43437</v>
      </c>
    </row>
    <row r="87" spans="1:15">
      <c r="A87" s="144" t="s">
        <v>203</v>
      </c>
      <c r="B87" s="144" t="s">
        <v>151</v>
      </c>
      <c r="C87" s="144" t="s">
        <v>53</v>
      </c>
      <c r="D87" s="144" t="s">
        <v>171</v>
      </c>
      <c r="E87" s="144" t="s">
        <v>172</v>
      </c>
      <c r="F87" s="144" t="s">
        <v>41</v>
      </c>
      <c r="G87" s="144" t="s">
        <v>41</v>
      </c>
      <c r="H87" s="144">
        <f>'Congrio dorado Artesanal'!E62</f>
        <v>16</v>
      </c>
      <c r="I87" s="144">
        <f>'Congrio dorado Artesanal'!F62</f>
        <v>0</v>
      </c>
      <c r="J87" s="144">
        <f>'Congrio dorado Artesanal'!G62</f>
        <v>57.072999999999993</v>
      </c>
      <c r="K87" s="144">
        <f>'Congrio dorado Artesanal'!H62</f>
        <v>11.616</v>
      </c>
      <c r="L87" s="144">
        <f>'Congrio dorado Artesanal'!I62</f>
        <v>45.456999999999994</v>
      </c>
      <c r="M87" s="145">
        <f>'Congrio dorado Artesanal'!J62</f>
        <v>0.20352881397508457</v>
      </c>
      <c r="N87" s="276" t="s">
        <v>190</v>
      </c>
      <c r="O87" s="288">
        <v>43437</v>
      </c>
    </row>
    <row r="88" spans="1:15">
      <c r="A88" s="144" t="s">
        <v>203</v>
      </c>
      <c r="B88" s="144" t="s">
        <v>151</v>
      </c>
      <c r="C88" s="144" t="s">
        <v>53</v>
      </c>
      <c r="D88" s="144" t="s">
        <v>171</v>
      </c>
      <c r="E88" s="144" t="s">
        <v>172</v>
      </c>
      <c r="F88" s="144" t="s">
        <v>42</v>
      </c>
      <c r="G88" s="144" t="s">
        <v>42</v>
      </c>
      <c r="H88" s="144">
        <f>'Congrio dorado Artesanal'!E63</f>
        <v>16</v>
      </c>
      <c r="I88" s="144">
        <f>'Congrio dorado Artesanal'!F63</f>
        <v>0</v>
      </c>
      <c r="J88" s="144">
        <f>'Congrio dorado Artesanal'!G63</f>
        <v>61.456999999999994</v>
      </c>
      <c r="K88" s="144">
        <f>'Congrio dorado Artesanal'!H63</f>
        <v>10.786</v>
      </c>
      <c r="L88" s="144">
        <f>'Congrio dorado Artesanal'!I63</f>
        <v>50.670999999999992</v>
      </c>
      <c r="M88" s="145">
        <f>'Congrio dorado Artesanal'!J63</f>
        <v>0.17550482451144703</v>
      </c>
      <c r="N88" s="276" t="s">
        <v>190</v>
      </c>
      <c r="O88" s="288">
        <v>43437</v>
      </c>
    </row>
    <row r="89" spans="1:15">
      <c r="A89" s="144" t="s">
        <v>203</v>
      </c>
      <c r="B89" s="144" t="s">
        <v>151</v>
      </c>
      <c r="C89" s="144" t="s">
        <v>53</v>
      </c>
      <c r="D89" s="144" t="s">
        <v>171</v>
      </c>
      <c r="E89" s="144" t="s">
        <v>172</v>
      </c>
      <c r="F89" s="144" t="s">
        <v>43</v>
      </c>
      <c r="G89" s="144" t="s">
        <v>43</v>
      </c>
      <c r="H89" s="144">
        <f>'Congrio dorado Artesanal'!E64</f>
        <v>16</v>
      </c>
      <c r="I89" s="144">
        <f>'Congrio dorado Artesanal'!F64</f>
        <v>0</v>
      </c>
      <c r="J89" s="144">
        <f>'Congrio dorado Artesanal'!G64</f>
        <v>66.670999999999992</v>
      </c>
      <c r="K89" s="144">
        <f>'Congrio dorado Artesanal'!H64</f>
        <v>6.9080000000000004</v>
      </c>
      <c r="L89" s="144">
        <f>'Congrio dorado Artesanal'!I64</f>
        <v>59.762999999999991</v>
      </c>
      <c r="M89" s="145">
        <f>'Congrio dorado Artesanal'!J64</f>
        <v>0.10361326513776606</v>
      </c>
      <c r="N89" s="276" t="s">
        <v>190</v>
      </c>
      <c r="O89" s="288">
        <v>43437</v>
      </c>
    </row>
    <row r="90" spans="1:15">
      <c r="A90" s="144" t="s">
        <v>203</v>
      </c>
      <c r="B90" s="144" t="s">
        <v>151</v>
      </c>
      <c r="C90" s="144" t="s">
        <v>53</v>
      </c>
      <c r="D90" s="144" t="s">
        <v>171</v>
      </c>
      <c r="E90" s="144" t="s">
        <v>172</v>
      </c>
      <c r="F90" s="144" t="s">
        <v>44</v>
      </c>
      <c r="G90" s="144" t="s">
        <v>44</v>
      </c>
      <c r="H90" s="144">
        <f>'Congrio dorado Artesanal'!E65</f>
        <v>16</v>
      </c>
      <c r="I90" s="144">
        <f>'Congrio dorado Artesanal'!F65</f>
        <v>0</v>
      </c>
      <c r="J90" s="144">
        <f>'Congrio dorado Artesanal'!G65</f>
        <v>75.762999999999991</v>
      </c>
      <c r="K90" s="144">
        <f>'Congrio dorado Artesanal'!H65</f>
        <v>3.1640000000000001</v>
      </c>
      <c r="L90" s="144">
        <f>'Congrio dorado Artesanal'!I65</f>
        <v>72.59899999999999</v>
      </c>
      <c r="M90" s="145">
        <f>'Congrio dorado Artesanal'!J65</f>
        <v>4.1761809854414432E-2</v>
      </c>
      <c r="N90" s="276" t="s">
        <v>190</v>
      </c>
      <c r="O90" s="288">
        <v>43437</v>
      </c>
    </row>
    <row r="91" spans="1:15">
      <c r="A91" s="144" t="s">
        <v>203</v>
      </c>
      <c r="B91" s="144" t="s">
        <v>151</v>
      </c>
      <c r="C91" s="144" t="s">
        <v>53</v>
      </c>
      <c r="D91" s="144" t="s">
        <v>171</v>
      </c>
      <c r="E91" s="144" t="s">
        <v>172</v>
      </c>
      <c r="F91" s="144" t="s">
        <v>45</v>
      </c>
      <c r="G91" s="144" t="s">
        <v>45</v>
      </c>
      <c r="H91" s="144">
        <f>'Congrio dorado Artesanal'!E66</f>
        <v>16</v>
      </c>
      <c r="I91" s="144">
        <f>'Congrio dorado Artesanal'!F66</f>
        <v>0</v>
      </c>
      <c r="J91" s="144">
        <f>'Congrio dorado Artesanal'!G66</f>
        <v>88.59899999999999</v>
      </c>
      <c r="K91" s="144">
        <f>'Congrio dorado Artesanal'!H66</f>
        <v>0</v>
      </c>
      <c r="L91" s="144">
        <f>'Congrio dorado Artesanal'!I66</f>
        <v>88.59899999999999</v>
      </c>
      <c r="M91" s="145">
        <f>'Congrio dorado Artesanal'!J66</f>
        <v>0</v>
      </c>
      <c r="N91" s="276" t="s">
        <v>190</v>
      </c>
      <c r="O91" s="288">
        <v>43437</v>
      </c>
    </row>
    <row r="92" spans="1:15">
      <c r="A92" s="144" t="s">
        <v>203</v>
      </c>
      <c r="B92" s="144" t="s">
        <v>151</v>
      </c>
      <c r="C92" s="144" t="s">
        <v>53</v>
      </c>
      <c r="D92" s="144" t="s">
        <v>171</v>
      </c>
      <c r="E92" s="144" t="s">
        <v>172</v>
      </c>
      <c r="F92" s="144" t="s">
        <v>34</v>
      </c>
      <c r="G92" s="144" t="s">
        <v>45</v>
      </c>
      <c r="H92" s="144">
        <f>'Congrio dorado Artesanal'!L55</f>
        <v>192.3</v>
      </c>
      <c r="I92" s="144">
        <f>'Congrio dorado Artesanal'!M55</f>
        <v>0</v>
      </c>
      <c r="J92" s="144">
        <f>'Congrio dorado Artesanal'!N55</f>
        <v>192.3</v>
      </c>
      <c r="K92" s="144">
        <f>'Congrio dorado Artesanal'!O55</f>
        <v>103.70100000000001</v>
      </c>
      <c r="L92" s="144">
        <f>'Congrio dorado Artesanal'!P55</f>
        <v>88.599000000000004</v>
      </c>
      <c r="M92" s="145">
        <f>'Congrio dorado Artesanal'!Q55</f>
        <v>0.53926677067082684</v>
      </c>
      <c r="N92" s="276" t="s">
        <v>190</v>
      </c>
      <c r="O92" s="288">
        <v>43437</v>
      </c>
    </row>
    <row r="93" spans="1:15">
      <c r="A93" s="144" t="s">
        <v>157</v>
      </c>
      <c r="B93" s="144" t="s">
        <v>151</v>
      </c>
      <c r="C93" s="144" t="s">
        <v>184</v>
      </c>
      <c r="D93" s="292" t="s">
        <v>187</v>
      </c>
      <c r="E93" s="292" t="s">
        <v>188</v>
      </c>
      <c r="F93" s="66" t="s">
        <v>34</v>
      </c>
      <c r="G93" s="66" t="s">
        <v>45</v>
      </c>
      <c r="H93" s="293">
        <f>'Resumen anual Congrio dorado'!D16</f>
        <v>417.29999999999995</v>
      </c>
      <c r="I93" s="293">
        <f>'Resumen anual Congrio dorado'!E16</f>
        <v>-4.2000000000000003E-2</v>
      </c>
      <c r="J93" s="293">
        <f>'Resumen anual Congrio dorado'!F16</f>
        <v>417.25799999999998</v>
      </c>
      <c r="K93" s="293">
        <f>'Resumen anual Congrio dorado'!G16</f>
        <v>407.62500000000006</v>
      </c>
      <c r="L93" s="293">
        <f>'Resumen anual Congrio dorado'!H16</f>
        <v>9.6329999999999245</v>
      </c>
      <c r="M93" s="145">
        <f>'Resumen anual Congrio dorado'!I16</f>
        <v>0.97691356426958875</v>
      </c>
      <c r="N93" s="276" t="s">
        <v>190</v>
      </c>
      <c r="O93" s="288">
        <v>43437</v>
      </c>
    </row>
    <row r="94" spans="1:15">
      <c r="A94" s="291" t="s">
        <v>186</v>
      </c>
      <c r="B94" s="144" t="s">
        <v>151</v>
      </c>
      <c r="C94" s="66" t="s">
        <v>183</v>
      </c>
      <c r="D94" s="292" t="s">
        <v>187</v>
      </c>
      <c r="E94" s="294" t="s">
        <v>189</v>
      </c>
      <c r="F94" s="66" t="s">
        <v>34</v>
      </c>
      <c r="G94" s="66" t="s">
        <v>45</v>
      </c>
      <c r="H94" s="293">
        <f>'Resumen anual Congrio dorado'!D17</f>
        <v>237.29899999999998</v>
      </c>
      <c r="I94" s="293">
        <f>'Resumen anual Congrio dorado'!E17</f>
        <v>0</v>
      </c>
      <c r="J94" s="293">
        <f>'Resumen anual Congrio dorado'!F17</f>
        <v>237.29899999999998</v>
      </c>
      <c r="K94" s="293">
        <f>'Resumen anual Congrio dorado'!G17</f>
        <v>183.602</v>
      </c>
      <c r="L94" s="293">
        <f>'Resumen anual Congrio dorado'!H17</f>
        <v>53.696999999999974</v>
      </c>
      <c r="M94" s="145">
        <f>'Resumen anual Congrio dorado'!I17</f>
        <v>0.77371586058095487</v>
      </c>
      <c r="N94" s="276" t="s">
        <v>190</v>
      </c>
      <c r="O94" s="288">
        <v>43437</v>
      </c>
    </row>
    <row r="95" spans="1:15">
      <c r="A95" s="144" t="s">
        <v>201</v>
      </c>
      <c r="B95" s="144" t="s">
        <v>151</v>
      </c>
      <c r="C95" s="144" t="s">
        <v>156</v>
      </c>
      <c r="D95" s="144" t="s">
        <v>191</v>
      </c>
      <c r="E95" s="294" t="s">
        <v>189</v>
      </c>
      <c r="F95" s="144" t="s">
        <v>34</v>
      </c>
      <c r="G95" s="144" t="s">
        <v>45</v>
      </c>
      <c r="H95" s="293">
        <f>'Resumen anual Congrio dorado'!D6+'Resumen anual Congrio dorado'!D7</f>
        <v>262.89999999999998</v>
      </c>
      <c r="I95" s="293">
        <f>'Resumen anual Congrio dorado'!E6+'Resumen anual Congrio dorado'!E7</f>
        <v>0</v>
      </c>
      <c r="J95" s="293">
        <f>'Resumen anual Congrio dorado'!F6+'Resumen anual Congrio dorado'!F7</f>
        <v>262.89999999999998</v>
      </c>
      <c r="K95" s="293">
        <f>'Resumen anual Congrio dorado'!G6+'Resumen anual Congrio dorado'!G7</f>
        <v>239.04999999999998</v>
      </c>
      <c r="L95" s="293">
        <f>'Resumen anual Congrio dorado'!H6+'Resumen anual Congrio dorado'!H7</f>
        <v>23.850000000000009</v>
      </c>
      <c r="M95" s="145">
        <f>K95/J95</f>
        <v>0.90928109547356406</v>
      </c>
      <c r="N95" s="276" t="s">
        <v>190</v>
      </c>
      <c r="O95" s="288">
        <v>43437</v>
      </c>
    </row>
    <row r="96" spans="1:15">
      <c r="A96" s="144" t="s">
        <v>202</v>
      </c>
      <c r="B96" s="144" t="s">
        <v>151</v>
      </c>
      <c r="C96" s="144" t="s">
        <v>170</v>
      </c>
      <c r="D96" s="144" t="s">
        <v>191</v>
      </c>
      <c r="E96" s="294" t="s">
        <v>189</v>
      </c>
      <c r="F96" s="144" t="s">
        <v>34</v>
      </c>
      <c r="G96" s="144" t="s">
        <v>45</v>
      </c>
      <c r="H96" s="293">
        <f>'Resumen anual Congrio dorado'!D8+'Resumen anual Congrio dorado'!D9</f>
        <v>134.1</v>
      </c>
      <c r="I96" s="293">
        <f>'Resumen anual Congrio dorado'!E8+'Resumen anual Congrio dorado'!E9</f>
        <v>0</v>
      </c>
      <c r="J96" s="293">
        <f>'Resumen anual Congrio dorado'!F8+'Resumen anual Congrio dorado'!F9</f>
        <v>134.1</v>
      </c>
      <c r="K96" s="293">
        <f>'Resumen anual Congrio dorado'!G8+'Resumen anual Congrio dorado'!G9</f>
        <v>123.935</v>
      </c>
      <c r="L96" s="293">
        <f>'Resumen anual Congrio dorado'!H8+'Resumen anual Congrio dorado'!H9</f>
        <v>10.164999999999988</v>
      </c>
      <c r="M96" s="145">
        <f>K96/J96</f>
        <v>0.92419835943325879</v>
      </c>
      <c r="N96" s="276" t="s">
        <v>190</v>
      </c>
      <c r="O96" s="288">
        <v>43437</v>
      </c>
    </row>
    <row r="97" spans="1:15">
      <c r="A97" s="144" t="s">
        <v>203</v>
      </c>
      <c r="B97" s="144" t="s">
        <v>151</v>
      </c>
      <c r="C97" s="144" t="s">
        <v>53</v>
      </c>
      <c r="D97" s="144" t="s">
        <v>191</v>
      </c>
      <c r="E97" s="294" t="s">
        <v>189</v>
      </c>
      <c r="F97" s="144" t="s">
        <v>34</v>
      </c>
      <c r="G97" s="144" t="s">
        <v>45</v>
      </c>
      <c r="H97" s="293">
        <f>'Resumen anual Congrio dorado'!D10</f>
        <v>213.3</v>
      </c>
      <c r="I97" s="293">
        <f>'Resumen anual Congrio dorado'!E10</f>
        <v>0</v>
      </c>
      <c r="J97" s="293">
        <f>'Resumen anual Congrio dorado'!F10</f>
        <v>213.3</v>
      </c>
      <c r="K97" s="293">
        <f>'Resumen anual Congrio dorado'!G10</f>
        <v>103.70100000000001</v>
      </c>
      <c r="L97" s="293">
        <f>'Resumen anual Congrio dorado'!H10</f>
        <v>109.599</v>
      </c>
      <c r="M97" s="145">
        <f>'Resumen anual Congrio dorado'!I10</f>
        <v>0.48617440225035163</v>
      </c>
      <c r="N97" s="276" t="s">
        <v>190</v>
      </c>
      <c r="O97" s="288">
        <v>43437</v>
      </c>
    </row>
    <row r="98" spans="1:15">
      <c r="A98" s="144" t="s">
        <v>204</v>
      </c>
      <c r="B98" s="66" t="s">
        <v>151</v>
      </c>
      <c r="C98" s="66" t="s">
        <v>205</v>
      </c>
      <c r="D98" s="66" t="s">
        <v>206</v>
      </c>
      <c r="E98" s="66" t="s">
        <v>206</v>
      </c>
      <c r="F98" s="66" t="s">
        <v>34</v>
      </c>
      <c r="G98" s="66" t="s">
        <v>39</v>
      </c>
      <c r="H98" s="144">
        <f>'Fuera UP'!E8</f>
        <v>52</v>
      </c>
      <c r="I98" s="144" t="s">
        <v>190</v>
      </c>
      <c r="J98" s="144">
        <f>H98</f>
        <v>52</v>
      </c>
      <c r="K98" s="144">
        <f>'Fuera UP'!I8</f>
        <v>20.831</v>
      </c>
      <c r="L98" s="144">
        <f>'Fuera UP'!J8</f>
        <v>31.169</v>
      </c>
      <c r="M98" s="145">
        <f>'Fuera UP'!K8</f>
        <v>0.40059615384615382</v>
      </c>
      <c r="N98" s="276" t="str">
        <f>'Fuera UP'!L8</f>
        <v>-</v>
      </c>
      <c r="O98" s="288">
        <v>43437</v>
      </c>
    </row>
    <row r="99" spans="1:15">
      <c r="A99" s="144" t="s">
        <v>204</v>
      </c>
      <c r="B99" s="66" t="s">
        <v>151</v>
      </c>
      <c r="C99" s="66" t="s">
        <v>205</v>
      </c>
      <c r="D99" s="66" t="s">
        <v>206</v>
      </c>
      <c r="E99" s="66" t="s">
        <v>206</v>
      </c>
      <c r="F99" s="66" t="s">
        <v>40</v>
      </c>
      <c r="G99" s="66" t="s">
        <v>45</v>
      </c>
      <c r="H99" s="144">
        <f>'Fuera UP'!E9</f>
        <v>53</v>
      </c>
      <c r="I99" s="144" t="s">
        <v>190</v>
      </c>
      <c r="J99" s="144">
        <f>H99+L98</f>
        <v>84.168999999999997</v>
      </c>
      <c r="K99" s="144">
        <f>'Fuera UP'!I9</f>
        <v>97.65</v>
      </c>
      <c r="L99" s="144">
        <f>'Fuera UP'!J9</f>
        <v>-13.481000000000009</v>
      </c>
      <c r="M99" s="145">
        <f>'Fuera UP'!K9</f>
        <v>1.1601658567881288</v>
      </c>
      <c r="N99" s="276">
        <f>'Fuera UP'!L9</f>
        <v>43399</v>
      </c>
      <c r="O99" s="288">
        <v>43437</v>
      </c>
    </row>
    <row r="100" spans="1:15">
      <c r="A100" s="144" t="s">
        <v>204</v>
      </c>
      <c r="B100" s="66" t="s">
        <v>151</v>
      </c>
      <c r="C100" s="66" t="s">
        <v>205</v>
      </c>
      <c r="D100" s="66" t="s">
        <v>206</v>
      </c>
      <c r="E100" s="66" t="s">
        <v>206</v>
      </c>
      <c r="F100" s="66" t="s">
        <v>34</v>
      </c>
      <c r="G100" s="66" t="s">
        <v>45</v>
      </c>
      <c r="H100" s="144">
        <f>'Fuera UP'!E8+'Fuera UP'!E9</f>
        <v>105</v>
      </c>
      <c r="I100" s="144" t="s">
        <v>190</v>
      </c>
      <c r="J100" s="144">
        <f>H100</f>
        <v>105</v>
      </c>
      <c r="K100" s="144">
        <f>'Fuera UP'!I8+'Fuera UP'!I9</f>
        <v>118.48100000000001</v>
      </c>
      <c r="L100" s="144">
        <f>H100-K100</f>
        <v>-13.481000000000009</v>
      </c>
      <c r="M100" s="145">
        <f>K100/H100</f>
        <v>1.1283904761904762</v>
      </c>
      <c r="N100" s="362" t="s">
        <v>190</v>
      </c>
      <c r="O100" s="288">
        <v>43437</v>
      </c>
    </row>
  </sheetData>
  <pageMargins left="0.7" right="0.7" top="0.75" bottom="0.75" header="0.3" footer="0.3"/>
  <ignoredErrors>
    <ignoredError sqref="J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2018-12-06T14:41:11Z</dcterms:modified>
</cp:coreProperties>
</file>