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ink/ink1.xml" ContentType="application/inkml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eseo\Proceso_de_Control_de_Cuotas\1_PLANILLAS CONTROL DE CUOTAS\2021\3.- Demersales\Merluza Comun\"/>
    </mc:Choice>
  </mc:AlternateContent>
  <bookViews>
    <workbookView xWindow="-105" yWindow="-105" windowWidth="19305" windowHeight="11295" tabRatio="848"/>
  </bookViews>
  <sheets>
    <sheet name="RESUMEN" sheetId="7" r:id="rId1"/>
    <sheet name="CUOTA ARTESANAL" sheetId="1" r:id="rId2"/>
    <sheet name="CUOTA INDUSTRIAL" sheetId="2" r:id="rId3"/>
    <sheet name="CESIONES INDIVIDUALES" sheetId="14" r:id="rId4"/>
    <sheet name="FUP Y PESC. INVESTIGACION" sheetId="5" r:id="rId5"/>
    <sheet name="Publicacion Web" sheetId="9" r:id="rId6"/>
    <sheet name="coeficientes LTP" sheetId="12" state="hidden" r:id="rId7"/>
    <sheet name="Hoja1" sheetId="13" state="hidden" r:id="rId8"/>
  </sheets>
  <definedNames>
    <definedName name="_xlnm._FilterDatabase" localSheetId="1" hidden="1">'CUOTA ARTESANAL'!$A$498:$AX$499</definedName>
    <definedName name="_xlnm._FilterDatabase" localSheetId="5" hidden="1">'Publicacion Web'!$A$1:$Q$1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4" i="2" l="1"/>
  <c r="F52" i="2"/>
  <c r="F30" i="2"/>
  <c r="F46" i="2"/>
  <c r="K940" i="9" l="1"/>
  <c r="K941" i="9"/>
  <c r="K942" i="9"/>
  <c r="I940" i="9"/>
  <c r="O940" i="9"/>
  <c r="O941" i="9"/>
  <c r="O942" i="9"/>
  <c r="H941" i="9"/>
  <c r="H940" i="9"/>
  <c r="H937" i="9"/>
  <c r="F66" i="2"/>
  <c r="K65" i="2"/>
  <c r="H942" i="9" s="1"/>
  <c r="N65" i="2"/>
  <c r="G65" i="2"/>
  <c r="J940" i="9" s="1"/>
  <c r="J65" i="2" l="1"/>
  <c r="M940" i="9" s="1"/>
  <c r="I65" i="2"/>
  <c r="L940" i="9" s="1"/>
  <c r="I941" i="9"/>
  <c r="L65" i="2"/>
  <c r="G66" i="2" l="1"/>
  <c r="M65" i="2"/>
  <c r="I942" i="9"/>
  <c r="J941" i="9" l="1"/>
  <c r="I66" i="2"/>
  <c r="L941" i="9" s="1"/>
  <c r="J66" i="2"/>
  <c r="M941" i="9" s="1"/>
  <c r="O65" i="2"/>
  <c r="L942" i="9" s="1"/>
  <c r="J942" i="9"/>
  <c r="P65" i="2"/>
  <c r="M942" i="9" s="1"/>
  <c r="N500" i="1"/>
  <c r="P500" i="1" s="1"/>
  <c r="R500" i="1" s="1"/>
  <c r="O500" i="1"/>
  <c r="Q500" i="1"/>
  <c r="N502" i="1"/>
  <c r="O502" i="1"/>
  <c r="P502" i="1" s="1"/>
  <c r="Q502" i="1"/>
  <c r="N504" i="1"/>
  <c r="O504" i="1"/>
  <c r="Q504" i="1"/>
  <c r="O506" i="1"/>
  <c r="Q506" i="1"/>
  <c r="N508" i="1"/>
  <c r="Q508" i="1"/>
  <c r="N510" i="1"/>
  <c r="Q510" i="1"/>
  <c r="N512" i="1"/>
  <c r="Q512" i="1"/>
  <c r="Q514" i="1"/>
  <c r="N516" i="1"/>
  <c r="Q516" i="1"/>
  <c r="N518" i="1"/>
  <c r="Q518" i="1"/>
  <c r="N520" i="1"/>
  <c r="O520" i="1"/>
  <c r="Q520" i="1"/>
  <c r="N522" i="1"/>
  <c r="O522" i="1"/>
  <c r="Q522" i="1"/>
  <c r="N524" i="1"/>
  <c r="O524" i="1"/>
  <c r="Q524" i="1"/>
  <c r="N526" i="1"/>
  <c r="Q526" i="1"/>
  <c r="N528" i="1"/>
  <c r="P528" i="1" s="1"/>
  <c r="R528" i="1" s="1"/>
  <c r="O528" i="1"/>
  <c r="Q528" i="1"/>
  <c r="N530" i="1"/>
  <c r="O530" i="1"/>
  <c r="P530" i="1" s="1"/>
  <c r="Q530" i="1"/>
  <c r="N532" i="1"/>
  <c r="Q532" i="1"/>
  <c r="N534" i="1"/>
  <c r="O534" i="1"/>
  <c r="Q534" i="1"/>
  <c r="N536" i="1"/>
  <c r="Q536" i="1"/>
  <c r="N538" i="1"/>
  <c r="Q538" i="1"/>
  <c r="N540" i="1"/>
  <c r="Q540" i="1"/>
  <c r="N542" i="1"/>
  <c r="O542" i="1"/>
  <c r="P542" i="1" s="1"/>
  <c r="Q542" i="1"/>
  <c r="N544" i="1"/>
  <c r="P544" i="1" s="1"/>
  <c r="R544" i="1" s="1"/>
  <c r="O544" i="1"/>
  <c r="Q544" i="1"/>
  <c r="N546" i="1"/>
  <c r="O546" i="1"/>
  <c r="P546" i="1" s="1"/>
  <c r="Q546" i="1"/>
  <c r="N548" i="1"/>
  <c r="O548" i="1"/>
  <c r="Q548" i="1"/>
  <c r="N550" i="1"/>
  <c r="O550" i="1"/>
  <c r="Q550" i="1"/>
  <c r="N552" i="1"/>
  <c r="O552" i="1"/>
  <c r="Q552" i="1"/>
  <c r="N554" i="1"/>
  <c r="O554" i="1"/>
  <c r="Q554" i="1"/>
  <c r="N556" i="1"/>
  <c r="O556" i="1"/>
  <c r="Q556" i="1"/>
  <c r="N558" i="1"/>
  <c r="O558" i="1"/>
  <c r="Q558" i="1"/>
  <c r="Q560" i="1"/>
  <c r="Q562" i="1"/>
  <c r="N564" i="1"/>
  <c r="Q564" i="1"/>
  <c r="N566" i="1"/>
  <c r="Q566" i="1"/>
  <c r="N568" i="1"/>
  <c r="O568" i="1"/>
  <c r="P568" i="1" s="1"/>
  <c r="R568" i="1" s="1"/>
  <c r="Q568" i="1"/>
  <c r="N570" i="1"/>
  <c r="Q570" i="1"/>
  <c r="N572" i="1"/>
  <c r="P572" i="1" s="1"/>
  <c r="R572" i="1" s="1"/>
  <c r="O572" i="1"/>
  <c r="Q572" i="1"/>
  <c r="N574" i="1"/>
  <c r="P574" i="1" s="1"/>
  <c r="O574" i="1"/>
  <c r="Q574" i="1"/>
  <c r="N576" i="1"/>
  <c r="P576" i="1" s="1"/>
  <c r="R576" i="1" s="1"/>
  <c r="O576" i="1"/>
  <c r="Q576" i="1"/>
  <c r="N578" i="1"/>
  <c r="O578" i="1"/>
  <c r="Q578" i="1"/>
  <c r="N580" i="1"/>
  <c r="Q580" i="1"/>
  <c r="N582" i="1"/>
  <c r="Q582" i="1"/>
  <c r="N584" i="1"/>
  <c r="O584" i="1"/>
  <c r="P584" i="1"/>
  <c r="Q584" i="1"/>
  <c r="S584" i="1" s="1"/>
  <c r="N586" i="1"/>
  <c r="P586" i="1" s="1"/>
  <c r="O586" i="1"/>
  <c r="Q586" i="1"/>
  <c r="N588" i="1"/>
  <c r="O588" i="1"/>
  <c r="Q588" i="1"/>
  <c r="N590" i="1"/>
  <c r="Q590" i="1"/>
  <c r="N592" i="1"/>
  <c r="Q592" i="1"/>
  <c r="N594" i="1"/>
  <c r="P594" i="1" s="1"/>
  <c r="O594" i="1"/>
  <c r="Q594" i="1"/>
  <c r="N596" i="1"/>
  <c r="Q596" i="1"/>
  <c r="N598" i="1"/>
  <c r="P598" i="1" s="1"/>
  <c r="O598" i="1"/>
  <c r="Q598" i="1"/>
  <c r="N600" i="1"/>
  <c r="Q600" i="1"/>
  <c r="N602" i="1"/>
  <c r="Q602" i="1"/>
  <c r="N604" i="1"/>
  <c r="Q604" i="1"/>
  <c r="O606" i="1"/>
  <c r="Q606" i="1"/>
  <c r="O608" i="1"/>
  <c r="Q608" i="1"/>
  <c r="N610" i="1"/>
  <c r="O610" i="1"/>
  <c r="Q610" i="1"/>
  <c r="O612" i="1"/>
  <c r="Q612" i="1"/>
  <c r="N614" i="1"/>
  <c r="P614" i="1" s="1"/>
  <c r="O614" i="1"/>
  <c r="Q614" i="1"/>
  <c r="Q498" i="1"/>
  <c r="S568" i="1" l="1"/>
  <c r="R584" i="1"/>
  <c r="P578" i="1"/>
  <c r="S578" i="1" s="1"/>
  <c r="S572" i="1"/>
  <c r="P554" i="1"/>
  <c r="P522" i="1"/>
  <c r="S522" i="1" s="1"/>
  <c r="S576" i="1"/>
  <c r="P556" i="1"/>
  <c r="R556" i="1" s="1"/>
  <c r="S552" i="1"/>
  <c r="P548" i="1"/>
  <c r="R548" i="1" s="1"/>
  <c r="S544" i="1"/>
  <c r="S528" i="1"/>
  <c r="P524" i="1"/>
  <c r="R524" i="1" s="1"/>
  <c r="P504" i="1"/>
  <c r="R504" i="1" s="1"/>
  <c r="S500" i="1"/>
  <c r="P610" i="1"/>
  <c r="P588" i="1"/>
  <c r="R588" i="1" s="1"/>
  <c r="P558" i="1"/>
  <c r="P552" i="1"/>
  <c r="R552" i="1" s="1"/>
  <c r="P550" i="1"/>
  <c r="P534" i="1"/>
  <c r="S534" i="1" s="1"/>
  <c r="P520" i="1"/>
  <c r="R520" i="1" s="1"/>
  <c r="R598" i="1"/>
  <c r="S598" i="1"/>
  <c r="R574" i="1"/>
  <c r="S574" i="1"/>
  <c r="R578" i="1"/>
  <c r="S588" i="1"/>
  <c r="S542" i="1"/>
  <c r="R542" i="1"/>
  <c r="S520" i="1"/>
  <c r="S614" i="1"/>
  <c r="R614" i="1"/>
  <c r="R554" i="1"/>
  <c r="S554" i="1"/>
  <c r="R522" i="1"/>
  <c r="R610" i="1"/>
  <c r="S610" i="1"/>
  <c r="S594" i="1"/>
  <c r="R594" i="1"/>
  <c r="R586" i="1"/>
  <c r="S586" i="1"/>
  <c r="R558" i="1"/>
  <c r="S558" i="1"/>
  <c r="S550" i="1"/>
  <c r="R550" i="1"/>
  <c r="S556" i="1"/>
  <c r="S548" i="1"/>
  <c r="S546" i="1"/>
  <c r="R546" i="1"/>
  <c r="S530" i="1"/>
  <c r="R530" i="1"/>
  <c r="S524" i="1"/>
  <c r="S504" i="1"/>
  <c r="S502" i="1"/>
  <c r="R502" i="1"/>
  <c r="R534" i="1" l="1"/>
  <c r="G494" i="1"/>
  <c r="G493" i="1"/>
  <c r="J493" i="1"/>
  <c r="Q491" i="1"/>
  <c r="Q489" i="1"/>
  <c r="Q487" i="1"/>
  <c r="Q485" i="1"/>
  <c r="Q483" i="1"/>
  <c r="Q481" i="1"/>
  <c r="Q479" i="1"/>
  <c r="Q477" i="1"/>
  <c r="Q473" i="1"/>
  <c r="Q475" i="1"/>
  <c r="P474" i="1" l="1"/>
  <c r="S474" i="1" s="1"/>
  <c r="P476" i="1"/>
  <c r="S476" i="1" s="1"/>
  <c r="P478" i="1"/>
  <c r="S478" i="1" s="1"/>
  <c r="P480" i="1"/>
  <c r="S480" i="1" s="1"/>
  <c r="P482" i="1"/>
  <c r="S482" i="1" s="1"/>
  <c r="P484" i="1"/>
  <c r="S484" i="1" s="1"/>
  <c r="P486" i="1"/>
  <c r="S486" i="1" s="1"/>
  <c r="P488" i="1"/>
  <c r="S488" i="1" s="1"/>
  <c r="P490" i="1"/>
  <c r="S490" i="1" s="1"/>
  <c r="P492" i="1"/>
  <c r="S492" i="1" s="1"/>
  <c r="N285" i="1"/>
  <c r="Q285" i="1"/>
  <c r="N325" i="1"/>
  <c r="H67" i="2" l="1"/>
  <c r="I16" i="7"/>
  <c r="J49" i="1" l="1"/>
  <c r="J21" i="1"/>
  <c r="G35" i="1" l="1"/>
  <c r="G34" i="1"/>
  <c r="H36" i="2" l="1"/>
  <c r="H68" i="2" s="1"/>
  <c r="F22" i="2" l="1"/>
  <c r="F62" i="2"/>
  <c r="F60" i="2" l="1"/>
  <c r="F56" i="2" l="1"/>
  <c r="F32" i="2"/>
  <c r="H517" i="1" l="1"/>
  <c r="O516" i="1" s="1"/>
  <c r="P516" i="1" s="1"/>
  <c r="R516" i="1" l="1"/>
  <c r="S516" i="1"/>
  <c r="H370" i="1"/>
  <c r="H581" i="1"/>
  <c r="H352" i="1"/>
  <c r="F12" i="2" l="1"/>
  <c r="F64" i="2" l="1"/>
  <c r="F68" i="2" s="1"/>
  <c r="H344" i="1" l="1"/>
  <c r="H565" i="1"/>
  <c r="O564" i="1" s="1"/>
  <c r="P564" i="1" s="1"/>
  <c r="R564" i="1" l="1"/>
  <c r="S564" i="1"/>
  <c r="N7" i="14"/>
  <c r="H29" i="1" l="1"/>
  <c r="G612" i="1" l="1"/>
  <c r="G607" i="1"/>
  <c r="N606" i="1" s="1"/>
  <c r="P606" i="1" s="1"/>
  <c r="R606" i="1" l="1"/>
  <c r="S606" i="1"/>
  <c r="F9" i="2"/>
  <c r="F41" i="2"/>
  <c r="J494" i="1" l="1"/>
  <c r="Q493" i="1" s="1"/>
  <c r="G21" i="7" l="1"/>
  <c r="H326" i="1"/>
  <c r="H23" i="1"/>
  <c r="H228" i="1" l="1"/>
  <c r="H509" i="1"/>
  <c r="I20" i="7"/>
  <c r="I52" i="14"/>
  <c r="L52" i="14" s="1"/>
  <c r="H537" i="1"/>
  <c r="O536" i="1" s="1"/>
  <c r="P536" i="1" s="1"/>
  <c r="R536" i="1" l="1"/>
  <c r="S536" i="1"/>
  <c r="K52" i="14"/>
  <c r="K51" i="14"/>
  <c r="K50" i="14"/>
  <c r="K49" i="14"/>
  <c r="I50" i="14"/>
  <c r="L50" i="14" s="1"/>
  <c r="I51" i="14"/>
  <c r="L51" i="14" s="1"/>
  <c r="I49" i="14"/>
  <c r="L49" i="14" s="1"/>
  <c r="H563" i="1"/>
  <c r="G9" i="5"/>
  <c r="G8" i="5"/>
  <c r="O916" i="9"/>
  <c r="O917" i="9"/>
  <c r="O918" i="9"/>
  <c r="O919" i="9"/>
  <c r="O920" i="9"/>
  <c r="O921" i="9"/>
  <c r="O922" i="9"/>
  <c r="O923" i="9"/>
  <c r="O924" i="9"/>
  <c r="O925" i="9"/>
  <c r="O926" i="9"/>
  <c r="O927" i="9"/>
  <c r="O928" i="9"/>
  <c r="O929" i="9"/>
  <c r="O930" i="9"/>
  <c r="O931" i="9"/>
  <c r="O932" i="9"/>
  <c r="O933" i="9"/>
  <c r="O934" i="9"/>
  <c r="O935" i="9"/>
  <c r="O936" i="9"/>
  <c r="H938" i="9"/>
  <c r="I938" i="9"/>
  <c r="K938" i="9"/>
  <c r="I937" i="9"/>
  <c r="K937" i="9"/>
  <c r="E939" i="9"/>
  <c r="E938" i="9"/>
  <c r="E937" i="9"/>
  <c r="H935" i="9"/>
  <c r="K935" i="9"/>
  <c r="K934" i="9"/>
  <c r="H934" i="9"/>
  <c r="E936" i="9"/>
  <c r="E935" i="9"/>
  <c r="E934" i="9"/>
  <c r="H932" i="9"/>
  <c r="I932" i="9"/>
  <c r="K932" i="9"/>
  <c r="K931" i="9"/>
  <c r="H931" i="9"/>
  <c r="E933" i="9"/>
  <c r="E932" i="9"/>
  <c r="E931" i="9"/>
  <c r="H929" i="9"/>
  <c r="I929" i="9"/>
  <c r="K929" i="9"/>
  <c r="K928" i="9"/>
  <c r="H928" i="9"/>
  <c r="E930" i="9"/>
  <c r="E929" i="9"/>
  <c r="E928" i="9"/>
  <c r="H926" i="9"/>
  <c r="I926" i="9"/>
  <c r="K926" i="9"/>
  <c r="K925" i="9"/>
  <c r="H925" i="9"/>
  <c r="E927" i="9"/>
  <c r="E926" i="9"/>
  <c r="E925" i="9"/>
  <c r="H923" i="9"/>
  <c r="I923" i="9"/>
  <c r="K923" i="9"/>
  <c r="I922" i="9"/>
  <c r="K922" i="9"/>
  <c r="H922" i="9"/>
  <c r="E924" i="9"/>
  <c r="E923" i="9"/>
  <c r="E922" i="9"/>
  <c r="H920" i="9"/>
  <c r="I920" i="9"/>
  <c r="K920" i="9"/>
  <c r="I919" i="9"/>
  <c r="K919" i="9"/>
  <c r="H919" i="9"/>
  <c r="E921" i="9"/>
  <c r="E920" i="9"/>
  <c r="E919" i="9"/>
  <c r="H917" i="9"/>
  <c r="I917" i="9"/>
  <c r="K917" i="9"/>
  <c r="I916" i="9"/>
  <c r="K916" i="9"/>
  <c r="H916" i="9"/>
  <c r="E918" i="9"/>
  <c r="E917" i="9"/>
  <c r="E916" i="9"/>
  <c r="H914" i="9"/>
  <c r="I914" i="9"/>
  <c r="K914" i="9"/>
  <c r="I913" i="9"/>
  <c r="K913" i="9"/>
  <c r="H913" i="9"/>
  <c r="E915" i="9"/>
  <c r="E914" i="9"/>
  <c r="E913" i="9"/>
  <c r="H911" i="9"/>
  <c r="I911" i="9"/>
  <c r="K911" i="9"/>
  <c r="K910" i="9"/>
  <c r="H910" i="9"/>
  <c r="E912" i="9"/>
  <c r="E911" i="9"/>
  <c r="E910" i="9"/>
  <c r="H908" i="9"/>
  <c r="I908" i="9"/>
  <c r="K908" i="9"/>
  <c r="I907" i="9"/>
  <c r="K907" i="9"/>
  <c r="H907" i="9"/>
  <c r="E909" i="9"/>
  <c r="E908" i="9"/>
  <c r="E907" i="9"/>
  <c r="M906" i="9"/>
  <c r="H905" i="9"/>
  <c r="I905" i="9"/>
  <c r="K905" i="9"/>
  <c r="M905" i="9"/>
  <c r="I904" i="9"/>
  <c r="K904" i="9"/>
  <c r="H904" i="9"/>
  <c r="E906" i="9"/>
  <c r="E905" i="9"/>
  <c r="E904" i="9"/>
  <c r="M903" i="9"/>
  <c r="H902" i="9"/>
  <c r="I902" i="9"/>
  <c r="K902" i="9"/>
  <c r="M902" i="9"/>
  <c r="K901" i="9"/>
  <c r="H901" i="9"/>
  <c r="E903" i="9"/>
  <c r="E902" i="9"/>
  <c r="E901" i="9"/>
  <c r="H899" i="9"/>
  <c r="I899" i="9"/>
  <c r="K899" i="9"/>
  <c r="K898" i="9"/>
  <c r="H898" i="9"/>
  <c r="E900" i="9"/>
  <c r="E899" i="9"/>
  <c r="E898" i="9"/>
  <c r="H896" i="9"/>
  <c r="I896" i="9"/>
  <c r="K896" i="9"/>
  <c r="I895" i="9"/>
  <c r="K895" i="9"/>
  <c r="H895" i="9"/>
  <c r="E897" i="9"/>
  <c r="E896" i="9"/>
  <c r="E895" i="9"/>
  <c r="H893" i="9"/>
  <c r="I893" i="9"/>
  <c r="K893" i="9"/>
  <c r="M893" i="9"/>
  <c r="I892" i="9"/>
  <c r="K892" i="9"/>
  <c r="H892" i="9"/>
  <c r="E894" i="9"/>
  <c r="E893" i="9"/>
  <c r="E892" i="9"/>
  <c r="M891" i="9"/>
  <c r="H890" i="9"/>
  <c r="I890" i="9"/>
  <c r="K890" i="9"/>
  <c r="M890" i="9"/>
  <c r="I889" i="9"/>
  <c r="K889" i="9"/>
  <c r="H889" i="9"/>
  <c r="E891" i="9"/>
  <c r="E890" i="9"/>
  <c r="E889" i="9"/>
  <c r="H887" i="9"/>
  <c r="I887" i="9"/>
  <c r="K887" i="9"/>
  <c r="I886" i="9"/>
  <c r="K886" i="9"/>
  <c r="H886" i="9"/>
  <c r="E888" i="9"/>
  <c r="E887" i="9"/>
  <c r="E886" i="9"/>
  <c r="M885" i="9"/>
  <c r="H884" i="9"/>
  <c r="I884" i="9"/>
  <c r="K884" i="9"/>
  <c r="M884" i="9"/>
  <c r="K883" i="9"/>
  <c r="H883" i="9"/>
  <c r="E885" i="9"/>
  <c r="E884" i="9"/>
  <c r="E883" i="9"/>
  <c r="H881" i="9"/>
  <c r="I881" i="9"/>
  <c r="K881" i="9"/>
  <c r="I880" i="9"/>
  <c r="K880" i="9"/>
  <c r="H880" i="9"/>
  <c r="E882" i="9"/>
  <c r="E881" i="9"/>
  <c r="E880" i="9"/>
  <c r="M879" i="9"/>
  <c r="H878" i="9"/>
  <c r="I878" i="9"/>
  <c r="K878" i="9"/>
  <c r="M878" i="9"/>
  <c r="I877" i="9"/>
  <c r="K877" i="9"/>
  <c r="H877" i="9"/>
  <c r="E879" i="9"/>
  <c r="E878" i="9"/>
  <c r="E877" i="9"/>
  <c r="H875" i="9"/>
  <c r="K875" i="9"/>
  <c r="K874" i="9"/>
  <c r="H874" i="9"/>
  <c r="E876" i="9"/>
  <c r="E875" i="9"/>
  <c r="E874" i="9"/>
  <c r="H872" i="9"/>
  <c r="I872" i="9"/>
  <c r="K872" i="9"/>
  <c r="I871" i="9"/>
  <c r="K871" i="9"/>
  <c r="H871" i="9"/>
  <c r="E873" i="9"/>
  <c r="E872" i="9"/>
  <c r="E871" i="9"/>
  <c r="H869" i="9"/>
  <c r="I869" i="9"/>
  <c r="K869" i="9"/>
  <c r="I868" i="9"/>
  <c r="K868" i="9"/>
  <c r="H868" i="9"/>
  <c r="E870" i="9"/>
  <c r="E869" i="9"/>
  <c r="E868" i="9"/>
  <c r="H866" i="9"/>
  <c r="I866" i="9"/>
  <c r="K866" i="9"/>
  <c r="K865" i="9"/>
  <c r="H865" i="9"/>
  <c r="E867" i="9"/>
  <c r="E866" i="9"/>
  <c r="E865" i="9"/>
  <c r="H863" i="9"/>
  <c r="I863" i="9"/>
  <c r="K863" i="9"/>
  <c r="I862" i="9"/>
  <c r="K862" i="9"/>
  <c r="H862" i="9"/>
  <c r="E864" i="9"/>
  <c r="E863" i="9"/>
  <c r="E862" i="9"/>
  <c r="I875" i="9" l="1"/>
  <c r="I935" i="9"/>
  <c r="F21" i="2" l="1"/>
  <c r="I874" i="9" s="1"/>
  <c r="I48" i="14" l="1"/>
  <c r="L48" i="14" s="1"/>
  <c r="I47" i="14"/>
  <c r="L47" i="14" s="1"/>
  <c r="H539" i="1"/>
  <c r="O538" i="1" s="1"/>
  <c r="P538" i="1" s="1"/>
  <c r="H210" i="1"/>
  <c r="H513" i="1"/>
  <c r="S538" i="1" l="1"/>
  <c r="R538" i="1"/>
  <c r="K48" i="14"/>
  <c r="K47" i="14"/>
  <c r="H18" i="5"/>
  <c r="J18" i="5" s="1"/>
  <c r="I19" i="7" l="1"/>
  <c r="H320" i="1"/>
  <c r="H484" i="1"/>
  <c r="H567" i="1"/>
  <c r="O566" i="1" s="1"/>
  <c r="P566" i="1" s="1"/>
  <c r="I46" i="14"/>
  <c r="L46" i="14" s="1"/>
  <c r="I45" i="14"/>
  <c r="L45" i="14" s="1"/>
  <c r="I44" i="14"/>
  <c r="L44" i="14" s="1"/>
  <c r="H533" i="1"/>
  <c r="O532" i="1" s="1"/>
  <c r="P532" i="1" s="1"/>
  <c r="S566" i="1" l="1"/>
  <c r="R566" i="1"/>
  <c r="R532" i="1"/>
  <c r="S532" i="1"/>
  <c r="K44" i="14"/>
  <c r="K45" i="14"/>
  <c r="K46" i="14"/>
  <c r="F61" i="2"/>
  <c r="I934" i="9" s="1"/>
  <c r="H511" i="1"/>
  <c r="O510" i="1" s="1"/>
  <c r="P510" i="1" s="1"/>
  <c r="I42" i="14"/>
  <c r="K42" i="14" s="1"/>
  <c r="I43" i="14"/>
  <c r="K43" i="14" s="1"/>
  <c r="H515" i="1"/>
  <c r="I41" i="14"/>
  <c r="K41" i="14" s="1"/>
  <c r="H354" i="1"/>
  <c r="H218" i="1"/>
  <c r="H494" i="1" s="1"/>
  <c r="H488" i="1"/>
  <c r="H292" i="1"/>
  <c r="H342" i="1"/>
  <c r="I36" i="14"/>
  <c r="K36" i="14" s="1"/>
  <c r="I37" i="14"/>
  <c r="K37" i="14" s="1"/>
  <c r="I38" i="14"/>
  <c r="L38" i="14" s="1"/>
  <c r="I39" i="14"/>
  <c r="K39" i="14" s="1"/>
  <c r="L39" i="14"/>
  <c r="I40" i="14"/>
  <c r="L40" i="14" s="1"/>
  <c r="H561" i="1"/>
  <c r="I35" i="14"/>
  <c r="L35" i="14" s="1"/>
  <c r="H310" i="1"/>
  <c r="H583" i="1"/>
  <c r="O582" i="1" s="1"/>
  <c r="P582" i="1" s="1"/>
  <c r="R582" i="1" l="1"/>
  <c r="S582" i="1"/>
  <c r="R510" i="1"/>
  <c r="S510" i="1"/>
  <c r="K40" i="14"/>
  <c r="L43" i="14"/>
  <c r="L42" i="14"/>
  <c r="L41" i="14"/>
  <c r="L37" i="14"/>
  <c r="L36" i="14"/>
  <c r="K38" i="14"/>
  <c r="K35" i="14"/>
  <c r="I34" i="14"/>
  <c r="K34" i="14" s="1"/>
  <c r="I33" i="14"/>
  <c r="K33" i="14" s="1"/>
  <c r="H601" i="1"/>
  <c r="I30" i="14"/>
  <c r="L30" i="14" s="1"/>
  <c r="I29" i="14"/>
  <c r="K29" i="14" s="1"/>
  <c r="H512" i="1"/>
  <c r="O512" i="1" s="1"/>
  <c r="P512" i="1" s="1"/>
  <c r="R512" i="1" l="1"/>
  <c r="S512" i="1"/>
  <c r="K30" i="14"/>
  <c r="L29" i="14"/>
  <c r="L33" i="14"/>
  <c r="I28" i="14"/>
  <c r="L28" i="14" s="1"/>
  <c r="H540" i="1"/>
  <c r="O540" i="1" s="1"/>
  <c r="P540" i="1" s="1"/>
  <c r="I26" i="14"/>
  <c r="K26" i="14" s="1"/>
  <c r="I27" i="14"/>
  <c r="K27" i="14" s="1"/>
  <c r="I25" i="14"/>
  <c r="K25" i="14" s="1"/>
  <c r="H514" i="1"/>
  <c r="O514" i="1" s="1"/>
  <c r="I24" i="14"/>
  <c r="L24" i="14" s="1"/>
  <c r="H562" i="1"/>
  <c r="O562" i="1" s="1"/>
  <c r="I22" i="14"/>
  <c r="L22" i="14" s="1"/>
  <c r="I23" i="14"/>
  <c r="L23" i="14" s="1"/>
  <c r="H526" i="1"/>
  <c r="O526" i="1" s="1"/>
  <c r="P526" i="1" s="1"/>
  <c r="G514" i="1"/>
  <c r="G515" i="1"/>
  <c r="R526" i="1" l="1"/>
  <c r="S526" i="1"/>
  <c r="R540" i="1"/>
  <c r="S540" i="1"/>
  <c r="N514" i="1"/>
  <c r="P514" i="1" s="1"/>
  <c r="K22" i="14"/>
  <c r="K28" i="14"/>
  <c r="L26" i="14"/>
  <c r="L27" i="14"/>
  <c r="L25" i="14"/>
  <c r="K24" i="14"/>
  <c r="K23" i="14"/>
  <c r="F55" i="2"/>
  <c r="I925" i="9" s="1"/>
  <c r="F39" i="2"/>
  <c r="I901" i="9" s="1"/>
  <c r="F59" i="2"/>
  <c r="I931" i="9" s="1"/>
  <c r="S514" i="1" l="1"/>
  <c r="R514" i="1"/>
  <c r="H169" i="1"/>
  <c r="H227" i="1"/>
  <c r="H508" i="1"/>
  <c r="O508" i="1" s="1"/>
  <c r="P508" i="1" s="1"/>
  <c r="G562" i="1"/>
  <c r="G563" i="1"/>
  <c r="G560" i="1"/>
  <c r="N560" i="1" s="1"/>
  <c r="G561" i="1"/>
  <c r="H217" i="1"/>
  <c r="H592" i="1"/>
  <c r="O592" i="1" s="1"/>
  <c r="P592" i="1" s="1"/>
  <c r="R592" i="1" l="1"/>
  <c r="S592" i="1"/>
  <c r="N562" i="1"/>
  <c r="P562" i="1" s="1"/>
  <c r="R508" i="1"/>
  <c r="S508" i="1"/>
  <c r="H21" i="7"/>
  <c r="J21" i="7" s="1"/>
  <c r="I21" i="14"/>
  <c r="K21" i="14" s="1"/>
  <c r="H518" i="1"/>
  <c r="O518" i="1" s="1"/>
  <c r="P518" i="1" s="1"/>
  <c r="G506" i="1"/>
  <c r="G507" i="1"/>
  <c r="H167" i="1"/>
  <c r="H163" i="1"/>
  <c r="G498" i="1"/>
  <c r="G499" i="1"/>
  <c r="H341" i="1"/>
  <c r="H347" i="1"/>
  <c r="H345" i="1"/>
  <c r="H570" i="1"/>
  <c r="O570" i="1" s="1"/>
  <c r="P570" i="1" s="1"/>
  <c r="H395" i="1"/>
  <c r="H369" i="1"/>
  <c r="H351" i="1"/>
  <c r="H309" i="1"/>
  <c r="H305" i="1"/>
  <c r="I104" i="1"/>
  <c r="R562" i="1" l="1"/>
  <c r="S562" i="1"/>
  <c r="R570" i="1"/>
  <c r="S570" i="1"/>
  <c r="N506" i="1"/>
  <c r="P506" i="1" s="1"/>
  <c r="R518" i="1"/>
  <c r="S518" i="1"/>
  <c r="L21" i="14"/>
  <c r="H580" i="1"/>
  <c r="O580" i="1" s="1"/>
  <c r="P580" i="1" s="1"/>
  <c r="I20" i="14"/>
  <c r="K20" i="14" s="1"/>
  <c r="R580" i="1" l="1"/>
  <c r="S580" i="1"/>
  <c r="R506" i="1"/>
  <c r="S506" i="1"/>
  <c r="L20" i="14"/>
  <c r="I19" i="14" l="1"/>
  <c r="K19" i="14" s="1"/>
  <c r="H600" i="1"/>
  <c r="O600" i="1" s="1"/>
  <c r="P600" i="1" s="1"/>
  <c r="H596" i="1"/>
  <c r="K816" i="9"/>
  <c r="N816" i="9"/>
  <c r="I816" i="9" l="1"/>
  <c r="O596" i="1"/>
  <c r="P596" i="1" s="1"/>
  <c r="R600" i="1"/>
  <c r="S600" i="1"/>
  <c r="L19" i="14"/>
  <c r="H433" i="1"/>
  <c r="H590" i="1"/>
  <c r="O590" i="1" s="1"/>
  <c r="P590" i="1" s="1"/>
  <c r="H225" i="1"/>
  <c r="H602" i="1"/>
  <c r="O602" i="1" s="1"/>
  <c r="P602" i="1" s="1"/>
  <c r="G608" i="1"/>
  <c r="R590" i="1" l="1"/>
  <c r="S590" i="1"/>
  <c r="G617" i="1"/>
  <c r="R596" i="1"/>
  <c r="S596" i="1"/>
  <c r="R602" i="1"/>
  <c r="S602" i="1"/>
  <c r="G613" i="1"/>
  <c r="N612" i="1" s="1"/>
  <c r="P612" i="1" s="1"/>
  <c r="I500" i="1"/>
  <c r="I502" i="1"/>
  <c r="I504" i="1"/>
  <c r="I506" i="1"/>
  <c r="I508" i="1"/>
  <c r="I510" i="1"/>
  <c r="I512" i="1"/>
  <c r="I516" i="1"/>
  <c r="I518" i="1"/>
  <c r="I520" i="1"/>
  <c r="I522" i="1"/>
  <c r="I524" i="1"/>
  <c r="I526" i="1"/>
  <c r="I528" i="1"/>
  <c r="I530" i="1"/>
  <c r="I532" i="1"/>
  <c r="I534" i="1"/>
  <c r="I536" i="1"/>
  <c r="I538" i="1"/>
  <c r="I540" i="1"/>
  <c r="I542" i="1"/>
  <c r="I544" i="1"/>
  <c r="I546" i="1"/>
  <c r="I548" i="1"/>
  <c r="I550" i="1"/>
  <c r="I552" i="1"/>
  <c r="I554" i="1"/>
  <c r="I556" i="1"/>
  <c r="I558" i="1"/>
  <c r="I564" i="1"/>
  <c r="I566" i="1"/>
  <c r="I568" i="1"/>
  <c r="I570" i="1"/>
  <c r="I572" i="1"/>
  <c r="I574" i="1"/>
  <c r="I576" i="1"/>
  <c r="I578" i="1"/>
  <c r="I580" i="1"/>
  <c r="I582" i="1"/>
  <c r="I584" i="1"/>
  <c r="I586" i="1"/>
  <c r="I588" i="1"/>
  <c r="I590" i="1"/>
  <c r="I592" i="1"/>
  <c r="I594" i="1"/>
  <c r="I596" i="1"/>
  <c r="J816" i="9" s="1"/>
  <c r="I598" i="1"/>
  <c r="I600" i="1"/>
  <c r="I602" i="1"/>
  <c r="I606" i="1"/>
  <c r="I608" i="1"/>
  <c r="I610" i="1"/>
  <c r="I612" i="1"/>
  <c r="I614" i="1"/>
  <c r="I616" i="1"/>
  <c r="R612" i="1" l="1"/>
  <c r="S612" i="1"/>
  <c r="G609" i="1"/>
  <c r="N608" i="1" s="1"/>
  <c r="P608" i="1" s="1"/>
  <c r="H483" i="1"/>
  <c r="H493" i="1" s="1"/>
  <c r="I562" i="1"/>
  <c r="K63" i="2"/>
  <c r="H939" i="9" s="1"/>
  <c r="L63" i="2"/>
  <c r="I939" i="9" s="1"/>
  <c r="N63" i="2"/>
  <c r="K939" i="9" s="1"/>
  <c r="G63" i="2"/>
  <c r="K61" i="2"/>
  <c r="H936" i="9" s="1"/>
  <c r="N61" i="2"/>
  <c r="K936" i="9" s="1"/>
  <c r="K59" i="2"/>
  <c r="H933" i="9" s="1"/>
  <c r="L59" i="2"/>
  <c r="I933" i="9" s="1"/>
  <c r="N59" i="2"/>
  <c r="K933" i="9" s="1"/>
  <c r="G59" i="2"/>
  <c r="E68" i="2"/>
  <c r="E67" i="2"/>
  <c r="L61" i="2"/>
  <c r="I936" i="9" s="1"/>
  <c r="O493" i="1" l="1"/>
  <c r="I493" i="1"/>
  <c r="K493" i="1" s="1"/>
  <c r="I494" i="1" s="1"/>
  <c r="K494" i="1" s="1"/>
  <c r="R608" i="1"/>
  <c r="S608" i="1"/>
  <c r="K67" i="2"/>
  <c r="I59" i="2"/>
  <c r="J931" i="9"/>
  <c r="J63" i="2"/>
  <c r="M937" i="9" s="1"/>
  <c r="J937" i="9"/>
  <c r="M63" i="2"/>
  <c r="P63" i="2" s="1"/>
  <c r="M939" i="9" s="1"/>
  <c r="N67" i="2"/>
  <c r="J59" i="2"/>
  <c r="M931" i="9" s="1"/>
  <c r="M59" i="2"/>
  <c r="I63" i="2"/>
  <c r="G61" i="2"/>
  <c r="J934" i="9" s="1"/>
  <c r="M61" i="2"/>
  <c r="K57" i="2"/>
  <c r="H930" i="9" s="1"/>
  <c r="N57" i="2"/>
  <c r="K930" i="9" s="1"/>
  <c r="F15" i="2"/>
  <c r="F57" i="2"/>
  <c r="F27" i="2"/>
  <c r="I883" i="9" s="1"/>
  <c r="I865" i="9" l="1"/>
  <c r="G64" i="2"/>
  <c r="J938" i="9" s="1"/>
  <c r="L937" i="9"/>
  <c r="O63" i="2"/>
  <c r="L939" i="9" s="1"/>
  <c r="J939" i="9"/>
  <c r="O59" i="2"/>
  <c r="L933" i="9" s="1"/>
  <c r="J933" i="9"/>
  <c r="G57" i="2"/>
  <c r="J928" i="9" s="1"/>
  <c r="I928" i="9"/>
  <c r="P59" i="2"/>
  <c r="M933" i="9" s="1"/>
  <c r="O61" i="2"/>
  <c r="L936" i="9" s="1"/>
  <c r="J936" i="9"/>
  <c r="G60" i="2"/>
  <c r="L931" i="9"/>
  <c r="P61" i="2"/>
  <c r="M936" i="9" s="1"/>
  <c r="I64" i="2"/>
  <c r="L938" i="9" s="1"/>
  <c r="J61" i="2"/>
  <c r="M934" i="9" s="1"/>
  <c r="I61" i="2"/>
  <c r="L57" i="2"/>
  <c r="J64" i="2" l="1"/>
  <c r="M938" i="9" s="1"/>
  <c r="J932" i="9"/>
  <c r="I60" i="2"/>
  <c r="L932" i="9" s="1"/>
  <c r="J60" i="2"/>
  <c r="M932" i="9" s="1"/>
  <c r="M57" i="2"/>
  <c r="J930" i="9" s="1"/>
  <c r="I930" i="9"/>
  <c r="J57" i="2"/>
  <c r="M928" i="9" s="1"/>
  <c r="I57" i="2"/>
  <c r="G62" i="2"/>
  <c r="J935" i="9" s="1"/>
  <c r="L934" i="9"/>
  <c r="O57" i="2" l="1"/>
  <c r="L930" i="9" s="1"/>
  <c r="P57" i="2"/>
  <c r="M930" i="9" s="1"/>
  <c r="J62" i="2"/>
  <c r="M935" i="9" s="1"/>
  <c r="G58" i="2"/>
  <c r="L928" i="9"/>
  <c r="I62" i="2"/>
  <c r="L935" i="9" s="1"/>
  <c r="K55" i="2"/>
  <c r="H927" i="9" s="1"/>
  <c r="L55" i="2"/>
  <c r="I927" i="9" s="1"/>
  <c r="N55" i="2"/>
  <c r="K927" i="9" s="1"/>
  <c r="G55" i="2"/>
  <c r="J55" i="2" l="1"/>
  <c r="M925" i="9" s="1"/>
  <c r="J925" i="9"/>
  <c r="J929" i="9"/>
  <c r="I58" i="2"/>
  <c r="L929" i="9" s="1"/>
  <c r="J58" i="2"/>
  <c r="M929" i="9" s="1"/>
  <c r="M55" i="2"/>
  <c r="I55" i="2"/>
  <c r="P55" i="2"/>
  <c r="M927" i="9" s="1"/>
  <c r="O55" i="2" l="1"/>
  <c r="L927" i="9" s="1"/>
  <c r="J927" i="9"/>
  <c r="G56" i="2"/>
  <c r="J56" i="2" s="1"/>
  <c r="M926" i="9" s="1"/>
  <c r="L925" i="9"/>
  <c r="F37" i="2"/>
  <c r="F45" i="2"/>
  <c r="I910" i="9" s="1"/>
  <c r="G20" i="7"/>
  <c r="I12" i="14"/>
  <c r="K12" i="14" s="1"/>
  <c r="I13" i="14"/>
  <c r="L13" i="14" s="1"/>
  <c r="I14" i="14"/>
  <c r="L14" i="14" s="1"/>
  <c r="I15" i="14"/>
  <c r="L15" i="14" s="1"/>
  <c r="I16" i="14"/>
  <c r="L16" i="14" s="1"/>
  <c r="I17" i="14"/>
  <c r="L17" i="14" s="1"/>
  <c r="I18" i="14"/>
  <c r="L18" i="14" s="1"/>
  <c r="H560" i="1"/>
  <c r="I8" i="14"/>
  <c r="L8" i="14" s="1"/>
  <c r="I9" i="14"/>
  <c r="L9" i="14" s="1"/>
  <c r="I10" i="14"/>
  <c r="L10" i="14" s="1"/>
  <c r="I11" i="14"/>
  <c r="L11" i="14" s="1"/>
  <c r="K53" i="2"/>
  <c r="H924" i="9" s="1"/>
  <c r="L53" i="2"/>
  <c r="I924" i="9" s="1"/>
  <c r="N53" i="2"/>
  <c r="K924" i="9" s="1"/>
  <c r="G53" i="2"/>
  <c r="I560" i="1" l="1"/>
  <c r="O560" i="1"/>
  <c r="P560" i="1" s="1"/>
  <c r="I898" i="9"/>
  <c r="F67" i="2"/>
  <c r="I56" i="2"/>
  <c r="L926" i="9" s="1"/>
  <c r="J926" i="9"/>
  <c r="I53" i="2"/>
  <c r="J922" i="9"/>
  <c r="K10" i="14"/>
  <c r="K14" i="14"/>
  <c r="K13" i="14"/>
  <c r="K18" i="14"/>
  <c r="K11" i="14"/>
  <c r="K9" i="14"/>
  <c r="K8" i="14"/>
  <c r="K17" i="14"/>
  <c r="K16" i="14"/>
  <c r="K15" i="14"/>
  <c r="M53" i="2"/>
  <c r="J53" i="2"/>
  <c r="M922" i="9" s="1"/>
  <c r="L12" i="14"/>
  <c r="I514" i="1"/>
  <c r="H604" i="1"/>
  <c r="I604" i="1" l="1"/>
  <c r="O604" i="1"/>
  <c r="P604" i="1" s="1"/>
  <c r="R560" i="1"/>
  <c r="S560" i="1"/>
  <c r="O53" i="2"/>
  <c r="L924" i="9" s="1"/>
  <c r="J924" i="9"/>
  <c r="G54" i="2"/>
  <c r="L922" i="9"/>
  <c r="P53" i="2"/>
  <c r="M924" i="9" s="1"/>
  <c r="L67" i="2"/>
  <c r="G67" i="2"/>
  <c r="N491" i="1"/>
  <c r="N489" i="1"/>
  <c r="N487" i="1"/>
  <c r="N479" i="1"/>
  <c r="N475" i="1"/>
  <c r="P475" i="1" s="1"/>
  <c r="N473" i="1"/>
  <c r="O475" i="1"/>
  <c r="N477" i="1"/>
  <c r="O477" i="1"/>
  <c r="O479" i="1"/>
  <c r="N481" i="1"/>
  <c r="O481" i="1"/>
  <c r="N483" i="1"/>
  <c r="P483" i="1" s="1"/>
  <c r="O483" i="1"/>
  <c r="N485" i="1"/>
  <c r="O485" i="1"/>
  <c r="O487" i="1"/>
  <c r="O489" i="1"/>
  <c r="O491" i="1"/>
  <c r="O473" i="1"/>
  <c r="I475" i="1"/>
  <c r="L475" i="1" s="1"/>
  <c r="I477" i="1"/>
  <c r="K477" i="1" s="1"/>
  <c r="I479" i="1"/>
  <c r="K479" i="1" s="1"/>
  <c r="I480" i="1" s="1"/>
  <c r="K480" i="1" s="1"/>
  <c r="I481" i="1"/>
  <c r="K481" i="1" s="1"/>
  <c r="I482" i="1" s="1"/>
  <c r="I483" i="1"/>
  <c r="K483" i="1" s="1"/>
  <c r="I485" i="1"/>
  <c r="L485" i="1" s="1"/>
  <c r="I487" i="1"/>
  <c r="K487" i="1" s="1"/>
  <c r="I488" i="1" s="1"/>
  <c r="K488" i="1" s="1"/>
  <c r="I489" i="1"/>
  <c r="L489" i="1" s="1"/>
  <c r="I491" i="1"/>
  <c r="K491" i="1" s="1"/>
  <c r="I492" i="1" s="1"/>
  <c r="K492" i="1" s="1"/>
  <c r="R483" i="1" l="1"/>
  <c r="S483" i="1"/>
  <c r="R475" i="1"/>
  <c r="S475" i="1"/>
  <c r="P491" i="1"/>
  <c r="P477" i="1"/>
  <c r="R604" i="1"/>
  <c r="S604" i="1"/>
  <c r="M67" i="2"/>
  <c r="O67" i="2" s="1"/>
  <c r="P485" i="1"/>
  <c r="P479" i="1"/>
  <c r="P487" i="1"/>
  <c r="P481" i="1"/>
  <c r="P473" i="1"/>
  <c r="P489" i="1"/>
  <c r="J923" i="9"/>
  <c r="I54" i="2"/>
  <c r="L923" i="9" s="1"/>
  <c r="J54" i="2"/>
  <c r="M923" i="9" s="1"/>
  <c r="L491" i="1"/>
  <c r="L487" i="1"/>
  <c r="K475" i="1"/>
  <c r="I476" i="1" s="1"/>
  <c r="K476" i="1" s="1"/>
  <c r="L479" i="1"/>
  <c r="L477" i="1"/>
  <c r="G68" i="2"/>
  <c r="I68" i="2" s="1"/>
  <c r="I67" i="2"/>
  <c r="L488" i="1"/>
  <c r="K482" i="1"/>
  <c r="L482" i="1"/>
  <c r="I478" i="1"/>
  <c r="I484" i="1"/>
  <c r="K489" i="1"/>
  <c r="L483" i="1"/>
  <c r="K485" i="1"/>
  <c r="L481" i="1"/>
  <c r="L480" i="1"/>
  <c r="J618" i="1"/>
  <c r="J617" i="1"/>
  <c r="H618" i="1"/>
  <c r="H617" i="1"/>
  <c r="J125" i="1"/>
  <c r="J124" i="1"/>
  <c r="J44" i="1"/>
  <c r="J43" i="1"/>
  <c r="H44" i="1"/>
  <c r="H43" i="1"/>
  <c r="H16" i="1"/>
  <c r="H15" i="1"/>
  <c r="J16" i="1"/>
  <c r="J15" i="1"/>
  <c r="S487" i="1" l="1"/>
  <c r="R487" i="1"/>
  <c r="R489" i="1"/>
  <c r="S489" i="1"/>
  <c r="S479" i="1"/>
  <c r="R479" i="1"/>
  <c r="R473" i="1"/>
  <c r="S473" i="1"/>
  <c r="R485" i="1"/>
  <c r="S485" i="1"/>
  <c r="R477" i="1"/>
  <c r="S477" i="1"/>
  <c r="Q617" i="1"/>
  <c r="R481" i="1"/>
  <c r="S481" i="1"/>
  <c r="R491" i="1"/>
  <c r="S491" i="1"/>
  <c r="P67" i="2"/>
  <c r="O15" i="1"/>
  <c r="G9" i="7" s="1"/>
  <c r="L476" i="1"/>
  <c r="O617" i="1"/>
  <c r="G13" i="7" s="1"/>
  <c r="Q15" i="1"/>
  <c r="I486" i="1"/>
  <c r="K478" i="1"/>
  <c r="L478" i="1"/>
  <c r="K484" i="1"/>
  <c r="L484" i="1"/>
  <c r="I490" i="1"/>
  <c r="I13" i="7"/>
  <c r="H124" i="1"/>
  <c r="H125" i="1"/>
  <c r="K490" i="1" l="1"/>
  <c r="L490" i="1"/>
  <c r="K486" i="1"/>
  <c r="L486" i="1"/>
  <c r="G618" i="1"/>
  <c r="O819" i="9"/>
  <c r="O820" i="9"/>
  <c r="O821" i="9"/>
  <c r="O822" i="9"/>
  <c r="O823" i="9"/>
  <c r="O824" i="9"/>
  <c r="O825" i="9"/>
  <c r="O826" i="9"/>
  <c r="O827" i="9"/>
  <c r="O828" i="9"/>
  <c r="O829" i="9"/>
  <c r="O830" i="9"/>
  <c r="I829" i="9"/>
  <c r="K829" i="9"/>
  <c r="N829" i="9"/>
  <c r="H829" i="9"/>
  <c r="I828" i="9"/>
  <c r="K828" i="9"/>
  <c r="N828" i="9"/>
  <c r="H828" i="9"/>
  <c r="I826" i="9"/>
  <c r="K826" i="9"/>
  <c r="N826" i="9"/>
  <c r="H826" i="9"/>
  <c r="I825" i="9"/>
  <c r="K825" i="9"/>
  <c r="N825" i="9"/>
  <c r="H825" i="9"/>
  <c r="I823" i="9"/>
  <c r="K823" i="9"/>
  <c r="N823" i="9"/>
  <c r="H823" i="9"/>
  <c r="I822" i="9"/>
  <c r="K822" i="9"/>
  <c r="N822" i="9"/>
  <c r="H822" i="9"/>
  <c r="I820" i="9"/>
  <c r="K820" i="9"/>
  <c r="N820" i="9"/>
  <c r="H820" i="9"/>
  <c r="I819" i="9"/>
  <c r="K819" i="9"/>
  <c r="N819" i="9"/>
  <c r="H819" i="9"/>
  <c r="H816" i="9"/>
  <c r="E830" i="9"/>
  <c r="E829" i="9"/>
  <c r="E828" i="9"/>
  <c r="E827" i="9"/>
  <c r="E826" i="9"/>
  <c r="E825" i="9"/>
  <c r="E824" i="9"/>
  <c r="E823" i="9"/>
  <c r="E822" i="9"/>
  <c r="E821" i="9"/>
  <c r="E820" i="9"/>
  <c r="E819" i="9"/>
  <c r="E816" i="9"/>
  <c r="O756" i="9"/>
  <c r="O757" i="9"/>
  <c r="O758" i="9"/>
  <c r="I757" i="9"/>
  <c r="K757" i="9"/>
  <c r="N757" i="9"/>
  <c r="H757" i="9"/>
  <c r="N756" i="9"/>
  <c r="K756" i="9"/>
  <c r="I756" i="9"/>
  <c r="H756" i="9"/>
  <c r="E758" i="9"/>
  <c r="E757" i="9"/>
  <c r="E756" i="9"/>
  <c r="E755" i="9"/>
  <c r="I821" i="9"/>
  <c r="K821" i="9"/>
  <c r="I824" i="9"/>
  <c r="K824" i="9"/>
  <c r="I827" i="9"/>
  <c r="K827" i="9"/>
  <c r="I830" i="9"/>
  <c r="K830" i="9"/>
  <c r="J819" i="9"/>
  <c r="K602" i="1"/>
  <c r="K604" i="1"/>
  <c r="K556" i="1"/>
  <c r="I758" i="9"/>
  <c r="K758" i="9"/>
  <c r="H821" i="9" l="1"/>
  <c r="H758" i="9"/>
  <c r="H827" i="9"/>
  <c r="H824" i="9"/>
  <c r="H830" i="9"/>
  <c r="L756" i="9"/>
  <c r="I557" i="1"/>
  <c r="K557" i="1" s="1"/>
  <c r="L757" i="9" s="1"/>
  <c r="L828" i="9"/>
  <c r="I605" i="1"/>
  <c r="K605" i="1" s="1"/>
  <c r="L829" i="9" s="1"/>
  <c r="L825" i="9"/>
  <c r="I603" i="1"/>
  <c r="K603" i="1" s="1"/>
  <c r="L826" i="9" s="1"/>
  <c r="J828" i="9"/>
  <c r="L602" i="1"/>
  <c r="M825" i="9" s="1"/>
  <c r="N617" i="1"/>
  <c r="P617" i="1" s="1"/>
  <c r="J758" i="9"/>
  <c r="L600" i="1"/>
  <c r="M822" i="9" s="1"/>
  <c r="K600" i="1"/>
  <c r="L604" i="1"/>
  <c r="M828" i="9" s="1"/>
  <c r="J822" i="9"/>
  <c r="J756" i="9"/>
  <c r="J825" i="9"/>
  <c r="L598" i="1"/>
  <c r="M819" i="9" s="1"/>
  <c r="K598" i="1"/>
  <c r="L556" i="1"/>
  <c r="M756" i="9" s="1"/>
  <c r="J757" i="9" l="1"/>
  <c r="L557" i="1"/>
  <c r="M757" i="9" s="1"/>
  <c r="L830" i="9"/>
  <c r="J826" i="9"/>
  <c r="L605" i="1"/>
  <c r="M829" i="9" s="1"/>
  <c r="J829" i="9"/>
  <c r="L758" i="9"/>
  <c r="L603" i="1"/>
  <c r="M826" i="9" s="1"/>
  <c r="L822" i="9"/>
  <c r="I601" i="1"/>
  <c r="J830" i="9"/>
  <c r="L819" i="9"/>
  <c r="I599" i="1"/>
  <c r="M827" i="9"/>
  <c r="M830" i="9"/>
  <c r="M758" i="9"/>
  <c r="O3" i="9"/>
  <c r="O4" i="9"/>
  <c r="O5" i="9"/>
  <c r="O6" i="9"/>
  <c r="O7" i="9"/>
  <c r="O8" i="9"/>
  <c r="O9" i="9"/>
  <c r="O10" i="9"/>
  <c r="O11" i="9"/>
  <c r="O12" i="9"/>
  <c r="O13" i="9"/>
  <c r="O14" i="9"/>
  <c r="O15" i="9"/>
  <c r="O16" i="9"/>
  <c r="O17" i="9"/>
  <c r="O18" i="9"/>
  <c r="O19" i="9"/>
  <c r="O20" i="9"/>
  <c r="O21" i="9"/>
  <c r="O22" i="9"/>
  <c r="O23" i="9"/>
  <c r="O24" i="9"/>
  <c r="O25" i="9"/>
  <c r="O26" i="9"/>
  <c r="O27" i="9"/>
  <c r="O28" i="9"/>
  <c r="O29" i="9"/>
  <c r="O30" i="9"/>
  <c r="O31" i="9"/>
  <c r="O32" i="9"/>
  <c r="O33" i="9"/>
  <c r="O34" i="9"/>
  <c r="O35" i="9"/>
  <c r="O36" i="9"/>
  <c r="O37" i="9"/>
  <c r="O38" i="9"/>
  <c r="O39" i="9"/>
  <c r="O40" i="9"/>
  <c r="O41" i="9"/>
  <c r="O42" i="9"/>
  <c r="O43" i="9"/>
  <c r="O44" i="9"/>
  <c r="O45" i="9"/>
  <c r="O46" i="9"/>
  <c r="O47" i="9"/>
  <c r="O48" i="9"/>
  <c r="O49" i="9"/>
  <c r="O50" i="9"/>
  <c r="O51" i="9"/>
  <c r="O52" i="9"/>
  <c r="O53" i="9"/>
  <c r="O54" i="9"/>
  <c r="O55" i="9"/>
  <c r="O56" i="9"/>
  <c r="O57" i="9"/>
  <c r="O58" i="9"/>
  <c r="O59" i="9"/>
  <c r="O60" i="9"/>
  <c r="O61" i="9"/>
  <c r="O62" i="9"/>
  <c r="O63" i="9"/>
  <c r="O64" i="9"/>
  <c r="O65" i="9"/>
  <c r="O66" i="9"/>
  <c r="O67" i="9"/>
  <c r="O68" i="9"/>
  <c r="O69" i="9"/>
  <c r="O70" i="9"/>
  <c r="O71" i="9"/>
  <c r="O72" i="9"/>
  <c r="O73" i="9"/>
  <c r="O74" i="9"/>
  <c r="O75" i="9"/>
  <c r="O76" i="9"/>
  <c r="O77" i="9"/>
  <c r="O78" i="9"/>
  <c r="O79" i="9"/>
  <c r="O80" i="9"/>
  <c r="O81" i="9"/>
  <c r="O82" i="9"/>
  <c r="O83" i="9"/>
  <c r="O84" i="9"/>
  <c r="O85" i="9"/>
  <c r="O86" i="9"/>
  <c r="O87" i="9"/>
  <c r="O88" i="9"/>
  <c r="O89" i="9"/>
  <c r="O90" i="9"/>
  <c r="O91" i="9"/>
  <c r="O92" i="9"/>
  <c r="O93" i="9"/>
  <c r="O94" i="9"/>
  <c r="O95" i="9"/>
  <c r="O96" i="9"/>
  <c r="O97" i="9"/>
  <c r="O98" i="9"/>
  <c r="O99" i="9"/>
  <c r="O100" i="9"/>
  <c r="O101" i="9"/>
  <c r="O102" i="9"/>
  <c r="O103" i="9"/>
  <c r="O104" i="9"/>
  <c r="O105" i="9"/>
  <c r="O106" i="9"/>
  <c r="O107" i="9"/>
  <c r="O108" i="9"/>
  <c r="O109" i="9"/>
  <c r="O110" i="9"/>
  <c r="O111" i="9"/>
  <c r="O112" i="9"/>
  <c r="O113" i="9"/>
  <c r="O114" i="9"/>
  <c r="O115" i="9"/>
  <c r="O116" i="9"/>
  <c r="O117" i="9"/>
  <c r="O118" i="9"/>
  <c r="O119" i="9"/>
  <c r="O120" i="9"/>
  <c r="O121" i="9"/>
  <c r="O122" i="9"/>
  <c r="O123" i="9"/>
  <c r="O124" i="9"/>
  <c r="O125" i="9"/>
  <c r="O126" i="9"/>
  <c r="O127" i="9"/>
  <c r="O128" i="9"/>
  <c r="O129" i="9"/>
  <c r="O130" i="9"/>
  <c r="O131" i="9"/>
  <c r="O132" i="9"/>
  <c r="O133" i="9"/>
  <c r="O134" i="9"/>
  <c r="O135" i="9"/>
  <c r="O136" i="9"/>
  <c r="O137" i="9"/>
  <c r="O138" i="9"/>
  <c r="O139" i="9"/>
  <c r="O140" i="9"/>
  <c r="O141" i="9"/>
  <c r="O142" i="9"/>
  <c r="O143" i="9"/>
  <c r="O144" i="9"/>
  <c r="O145" i="9"/>
  <c r="O146" i="9"/>
  <c r="O147" i="9"/>
  <c r="O148" i="9"/>
  <c r="O149" i="9"/>
  <c r="O150" i="9"/>
  <c r="O151" i="9"/>
  <c r="O152" i="9"/>
  <c r="O153" i="9"/>
  <c r="O154" i="9"/>
  <c r="O155" i="9"/>
  <c r="O156" i="9"/>
  <c r="O157" i="9"/>
  <c r="O158" i="9"/>
  <c r="O159" i="9"/>
  <c r="O160" i="9"/>
  <c r="O161" i="9"/>
  <c r="O162" i="9"/>
  <c r="O163" i="9"/>
  <c r="O164" i="9"/>
  <c r="O165" i="9"/>
  <c r="O166" i="9"/>
  <c r="O167" i="9"/>
  <c r="O168" i="9"/>
  <c r="O169" i="9"/>
  <c r="O170" i="9"/>
  <c r="O171" i="9"/>
  <c r="O172" i="9"/>
  <c r="O173" i="9"/>
  <c r="O174" i="9"/>
  <c r="O175" i="9"/>
  <c r="O176" i="9"/>
  <c r="O177" i="9"/>
  <c r="O178" i="9"/>
  <c r="O179" i="9"/>
  <c r="O180" i="9"/>
  <c r="O181" i="9"/>
  <c r="O182" i="9"/>
  <c r="O183" i="9"/>
  <c r="O184" i="9"/>
  <c r="O185" i="9"/>
  <c r="O186" i="9"/>
  <c r="O187" i="9"/>
  <c r="O188" i="9"/>
  <c r="O189" i="9"/>
  <c r="O190" i="9"/>
  <c r="O191" i="9"/>
  <c r="O192" i="9"/>
  <c r="O193" i="9"/>
  <c r="O194" i="9"/>
  <c r="O195" i="9"/>
  <c r="O196" i="9"/>
  <c r="O197" i="9"/>
  <c r="O198" i="9"/>
  <c r="O199" i="9"/>
  <c r="O200" i="9"/>
  <c r="O201" i="9"/>
  <c r="O202" i="9"/>
  <c r="O203" i="9"/>
  <c r="O204" i="9"/>
  <c r="O205" i="9"/>
  <c r="O206" i="9"/>
  <c r="O207" i="9"/>
  <c r="O208" i="9"/>
  <c r="O209" i="9"/>
  <c r="O210" i="9"/>
  <c r="O211" i="9"/>
  <c r="O212" i="9"/>
  <c r="O213" i="9"/>
  <c r="O214" i="9"/>
  <c r="O215" i="9"/>
  <c r="O216" i="9"/>
  <c r="O217" i="9"/>
  <c r="O218" i="9"/>
  <c r="O219" i="9"/>
  <c r="O220" i="9"/>
  <c r="O221" i="9"/>
  <c r="O222" i="9"/>
  <c r="O223" i="9"/>
  <c r="O224" i="9"/>
  <c r="O225" i="9"/>
  <c r="O226" i="9"/>
  <c r="O227" i="9"/>
  <c r="O228" i="9"/>
  <c r="O229" i="9"/>
  <c r="O230" i="9"/>
  <c r="O231" i="9"/>
  <c r="O232" i="9"/>
  <c r="O233" i="9"/>
  <c r="O234" i="9"/>
  <c r="O235" i="9"/>
  <c r="O236" i="9"/>
  <c r="O237" i="9"/>
  <c r="O238" i="9"/>
  <c r="O239" i="9"/>
  <c r="O240" i="9"/>
  <c r="O241" i="9"/>
  <c r="O242" i="9"/>
  <c r="O243" i="9"/>
  <c r="O244" i="9"/>
  <c r="O245" i="9"/>
  <c r="O246" i="9"/>
  <c r="O247" i="9"/>
  <c r="O248" i="9"/>
  <c r="O249" i="9"/>
  <c r="O250" i="9"/>
  <c r="O251" i="9"/>
  <c r="O252" i="9"/>
  <c r="O253" i="9"/>
  <c r="O254" i="9"/>
  <c r="O255" i="9"/>
  <c r="O256" i="9"/>
  <c r="O257" i="9"/>
  <c r="O258" i="9"/>
  <c r="O259" i="9"/>
  <c r="O260" i="9"/>
  <c r="O261" i="9"/>
  <c r="O262" i="9"/>
  <c r="O263" i="9"/>
  <c r="O264" i="9"/>
  <c r="O265" i="9"/>
  <c r="O266" i="9"/>
  <c r="O267" i="9"/>
  <c r="O268" i="9"/>
  <c r="O269" i="9"/>
  <c r="O270" i="9"/>
  <c r="O271" i="9"/>
  <c r="O272" i="9"/>
  <c r="O273" i="9"/>
  <c r="O274" i="9"/>
  <c r="O275" i="9"/>
  <c r="O276" i="9"/>
  <c r="O277" i="9"/>
  <c r="O278" i="9"/>
  <c r="O279" i="9"/>
  <c r="O280" i="9"/>
  <c r="O281" i="9"/>
  <c r="O282" i="9"/>
  <c r="O283" i="9"/>
  <c r="O284" i="9"/>
  <c r="O285" i="9"/>
  <c r="O286" i="9"/>
  <c r="O287" i="9"/>
  <c r="O288" i="9"/>
  <c r="O289" i="9"/>
  <c r="O290" i="9"/>
  <c r="O291" i="9"/>
  <c r="O292" i="9"/>
  <c r="O293" i="9"/>
  <c r="O294" i="9"/>
  <c r="O295" i="9"/>
  <c r="O296" i="9"/>
  <c r="O297" i="9"/>
  <c r="O298" i="9"/>
  <c r="O299" i="9"/>
  <c r="O300" i="9"/>
  <c r="O301" i="9"/>
  <c r="O302" i="9"/>
  <c r="O303" i="9"/>
  <c r="O304" i="9"/>
  <c r="O305" i="9"/>
  <c r="O306" i="9"/>
  <c r="O307" i="9"/>
  <c r="O308" i="9"/>
  <c r="O309" i="9"/>
  <c r="O310" i="9"/>
  <c r="O311" i="9"/>
  <c r="O312" i="9"/>
  <c r="O313" i="9"/>
  <c r="O314" i="9"/>
  <c r="O315" i="9"/>
  <c r="O316" i="9"/>
  <c r="O317" i="9"/>
  <c r="O318" i="9"/>
  <c r="O319" i="9"/>
  <c r="O320" i="9"/>
  <c r="O321" i="9"/>
  <c r="O322" i="9"/>
  <c r="O323" i="9"/>
  <c r="O324" i="9"/>
  <c r="O325" i="9"/>
  <c r="O326" i="9"/>
  <c r="O327" i="9"/>
  <c r="O328" i="9"/>
  <c r="O329" i="9"/>
  <c r="O330" i="9"/>
  <c r="O331" i="9"/>
  <c r="O332" i="9"/>
  <c r="O333" i="9"/>
  <c r="O334" i="9"/>
  <c r="O335" i="9"/>
  <c r="O336" i="9"/>
  <c r="O337" i="9"/>
  <c r="O338" i="9"/>
  <c r="O339" i="9"/>
  <c r="O340" i="9"/>
  <c r="O341" i="9"/>
  <c r="O342" i="9"/>
  <c r="O343" i="9"/>
  <c r="O344" i="9"/>
  <c r="O345" i="9"/>
  <c r="O346" i="9"/>
  <c r="O347" i="9"/>
  <c r="O348" i="9"/>
  <c r="O349" i="9"/>
  <c r="O350" i="9"/>
  <c r="O351" i="9"/>
  <c r="O352" i="9"/>
  <c r="O353" i="9"/>
  <c r="O354" i="9"/>
  <c r="O355" i="9"/>
  <c r="O356" i="9"/>
  <c r="O357" i="9"/>
  <c r="O358" i="9"/>
  <c r="O359" i="9"/>
  <c r="O360" i="9"/>
  <c r="O361" i="9"/>
  <c r="O362" i="9"/>
  <c r="O363" i="9"/>
  <c r="O364" i="9"/>
  <c r="O365" i="9"/>
  <c r="O366" i="9"/>
  <c r="O367" i="9"/>
  <c r="O368" i="9"/>
  <c r="O369" i="9"/>
  <c r="O370" i="9"/>
  <c r="O371" i="9"/>
  <c r="O372" i="9"/>
  <c r="O373" i="9"/>
  <c r="O374" i="9"/>
  <c r="O375" i="9"/>
  <c r="O376" i="9"/>
  <c r="O377" i="9"/>
  <c r="O378" i="9"/>
  <c r="O379" i="9"/>
  <c r="O380" i="9"/>
  <c r="O381" i="9"/>
  <c r="O382" i="9"/>
  <c r="O383" i="9"/>
  <c r="O384" i="9"/>
  <c r="O385" i="9"/>
  <c r="O386" i="9"/>
  <c r="O387" i="9"/>
  <c r="O388" i="9"/>
  <c r="O389" i="9"/>
  <c r="O390" i="9"/>
  <c r="O391" i="9"/>
  <c r="O392" i="9"/>
  <c r="O393" i="9"/>
  <c r="O394" i="9"/>
  <c r="O395" i="9"/>
  <c r="O396" i="9"/>
  <c r="O397" i="9"/>
  <c r="O398" i="9"/>
  <c r="O399" i="9"/>
  <c r="O400" i="9"/>
  <c r="O401" i="9"/>
  <c r="O402" i="9"/>
  <c r="O403" i="9"/>
  <c r="O404" i="9"/>
  <c r="O405" i="9"/>
  <c r="O406" i="9"/>
  <c r="O407" i="9"/>
  <c r="O408" i="9"/>
  <c r="O409" i="9"/>
  <c r="O410" i="9"/>
  <c r="O411" i="9"/>
  <c r="O412" i="9"/>
  <c r="O413" i="9"/>
  <c r="O414" i="9"/>
  <c r="O415" i="9"/>
  <c r="O416" i="9"/>
  <c r="O417" i="9"/>
  <c r="O418" i="9"/>
  <c r="O419" i="9"/>
  <c r="O420" i="9"/>
  <c r="O421" i="9"/>
  <c r="O422" i="9"/>
  <c r="O423" i="9"/>
  <c r="O424" i="9"/>
  <c r="O425" i="9"/>
  <c r="O426" i="9"/>
  <c r="O427" i="9"/>
  <c r="O428" i="9"/>
  <c r="O429" i="9"/>
  <c r="O430" i="9"/>
  <c r="O431" i="9"/>
  <c r="O432" i="9"/>
  <c r="O433" i="9"/>
  <c r="O434" i="9"/>
  <c r="O435" i="9"/>
  <c r="O436" i="9"/>
  <c r="O437" i="9"/>
  <c r="O438" i="9"/>
  <c r="O439" i="9"/>
  <c r="O440" i="9"/>
  <c r="O441" i="9"/>
  <c r="O442" i="9"/>
  <c r="O443" i="9"/>
  <c r="O444" i="9"/>
  <c r="O445" i="9"/>
  <c r="O446" i="9"/>
  <c r="O447" i="9"/>
  <c r="O448" i="9"/>
  <c r="O449" i="9"/>
  <c r="O450" i="9"/>
  <c r="O451" i="9"/>
  <c r="O452" i="9"/>
  <c r="O453" i="9"/>
  <c r="O454" i="9"/>
  <c r="O455" i="9"/>
  <c r="O456" i="9"/>
  <c r="O457" i="9"/>
  <c r="O458" i="9"/>
  <c r="O459" i="9"/>
  <c r="O460" i="9"/>
  <c r="O461" i="9"/>
  <c r="O462" i="9"/>
  <c r="O463" i="9"/>
  <c r="O464" i="9"/>
  <c r="O465" i="9"/>
  <c r="O466" i="9"/>
  <c r="O467" i="9"/>
  <c r="O468" i="9"/>
  <c r="O469" i="9"/>
  <c r="O470" i="9"/>
  <c r="O471" i="9"/>
  <c r="O472" i="9"/>
  <c r="O473" i="9"/>
  <c r="O474" i="9"/>
  <c r="O475" i="9"/>
  <c r="O476" i="9"/>
  <c r="O477" i="9"/>
  <c r="O478" i="9"/>
  <c r="O479" i="9"/>
  <c r="O480" i="9"/>
  <c r="O481" i="9"/>
  <c r="O482" i="9"/>
  <c r="O483" i="9"/>
  <c r="O484" i="9"/>
  <c r="O485" i="9"/>
  <c r="O486" i="9"/>
  <c r="O487" i="9"/>
  <c r="O488" i="9"/>
  <c r="O489" i="9"/>
  <c r="O490" i="9"/>
  <c r="O491" i="9"/>
  <c r="O492" i="9"/>
  <c r="O493" i="9"/>
  <c r="O494" i="9"/>
  <c r="O495" i="9"/>
  <c r="O496" i="9"/>
  <c r="O497" i="9"/>
  <c r="O498" i="9"/>
  <c r="O499" i="9"/>
  <c r="O500" i="9"/>
  <c r="O501" i="9"/>
  <c r="O502" i="9"/>
  <c r="O503" i="9"/>
  <c r="O504" i="9"/>
  <c r="O505" i="9"/>
  <c r="O506" i="9"/>
  <c r="O507" i="9"/>
  <c r="O508" i="9"/>
  <c r="O509" i="9"/>
  <c r="O510" i="9"/>
  <c r="O511" i="9"/>
  <c r="O512" i="9"/>
  <c r="O513" i="9"/>
  <c r="O514" i="9"/>
  <c r="O515" i="9"/>
  <c r="O516" i="9"/>
  <c r="O517" i="9"/>
  <c r="O518" i="9"/>
  <c r="O519" i="9"/>
  <c r="O520" i="9"/>
  <c r="O521" i="9"/>
  <c r="O522" i="9"/>
  <c r="O523" i="9"/>
  <c r="O524" i="9"/>
  <c r="O525" i="9"/>
  <c r="O526" i="9"/>
  <c r="O527" i="9"/>
  <c r="O528" i="9"/>
  <c r="O529" i="9"/>
  <c r="O530" i="9"/>
  <c r="O531" i="9"/>
  <c r="O532" i="9"/>
  <c r="O533" i="9"/>
  <c r="O534" i="9"/>
  <c r="O535" i="9"/>
  <c r="O536" i="9"/>
  <c r="O537" i="9"/>
  <c r="O538" i="9"/>
  <c r="O539" i="9"/>
  <c r="O540" i="9"/>
  <c r="O541" i="9"/>
  <c r="O542" i="9"/>
  <c r="O543" i="9"/>
  <c r="O544" i="9"/>
  <c r="O545" i="9"/>
  <c r="O546" i="9"/>
  <c r="O547" i="9"/>
  <c r="O548" i="9"/>
  <c r="O549" i="9"/>
  <c r="O550" i="9"/>
  <c r="O551" i="9"/>
  <c r="O552" i="9"/>
  <c r="O553" i="9"/>
  <c r="O554" i="9"/>
  <c r="O555" i="9"/>
  <c r="O556" i="9"/>
  <c r="O557" i="9"/>
  <c r="O558" i="9"/>
  <c r="O559" i="9"/>
  <c r="O560" i="9"/>
  <c r="O561" i="9"/>
  <c r="O562" i="9"/>
  <c r="O563" i="9"/>
  <c r="O564" i="9"/>
  <c r="O565" i="9"/>
  <c r="O566" i="9"/>
  <c r="O567" i="9"/>
  <c r="O568" i="9"/>
  <c r="O569" i="9"/>
  <c r="O570" i="9"/>
  <c r="O571" i="9"/>
  <c r="O572" i="9"/>
  <c r="O573" i="9"/>
  <c r="O574" i="9"/>
  <c r="O575" i="9"/>
  <c r="O576" i="9"/>
  <c r="O577" i="9"/>
  <c r="O578" i="9"/>
  <c r="O579" i="9"/>
  <c r="O580" i="9"/>
  <c r="O581" i="9"/>
  <c r="O582" i="9"/>
  <c r="O583" i="9"/>
  <c r="O584" i="9"/>
  <c r="O585" i="9"/>
  <c r="O586" i="9"/>
  <c r="O587" i="9"/>
  <c r="O588" i="9"/>
  <c r="O589" i="9"/>
  <c r="O590" i="9"/>
  <c r="O591" i="9"/>
  <c r="O592" i="9"/>
  <c r="O593" i="9"/>
  <c r="O594" i="9"/>
  <c r="O595" i="9"/>
  <c r="O596" i="9"/>
  <c r="O597" i="9"/>
  <c r="O598" i="9"/>
  <c r="O599" i="9"/>
  <c r="O600" i="9"/>
  <c r="O601" i="9"/>
  <c r="O602" i="9"/>
  <c r="O603" i="9"/>
  <c r="O604" i="9"/>
  <c r="O605" i="9"/>
  <c r="O606" i="9"/>
  <c r="O607" i="9"/>
  <c r="O608" i="9"/>
  <c r="O609" i="9"/>
  <c r="O610" i="9"/>
  <c r="O611" i="9"/>
  <c r="O612" i="9"/>
  <c r="O613" i="9"/>
  <c r="O614" i="9"/>
  <c r="O615" i="9"/>
  <c r="O616" i="9"/>
  <c r="O617" i="9"/>
  <c r="O618" i="9"/>
  <c r="O619" i="9"/>
  <c r="O620" i="9"/>
  <c r="O621" i="9"/>
  <c r="O622" i="9"/>
  <c r="O623" i="9"/>
  <c r="O624" i="9"/>
  <c r="O625" i="9"/>
  <c r="O626" i="9"/>
  <c r="O627" i="9"/>
  <c r="O628" i="9"/>
  <c r="O629" i="9"/>
  <c r="O630" i="9"/>
  <c r="O631" i="9"/>
  <c r="O632" i="9"/>
  <c r="O633" i="9"/>
  <c r="O634" i="9"/>
  <c r="O635" i="9"/>
  <c r="O636" i="9"/>
  <c r="O637" i="9"/>
  <c r="O638" i="9"/>
  <c r="O639" i="9"/>
  <c r="O640" i="9"/>
  <c r="O641" i="9"/>
  <c r="O642" i="9"/>
  <c r="O643" i="9"/>
  <c r="O644" i="9"/>
  <c r="O645" i="9"/>
  <c r="O646" i="9"/>
  <c r="O647" i="9"/>
  <c r="O648" i="9"/>
  <c r="O649" i="9"/>
  <c r="O650" i="9"/>
  <c r="O651" i="9"/>
  <c r="O652" i="9"/>
  <c r="O653" i="9"/>
  <c r="O654" i="9"/>
  <c r="O655" i="9"/>
  <c r="O656" i="9"/>
  <c r="O657" i="9"/>
  <c r="O658" i="9"/>
  <c r="O659" i="9"/>
  <c r="O660" i="9"/>
  <c r="O661" i="9"/>
  <c r="O662" i="9"/>
  <c r="O663" i="9"/>
  <c r="O664" i="9"/>
  <c r="O665" i="9"/>
  <c r="O666" i="9"/>
  <c r="O667" i="9"/>
  <c r="O668" i="9"/>
  <c r="O669" i="9"/>
  <c r="O670" i="9"/>
  <c r="O671" i="9"/>
  <c r="O672" i="9"/>
  <c r="O673" i="9"/>
  <c r="O674" i="9"/>
  <c r="O675" i="9"/>
  <c r="O676" i="9"/>
  <c r="O677" i="9"/>
  <c r="O678" i="9"/>
  <c r="O679" i="9"/>
  <c r="O680" i="9"/>
  <c r="O681" i="9"/>
  <c r="O682" i="9"/>
  <c r="O683" i="9"/>
  <c r="O684" i="9"/>
  <c r="O685" i="9"/>
  <c r="O686" i="9"/>
  <c r="O687" i="9"/>
  <c r="O688" i="9"/>
  <c r="O689" i="9"/>
  <c r="O690" i="9"/>
  <c r="O691" i="9"/>
  <c r="O692" i="9"/>
  <c r="O693" i="9"/>
  <c r="O694" i="9"/>
  <c r="O695" i="9"/>
  <c r="O696" i="9"/>
  <c r="O697" i="9"/>
  <c r="O698" i="9"/>
  <c r="O699" i="9"/>
  <c r="O700" i="9"/>
  <c r="O701" i="9"/>
  <c r="O702" i="9"/>
  <c r="O703" i="9"/>
  <c r="O704" i="9"/>
  <c r="O705" i="9"/>
  <c r="O706" i="9"/>
  <c r="O707" i="9"/>
  <c r="O708" i="9"/>
  <c r="O709" i="9"/>
  <c r="O710" i="9"/>
  <c r="O711" i="9"/>
  <c r="O712" i="9"/>
  <c r="O713" i="9"/>
  <c r="O714" i="9"/>
  <c r="O715" i="9"/>
  <c r="O716" i="9"/>
  <c r="O717" i="9"/>
  <c r="O718" i="9"/>
  <c r="O719" i="9"/>
  <c r="O720" i="9"/>
  <c r="O721" i="9"/>
  <c r="O722" i="9"/>
  <c r="O723" i="9"/>
  <c r="O724" i="9"/>
  <c r="O725" i="9"/>
  <c r="O726" i="9"/>
  <c r="O727" i="9"/>
  <c r="O728" i="9"/>
  <c r="O729" i="9"/>
  <c r="O730" i="9"/>
  <c r="O731" i="9"/>
  <c r="O732" i="9"/>
  <c r="O733" i="9"/>
  <c r="O734" i="9"/>
  <c r="O735" i="9"/>
  <c r="O736" i="9"/>
  <c r="O737" i="9"/>
  <c r="O738" i="9"/>
  <c r="O739" i="9"/>
  <c r="O740" i="9"/>
  <c r="O741" i="9"/>
  <c r="O742" i="9"/>
  <c r="O743" i="9"/>
  <c r="O744" i="9"/>
  <c r="O745" i="9"/>
  <c r="O746" i="9"/>
  <c r="O747" i="9"/>
  <c r="O748" i="9"/>
  <c r="O749" i="9"/>
  <c r="O750" i="9"/>
  <c r="O751" i="9"/>
  <c r="O752" i="9"/>
  <c r="O753" i="9"/>
  <c r="O754" i="9"/>
  <c r="O755" i="9"/>
  <c r="O759" i="9"/>
  <c r="O760" i="9"/>
  <c r="O761" i="9"/>
  <c r="O762" i="9"/>
  <c r="O763" i="9"/>
  <c r="O764" i="9"/>
  <c r="O765" i="9"/>
  <c r="O766" i="9"/>
  <c r="O767" i="9"/>
  <c r="O768" i="9"/>
  <c r="O769" i="9"/>
  <c r="O770" i="9"/>
  <c r="O771" i="9"/>
  <c r="O772" i="9"/>
  <c r="O773" i="9"/>
  <c r="O774" i="9"/>
  <c r="O775" i="9"/>
  <c r="O776" i="9"/>
  <c r="O777" i="9"/>
  <c r="O778" i="9"/>
  <c r="O779" i="9"/>
  <c r="O780" i="9"/>
  <c r="O781" i="9"/>
  <c r="O782" i="9"/>
  <c r="O783" i="9"/>
  <c r="O784" i="9"/>
  <c r="O785" i="9"/>
  <c r="O786" i="9"/>
  <c r="O787" i="9"/>
  <c r="O788" i="9"/>
  <c r="O789" i="9"/>
  <c r="O790" i="9"/>
  <c r="O791" i="9"/>
  <c r="O792" i="9"/>
  <c r="O793" i="9"/>
  <c r="O794" i="9"/>
  <c r="O795" i="9"/>
  <c r="O796" i="9"/>
  <c r="O797" i="9"/>
  <c r="O798" i="9"/>
  <c r="O799" i="9"/>
  <c r="O800" i="9"/>
  <c r="O801" i="9"/>
  <c r="O802" i="9"/>
  <c r="O803" i="9"/>
  <c r="O804" i="9"/>
  <c r="O805" i="9"/>
  <c r="O806" i="9"/>
  <c r="O807" i="9"/>
  <c r="O808" i="9"/>
  <c r="O809" i="9"/>
  <c r="O810" i="9"/>
  <c r="O811" i="9"/>
  <c r="O812" i="9"/>
  <c r="O813" i="9"/>
  <c r="O814" i="9"/>
  <c r="O815" i="9"/>
  <c r="O816" i="9"/>
  <c r="O817" i="9"/>
  <c r="O818" i="9"/>
  <c r="O831" i="9"/>
  <c r="O832" i="9"/>
  <c r="O833" i="9"/>
  <c r="O834" i="9"/>
  <c r="O835" i="9"/>
  <c r="O836" i="9"/>
  <c r="O837" i="9"/>
  <c r="O838" i="9"/>
  <c r="O839" i="9"/>
  <c r="O840" i="9"/>
  <c r="O841" i="9"/>
  <c r="O842" i="9"/>
  <c r="O843" i="9"/>
  <c r="O844" i="9"/>
  <c r="O845" i="9"/>
  <c r="O846" i="9"/>
  <c r="O847" i="9"/>
  <c r="O848" i="9"/>
  <c r="O849" i="9"/>
  <c r="O850" i="9"/>
  <c r="O851" i="9"/>
  <c r="O852" i="9"/>
  <c r="O853" i="9"/>
  <c r="O854" i="9"/>
  <c r="O855" i="9"/>
  <c r="O856" i="9"/>
  <c r="O857" i="9"/>
  <c r="O858" i="9"/>
  <c r="O859" i="9"/>
  <c r="O860" i="9"/>
  <c r="O861" i="9"/>
  <c r="O862" i="9"/>
  <c r="O863" i="9"/>
  <c r="O864" i="9"/>
  <c r="O865" i="9"/>
  <c r="O866" i="9"/>
  <c r="O867" i="9"/>
  <c r="O868" i="9"/>
  <c r="O869" i="9"/>
  <c r="O870" i="9"/>
  <c r="O871" i="9"/>
  <c r="O872" i="9"/>
  <c r="O873" i="9"/>
  <c r="O874" i="9"/>
  <c r="O875" i="9"/>
  <c r="O876" i="9"/>
  <c r="O877" i="9"/>
  <c r="O878" i="9"/>
  <c r="O879" i="9"/>
  <c r="O880" i="9"/>
  <c r="O881" i="9"/>
  <c r="O882" i="9"/>
  <c r="O883" i="9"/>
  <c r="O884" i="9"/>
  <c r="O885" i="9"/>
  <c r="O886" i="9"/>
  <c r="O887" i="9"/>
  <c r="O888" i="9"/>
  <c r="O889" i="9"/>
  <c r="O890" i="9"/>
  <c r="O891" i="9"/>
  <c r="O892" i="9"/>
  <c r="O893" i="9"/>
  <c r="O894" i="9"/>
  <c r="O895" i="9"/>
  <c r="O896" i="9"/>
  <c r="O897" i="9"/>
  <c r="O898" i="9"/>
  <c r="O899" i="9"/>
  <c r="O900" i="9"/>
  <c r="O901" i="9"/>
  <c r="O902" i="9"/>
  <c r="O903" i="9"/>
  <c r="O904" i="9"/>
  <c r="O905" i="9"/>
  <c r="O906" i="9"/>
  <c r="O907" i="9"/>
  <c r="O908" i="9"/>
  <c r="O909" i="9"/>
  <c r="O910" i="9"/>
  <c r="O911" i="9"/>
  <c r="O912" i="9"/>
  <c r="O913" i="9"/>
  <c r="O914" i="9"/>
  <c r="O915" i="9"/>
  <c r="O937" i="9"/>
  <c r="O938" i="9"/>
  <c r="O939" i="9"/>
  <c r="O943" i="9"/>
  <c r="O2" i="9"/>
  <c r="B3" i="14"/>
  <c r="B3" i="5"/>
  <c r="B15" i="5" s="1"/>
  <c r="B3" i="2"/>
  <c r="E35" i="7"/>
  <c r="E34" i="7"/>
  <c r="G34" i="7" s="1"/>
  <c r="H35" i="7"/>
  <c r="H34" i="7"/>
  <c r="Q627" i="1"/>
  <c r="I15" i="7" s="1"/>
  <c r="O627" i="1"/>
  <c r="G15" i="7" s="1"/>
  <c r="N627" i="1"/>
  <c r="Q623" i="1"/>
  <c r="I14" i="7" s="1"/>
  <c r="O623" i="1"/>
  <c r="G14" i="7" s="1"/>
  <c r="N623" i="1"/>
  <c r="P623" i="1" s="1"/>
  <c r="F14" i="7" l="1"/>
  <c r="F15" i="7"/>
  <c r="P627" i="1"/>
  <c r="K599" i="1"/>
  <c r="L820" i="9" s="1"/>
  <c r="J820" i="9"/>
  <c r="L599" i="1"/>
  <c r="M820" i="9" s="1"/>
  <c r="J827" i="9"/>
  <c r="K601" i="1"/>
  <c r="L823" i="9" s="1"/>
  <c r="J823" i="9"/>
  <c r="L601" i="1"/>
  <c r="M823" i="9" s="1"/>
  <c r="L827" i="9"/>
  <c r="I35" i="7"/>
  <c r="J34" i="7"/>
  <c r="I34" i="7"/>
  <c r="H9" i="5"/>
  <c r="G35" i="7"/>
  <c r="H8" i="5"/>
  <c r="H16" i="7"/>
  <c r="H18" i="7"/>
  <c r="J18" i="7" s="1"/>
  <c r="H20" i="7"/>
  <c r="C29" i="7"/>
  <c r="J35" i="7"/>
  <c r="M821" i="9" l="1"/>
  <c r="L821" i="9"/>
  <c r="J821" i="9"/>
  <c r="M824" i="9"/>
  <c r="J824" i="9"/>
  <c r="L824" i="9"/>
  <c r="J20" i="7"/>
  <c r="K18" i="7"/>
  <c r="I18" i="5"/>
  <c r="I9" i="7" l="1"/>
  <c r="G16" i="1"/>
  <c r="G15" i="1"/>
  <c r="G44" i="1"/>
  <c r="G43" i="1"/>
  <c r="O124" i="1"/>
  <c r="G11" i="7" s="1"/>
  <c r="Q124" i="1"/>
  <c r="I11" i="7" s="1"/>
  <c r="G125" i="1"/>
  <c r="G124" i="1"/>
  <c r="I124" i="1" s="1"/>
  <c r="O498" i="1"/>
  <c r="N498" i="1"/>
  <c r="P498" i="1" s="1"/>
  <c r="R498" i="1" s="1"/>
  <c r="L594" i="1"/>
  <c r="N15" i="1" l="1"/>
  <c r="I43" i="1"/>
  <c r="L43" i="1" s="1"/>
  <c r="F13" i="7"/>
  <c r="N124" i="1"/>
  <c r="P124" i="1" s="1"/>
  <c r="I15" i="1"/>
  <c r="K15" i="1" s="1"/>
  <c r="I16" i="1" s="1"/>
  <c r="K16" i="1" s="1"/>
  <c r="Q43" i="1"/>
  <c r="I10" i="7" s="1"/>
  <c r="N43" i="1"/>
  <c r="K124" i="1"/>
  <c r="I125" i="1" s="1"/>
  <c r="L124" i="1"/>
  <c r="O43" i="1"/>
  <c r="G10" i="7" s="1"/>
  <c r="I131" i="1"/>
  <c r="K131" i="1" s="1"/>
  <c r="I132" i="1" s="1"/>
  <c r="K132" i="1" s="1"/>
  <c r="I133" i="1"/>
  <c r="L133" i="1" s="1"/>
  <c r="I135" i="1"/>
  <c r="L135" i="1" s="1"/>
  <c r="I137" i="1"/>
  <c r="K137" i="1" s="1"/>
  <c r="I138" i="1" s="1"/>
  <c r="I139" i="1"/>
  <c r="K139" i="1" s="1"/>
  <c r="I140" i="1" s="1"/>
  <c r="K140" i="1" s="1"/>
  <c r="I141" i="1"/>
  <c r="K141" i="1" s="1"/>
  <c r="I142" i="1" s="1"/>
  <c r="I143" i="1"/>
  <c r="L143" i="1" s="1"/>
  <c r="I145" i="1"/>
  <c r="L145" i="1" s="1"/>
  <c r="I147" i="1"/>
  <c r="K147" i="1" s="1"/>
  <c r="I148" i="1" s="1"/>
  <c r="K148" i="1" s="1"/>
  <c r="I149" i="1"/>
  <c r="K149" i="1" s="1"/>
  <c r="I150" i="1" s="1"/>
  <c r="I151" i="1"/>
  <c r="L151" i="1" s="1"/>
  <c r="I153" i="1"/>
  <c r="K153" i="1" s="1"/>
  <c r="I154" i="1" s="1"/>
  <c r="K154" i="1" s="1"/>
  <c r="I155" i="1"/>
  <c r="K155" i="1" s="1"/>
  <c r="I156" i="1" s="1"/>
  <c r="K156" i="1" s="1"/>
  <c r="I157" i="1"/>
  <c r="K157" i="1" s="1"/>
  <c r="I158" i="1" s="1"/>
  <c r="I159" i="1"/>
  <c r="L159" i="1" s="1"/>
  <c r="I161" i="1"/>
  <c r="K161" i="1" s="1"/>
  <c r="I162" i="1" s="1"/>
  <c r="I163" i="1"/>
  <c r="K163" i="1" s="1"/>
  <c r="I164" i="1" s="1"/>
  <c r="K164" i="1" s="1"/>
  <c r="I165" i="1"/>
  <c r="K165" i="1" s="1"/>
  <c r="I166" i="1" s="1"/>
  <c r="I167" i="1"/>
  <c r="L167" i="1" s="1"/>
  <c r="I169" i="1"/>
  <c r="K169" i="1" s="1"/>
  <c r="I170" i="1" s="1"/>
  <c r="K170" i="1" s="1"/>
  <c r="I171" i="1"/>
  <c r="K171" i="1" s="1"/>
  <c r="I172" i="1" s="1"/>
  <c r="K172" i="1" s="1"/>
  <c r="I173" i="1"/>
  <c r="K173" i="1" s="1"/>
  <c r="I174" i="1" s="1"/>
  <c r="I175" i="1"/>
  <c r="L175" i="1" s="1"/>
  <c r="I177" i="1"/>
  <c r="K177" i="1" s="1"/>
  <c r="I178" i="1" s="1"/>
  <c r="K178" i="1" s="1"/>
  <c r="I179" i="1"/>
  <c r="K179" i="1" s="1"/>
  <c r="I180" i="1" s="1"/>
  <c r="K180" i="1" s="1"/>
  <c r="I181" i="1"/>
  <c r="L181" i="1" s="1"/>
  <c r="I183" i="1"/>
  <c r="L183" i="1" s="1"/>
  <c r="I185" i="1"/>
  <c r="K185" i="1" s="1"/>
  <c r="I186" i="1" s="1"/>
  <c r="I187" i="1"/>
  <c r="K187" i="1" s="1"/>
  <c r="I188" i="1" s="1"/>
  <c r="K188" i="1" s="1"/>
  <c r="I189" i="1"/>
  <c r="L189" i="1" s="1"/>
  <c r="I191" i="1"/>
  <c r="L191" i="1" s="1"/>
  <c r="I193" i="1"/>
  <c r="K193" i="1" s="1"/>
  <c r="I194" i="1" s="1"/>
  <c r="I195" i="1"/>
  <c r="K195" i="1" s="1"/>
  <c r="I196" i="1" s="1"/>
  <c r="K196" i="1" s="1"/>
  <c r="I197" i="1"/>
  <c r="K197" i="1" s="1"/>
  <c r="I198" i="1" s="1"/>
  <c r="I199" i="1"/>
  <c r="L199" i="1" s="1"/>
  <c r="I201" i="1"/>
  <c r="L201" i="1" s="1"/>
  <c r="I203" i="1"/>
  <c r="I205" i="1"/>
  <c r="K205" i="1" s="1"/>
  <c r="I206" i="1" s="1"/>
  <c r="I207" i="1"/>
  <c r="L207" i="1" s="1"/>
  <c r="I209" i="1"/>
  <c r="K209" i="1" s="1"/>
  <c r="I210" i="1" s="1"/>
  <c r="I211" i="1"/>
  <c r="I213" i="1"/>
  <c r="K213" i="1" s="1"/>
  <c r="I214" i="1" s="1"/>
  <c r="I215" i="1"/>
  <c r="L215" i="1" s="1"/>
  <c r="I217" i="1"/>
  <c r="K217" i="1" s="1"/>
  <c r="I218" i="1" s="1"/>
  <c r="I219" i="1"/>
  <c r="I221" i="1"/>
  <c r="K221" i="1" s="1"/>
  <c r="I222" i="1" s="1"/>
  <c r="K222" i="1" s="1"/>
  <c r="I223" i="1"/>
  <c r="L223" i="1" s="1"/>
  <c r="I225" i="1"/>
  <c r="K225" i="1" s="1"/>
  <c r="I226" i="1" s="1"/>
  <c r="K226" i="1" s="1"/>
  <c r="I227" i="1"/>
  <c r="I229" i="1"/>
  <c r="K229" i="1" s="1"/>
  <c r="I230" i="1" s="1"/>
  <c r="K230" i="1" s="1"/>
  <c r="I231" i="1"/>
  <c r="L231" i="1" s="1"/>
  <c r="I233" i="1"/>
  <c r="K233" i="1" s="1"/>
  <c r="I234" i="1" s="1"/>
  <c r="I235" i="1"/>
  <c r="I237" i="1"/>
  <c r="L237" i="1" s="1"/>
  <c r="I239" i="1"/>
  <c r="L239" i="1" s="1"/>
  <c r="I241" i="1"/>
  <c r="K241" i="1" s="1"/>
  <c r="I242" i="1" s="1"/>
  <c r="K242" i="1" s="1"/>
  <c r="I243" i="1"/>
  <c r="I245" i="1"/>
  <c r="K245" i="1" s="1"/>
  <c r="I246" i="1" s="1"/>
  <c r="I247" i="1"/>
  <c r="L247" i="1" s="1"/>
  <c r="I249" i="1"/>
  <c r="K249" i="1" s="1"/>
  <c r="I250" i="1" s="1"/>
  <c r="K250" i="1" s="1"/>
  <c r="I251" i="1"/>
  <c r="I253" i="1"/>
  <c r="K253" i="1" s="1"/>
  <c r="I254" i="1" s="1"/>
  <c r="K254" i="1" s="1"/>
  <c r="I255" i="1"/>
  <c r="L255" i="1" s="1"/>
  <c r="I257" i="1"/>
  <c r="K257" i="1" s="1"/>
  <c r="I258" i="1" s="1"/>
  <c r="K258" i="1" s="1"/>
  <c r="I259" i="1"/>
  <c r="I261" i="1"/>
  <c r="K261" i="1" s="1"/>
  <c r="I262" i="1" s="1"/>
  <c r="K262" i="1" s="1"/>
  <c r="I263" i="1"/>
  <c r="L263" i="1" s="1"/>
  <c r="I265" i="1"/>
  <c r="K265" i="1" s="1"/>
  <c r="I266" i="1" s="1"/>
  <c r="I267" i="1"/>
  <c r="I269" i="1"/>
  <c r="K269" i="1" s="1"/>
  <c r="I270" i="1" s="1"/>
  <c r="K270" i="1" s="1"/>
  <c r="I271" i="1"/>
  <c r="L271" i="1" s="1"/>
  <c r="I273" i="1"/>
  <c r="K273" i="1" s="1"/>
  <c r="I274" i="1" s="1"/>
  <c r="I275" i="1"/>
  <c r="I277" i="1"/>
  <c r="L277" i="1" s="1"/>
  <c r="I279" i="1"/>
  <c r="L279" i="1" s="1"/>
  <c r="I281" i="1"/>
  <c r="K281" i="1" s="1"/>
  <c r="I282" i="1" s="1"/>
  <c r="I283" i="1"/>
  <c r="I285" i="1"/>
  <c r="K285" i="1" s="1"/>
  <c r="I286" i="1" s="1"/>
  <c r="I287" i="1"/>
  <c r="L287" i="1" s="1"/>
  <c r="I289" i="1"/>
  <c r="L289" i="1" s="1"/>
  <c r="I291" i="1"/>
  <c r="I293" i="1"/>
  <c r="K293" i="1" s="1"/>
  <c r="I294" i="1" s="1"/>
  <c r="K294" i="1" s="1"/>
  <c r="I295" i="1"/>
  <c r="L295" i="1" s="1"/>
  <c r="I297" i="1"/>
  <c r="K297" i="1" s="1"/>
  <c r="I298" i="1" s="1"/>
  <c r="I299" i="1"/>
  <c r="I301" i="1"/>
  <c r="L301" i="1" s="1"/>
  <c r="I303" i="1"/>
  <c r="L303" i="1" s="1"/>
  <c r="I305" i="1"/>
  <c r="L305" i="1" s="1"/>
  <c r="I307" i="1"/>
  <c r="I309" i="1"/>
  <c r="L309" i="1" s="1"/>
  <c r="I311" i="1"/>
  <c r="L311" i="1" s="1"/>
  <c r="I313" i="1"/>
  <c r="K313" i="1" s="1"/>
  <c r="I314" i="1" s="1"/>
  <c r="K314" i="1" s="1"/>
  <c r="I315" i="1"/>
  <c r="K315" i="1" s="1"/>
  <c r="I316" i="1" s="1"/>
  <c r="K316" i="1" s="1"/>
  <c r="I317" i="1"/>
  <c r="L317" i="1" s="1"/>
  <c r="I319" i="1"/>
  <c r="I321" i="1"/>
  <c r="K321" i="1" s="1"/>
  <c r="I322" i="1" s="1"/>
  <c r="K322" i="1" s="1"/>
  <c r="I323" i="1"/>
  <c r="K323" i="1" s="1"/>
  <c r="I324" i="1" s="1"/>
  <c r="I325" i="1"/>
  <c r="I327" i="1"/>
  <c r="K327" i="1" s="1"/>
  <c r="I328" i="1" s="1"/>
  <c r="I329" i="1"/>
  <c r="L329" i="1" s="1"/>
  <c r="I331" i="1"/>
  <c r="K331" i="1" s="1"/>
  <c r="I332" i="1" s="1"/>
  <c r="I333" i="1"/>
  <c r="K333" i="1" s="1"/>
  <c r="I334" i="1" s="1"/>
  <c r="I335" i="1"/>
  <c r="L335" i="1" s="1"/>
  <c r="I337" i="1"/>
  <c r="K337" i="1" s="1"/>
  <c r="I338" i="1" s="1"/>
  <c r="K338" i="1" s="1"/>
  <c r="I339" i="1"/>
  <c r="I341" i="1"/>
  <c r="K341" i="1" s="1"/>
  <c r="I342" i="1" s="1"/>
  <c r="I343" i="1"/>
  <c r="K343" i="1" s="1"/>
  <c r="I344" i="1" s="1"/>
  <c r="I345" i="1"/>
  <c r="K345" i="1" s="1"/>
  <c r="I346" i="1" s="1"/>
  <c r="K346" i="1" s="1"/>
  <c r="I347" i="1"/>
  <c r="L347" i="1" s="1"/>
  <c r="I349" i="1"/>
  <c r="L349" i="1" s="1"/>
  <c r="I351" i="1"/>
  <c r="K351" i="1" s="1"/>
  <c r="I352" i="1" s="1"/>
  <c r="I353" i="1"/>
  <c r="K353" i="1" s="1"/>
  <c r="I354" i="1" s="1"/>
  <c r="K354" i="1" s="1"/>
  <c r="I355" i="1"/>
  <c r="L355" i="1" s="1"/>
  <c r="I357" i="1"/>
  <c r="K357" i="1" s="1"/>
  <c r="I358" i="1" s="1"/>
  <c r="K358" i="1" s="1"/>
  <c r="I359" i="1"/>
  <c r="K359" i="1" s="1"/>
  <c r="I360" i="1" s="1"/>
  <c r="I361" i="1"/>
  <c r="K361" i="1" s="1"/>
  <c r="I362" i="1" s="1"/>
  <c r="K362" i="1" s="1"/>
  <c r="I363" i="1"/>
  <c r="L363" i="1" s="1"/>
  <c r="I365" i="1"/>
  <c r="K365" i="1" s="1"/>
  <c r="I366" i="1" s="1"/>
  <c r="K366" i="1" s="1"/>
  <c r="I367" i="1"/>
  <c r="K367" i="1" s="1"/>
  <c r="I368" i="1" s="1"/>
  <c r="I369" i="1"/>
  <c r="K369" i="1" s="1"/>
  <c r="I370" i="1" s="1"/>
  <c r="K370" i="1" s="1"/>
  <c r="I371" i="1"/>
  <c r="L371" i="1" s="1"/>
  <c r="I373" i="1"/>
  <c r="L373" i="1" s="1"/>
  <c r="I375" i="1"/>
  <c r="K375" i="1" s="1"/>
  <c r="I376" i="1" s="1"/>
  <c r="I377" i="1"/>
  <c r="K377" i="1" s="1"/>
  <c r="I378" i="1" s="1"/>
  <c r="K378" i="1" s="1"/>
  <c r="I379" i="1"/>
  <c r="L379" i="1" s="1"/>
  <c r="I381" i="1"/>
  <c r="K381" i="1" s="1"/>
  <c r="I382" i="1" s="1"/>
  <c r="K382" i="1" s="1"/>
  <c r="I383" i="1"/>
  <c r="I385" i="1"/>
  <c r="K385" i="1" s="1"/>
  <c r="I386" i="1" s="1"/>
  <c r="K386" i="1" s="1"/>
  <c r="I387" i="1"/>
  <c r="L387" i="1" s="1"/>
  <c r="I389" i="1"/>
  <c r="K389" i="1" s="1"/>
  <c r="I390" i="1" s="1"/>
  <c r="K390" i="1" s="1"/>
  <c r="I391" i="1"/>
  <c r="I393" i="1"/>
  <c r="K393" i="1" s="1"/>
  <c r="I394" i="1" s="1"/>
  <c r="K394" i="1" s="1"/>
  <c r="I395" i="1"/>
  <c r="L395" i="1" s="1"/>
  <c r="I397" i="1"/>
  <c r="K397" i="1" s="1"/>
  <c r="I398" i="1" s="1"/>
  <c r="K398" i="1" s="1"/>
  <c r="I399" i="1"/>
  <c r="I401" i="1"/>
  <c r="K401" i="1" s="1"/>
  <c r="I402" i="1" s="1"/>
  <c r="K402" i="1" s="1"/>
  <c r="I403" i="1"/>
  <c r="L403" i="1" s="1"/>
  <c r="I405" i="1"/>
  <c r="K405" i="1" s="1"/>
  <c r="I406" i="1" s="1"/>
  <c r="K406" i="1" s="1"/>
  <c r="I407" i="1"/>
  <c r="I409" i="1"/>
  <c r="K409" i="1" s="1"/>
  <c r="I410" i="1" s="1"/>
  <c r="K410" i="1" s="1"/>
  <c r="I411" i="1"/>
  <c r="L411" i="1" s="1"/>
  <c r="I413" i="1"/>
  <c r="K413" i="1" s="1"/>
  <c r="I414" i="1" s="1"/>
  <c r="K414" i="1" s="1"/>
  <c r="I415" i="1"/>
  <c r="I417" i="1"/>
  <c r="K417" i="1" s="1"/>
  <c r="I418" i="1" s="1"/>
  <c r="K418" i="1" s="1"/>
  <c r="I419" i="1"/>
  <c r="L419" i="1" s="1"/>
  <c r="I421" i="1"/>
  <c r="K421" i="1" s="1"/>
  <c r="I422" i="1" s="1"/>
  <c r="K422" i="1" s="1"/>
  <c r="I423" i="1"/>
  <c r="I425" i="1"/>
  <c r="K425" i="1" s="1"/>
  <c r="I426" i="1" s="1"/>
  <c r="K426" i="1" s="1"/>
  <c r="I427" i="1"/>
  <c r="L427" i="1" s="1"/>
  <c r="I429" i="1"/>
  <c r="K429" i="1" s="1"/>
  <c r="I430" i="1" s="1"/>
  <c r="K430" i="1" s="1"/>
  <c r="I431" i="1"/>
  <c r="I433" i="1"/>
  <c r="K433" i="1" s="1"/>
  <c r="I434" i="1" s="1"/>
  <c r="K434" i="1" s="1"/>
  <c r="I435" i="1"/>
  <c r="L435" i="1" s="1"/>
  <c r="I437" i="1"/>
  <c r="L437" i="1" s="1"/>
  <c r="I439" i="1"/>
  <c r="I441" i="1"/>
  <c r="K441" i="1" s="1"/>
  <c r="I442" i="1" s="1"/>
  <c r="K442" i="1" s="1"/>
  <c r="I443" i="1"/>
  <c r="L443" i="1" s="1"/>
  <c r="I445" i="1"/>
  <c r="K445" i="1" s="1"/>
  <c r="I446" i="1" s="1"/>
  <c r="I447" i="1"/>
  <c r="I449" i="1"/>
  <c r="L449" i="1" s="1"/>
  <c r="I451" i="1"/>
  <c r="L451" i="1" s="1"/>
  <c r="I453" i="1"/>
  <c r="K453" i="1" s="1"/>
  <c r="I454" i="1" s="1"/>
  <c r="I455" i="1"/>
  <c r="I457" i="1"/>
  <c r="K457" i="1" s="1"/>
  <c r="I458" i="1" s="1"/>
  <c r="K458" i="1" s="1"/>
  <c r="I459" i="1"/>
  <c r="L459" i="1" s="1"/>
  <c r="I461" i="1"/>
  <c r="K461" i="1" s="1"/>
  <c r="I462" i="1" s="1"/>
  <c r="I463" i="1"/>
  <c r="I465" i="1"/>
  <c r="K465" i="1" s="1"/>
  <c r="I466" i="1" s="1"/>
  <c r="K466" i="1" s="1"/>
  <c r="I467" i="1"/>
  <c r="L467" i="1" s="1"/>
  <c r="I469" i="1"/>
  <c r="K469" i="1" s="1"/>
  <c r="I470" i="1" s="1"/>
  <c r="I471" i="1"/>
  <c r="I473" i="1"/>
  <c r="N131" i="1"/>
  <c r="O131" i="1"/>
  <c r="Q131" i="1"/>
  <c r="P132" i="1"/>
  <c r="S132" i="1" s="1"/>
  <c r="N133" i="1"/>
  <c r="O133" i="1"/>
  <c r="Q133" i="1"/>
  <c r="P134" i="1"/>
  <c r="S134" i="1" s="1"/>
  <c r="N135" i="1"/>
  <c r="O135" i="1"/>
  <c r="Q135" i="1"/>
  <c r="P136" i="1"/>
  <c r="S136" i="1" s="1"/>
  <c r="N137" i="1"/>
  <c r="O137" i="1"/>
  <c r="Q137" i="1"/>
  <c r="P138" i="1"/>
  <c r="S138" i="1" s="1"/>
  <c r="N139" i="1"/>
  <c r="O139" i="1"/>
  <c r="Q139" i="1"/>
  <c r="P140" i="1"/>
  <c r="S140" i="1" s="1"/>
  <c r="N141" i="1"/>
  <c r="O141" i="1"/>
  <c r="Q141" i="1"/>
  <c r="P142" i="1"/>
  <c r="S142" i="1" s="1"/>
  <c r="N143" i="1"/>
  <c r="O143" i="1"/>
  <c r="Q143" i="1"/>
  <c r="P144" i="1"/>
  <c r="S144" i="1" s="1"/>
  <c r="N145" i="1"/>
  <c r="O145" i="1"/>
  <c r="Q145" i="1"/>
  <c r="P146" i="1"/>
  <c r="S146" i="1" s="1"/>
  <c r="N147" i="1"/>
  <c r="O147" i="1"/>
  <c r="Q147" i="1"/>
  <c r="P148" i="1"/>
  <c r="S148" i="1" s="1"/>
  <c r="N149" i="1"/>
  <c r="O149" i="1"/>
  <c r="Q149" i="1"/>
  <c r="P150" i="1"/>
  <c r="S150" i="1" s="1"/>
  <c r="N151" i="1"/>
  <c r="O151" i="1"/>
  <c r="Q151" i="1"/>
  <c r="P152" i="1"/>
  <c r="S152" i="1" s="1"/>
  <c r="N153" i="1"/>
  <c r="O153" i="1"/>
  <c r="Q153" i="1"/>
  <c r="P154" i="1"/>
  <c r="S154" i="1" s="1"/>
  <c r="N155" i="1"/>
  <c r="O155" i="1"/>
  <c r="Q155" i="1"/>
  <c r="P156" i="1"/>
  <c r="S156" i="1" s="1"/>
  <c r="N157" i="1"/>
  <c r="O157" i="1"/>
  <c r="Q157" i="1"/>
  <c r="P158" i="1"/>
  <c r="S158" i="1" s="1"/>
  <c r="N159" i="1"/>
  <c r="O159" i="1"/>
  <c r="Q159" i="1"/>
  <c r="P160" i="1"/>
  <c r="S160" i="1" s="1"/>
  <c r="N161" i="1"/>
  <c r="O161" i="1"/>
  <c r="Q161" i="1"/>
  <c r="P162" i="1"/>
  <c r="S162" i="1" s="1"/>
  <c r="N163" i="1"/>
  <c r="O163" i="1"/>
  <c r="Q163" i="1"/>
  <c r="P164" i="1"/>
  <c r="S164" i="1" s="1"/>
  <c r="N165" i="1"/>
  <c r="O165" i="1"/>
  <c r="Q165" i="1"/>
  <c r="P166" i="1"/>
  <c r="S166" i="1" s="1"/>
  <c r="N167" i="1"/>
  <c r="O167" i="1"/>
  <c r="Q167" i="1"/>
  <c r="P168" i="1"/>
  <c r="S168" i="1" s="1"/>
  <c r="N169" i="1"/>
  <c r="O169" i="1"/>
  <c r="Q169" i="1"/>
  <c r="P170" i="1"/>
  <c r="S170" i="1" s="1"/>
  <c r="N171" i="1"/>
  <c r="O171" i="1"/>
  <c r="Q171" i="1"/>
  <c r="P172" i="1"/>
  <c r="S172" i="1" s="1"/>
  <c r="N173" i="1"/>
  <c r="O173" i="1"/>
  <c r="Q173" i="1"/>
  <c r="P174" i="1"/>
  <c r="S174" i="1" s="1"/>
  <c r="N175" i="1"/>
  <c r="O175" i="1"/>
  <c r="Q175" i="1"/>
  <c r="P176" i="1"/>
  <c r="S176" i="1" s="1"/>
  <c r="N177" i="1"/>
  <c r="O177" i="1"/>
  <c r="Q177" i="1"/>
  <c r="P178" i="1"/>
  <c r="S178" i="1" s="1"/>
  <c r="N179" i="1"/>
  <c r="O179" i="1"/>
  <c r="Q179" i="1"/>
  <c r="P180" i="1"/>
  <c r="S180" i="1" s="1"/>
  <c r="N181" i="1"/>
  <c r="O181" i="1"/>
  <c r="Q181" i="1"/>
  <c r="P182" i="1"/>
  <c r="S182" i="1" s="1"/>
  <c r="N183" i="1"/>
  <c r="O183" i="1"/>
  <c r="Q183" i="1"/>
  <c r="P184" i="1"/>
  <c r="S184" i="1" s="1"/>
  <c r="N185" i="1"/>
  <c r="O185" i="1"/>
  <c r="Q185" i="1"/>
  <c r="P186" i="1"/>
  <c r="S186" i="1" s="1"/>
  <c r="N187" i="1"/>
  <c r="O187" i="1"/>
  <c r="Q187" i="1"/>
  <c r="P188" i="1"/>
  <c r="S188" i="1" s="1"/>
  <c r="N189" i="1"/>
  <c r="O189" i="1"/>
  <c r="Q189" i="1"/>
  <c r="P190" i="1"/>
  <c r="S190" i="1" s="1"/>
  <c r="N191" i="1"/>
  <c r="O191" i="1"/>
  <c r="Q191" i="1"/>
  <c r="P192" i="1"/>
  <c r="S192" i="1" s="1"/>
  <c r="N193" i="1"/>
  <c r="O193" i="1"/>
  <c r="Q193" i="1"/>
  <c r="P194" i="1"/>
  <c r="S194" i="1" s="1"/>
  <c r="N195" i="1"/>
  <c r="O195" i="1"/>
  <c r="Q195" i="1"/>
  <c r="P196" i="1"/>
  <c r="S196" i="1" s="1"/>
  <c r="N197" i="1"/>
  <c r="O197" i="1"/>
  <c r="Q197" i="1"/>
  <c r="P198" i="1"/>
  <c r="S198" i="1" s="1"/>
  <c r="N199" i="1"/>
  <c r="O199" i="1"/>
  <c r="Q199" i="1"/>
  <c r="P200" i="1"/>
  <c r="S200" i="1" s="1"/>
  <c r="N201" i="1"/>
  <c r="O201" i="1"/>
  <c r="Q201" i="1"/>
  <c r="P202" i="1"/>
  <c r="S202" i="1" s="1"/>
  <c r="N203" i="1"/>
  <c r="O203" i="1"/>
  <c r="Q203" i="1"/>
  <c r="P204" i="1"/>
  <c r="S204" i="1" s="1"/>
  <c r="N205" i="1"/>
  <c r="O205" i="1"/>
  <c r="Q205" i="1"/>
  <c r="P206" i="1"/>
  <c r="S206" i="1" s="1"/>
  <c r="N207" i="1"/>
  <c r="O207" i="1"/>
  <c r="Q207" i="1"/>
  <c r="P208" i="1"/>
  <c r="S208" i="1" s="1"/>
  <c r="N209" i="1"/>
  <c r="O209" i="1"/>
  <c r="Q209" i="1"/>
  <c r="P210" i="1"/>
  <c r="S210" i="1" s="1"/>
  <c r="N211" i="1"/>
  <c r="O211" i="1"/>
  <c r="Q211" i="1"/>
  <c r="P212" i="1"/>
  <c r="S212" i="1" s="1"/>
  <c r="N213" i="1"/>
  <c r="O213" i="1"/>
  <c r="Q213" i="1"/>
  <c r="P214" i="1"/>
  <c r="S214" i="1" s="1"/>
  <c r="N215" i="1"/>
  <c r="O215" i="1"/>
  <c r="Q215" i="1"/>
  <c r="P216" i="1"/>
  <c r="S216" i="1" s="1"/>
  <c r="N217" i="1"/>
  <c r="O217" i="1"/>
  <c r="Q217" i="1"/>
  <c r="P218" i="1"/>
  <c r="S218" i="1" s="1"/>
  <c r="N219" i="1"/>
  <c r="O219" i="1"/>
  <c r="Q219" i="1"/>
  <c r="P220" i="1"/>
  <c r="S220" i="1" s="1"/>
  <c r="N221" i="1"/>
  <c r="O221" i="1"/>
  <c r="Q221" i="1"/>
  <c r="P222" i="1"/>
  <c r="S222" i="1" s="1"/>
  <c r="N223" i="1"/>
  <c r="O223" i="1"/>
  <c r="Q223" i="1"/>
  <c r="P224" i="1"/>
  <c r="S224" i="1" s="1"/>
  <c r="N225" i="1"/>
  <c r="O225" i="1"/>
  <c r="Q225" i="1"/>
  <c r="P226" i="1"/>
  <c r="S226" i="1" s="1"/>
  <c r="N227" i="1"/>
  <c r="O227" i="1"/>
  <c r="Q227" i="1"/>
  <c r="P228" i="1"/>
  <c r="S228" i="1" s="1"/>
  <c r="N229" i="1"/>
  <c r="O229" i="1"/>
  <c r="Q229" i="1"/>
  <c r="P230" i="1"/>
  <c r="S230" i="1" s="1"/>
  <c r="N231" i="1"/>
  <c r="O231" i="1"/>
  <c r="Q231" i="1"/>
  <c r="P232" i="1"/>
  <c r="S232" i="1" s="1"/>
  <c r="N233" i="1"/>
  <c r="O233" i="1"/>
  <c r="Q233" i="1"/>
  <c r="P234" i="1"/>
  <c r="S234" i="1" s="1"/>
  <c r="N235" i="1"/>
  <c r="O235" i="1"/>
  <c r="Q235" i="1"/>
  <c r="P236" i="1"/>
  <c r="S236" i="1" s="1"/>
  <c r="N237" i="1"/>
  <c r="O237" i="1"/>
  <c r="Q237" i="1"/>
  <c r="P238" i="1"/>
  <c r="S238" i="1" s="1"/>
  <c r="N239" i="1"/>
  <c r="O239" i="1"/>
  <c r="Q239" i="1"/>
  <c r="P240" i="1"/>
  <c r="S240" i="1" s="1"/>
  <c r="N241" i="1"/>
  <c r="O241" i="1"/>
  <c r="Q241" i="1"/>
  <c r="P242" i="1"/>
  <c r="S242" i="1" s="1"/>
  <c r="N243" i="1"/>
  <c r="O243" i="1"/>
  <c r="Q243" i="1"/>
  <c r="P244" i="1"/>
  <c r="S244" i="1" s="1"/>
  <c r="N245" i="1"/>
  <c r="O245" i="1"/>
  <c r="Q245" i="1"/>
  <c r="P246" i="1"/>
  <c r="S246" i="1" s="1"/>
  <c r="N247" i="1"/>
  <c r="O247" i="1"/>
  <c r="Q247" i="1"/>
  <c r="P248" i="1"/>
  <c r="S248" i="1" s="1"/>
  <c r="N249" i="1"/>
  <c r="O249" i="1"/>
  <c r="Q249" i="1"/>
  <c r="P250" i="1"/>
  <c r="S250" i="1" s="1"/>
  <c r="N251" i="1"/>
  <c r="O251" i="1"/>
  <c r="Q251" i="1"/>
  <c r="P252" i="1"/>
  <c r="S252" i="1" s="1"/>
  <c r="N253" i="1"/>
  <c r="O253" i="1"/>
  <c r="Q253" i="1"/>
  <c r="P254" i="1"/>
  <c r="S254" i="1" s="1"/>
  <c r="N255" i="1"/>
  <c r="O255" i="1"/>
  <c r="Q255" i="1"/>
  <c r="P256" i="1"/>
  <c r="S256" i="1" s="1"/>
  <c r="N257" i="1"/>
  <c r="O257" i="1"/>
  <c r="Q257" i="1"/>
  <c r="P258" i="1"/>
  <c r="S258" i="1" s="1"/>
  <c r="N259" i="1"/>
  <c r="O259" i="1"/>
  <c r="Q259" i="1"/>
  <c r="P260" i="1"/>
  <c r="S260" i="1" s="1"/>
  <c r="N261" i="1"/>
  <c r="O261" i="1"/>
  <c r="Q261" i="1"/>
  <c r="P262" i="1"/>
  <c r="S262" i="1" s="1"/>
  <c r="N263" i="1"/>
  <c r="O263" i="1"/>
  <c r="Q263" i="1"/>
  <c r="P264" i="1"/>
  <c r="S264" i="1" s="1"/>
  <c r="N265" i="1"/>
  <c r="O265" i="1"/>
  <c r="Q265" i="1"/>
  <c r="P266" i="1"/>
  <c r="S266" i="1" s="1"/>
  <c r="N267" i="1"/>
  <c r="O267" i="1"/>
  <c r="Q267" i="1"/>
  <c r="P268" i="1"/>
  <c r="S268" i="1" s="1"/>
  <c r="N269" i="1"/>
  <c r="O269" i="1"/>
  <c r="Q269" i="1"/>
  <c r="P270" i="1"/>
  <c r="S270" i="1" s="1"/>
  <c r="N271" i="1"/>
  <c r="O271" i="1"/>
  <c r="Q271" i="1"/>
  <c r="P272" i="1"/>
  <c r="S272" i="1" s="1"/>
  <c r="N273" i="1"/>
  <c r="O273" i="1"/>
  <c r="Q273" i="1"/>
  <c r="P274" i="1"/>
  <c r="S274" i="1" s="1"/>
  <c r="N275" i="1"/>
  <c r="O275" i="1"/>
  <c r="Q275" i="1"/>
  <c r="P276" i="1"/>
  <c r="S276" i="1" s="1"/>
  <c r="N277" i="1"/>
  <c r="O277" i="1"/>
  <c r="Q277" i="1"/>
  <c r="P278" i="1"/>
  <c r="S278" i="1" s="1"/>
  <c r="N279" i="1"/>
  <c r="O279" i="1"/>
  <c r="Q279" i="1"/>
  <c r="P280" i="1"/>
  <c r="S280" i="1" s="1"/>
  <c r="N281" i="1"/>
  <c r="O281" i="1"/>
  <c r="Q281" i="1"/>
  <c r="P282" i="1"/>
  <c r="S282" i="1" s="1"/>
  <c r="N283" i="1"/>
  <c r="O283" i="1"/>
  <c r="Q283" i="1"/>
  <c r="P284" i="1"/>
  <c r="S284" i="1" s="1"/>
  <c r="O285" i="1"/>
  <c r="P285" i="1" s="1"/>
  <c r="P286" i="1"/>
  <c r="S286" i="1" s="1"/>
  <c r="N287" i="1"/>
  <c r="O287" i="1"/>
  <c r="Q287" i="1"/>
  <c r="P288" i="1"/>
  <c r="S288" i="1" s="1"/>
  <c r="N289" i="1"/>
  <c r="O289" i="1"/>
  <c r="Q289" i="1"/>
  <c r="P290" i="1"/>
  <c r="S290" i="1" s="1"/>
  <c r="N291" i="1"/>
  <c r="O291" i="1"/>
  <c r="Q291" i="1"/>
  <c r="P292" i="1"/>
  <c r="S292" i="1" s="1"/>
  <c r="N293" i="1"/>
  <c r="O293" i="1"/>
  <c r="Q293" i="1"/>
  <c r="P294" i="1"/>
  <c r="S294" i="1" s="1"/>
  <c r="N295" i="1"/>
  <c r="O295" i="1"/>
  <c r="Q295" i="1"/>
  <c r="P296" i="1"/>
  <c r="S296" i="1" s="1"/>
  <c r="N297" i="1"/>
  <c r="O297" i="1"/>
  <c r="Q297" i="1"/>
  <c r="P298" i="1"/>
  <c r="S298" i="1" s="1"/>
  <c r="N299" i="1"/>
  <c r="O299" i="1"/>
  <c r="Q299" i="1"/>
  <c r="P300" i="1"/>
  <c r="S300" i="1" s="1"/>
  <c r="N301" i="1"/>
  <c r="O301" i="1"/>
  <c r="Q301" i="1"/>
  <c r="P302" i="1"/>
  <c r="S302" i="1" s="1"/>
  <c r="N303" i="1"/>
  <c r="O303" i="1"/>
  <c r="Q303" i="1"/>
  <c r="P304" i="1"/>
  <c r="S304" i="1" s="1"/>
  <c r="N305" i="1"/>
  <c r="O305" i="1"/>
  <c r="Q305" i="1"/>
  <c r="P306" i="1"/>
  <c r="S306" i="1" s="1"/>
  <c r="N307" i="1"/>
  <c r="O307" i="1"/>
  <c r="Q307" i="1"/>
  <c r="P308" i="1"/>
  <c r="S308" i="1" s="1"/>
  <c r="N309" i="1"/>
  <c r="O309" i="1"/>
  <c r="Q309" i="1"/>
  <c r="P310" i="1"/>
  <c r="S310" i="1" s="1"/>
  <c r="N311" i="1"/>
  <c r="O311" i="1"/>
  <c r="Q311" i="1"/>
  <c r="P312" i="1"/>
  <c r="S312" i="1" s="1"/>
  <c r="N313" i="1"/>
  <c r="O313" i="1"/>
  <c r="Q313" i="1"/>
  <c r="P314" i="1"/>
  <c r="S314" i="1" s="1"/>
  <c r="N315" i="1"/>
  <c r="O315" i="1"/>
  <c r="Q315" i="1"/>
  <c r="P316" i="1"/>
  <c r="S316" i="1" s="1"/>
  <c r="N317" i="1"/>
  <c r="O317" i="1"/>
  <c r="Q317" i="1"/>
  <c r="P318" i="1"/>
  <c r="S318" i="1" s="1"/>
  <c r="N319" i="1"/>
  <c r="O319" i="1"/>
  <c r="Q319" i="1"/>
  <c r="P320" i="1"/>
  <c r="S320" i="1" s="1"/>
  <c r="N321" i="1"/>
  <c r="O321" i="1"/>
  <c r="Q321" i="1"/>
  <c r="P322" i="1"/>
  <c r="S322" i="1" s="1"/>
  <c r="N323" i="1"/>
  <c r="O323" i="1"/>
  <c r="Q323" i="1"/>
  <c r="P324" i="1"/>
  <c r="S324" i="1" s="1"/>
  <c r="O325" i="1"/>
  <c r="P325" i="1" s="1"/>
  <c r="Q325" i="1"/>
  <c r="P326" i="1"/>
  <c r="S326" i="1" s="1"/>
  <c r="N327" i="1"/>
  <c r="O327" i="1"/>
  <c r="Q327" i="1"/>
  <c r="P328" i="1"/>
  <c r="S328" i="1" s="1"/>
  <c r="N329" i="1"/>
  <c r="O329" i="1"/>
  <c r="Q329" i="1"/>
  <c r="P330" i="1"/>
  <c r="S330" i="1" s="1"/>
  <c r="N331" i="1"/>
  <c r="O331" i="1"/>
  <c r="Q331" i="1"/>
  <c r="P332" i="1"/>
  <c r="S332" i="1" s="1"/>
  <c r="N333" i="1"/>
  <c r="O333" i="1"/>
  <c r="Q333" i="1"/>
  <c r="P334" i="1"/>
  <c r="S334" i="1" s="1"/>
  <c r="N335" i="1"/>
  <c r="O335" i="1"/>
  <c r="Q335" i="1"/>
  <c r="P336" i="1"/>
  <c r="S336" i="1" s="1"/>
  <c r="N337" i="1"/>
  <c r="O337" i="1"/>
  <c r="Q337" i="1"/>
  <c r="P338" i="1"/>
  <c r="S338" i="1" s="1"/>
  <c r="N339" i="1"/>
  <c r="O339" i="1"/>
  <c r="Q339" i="1"/>
  <c r="P340" i="1"/>
  <c r="S340" i="1" s="1"/>
  <c r="N341" i="1"/>
  <c r="O341" i="1"/>
  <c r="Q341" i="1"/>
  <c r="P342" i="1"/>
  <c r="S342" i="1" s="1"/>
  <c r="N343" i="1"/>
  <c r="O343" i="1"/>
  <c r="Q343" i="1"/>
  <c r="P344" i="1"/>
  <c r="S344" i="1" s="1"/>
  <c r="N345" i="1"/>
  <c r="O345" i="1"/>
  <c r="Q345" i="1"/>
  <c r="P346" i="1"/>
  <c r="S346" i="1" s="1"/>
  <c r="N347" i="1"/>
  <c r="O347" i="1"/>
  <c r="Q347" i="1"/>
  <c r="P348" i="1"/>
  <c r="S348" i="1" s="1"/>
  <c r="N349" i="1"/>
  <c r="O349" i="1"/>
  <c r="Q349" i="1"/>
  <c r="P350" i="1"/>
  <c r="S350" i="1" s="1"/>
  <c r="N351" i="1"/>
  <c r="O351" i="1"/>
  <c r="Q351" i="1"/>
  <c r="P352" i="1"/>
  <c r="S352" i="1" s="1"/>
  <c r="N353" i="1"/>
  <c r="O353" i="1"/>
  <c r="Q353" i="1"/>
  <c r="P354" i="1"/>
  <c r="S354" i="1" s="1"/>
  <c r="N355" i="1"/>
  <c r="O355" i="1"/>
  <c r="Q355" i="1"/>
  <c r="P356" i="1"/>
  <c r="S356" i="1" s="1"/>
  <c r="N357" i="1"/>
  <c r="O357" i="1"/>
  <c r="Q357" i="1"/>
  <c r="P358" i="1"/>
  <c r="S358" i="1" s="1"/>
  <c r="N359" i="1"/>
  <c r="O359" i="1"/>
  <c r="Q359" i="1"/>
  <c r="P360" i="1"/>
  <c r="S360" i="1" s="1"/>
  <c r="N361" i="1"/>
  <c r="O361" i="1"/>
  <c r="Q361" i="1"/>
  <c r="P362" i="1"/>
  <c r="S362" i="1" s="1"/>
  <c r="N363" i="1"/>
  <c r="O363" i="1"/>
  <c r="Q363" i="1"/>
  <c r="P364" i="1"/>
  <c r="S364" i="1" s="1"/>
  <c r="N365" i="1"/>
  <c r="O365" i="1"/>
  <c r="Q365" i="1"/>
  <c r="P366" i="1"/>
  <c r="S366" i="1" s="1"/>
  <c r="N367" i="1"/>
  <c r="O367" i="1"/>
  <c r="Q367" i="1"/>
  <c r="P368" i="1"/>
  <c r="S368" i="1" s="1"/>
  <c r="N369" i="1"/>
  <c r="O369" i="1"/>
  <c r="Q369" i="1"/>
  <c r="P370" i="1"/>
  <c r="S370" i="1" s="1"/>
  <c r="N371" i="1"/>
  <c r="O371" i="1"/>
  <c r="Q371" i="1"/>
  <c r="P372" i="1"/>
  <c r="S372" i="1" s="1"/>
  <c r="N373" i="1"/>
  <c r="O373" i="1"/>
  <c r="Q373" i="1"/>
  <c r="P374" i="1"/>
  <c r="S374" i="1" s="1"/>
  <c r="N375" i="1"/>
  <c r="O375" i="1"/>
  <c r="Q375" i="1"/>
  <c r="P376" i="1"/>
  <c r="S376" i="1" s="1"/>
  <c r="N377" i="1"/>
  <c r="O377" i="1"/>
  <c r="Q377" i="1"/>
  <c r="P378" i="1"/>
  <c r="S378" i="1" s="1"/>
  <c r="N379" i="1"/>
  <c r="O379" i="1"/>
  <c r="Q379" i="1"/>
  <c r="P380" i="1"/>
  <c r="S380" i="1" s="1"/>
  <c r="N381" i="1"/>
  <c r="O381" i="1"/>
  <c r="Q381" i="1"/>
  <c r="P382" i="1"/>
  <c r="S382" i="1" s="1"/>
  <c r="N383" i="1"/>
  <c r="O383" i="1"/>
  <c r="Q383" i="1"/>
  <c r="P384" i="1"/>
  <c r="S384" i="1" s="1"/>
  <c r="N385" i="1"/>
  <c r="O385" i="1"/>
  <c r="Q385" i="1"/>
  <c r="P386" i="1"/>
  <c r="S386" i="1" s="1"/>
  <c r="N387" i="1"/>
  <c r="O387" i="1"/>
  <c r="Q387" i="1"/>
  <c r="P388" i="1"/>
  <c r="S388" i="1" s="1"/>
  <c r="N389" i="1"/>
  <c r="O389" i="1"/>
  <c r="Q389" i="1"/>
  <c r="P390" i="1"/>
  <c r="S390" i="1" s="1"/>
  <c r="N391" i="1"/>
  <c r="O391" i="1"/>
  <c r="Q391" i="1"/>
  <c r="P392" i="1"/>
  <c r="S392" i="1" s="1"/>
  <c r="N393" i="1"/>
  <c r="O393" i="1"/>
  <c r="Q393" i="1"/>
  <c r="P394" i="1"/>
  <c r="S394" i="1" s="1"/>
  <c r="N395" i="1"/>
  <c r="O395" i="1"/>
  <c r="Q395" i="1"/>
  <c r="P396" i="1"/>
  <c r="S396" i="1" s="1"/>
  <c r="N397" i="1"/>
  <c r="O397" i="1"/>
  <c r="Q397" i="1"/>
  <c r="P398" i="1"/>
  <c r="S398" i="1" s="1"/>
  <c r="N399" i="1"/>
  <c r="O399" i="1"/>
  <c r="Q399" i="1"/>
  <c r="P400" i="1"/>
  <c r="S400" i="1" s="1"/>
  <c r="N401" i="1"/>
  <c r="O401" i="1"/>
  <c r="Q401" i="1"/>
  <c r="P402" i="1"/>
  <c r="S402" i="1" s="1"/>
  <c r="N403" i="1"/>
  <c r="O403" i="1"/>
  <c r="Q403" i="1"/>
  <c r="P404" i="1"/>
  <c r="S404" i="1" s="1"/>
  <c r="N405" i="1"/>
  <c r="O405" i="1"/>
  <c r="Q405" i="1"/>
  <c r="P406" i="1"/>
  <c r="S406" i="1" s="1"/>
  <c r="N407" i="1"/>
  <c r="O407" i="1"/>
  <c r="Q407" i="1"/>
  <c r="P408" i="1"/>
  <c r="S408" i="1" s="1"/>
  <c r="N409" i="1"/>
  <c r="O409" i="1"/>
  <c r="Q409" i="1"/>
  <c r="P410" i="1"/>
  <c r="S410" i="1" s="1"/>
  <c r="N411" i="1"/>
  <c r="O411" i="1"/>
  <c r="Q411" i="1"/>
  <c r="P412" i="1"/>
  <c r="S412" i="1" s="1"/>
  <c r="N413" i="1"/>
  <c r="O413" i="1"/>
  <c r="Q413" i="1"/>
  <c r="P414" i="1"/>
  <c r="S414" i="1" s="1"/>
  <c r="N415" i="1"/>
  <c r="O415" i="1"/>
  <c r="Q415" i="1"/>
  <c r="P416" i="1"/>
  <c r="S416" i="1" s="1"/>
  <c r="N417" i="1"/>
  <c r="O417" i="1"/>
  <c r="Q417" i="1"/>
  <c r="P418" i="1"/>
  <c r="S418" i="1" s="1"/>
  <c r="N419" i="1"/>
  <c r="O419" i="1"/>
  <c r="Q419" i="1"/>
  <c r="P420" i="1"/>
  <c r="S420" i="1" s="1"/>
  <c r="N421" i="1"/>
  <c r="O421" i="1"/>
  <c r="Q421" i="1"/>
  <c r="P422" i="1"/>
  <c r="S422" i="1" s="1"/>
  <c r="N423" i="1"/>
  <c r="O423" i="1"/>
  <c r="Q423" i="1"/>
  <c r="P424" i="1"/>
  <c r="S424" i="1" s="1"/>
  <c r="N425" i="1"/>
  <c r="O425" i="1"/>
  <c r="Q425" i="1"/>
  <c r="P426" i="1"/>
  <c r="S426" i="1" s="1"/>
  <c r="N427" i="1"/>
  <c r="O427" i="1"/>
  <c r="Q427" i="1"/>
  <c r="P428" i="1"/>
  <c r="S428" i="1" s="1"/>
  <c r="N429" i="1"/>
  <c r="O429" i="1"/>
  <c r="Q429" i="1"/>
  <c r="P430" i="1"/>
  <c r="S430" i="1" s="1"/>
  <c r="N431" i="1"/>
  <c r="O431" i="1"/>
  <c r="Q431" i="1"/>
  <c r="P432" i="1"/>
  <c r="S432" i="1" s="1"/>
  <c r="N433" i="1"/>
  <c r="O433" i="1"/>
  <c r="Q433" i="1"/>
  <c r="P434" i="1"/>
  <c r="S434" i="1" s="1"/>
  <c r="N435" i="1"/>
  <c r="O435" i="1"/>
  <c r="Q435" i="1"/>
  <c r="P436" i="1"/>
  <c r="S436" i="1" s="1"/>
  <c r="N437" i="1"/>
  <c r="O437" i="1"/>
  <c r="Q437" i="1"/>
  <c r="P438" i="1"/>
  <c r="S438" i="1" s="1"/>
  <c r="N439" i="1"/>
  <c r="O439" i="1"/>
  <c r="Q439" i="1"/>
  <c r="P440" i="1"/>
  <c r="S440" i="1" s="1"/>
  <c r="N441" i="1"/>
  <c r="O441" i="1"/>
  <c r="Q441" i="1"/>
  <c r="P442" i="1"/>
  <c r="S442" i="1" s="1"/>
  <c r="N443" i="1"/>
  <c r="O443" i="1"/>
  <c r="Q443" i="1"/>
  <c r="P444" i="1"/>
  <c r="S444" i="1" s="1"/>
  <c r="N445" i="1"/>
  <c r="O445" i="1"/>
  <c r="Q445" i="1"/>
  <c r="P446" i="1"/>
  <c r="S446" i="1" s="1"/>
  <c r="N447" i="1"/>
  <c r="O447" i="1"/>
  <c r="Q447" i="1"/>
  <c r="P448" i="1"/>
  <c r="S448" i="1" s="1"/>
  <c r="N449" i="1"/>
  <c r="O449" i="1"/>
  <c r="Q449" i="1"/>
  <c r="P450" i="1"/>
  <c r="S450" i="1" s="1"/>
  <c r="N451" i="1"/>
  <c r="O451" i="1"/>
  <c r="Q451" i="1"/>
  <c r="P452" i="1"/>
  <c r="S452" i="1" s="1"/>
  <c r="N453" i="1"/>
  <c r="O453" i="1"/>
  <c r="Q453" i="1"/>
  <c r="P454" i="1"/>
  <c r="S454" i="1" s="1"/>
  <c r="N455" i="1"/>
  <c r="O455" i="1"/>
  <c r="Q455" i="1"/>
  <c r="P456" i="1"/>
  <c r="S456" i="1" s="1"/>
  <c r="N457" i="1"/>
  <c r="O457" i="1"/>
  <c r="Q457" i="1"/>
  <c r="P458" i="1"/>
  <c r="S458" i="1" s="1"/>
  <c r="N459" i="1"/>
  <c r="O459" i="1"/>
  <c r="Q459" i="1"/>
  <c r="P460" i="1"/>
  <c r="S460" i="1" s="1"/>
  <c r="N461" i="1"/>
  <c r="O461" i="1"/>
  <c r="Q461" i="1"/>
  <c r="P462" i="1"/>
  <c r="S462" i="1" s="1"/>
  <c r="N463" i="1"/>
  <c r="O463" i="1"/>
  <c r="Q463" i="1"/>
  <c r="P464" i="1"/>
  <c r="S464" i="1" s="1"/>
  <c r="N465" i="1"/>
  <c r="O465" i="1"/>
  <c r="Q465" i="1"/>
  <c r="P466" i="1"/>
  <c r="S466" i="1" s="1"/>
  <c r="N467" i="1"/>
  <c r="O467" i="1"/>
  <c r="Q467" i="1"/>
  <c r="P468" i="1"/>
  <c r="S468" i="1" s="1"/>
  <c r="N469" i="1"/>
  <c r="O469" i="1"/>
  <c r="Q469" i="1"/>
  <c r="P470" i="1"/>
  <c r="S470" i="1" s="1"/>
  <c r="N471" i="1"/>
  <c r="O471" i="1"/>
  <c r="Q471" i="1"/>
  <c r="P472" i="1"/>
  <c r="S472" i="1" s="1"/>
  <c r="P494" i="1"/>
  <c r="S494" i="1" s="1"/>
  <c r="Q129" i="1"/>
  <c r="O129" i="1"/>
  <c r="N129" i="1"/>
  <c r="I129" i="1"/>
  <c r="I82" i="1"/>
  <c r="K82" i="1" s="1"/>
  <c r="I83" i="1" s="1"/>
  <c r="P43" i="1" l="1"/>
  <c r="S15" i="1"/>
  <c r="P15" i="1"/>
  <c r="P129" i="1"/>
  <c r="F9" i="7"/>
  <c r="H9" i="7"/>
  <c r="R15" i="1"/>
  <c r="J9" i="7" s="1"/>
  <c r="K473" i="1"/>
  <c r="I474" i="1" s="1"/>
  <c r="K43" i="1"/>
  <c r="I44" i="1" s="1"/>
  <c r="K44" i="1" s="1"/>
  <c r="L15" i="1"/>
  <c r="F11" i="7"/>
  <c r="G12" i="7"/>
  <c r="K9" i="7"/>
  <c r="L125" i="1"/>
  <c r="K125" i="1"/>
  <c r="L493" i="1"/>
  <c r="L469" i="1"/>
  <c r="P201" i="1"/>
  <c r="R201" i="1" s="1"/>
  <c r="K349" i="1"/>
  <c r="I350" i="1" s="1"/>
  <c r="K350" i="1" s="1"/>
  <c r="K335" i="1"/>
  <c r="I336" i="1" s="1"/>
  <c r="L336" i="1" s="1"/>
  <c r="L177" i="1"/>
  <c r="K373" i="1"/>
  <c r="I374" i="1" s="1"/>
  <c r="K374" i="1" s="1"/>
  <c r="P451" i="1"/>
  <c r="S451" i="1" s="1"/>
  <c r="P265" i="1"/>
  <c r="R265" i="1" s="1"/>
  <c r="L461" i="1"/>
  <c r="P385" i="1"/>
  <c r="R385" i="1" s="1"/>
  <c r="P423" i="1"/>
  <c r="S423" i="1" s="1"/>
  <c r="P415" i="1"/>
  <c r="S415" i="1" s="1"/>
  <c r="K437" i="1"/>
  <c r="I438" i="1" s="1"/>
  <c r="K438" i="1" s="1"/>
  <c r="K199" i="1"/>
  <c r="I200" i="1" s="1"/>
  <c r="L200" i="1" s="1"/>
  <c r="K449" i="1"/>
  <c r="I450" i="1" s="1"/>
  <c r="K450" i="1" s="1"/>
  <c r="L453" i="1"/>
  <c r="L429" i="1"/>
  <c r="L401" i="1"/>
  <c r="L389" i="1"/>
  <c r="I12" i="7"/>
  <c r="P281" i="1"/>
  <c r="R281" i="1" s="1"/>
  <c r="K435" i="1"/>
  <c r="I436" i="1" s="1"/>
  <c r="L436" i="1" s="1"/>
  <c r="K151" i="1"/>
  <c r="I152" i="1" s="1"/>
  <c r="K152" i="1" s="1"/>
  <c r="P317" i="1"/>
  <c r="R317" i="1" s="1"/>
  <c r="P311" i="1"/>
  <c r="R311" i="1" s="1"/>
  <c r="P307" i="1"/>
  <c r="R307" i="1" s="1"/>
  <c r="P305" i="1"/>
  <c r="R305" i="1" s="1"/>
  <c r="P291" i="1"/>
  <c r="R291" i="1" s="1"/>
  <c r="P185" i="1"/>
  <c r="R185" i="1" s="1"/>
  <c r="K133" i="1"/>
  <c r="I134" i="1" s="1"/>
  <c r="K134" i="1" s="1"/>
  <c r="L441" i="1"/>
  <c r="K411" i="1"/>
  <c r="I412" i="1" s="1"/>
  <c r="L412" i="1" s="1"/>
  <c r="K371" i="1"/>
  <c r="I372" i="1" s="1"/>
  <c r="L372" i="1" s="1"/>
  <c r="L233" i="1"/>
  <c r="P217" i="1"/>
  <c r="R217" i="1" s="1"/>
  <c r="P169" i="1"/>
  <c r="R169" i="1" s="1"/>
  <c r="L377" i="1"/>
  <c r="L261" i="1"/>
  <c r="L457" i="1"/>
  <c r="L385" i="1"/>
  <c r="P405" i="1"/>
  <c r="S405" i="1" s="1"/>
  <c r="P381" i="1"/>
  <c r="R381" i="1" s="1"/>
  <c r="P373" i="1"/>
  <c r="R373" i="1" s="1"/>
  <c r="P369" i="1"/>
  <c r="R369" i="1" s="1"/>
  <c r="P329" i="1"/>
  <c r="R329" i="1" s="1"/>
  <c r="P249" i="1"/>
  <c r="R249" i="1" s="1"/>
  <c r="P153" i="1"/>
  <c r="R153" i="1" s="1"/>
  <c r="K467" i="1"/>
  <c r="I468" i="1" s="1"/>
  <c r="K419" i="1"/>
  <c r="I420" i="1" s="1"/>
  <c r="L420" i="1" s="1"/>
  <c r="L323" i="1"/>
  <c r="K135" i="1"/>
  <c r="I136" i="1" s="1"/>
  <c r="K136" i="1" s="1"/>
  <c r="P375" i="1"/>
  <c r="R375" i="1" s="1"/>
  <c r="P233" i="1"/>
  <c r="R233" i="1" s="1"/>
  <c r="P137" i="1"/>
  <c r="R137" i="1" s="1"/>
  <c r="P391" i="1"/>
  <c r="R391" i="1" s="1"/>
  <c r="P367" i="1"/>
  <c r="S367" i="1" s="1"/>
  <c r="P315" i="1"/>
  <c r="R315" i="1" s="1"/>
  <c r="L417" i="1"/>
  <c r="L405" i="1"/>
  <c r="L253" i="1"/>
  <c r="L241" i="1"/>
  <c r="L221" i="1"/>
  <c r="L209" i="1"/>
  <c r="L165" i="1"/>
  <c r="L153" i="1"/>
  <c r="P443" i="1"/>
  <c r="R443" i="1" s="1"/>
  <c r="L473" i="1"/>
  <c r="K459" i="1"/>
  <c r="I460" i="1" s="1"/>
  <c r="L460" i="1" s="1"/>
  <c r="L393" i="1"/>
  <c r="K387" i="1"/>
  <c r="I388" i="1" s="1"/>
  <c r="L388" i="1" s="1"/>
  <c r="L381" i="1"/>
  <c r="L369" i="1"/>
  <c r="L357" i="1"/>
  <c r="L315" i="1"/>
  <c r="L297" i="1"/>
  <c r="L285" i="1"/>
  <c r="K231" i="1"/>
  <c r="I232" i="1" s="1"/>
  <c r="L232" i="1" s="1"/>
  <c r="L141" i="1"/>
  <c r="L445" i="1"/>
  <c r="L433" i="1"/>
  <c r="K427" i="1"/>
  <c r="I428" i="1" s="1"/>
  <c r="L428" i="1" s="1"/>
  <c r="L421" i="1"/>
  <c r="L345" i="1"/>
  <c r="K183" i="1"/>
  <c r="I184" i="1" s="1"/>
  <c r="K184" i="1" s="1"/>
  <c r="L173" i="1"/>
  <c r="P421" i="1"/>
  <c r="S421" i="1" s="1"/>
  <c r="P341" i="1"/>
  <c r="R341" i="1" s="1"/>
  <c r="L465" i="1"/>
  <c r="K451" i="1"/>
  <c r="I452" i="1" s="1"/>
  <c r="L409" i="1"/>
  <c r="K403" i="1"/>
  <c r="I404" i="1" s="1"/>
  <c r="L404" i="1" s="1"/>
  <c r="L397" i="1"/>
  <c r="L257" i="1"/>
  <c r="K443" i="1"/>
  <c r="I444" i="1" s="1"/>
  <c r="L444" i="1" s="1"/>
  <c r="K379" i="1"/>
  <c r="I380" i="1" s="1"/>
  <c r="L380" i="1" s="1"/>
  <c r="K237" i="1"/>
  <c r="I238" i="1" s="1"/>
  <c r="K238" i="1" s="1"/>
  <c r="K181" i="1"/>
  <c r="I182" i="1" s="1"/>
  <c r="K182" i="1" s="1"/>
  <c r="L425" i="1"/>
  <c r="L413" i="1"/>
  <c r="K395" i="1"/>
  <c r="I396" i="1" s="1"/>
  <c r="L396" i="1" s="1"/>
  <c r="K309" i="1"/>
  <c r="I310" i="1" s="1"/>
  <c r="K310" i="1" s="1"/>
  <c r="K303" i="1"/>
  <c r="I304" i="1" s="1"/>
  <c r="K304" i="1" s="1"/>
  <c r="K289" i="1"/>
  <c r="I290" i="1" s="1"/>
  <c r="K290" i="1" s="1"/>
  <c r="K277" i="1"/>
  <c r="I278" i="1" s="1"/>
  <c r="K278" i="1" s="1"/>
  <c r="K255" i="1"/>
  <c r="I256" i="1" s="1"/>
  <c r="L256" i="1" s="1"/>
  <c r="K223" i="1"/>
  <c r="I224" i="1" s="1"/>
  <c r="L224" i="1" s="1"/>
  <c r="K201" i="1"/>
  <c r="I202" i="1" s="1"/>
  <c r="K202" i="1" s="1"/>
  <c r="K189" i="1"/>
  <c r="I190" i="1" s="1"/>
  <c r="L190" i="1" s="1"/>
  <c r="K167" i="1"/>
  <c r="I168" i="1" s="1"/>
  <c r="L168" i="1" s="1"/>
  <c r="L365" i="1"/>
  <c r="K363" i="1"/>
  <c r="I364" i="1" s="1"/>
  <c r="L361" i="1"/>
  <c r="P359" i="1"/>
  <c r="R359" i="1" s="1"/>
  <c r="P357" i="1"/>
  <c r="R357" i="1" s="1"/>
  <c r="K355" i="1"/>
  <c r="I356" i="1" s="1"/>
  <c r="L356" i="1" s="1"/>
  <c r="L353" i="1"/>
  <c r="K347" i="1"/>
  <c r="I348" i="1" s="1"/>
  <c r="L348" i="1" s="1"/>
  <c r="P343" i="1"/>
  <c r="S343" i="1" s="1"/>
  <c r="L341" i="1"/>
  <c r="L337" i="1"/>
  <c r="K334" i="1"/>
  <c r="L334" i="1"/>
  <c r="L333" i="1"/>
  <c r="K332" i="1"/>
  <c r="L332" i="1"/>
  <c r="L331" i="1"/>
  <c r="K328" i="1"/>
  <c r="L328" i="1"/>
  <c r="L327" i="1"/>
  <c r="L321" i="1"/>
  <c r="K317" i="1"/>
  <c r="I318" i="1" s="1"/>
  <c r="L318" i="1" s="1"/>
  <c r="L313" i="1"/>
  <c r="K311" i="1"/>
  <c r="I312" i="1" s="1"/>
  <c r="P303" i="1"/>
  <c r="R303" i="1" s="1"/>
  <c r="K295" i="1"/>
  <c r="I296" i="1" s="1"/>
  <c r="L296" i="1" s="1"/>
  <c r="L293" i="1"/>
  <c r="K287" i="1"/>
  <c r="I288" i="1" s="1"/>
  <c r="L288" i="1" s="1"/>
  <c r="K286" i="1"/>
  <c r="L286" i="1"/>
  <c r="K282" i="1"/>
  <c r="L282" i="1"/>
  <c r="L281" i="1"/>
  <c r="L273" i="1"/>
  <c r="K271" i="1"/>
  <c r="I272" i="1" s="1"/>
  <c r="L272" i="1" s="1"/>
  <c r="L269" i="1"/>
  <c r="L265" i="1"/>
  <c r="K263" i="1"/>
  <c r="I264" i="1" s="1"/>
  <c r="L264" i="1" s="1"/>
  <c r="L254" i="1"/>
  <c r="L249" i="1"/>
  <c r="K246" i="1"/>
  <c r="L246" i="1"/>
  <c r="L245" i="1"/>
  <c r="L229" i="1"/>
  <c r="L225" i="1"/>
  <c r="L222" i="1"/>
  <c r="K218" i="1"/>
  <c r="L218" i="1"/>
  <c r="L217" i="1"/>
  <c r="K214" i="1"/>
  <c r="L214" i="1"/>
  <c r="L213" i="1"/>
  <c r="K210" i="1"/>
  <c r="L210" i="1"/>
  <c r="K207" i="1"/>
  <c r="I208" i="1" s="1"/>
  <c r="L208" i="1" s="1"/>
  <c r="L205" i="1"/>
  <c r="L197" i="1"/>
  <c r="K194" i="1"/>
  <c r="L194" i="1"/>
  <c r="L193" i="1"/>
  <c r="K191" i="1"/>
  <c r="I192" i="1" s="1"/>
  <c r="L192" i="1" s="1"/>
  <c r="L188" i="1"/>
  <c r="K175" i="1"/>
  <c r="I176" i="1" s="1"/>
  <c r="K176" i="1" s="1"/>
  <c r="K186" i="1"/>
  <c r="L186" i="1"/>
  <c r="L185" i="1"/>
  <c r="L180" i="1"/>
  <c r="L172" i="1"/>
  <c r="L169" i="1"/>
  <c r="K162" i="1"/>
  <c r="L162" i="1"/>
  <c r="L161" i="1"/>
  <c r="K159" i="1"/>
  <c r="I160" i="1" s="1"/>
  <c r="K160" i="1" s="1"/>
  <c r="L157" i="1"/>
  <c r="L149" i="1"/>
  <c r="L148" i="1"/>
  <c r="K145" i="1"/>
  <c r="I146" i="1" s="1"/>
  <c r="K146" i="1" s="1"/>
  <c r="K143" i="1"/>
  <c r="I144" i="1" s="1"/>
  <c r="K144" i="1" s="1"/>
  <c r="K138" i="1"/>
  <c r="L138" i="1"/>
  <c r="L137" i="1"/>
  <c r="N493" i="1"/>
  <c r="P493" i="1" s="1"/>
  <c r="K376" i="1"/>
  <c r="L376" i="1"/>
  <c r="K471" i="1"/>
  <c r="I472" i="1" s="1"/>
  <c r="L471" i="1"/>
  <c r="K446" i="1"/>
  <c r="L446" i="1"/>
  <c r="K439" i="1"/>
  <c r="I440" i="1" s="1"/>
  <c r="L439" i="1"/>
  <c r="K423" i="1"/>
  <c r="I424" i="1" s="1"/>
  <c r="L423" i="1"/>
  <c r="K407" i="1"/>
  <c r="I408" i="1" s="1"/>
  <c r="L407" i="1"/>
  <c r="K391" i="1"/>
  <c r="I392" i="1" s="1"/>
  <c r="L391" i="1"/>
  <c r="K352" i="1"/>
  <c r="L352" i="1"/>
  <c r="K324" i="1"/>
  <c r="L324" i="1"/>
  <c r="K470" i="1"/>
  <c r="L470" i="1"/>
  <c r="K463" i="1"/>
  <c r="I464" i="1" s="1"/>
  <c r="L463" i="1"/>
  <c r="K368" i="1"/>
  <c r="L368" i="1"/>
  <c r="K298" i="1"/>
  <c r="L298" i="1"/>
  <c r="K274" i="1"/>
  <c r="L274" i="1"/>
  <c r="K462" i="1"/>
  <c r="L462" i="1"/>
  <c r="K455" i="1"/>
  <c r="I456" i="1" s="1"/>
  <c r="L455" i="1"/>
  <c r="K431" i="1"/>
  <c r="I432" i="1" s="1"/>
  <c r="L431" i="1"/>
  <c r="K415" i="1"/>
  <c r="I416" i="1" s="1"/>
  <c r="L415" i="1"/>
  <c r="K399" i="1"/>
  <c r="I400" i="1" s="1"/>
  <c r="L399" i="1"/>
  <c r="K383" i="1"/>
  <c r="I384" i="1" s="1"/>
  <c r="L383" i="1"/>
  <c r="K344" i="1"/>
  <c r="L344" i="1"/>
  <c r="K266" i="1"/>
  <c r="L266" i="1"/>
  <c r="L242" i="1"/>
  <c r="K454" i="1"/>
  <c r="L454" i="1"/>
  <c r="K447" i="1"/>
  <c r="I448" i="1" s="1"/>
  <c r="L447" i="1"/>
  <c r="K360" i="1"/>
  <c r="L360" i="1"/>
  <c r="K342" i="1"/>
  <c r="L342" i="1"/>
  <c r="K234" i="1"/>
  <c r="L234" i="1"/>
  <c r="K166" i="1"/>
  <c r="L166" i="1"/>
  <c r="L430" i="1"/>
  <c r="L422" i="1"/>
  <c r="L414" i="1"/>
  <c r="L406" i="1"/>
  <c r="L398" i="1"/>
  <c r="L390" i="1"/>
  <c r="L382" i="1"/>
  <c r="L366" i="1"/>
  <c r="L358" i="1"/>
  <c r="K339" i="1"/>
  <c r="I340" i="1" s="1"/>
  <c r="L339" i="1"/>
  <c r="K291" i="1"/>
  <c r="I292" i="1" s="1"/>
  <c r="L291" i="1"/>
  <c r="K227" i="1"/>
  <c r="I228" i="1" s="1"/>
  <c r="L227" i="1"/>
  <c r="K203" i="1"/>
  <c r="I204" i="1" s="1"/>
  <c r="L203" i="1"/>
  <c r="L154" i="1"/>
  <c r="L140" i="1"/>
  <c r="K235" i="1"/>
  <c r="I236" i="1" s="1"/>
  <c r="L235" i="1"/>
  <c r="P361" i="1"/>
  <c r="R361" i="1" s="1"/>
  <c r="P427" i="1"/>
  <c r="S427" i="1" s="1"/>
  <c r="P411" i="1"/>
  <c r="S411" i="1" s="1"/>
  <c r="P327" i="1"/>
  <c r="R327" i="1" s="1"/>
  <c r="P321" i="1"/>
  <c r="R321" i="1" s="1"/>
  <c r="P275" i="1"/>
  <c r="R275" i="1" s="1"/>
  <c r="P259" i="1"/>
  <c r="S259" i="1" s="1"/>
  <c r="P243" i="1"/>
  <c r="S243" i="1" s="1"/>
  <c r="P227" i="1"/>
  <c r="S227" i="1" s="1"/>
  <c r="P211" i="1"/>
  <c r="R211" i="1" s="1"/>
  <c r="P195" i="1"/>
  <c r="R195" i="1" s="1"/>
  <c r="P179" i="1"/>
  <c r="R179" i="1" s="1"/>
  <c r="P163" i="1"/>
  <c r="R163" i="1" s="1"/>
  <c r="P147" i="1"/>
  <c r="R147" i="1" s="1"/>
  <c r="P131" i="1"/>
  <c r="S131" i="1" s="1"/>
  <c r="L338" i="1"/>
  <c r="K329" i="1"/>
  <c r="I330" i="1" s="1"/>
  <c r="L294" i="1"/>
  <c r="K283" i="1"/>
  <c r="I284" i="1" s="1"/>
  <c r="L283" i="1"/>
  <c r="K279" i="1"/>
  <c r="I280" i="1" s="1"/>
  <c r="L230" i="1"/>
  <c r="L226" i="1"/>
  <c r="K219" i="1"/>
  <c r="I220" i="1" s="1"/>
  <c r="L219" i="1"/>
  <c r="K215" i="1"/>
  <c r="I216" i="1" s="1"/>
  <c r="L178" i="1"/>
  <c r="L164" i="1"/>
  <c r="K150" i="1"/>
  <c r="L150" i="1"/>
  <c r="K325" i="1"/>
  <c r="I326" i="1" s="1"/>
  <c r="L325" i="1"/>
  <c r="K275" i="1"/>
  <c r="I276" i="1" s="1"/>
  <c r="L275" i="1"/>
  <c r="K211" i="1"/>
  <c r="I212" i="1" s="1"/>
  <c r="L211" i="1"/>
  <c r="K174" i="1"/>
  <c r="L174" i="1"/>
  <c r="K319" i="1"/>
  <c r="I320" i="1" s="1"/>
  <c r="L319" i="1"/>
  <c r="K267" i="1"/>
  <c r="I268" i="1" s="1"/>
  <c r="L267" i="1"/>
  <c r="K198" i="1"/>
  <c r="L198" i="1"/>
  <c r="K299" i="1"/>
  <c r="I300" i="1" s="1"/>
  <c r="L299" i="1"/>
  <c r="P387" i="1"/>
  <c r="R387" i="1" s="1"/>
  <c r="P363" i="1"/>
  <c r="R363" i="1" s="1"/>
  <c r="P347" i="1"/>
  <c r="R347" i="1" s="1"/>
  <c r="L492" i="1"/>
  <c r="L466" i="1"/>
  <c r="L458" i="1"/>
  <c r="L442" i="1"/>
  <c r="L434" i="1"/>
  <c r="L426" i="1"/>
  <c r="L418" i="1"/>
  <c r="L410" i="1"/>
  <c r="L402" i="1"/>
  <c r="L394" i="1"/>
  <c r="L386" i="1"/>
  <c r="L378" i="1"/>
  <c r="L370" i="1"/>
  <c r="L362" i="1"/>
  <c r="L354" i="1"/>
  <c r="L346" i="1"/>
  <c r="L322" i="1"/>
  <c r="L270" i="1"/>
  <c r="K259" i="1"/>
  <c r="I260" i="1" s="1"/>
  <c r="L259" i="1"/>
  <c r="K158" i="1"/>
  <c r="L158" i="1"/>
  <c r="P309" i="1"/>
  <c r="R309" i="1" s="1"/>
  <c r="P425" i="1"/>
  <c r="R425" i="1" s="1"/>
  <c r="L375" i="1"/>
  <c r="L367" i="1"/>
  <c r="L359" i="1"/>
  <c r="L351" i="1"/>
  <c r="L343" i="1"/>
  <c r="L316" i="1"/>
  <c r="L314" i="1"/>
  <c r="K307" i="1"/>
  <c r="I308" i="1" s="1"/>
  <c r="L307" i="1"/>
  <c r="K305" i="1"/>
  <c r="I306" i="1" s="1"/>
  <c r="L262" i="1"/>
  <c r="L258" i="1"/>
  <c r="K251" i="1"/>
  <c r="I252" i="1" s="1"/>
  <c r="L251" i="1"/>
  <c r="K247" i="1"/>
  <c r="I248" i="1" s="1"/>
  <c r="K206" i="1"/>
  <c r="L206" i="1"/>
  <c r="L196" i="1"/>
  <c r="L132" i="1"/>
  <c r="K301" i="1"/>
  <c r="I302" i="1" s="1"/>
  <c r="L250" i="1"/>
  <c r="K243" i="1"/>
  <c r="I244" i="1" s="1"/>
  <c r="L243" i="1"/>
  <c r="K239" i="1"/>
  <c r="I240" i="1" s="1"/>
  <c r="L170" i="1"/>
  <c r="L156" i="1"/>
  <c r="K142" i="1"/>
  <c r="L142" i="1"/>
  <c r="L195" i="1"/>
  <c r="L187" i="1"/>
  <c r="L179" i="1"/>
  <c r="L171" i="1"/>
  <c r="L163" i="1"/>
  <c r="L155" i="1"/>
  <c r="L147" i="1"/>
  <c r="L139" i="1"/>
  <c r="L131" i="1"/>
  <c r="P461" i="1"/>
  <c r="S461" i="1" s="1"/>
  <c r="P445" i="1"/>
  <c r="R445" i="1" s="1"/>
  <c r="P403" i="1"/>
  <c r="S403" i="1" s="1"/>
  <c r="P399" i="1"/>
  <c r="R399" i="1" s="1"/>
  <c r="P395" i="1"/>
  <c r="R395" i="1" s="1"/>
  <c r="P383" i="1"/>
  <c r="R383" i="1" s="1"/>
  <c r="P365" i="1"/>
  <c r="R365" i="1" s="1"/>
  <c r="P335" i="1"/>
  <c r="R335" i="1" s="1"/>
  <c r="P349" i="1"/>
  <c r="S349" i="1" s="1"/>
  <c r="P431" i="1"/>
  <c r="R431" i="1" s="1"/>
  <c r="P345" i="1"/>
  <c r="R345" i="1" s="1"/>
  <c r="P297" i="1"/>
  <c r="R297" i="1" s="1"/>
  <c r="P353" i="1"/>
  <c r="R353" i="1" s="1"/>
  <c r="P463" i="1"/>
  <c r="S463" i="1" s="1"/>
  <c r="P447" i="1"/>
  <c r="R447" i="1" s="1"/>
  <c r="P409" i="1"/>
  <c r="R409" i="1" s="1"/>
  <c r="P319" i="1"/>
  <c r="R319" i="1" s="1"/>
  <c r="P469" i="1"/>
  <c r="S469" i="1" s="1"/>
  <c r="P397" i="1"/>
  <c r="R397" i="1" s="1"/>
  <c r="P393" i="1"/>
  <c r="R393" i="1" s="1"/>
  <c r="P389" i="1"/>
  <c r="R389" i="1" s="1"/>
  <c r="P333" i="1"/>
  <c r="S333" i="1" s="1"/>
  <c r="P331" i="1"/>
  <c r="R331" i="1" s="1"/>
  <c r="P261" i="1"/>
  <c r="S261" i="1" s="1"/>
  <c r="P245" i="1"/>
  <c r="R245" i="1" s="1"/>
  <c r="P229" i="1"/>
  <c r="R229" i="1" s="1"/>
  <c r="P213" i="1"/>
  <c r="R213" i="1" s="1"/>
  <c r="P197" i="1"/>
  <c r="R197" i="1" s="1"/>
  <c r="P181" i="1"/>
  <c r="R181" i="1" s="1"/>
  <c r="P165" i="1"/>
  <c r="R165" i="1" s="1"/>
  <c r="P149" i="1"/>
  <c r="R149" i="1" s="1"/>
  <c r="P133" i="1"/>
  <c r="R133" i="1" s="1"/>
  <c r="P417" i="1"/>
  <c r="R417" i="1" s="1"/>
  <c r="P413" i="1"/>
  <c r="R413" i="1" s="1"/>
  <c r="P379" i="1"/>
  <c r="R379" i="1" s="1"/>
  <c r="P465" i="1"/>
  <c r="R465" i="1" s="1"/>
  <c r="P449" i="1"/>
  <c r="R449" i="1" s="1"/>
  <c r="P433" i="1"/>
  <c r="R433" i="1" s="1"/>
  <c r="P419" i="1"/>
  <c r="R419" i="1" s="1"/>
  <c r="P407" i="1"/>
  <c r="R407" i="1" s="1"/>
  <c r="P377" i="1"/>
  <c r="R377" i="1" s="1"/>
  <c r="P355" i="1"/>
  <c r="R355" i="1" s="1"/>
  <c r="P351" i="1"/>
  <c r="R351" i="1" s="1"/>
  <c r="P323" i="1"/>
  <c r="R323" i="1" s="1"/>
  <c r="P301" i="1"/>
  <c r="R301" i="1" s="1"/>
  <c r="P273" i="1"/>
  <c r="R273" i="1" s="1"/>
  <c r="P257" i="1"/>
  <c r="R257" i="1" s="1"/>
  <c r="P241" i="1"/>
  <c r="R241" i="1" s="1"/>
  <c r="P225" i="1"/>
  <c r="S225" i="1" s="1"/>
  <c r="P209" i="1"/>
  <c r="S209" i="1" s="1"/>
  <c r="P193" i="1"/>
  <c r="R193" i="1" s="1"/>
  <c r="P177" i="1"/>
  <c r="R177" i="1" s="1"/>
  <c r="P161" i="1"/>
  <c r="S161" i="1" s="1"/>
  <c r="P145" i="1"/>
  <c r="S145" i="1" s="1"/>
  <c r="P467" i="1"/>
  <c r="S467" i="1" s="1"/>
  <c r="P337" i="1"/>
  <c r="R337" i="1" s="1"/>
  <c r="P457" i="1"/>
  <c r="S457" i="1" s="1"/>
  <c r="P441" i="1"/>
  <c r="S441" i="1" s="1"/>
  <c r="P401" i="1"/>
  <c r="R401" i="1" s="1"/>
  <c r="P371" i="1"/>
  <c r="R371" i="1" s="1"/>
  <c r="R325" i="1"/>
  <c r="P277" i="1"/>
  <c r="S277" i="1" s="1"/>
  <c r="P313" i="1"/>
  <c r="R313" i="1" s="1"/>
  <c r="P435" i="1"/>
  <c r="R435" i="1" s="1"/>
  <c r="P459" i="1"/>
  <c r="S459" i="1" s="1"/>
  <c r="P339" i="1"/>
  <c r="R339" i="1" s="1"/>
  <c r="P453" i="1"/>
  <c r="R453" i="1" s="1"/>
  <c r="P437" i="1"/>
  <c r="R437" i="1" s="1"/>
  <c r="P251" i="1"/>
  <c r="R251" i="1" s="1"/>
  <c r="P235" i="1"/>
  <c r="R235" i="1" s="1"/>
  <c r="P219" i="1"/>
  <c r="R219" i="1" s="1"/>
  <c r="P203" i="1"/>
  <c r="R203" i="1" s="1"/>
  <c r="P187" i="1"/>
  <c r="R187" i="1" s="1"/>
  <c r="P171" i="1"/>
  <c r="R171" i="1" s="1"/>
  <c r="P155" i="1"/>
  <c r="R155" i="1" s="1"/>
  <c r="P139" i="1"/>
  <c r="R139" i="1" s="1"/>
  <c r="P289" i="1"/>
  <c r="R289" i="1" s="1"/>
  <c r="P247" i="1"/>
  <c r="R247" i="1" s="1"/>
  <c r="P231" i="1"/>
  <c r="R231" i="1" s="1"/>
  <c r="P215" i="1"/>
  <c r="R215" i="1" s="1"/>
  <c r="P199" i="1"/>
  <c r="R199" i="1" s="1"/>
  <c r="P183" i="1"/>
  <c r="R183" i="1" s="1"/>
  <c r="P167" i="1"/>
  <c r="R167" i="1" s="1"/>
  <c r="P151" i="1"/>
  <c r="R151" i="1" s="1"/>
  <c r="P135" i="1"/>
  <c r="R135" i="1" s="1"/>
  <c r="P471" i="1"/>
  <c r="R471" i="1" s="1"/>
  <c r="P455" i="1"/>
  <c r="S455" i="1" s="1"/>
  <c r="P439" i="1"/>
  <c r="S439" i="1" s="1"/>
  <c r="P429" i="1"/>
  <c r="R429" i="1" s="1"/>
  <c r="P237" i="1"/>
  <c r="R237" i="1" s="1"/>
  <c r="P221" i="1"/>
  <c r="R221" i="1" s="1"/>
  <c r="P205" i="1"/>
  <c r="R205" i="1" s="1"/>
  <c r="P189" i="1"/>
  <c r="R189" i="1" s="1"/>
  <c r="P173" i="1"/>
  <c r="R173" i="1" s="1"/>
  <c r="P157" i="1"/>
  <c r="R157" i="1" s="1"/>
  <c r="P141" i="1"/>
  <c r="R141" i="1" s="1"/>
  <c r="P239" i="1"/>
  <c r="R239" i="1" s="1"/>
  <c r="P223" i="1"/>
  <c r="R223" i="1" s="1"/>
  <c r="P207" i="1"/>
  <c r="R207" i="1" s="1"/>
  <c r="P191" i="1"/>
  <c r="R191" i="1" s="1"/>
  <c r="P175" i="1"/>
  <c r="R175" i="1" s="1"/>
  <c r="P159" i="1"/>
  <c r="R159" i="1" s="1"/>
  <c r="P143" i="1"/>
  <c r="R143" i="1" s="1"/>
  <c r="R423" i="1"/>
  <c r="P293" i="1"/>
  <c r="R293" i="1" s="1"/>
  <c r="P287" i="1"/>
  <c r="R287" i="1" s="1"/>
  <c r="P271" i="1"/>
  <c r="R271" i="1" s="1"/>
  <c r="P255" i="1"/>
  <c r="R255" i="1" s="1"/>
  <c r="P295" i="1"/>
  <c r="R295" i="1" s="1"/>
  <c r="P283" i="1"/>
  <c r="R283" i="1" s="1"/>
  <c r="P267" i="1"/>
  <c r="R267" i="1" s="1"/>
  <c r="P299" i="1"/>
  <c r="P279" i="1"/>
  <c r="R279" i="1" s="1"/>
  <c r="P263" i="1"/>
  <c r="R263" i="1" s="1"/>
  <c r="R285" i="1"/>
  <c r="P269" i="1"/>
  <c r="R269" i="1" s="1"/>
  <c r="P253" i="1"/>
  <c r="R253" i="1" s="1"/>
  <c r="L82" i="1"/>
  <c r="K83" i="1"/>
  <c r="L83" i="1"/>
  <c r="N50" i="1"/>
  <c r="O50" i="1"/>
  <c r="Q50" i="1"/>
  <c r="N52" i="1"/>
  <c r="O52" i="1"/>
  <c r="Q52" i="1"/>
  <c r="N54" i="1"/>
  <c r="O54" i="1"/>
  <c r="Q54" i="1"/>
  <c r="N56" i="1"/>
  <c r="O56" i="1"/>
  <c r="Q56" i="1"/>
  <c r="N58" i="1"/>
  <c r="O58" i="1"/>
  <c r="Q58" i="1"/>
  <c r="N60" i="1"/>
  <c r="O60" i="1"/>
  <c r="Q60" i="1"/>
  <c r="N62" i="1"/>
  <c r="O62" i="1"/>
  <c r="Q62" i="1"/>
  <c r="N64" i="1"/>
  <c r="O64" i="1"/>
  <c r="Q64" i="1"/>
  <c r="N66" i="1"/>
  <c r="O66" i="1"/>
  <c r="Q66" i="1"/>
  <c r="N68" i="1"/>
  <c r="O68" i="1"/>
  <c r="Q68" i="1"/>
  <c r="N70" i="1"/>
  <c r="O70" i="1"/>
  <c r="Q70" i="1"/>
  <c r="N72" i="1"/>
  <c r="O72" i="1"/>
  <c r="Q72" i="1"/>
  <c r="N74" i="1"/>
  <c r="O74" i="1"/>
  <c r="Q74" i="1"/>
  <c r="N76" i="1"/>
  <c r="O76" i="1"/>
  <c r="Q76" i="1"/>
  <c r="N78" i="1"/>
  <c r="O78" i="1"/>
  <c r="Q78" i="1"/>
  <c r="N80" i="1"/>
  <c r="O80" i="1"/>
  <c r="Q80" i="1"/>
  <c r="N82" i="1"/>
  <c r="O82" i="1"/>
  <c r="Q82" i="1"/>
  <c r="N84" i="1"/>
  <c r="O84" i="1"/>
  <c r="Q84" i="1"/>
  <c r="N86" i="1"/>
  <c r="O86" i="1"/>
  <c r="Q86" i="1"/>
  <c r="N88" i="1"/>
  <c r="O88" i="1"/>
  <c r="Q88" i="1"/>
  <c r="N90" i="1"/>
  <c r="O90" i="1"/>
  <c r="Q90" i="1"/>
  <c r="N92" i="1"/>
  <c r="O92" i="1"/>
  <c r="Q92" i="1"/>
  <c r="N94" i="1"/>
  <c r="O94" i="1"/>
  <c r="Q94" i="1"/>
  <c r="N96" i="1"/>
  <c r="O96" i="1"/>
  <c r="Q96" i="1"/>
  <c r="N98" i="1"/>
  <c r="O98" i="1"/>
  <c r="Q98" i="1"/>
  <c r="N100" i="1"/>
  <c r="O100" i="1"/>
  <c r="Q100" i="1"/>
  <c r="N102" i="1"/>
  <c r="O102" i="1"/>
  <c r="Q102" i="1"/>
  <c r="N104" i="1"/>
  <c r="O104" i="1"/>
  <c r="Q104" i="1"/>
  <c r="N106" i="1"/>
  <c r="O106" i="1"/>
  <c r="Q106" i="1"/>
  <c r="N108" i="1"/>
  <c r="O108" i="1"/>
  <c r="Q108" i="1"/>
  <c r="N110" i="1"/>
  <c r="O110" i="1"/>
  <c r="Q110" i="1"/>
  <c r="N112" i="1"/>
  <c r="O112" i="1"/>
  <c r="Q112" i="1"/>
  <c r="N114" i="1"/>
  <c r="O114" i="1"/>
  <c r="Q114" i="1"/>
  <c r="N116" i="1"/>
  <c r="O116" i="1"/>
  <c r="Q116" i="1"/>
  <c r="N118" i="1"/>
  <c r="O118" i="1"/>
  <c r="Q118" i="1"/>
  <c r="N120" i="1"/>
  <c r="O120" i="1"/>
  <c r="Q120" i="1"/>
  <c r="N122" i="1"/>
  <c r="O122" i="1"/>
  <c r="Q122" i="1"/>
  <c r="Q48" i="1"/>
  <c r="O48" i="1"/>
  <c r="N48" i="1"/>
  <c r="I50" i="1"/>
  <c r="I52" i="1"/>
  <c r="I54" i="1"/>
  <c r="I56" i="1"/>
  <c r="I58" i="1"/>
  <c r="I60" i="1"/>
  <c r="I62" i="1"/>
  <c r="I64" i="1"/>
  <c r="I66" i="1"/>
  <c r="I68" i="1"/>
  <c r="I70" i="1"/>
  <c r="I72" i="1"/>
  <c r="I74" i="1"/>
  <c r="I76" i="1"/>
  <c r="I78" i="1"/>
  <c r="I80" i="1"/>
  <c r="I84" i="1"/>
  <c r="I86" i="1"/>
  <c r="I88" i="1"/>
  <c r="I90" i="1"/>
  <c r="I92" i="1"/>
  <c r="I94" i="1"/>
  <c r="I96" i="1"/>
  <c r="I98" i="1"/>
  <c r="I100" i="1"/>
  <c r="I102" i="1"/>
  <c r="I106" i="1"/>
  <c r="I108" i="1"/>
  <c r="I110" i="1"/>
  <c r="I112" i="1"/>
  <c r="I114" i="1"/>
  <c r="I116" i="1"/>
  <c r="I118" i="1"/>
  <c r="I120" i="1"/>
  <c r="I122" i="1"/>
  <c r="N32" i="1"/>
  <c r="O32" i="1"/>
  <c r="Q32" i="1"/>
  <c r="I30" i="1"/>
  <c r="I28" i="1"/>
  <c r="I26" i="1"/>
  <c r="N24" i="1"/>
  <c r="O24" i="1"/>
  <c r="Q24" i="1"/>
  <c r="N26" i="1"/>
  <c r="O26" i="1"/>
  <c r="Q26" i="1"/>
  <c r="N28" i="1"/>
  <c r="O28" i="1"/>
  <c r="Q28" i="1"/>
  <c r="N30" i="1"/>
  <c r="O30" i="1"/>
  <c r="Q30" i="1"/>
  <c r="I24" i="1"/>
  <c r="N22" i="1"/>
  <c r="O22" i="1"/>
  <c r="Q22" i="1"/>
  <c r="I22" i="1"/>
  <c r="Q20" i="1"/>
  <c r="O20" i="1"/>
  <c r="N20" i="1"/>
  <c r="N13" i="1"/>
  <c r="O13" i="1"/>
  <c r="Q13" i="1"/>
  <c r="I13" i="1"/>
  <c r="N7" i="1"/>
  <c r="O7" i="1"/>
  <c r="Q7" i="1"/>
  <c r="N11" i="1"/>
  <c r="O11" i="1"/>
  <c r="Q11" i="1"/>
  <c r="Q9" i="1"/>
  <c r="O9" i="1"/>
  <c r="N9" i="1"/>
  <c r="S471" i="1" l="1"/>
  <c r="P30" i="1"/>
  <c r="P11" i="1"/>
  <c r="P9" i="1"/>
  <c r="P7" i="1"/>
  <c r="P90" i="1"/>
  <c r="R90" i="1" s="1"/>
  <c r="P48" i="1"/>
  <c r="P13" i="1"/>
  <c r="R13" i="1" s="1"/>
  <c r="P20" i="1"/>
  <c r="P32" i="1"/>
  <c r="R32" i="1" s="1"/>
  <c r="K474" i="1"/>
  <c r="L474" i="1"/>
  <c r="L44" i="1"/>
  <c r="S315" i="1"/>
  <c r="R405" i="1"/>
  <c r="S311" i="1"/>
  <c r="R43" i="1"/>
  <c r="J10" i="7" s="1"/>
  <c r="H10" i="7"/>
  <c r="S43" i="1"/>
  <c r="K10" i="7" s="1"/>
  <c r="L16" i="1"/>
  <c r="H12" i="7"/>
  <c r="F12" i="7"/>
  <c r="S359" i="1"/>
  <c r="L350" i="1"/>
  <c r="H11" i="7"/>
  <c r="R124" i="1"/>
  <c r="J11" i="7" s="1"/>
  <c r="S124" i="1"/>
  <c r="K11" i="7" s="1"/>
  <c r="K288" i="1"/>
  <c r="K420" i="1"/>
  <c r="K372" i="1"/>
  <c r="K336" i="1"/>
  <c r="S385" i="1"/>
  <c r="S307" i="1"/>
  <c r="S357" i="1"/>
  <c r="S201" i="1"/>
  <c r="S163" i="1"/>
  <c r="K412" i="1"/>
  <c r="R367" i="1"/>
  <c r="S265" i="1"/>
  <c r="L238" i="1"/>
  <c r="K272" i="1"/>
  <c r="S329" i="1"/>
  <c r="S233" i="1"/>
  <c r="S275" i="1"/>
  <c r="L374" i="1"/>
  <c r="L134" i="1"/>
  <c r="K168" i="1"/>
  <c r="S365" i="1"/>
  <c r="R427" i="1"/>
  <c r="S341" i="1"/>
  <c r="S445" i="1"/>
  <c r="S391" i="1"/>
  <c r="L290" i="1"/>
  <c r="S153" i="1"/>
  <c r="K318" i="1"/>
  <c r="L450" i="1"/>
  <c r="K190" i="1"/>
  <c r="S281" i="1"/>
  <c r="S185" i="1"/>
  <c r="K264" i="1"/>
  <c r="R451" i="1"/>
  <c r="S305" i="1"/>
  <c r="K200" i="1"/>
  <c r="K224" i="1"/>
  <c r="K192" i="1"/>
  <c r="R243" i="1"/>
  <c r="L146" i="1"/>
  <c r="R415" i="1"/>
  <c r="S213" i="1"/>
  <c r="R421" i="1"/>
  <c r="K396" i="1"/>
  <c r="K380" i="1"/>
  <c r="S303" i="1"/>
  <c r="R343" i="1"/>
  <c r="L176" i="1"/>
  <c r="R461" i="1"/>
  <c r="S447" i="1"/>
  <c r="K348" i="1"/>
  <c r="L152" i="1"/>
  <c r="S413" i="1"/>
  <c r="S435" i="1"/>
  <c r="S355" i="1"/>
  <c r="K444" i="1"/>
  <c r="S443" i="1"/>
  <c r="L304" i="1"/>
  <c r="L438" i="1"/>
  <c r="S379" i="1"/>
  <c r="S381" i="1"/>
  <c r="S133" i="1"/>
  <c r="K428" i="1"/>
  <c r="S273" i="1"/>
  <c r="K388" i="1"/>
  <c r="K232" i="1"/>
  <c r="S249" i="1"/>
  <c r="S211" i="1"/>
  <c r="R411" i="1"/>
  <c r="S465" i="1"/>
  <c r="S331" i="1"/>
  <c r="S317" i="1"/>
  <c r="S319" i="1"/>
  <c r="L202" i="1"/>
  <c r="K356" i="1"/>
  <c r="S137" i="1"/>
  <c r="L184" i="1"/>
  <c r="R459" i="1"/>
  <c r="S431" i="1"/>
  <c r="S291" i="1"/>
  <c r="S433" i="1"/>
  <c r="S373" i="1"/>
  <c r="S449" i="1"/>
  <c r="L136" i="1"/>
  <c r="L160" i="1"/>
  <c r="S217" i="1"/>
  <c r="R333" i="1"/>
  <c r="L182" i="1"/>
  <c r="K436" i="1"/>
  <c r="S337" i="1"/>
  <c r="R227" i="1"/>
  <c r="S169" i="1"/>
  <c r="R403" i="1"/>
  <c r="R467" i="1"/>
  <c r="S369" i="1"/>
  <c r="K460" i="1"/>
  <c r="L310" i="1"/>
  <c r="S375" i="1"/>
  <c r="L468" i="1"/>
  <c r="K468" i="1"/>
  <c r="S377" i="1"/>
  <c r="S301" i="1"/>
  <c r="S393" i="1"/>
  <c r="R161" i="1"/>
  <c r="S321" i="1"/>
  <c r="R225" i="1"/>
  <c r="L278" i="1"/>
  <c r="S195" i="1"/>
  <c r="S387" i="1"/>
  <c r="K404" i="1"/>
  <c r="K256" i="1"/>
  <c r="S187" i="1"/>
  <c r="S327" i="1"/>
  <c r="K208" i="1"/>
  <c r="L452" i="1"/>
  <c r="K452" i="1"/>
  <c r="S207" i="1"/>
  <c r="S407" i="1"/>
  <c r="S417" i="1"/>
  <c r="S241" i="1"/>
  <c r="S419" i="1"/>
  <c r="R441" i="1"/>
  <c r="K296" i="1"/>
  <c r="S401" i="1"/>
  <c r="S353" i="1"/>
  <c r="L364" i="1"/>
  <c r="K364" i="1"/>
  <c r="R349" i="1"/>
  <c r="S347" i="1"/>
  <c r="S313" i="1"/>
  <c r="L312" i="1"/>
  <c r="K312" i="1"/>
  <c r="S297" i="1"/>
  <c r="R277" i="1"/>
  <c r="R261" i="1"/>
  <c r="S251" i="1"/>
  <c r="S239" i="1"/>
  <c r="S235" i="1"/>
  <c r="S179" i="1"/>
  <c r="S155" i="1"/>
  <c r="S149" i="1"/>
  <c r="S147" i="1"/>
  <c r="L144" i="1"/>
  <c r="K244" i="1"/>
  <c r="L244" i="1"/>
  <c r="K384" i="1"/>
  <c r="L384" i="1"/>
  <c r="K456" i="1"/>
  <c r="L456" i="1"/>
  <c r="K392" i="1"/>
  <c r="L392" i="1"/>
  <c r="S193" i="1"/>
  <c r="S361" i="1"/>
  <c r="S363" i="1"/>
  <c r="S245" i="1"/>
  <c r="K252" i="1"/>
  <c r="L252" i="1"/>
  <c r="L326" i="1"/>
  <c r="K326" i="1"/>
  <c r="L220" i="1"/>
  <c r="K220" i="1"/>
  <c r="K204" i="1"/>
  <c r="L204" i="1"/>
  <c r="K340" i="1"/>
  <c r="L340" i="1"/>
  <c r="K276" i="1"/>
  <c r="L276" i="1"/>
  <c r="S335" i="1"/>
  <c r="K448" i="1"/>
  <c r="L448" i="1"/>
  <c r="K400" i="1"/>
  <c r="L400" i="1"/>
  <c r="K408" i="1"/>
  <c r="L408" i="1"/>
  <c r="K472" i="1"/>
  <c r="L472" i="1"/>
  <c r="K320" i="1"/>
  <c r="L320" i="1"/>
  <c r="S345" i="1"/>
  <c r="R131" i="1"/>
  <c r="R259" i="1"/>
  <c r="L302" i="1"/>
  <c r="K302" i="1"/>
  <c r="L330" i="1"/>
  <c r="K330" i="1"/>
  <c r="K236" i="1"/>
  <c r="L236" i="1"/>
  <c r="K228" i="1"/>
  <c r="L228" i="1"/>
  <c r="K260" i="1"/>
  <c r="L260" i="1"/>
  <c r="L284" i="1"/>
  <c r="K284" i="1"/>
  <c r="R439" i="1"/>
  <c r="S389" i="1"/>
  <c r="S191" i="1"/>
  <c r="S257" i="1"/>
  <c r="S309" i="1"/>
  <c r="R469" i="1"/>
  <c r="R463" i="1"/>
  <c r="S203" i="1"/>
  <c r="S409" i="1"/>
  <c r="L306" i="1"/>
  <c r="K306" i="1"/>
  <c r="K416" i="1"/>
  <c r="L416" i="1"/>
  <c r="K464" i="1"/>
  <c r="L464" i="1"/>
  <c r="K424" i="1"/>
  <c r="L424" i="1"/>
  <c r="L248" i="1"/>
  <c r="K248" i="1"/>
  <c r="L216" i="1"/>
  <c r="K216" i="1"/>
  <c r="S159" i="1"/>
  <c r="S437" i="1"/>
  <c r="S351" i="1"/>
  <c r="S197" i="1"/>
  <c r="S425" i="1"/>
  <c r="S395" i="1"/>
  <c r="K300" i="1"/>
  <c r="L300" i="1"/>
  <c r="K268" i="1"/>
  <c r="L268" i="1"/>
  <c r="L212" i="1"/>
  <c r="K212" i="1"/>
  <c r="L280" i="1"/>
  <c r="K280" i="1"/>
  <c r="S223" i="1"/>
  <c r="S219" i="1"/>
  <c r="L240" i="1"/>
  <c r="K240" i="1"/>
  <c r="K308" i="1"/>
  <c r="L308" i="1"/>
  <c r="K292" i="1"/>
  <c r="L292" i="1"/>
  <c r="K432" i="1"/>
  <c r="L432" i="1"/>
  <c r="K440" i="1"/>
  <c r="L440" i="1"/>
  <c r="R145" i="1"/>
  <c r="S399" i="1"/>
  <c r="S177" i="1"/>
  <c r="S229" i="1"/>
  <c r="S165" i="1"/>
  <c r="S323" i="1"/>
  <c r="S181" i="1"/>
  <c r="S139" i="1"/>
  <c r="S429" i="1"/>
  <c r="R455" i="1"/>
  <c r="R209" i="1"/>
  <c r="S371" i="1"/>
  <c r="S383" i="1"/>
  <c r="S453" i="1"/>
  <c r="S171" i="1"/>
  <c r="S325" i="1"/>
  <c r="S221" i="1"/>
  <c r="S397" i="1"/>
  <c r="S339" i="1"/>
  <c r="S247" i="1"/>
  <c r="S173" i="1"/>
  <c r="S135" i="1"/>
  <c r="S199" i="1"/>
  <c r="S189" i="1"/>
  <c r="S151" i="1"/>
  <c r="S215" i="1"/>
  <c r="S255" i="1"/>
  <c r="S143" i="1"/>
  <c r="S271" i="1"/>
  <c r="S287" i="1"/>
  <c r="S141" i="1"/>
  <c r="S205" i="1"/>
  <c r="S167" i="1"/>
  <c r="S231" i="1"/>
  <c r="R457" i="1"/>
  <c r="S175" i="1"/>
  <c r="S289" i="1"/>
  <c r="S157" i="1"/>
  <c r="S183" i="1"/>
  <c r="S237" i="1"/>
  <c r="S263" i="1"/>
  <c r="S279" i="1"/>
  <c r="S295" i="1"/>
  <c r="S293" i="1"/>
  <c r="R299" i="1"/>
  <c r="S299" i="1"/>
  <c r="S267" i="1"/>
  <c r="S253" i="1"/>
  <c r="S269" i="1"/>
  <c r="S283" i="1"/>
  <c r="S285" i="1"/>
  <c r="P84" i="1"/>
  <c r="R84" i="1" s="1"/>
  <c r="P68" i="1"/>
  <c r="S68" i="1" s="1"/>
  <c r="P110" i="1"/>
  <c r="R110" i="1" s="1"/>
  <c r="P94" i="1"/>
  <c r="S94" i="1" s="1"/>
  <c r="P78" i="1"/>
  <c r="S78" i="1" s="1"/>
  <c r="P118" i="1"/>
  <c r="S118" i="1" s="1"/>
  <c r="P102" i="1"/>
  <c r="R102" i="1" s="1"/>
  <c r="P86" i="1"/>
  <c r="R86" i="1" s="1"/>
  <c r="P116" i="1"/>
  <c r="R116" i="1" s="1"/>
  <c r="P100" i="1"/>
  <c r="R100" i="1" s="1"/>
  <c r="P108" i="1"/>
  <c r="R108" i="1" s="1"/>
  <c r="P92" i="1"/>
  <c r="S92" i="1" s="1"/>
  <c r="P60" i="1"/>
  <c r="S60" i="1" s="1"/>
  <c r="P96" i="1"/>
  <c r="S96" i="1" s="1"/>
  <c r="P80" i="1"/>
  <c r="R80" i="1" s="1"/>
  <c r="P64" i="1"/>
  <c r="S64" i="1" s="1"/>
  <c r="P106" i="1"/>
  <c r="S106" i="1" s="1"/>
  <c r="P74" i="1"/>
  <c r="R74" i="1" s="1"/>
  <c r="P58" i="1"/>
  <c r="S58" i="1" s="1"/>
  <c r="P112" i="1"/>
  <c r="R112" i="1" s="1"/>
  <c r="P88" i="1"/>
  <c r="R88" i="1" s="1"/>
  <c r="P72" i="1"/>
  <c r="R72" i="1" s="1"/>
  <c r="P122" i="1"/>
  <c r="S122" i="1" s="1"/>
  <c r="P120" i="1"/>
  <c r="R120" i="1" s="1"/>
  <c r="P104" i="1"/>
  <c r="R104" i="1" s="1"/>
  <c r="P56" i="1"/>
  <c r="S56" i="1" s="1"/>
  <c r="P66" i="1"/>
  <c r="R66" i="1" s="1"/>
  <c r="P50" i="1"/>
  <c r="S50" i="1" s="1"/>
  <c r="P114" i="1"/>
  <c r="R114" i="1" s="1"/>
  <c r="P98" i="1"/>
  <c r="R98" i="1" s="1"/>
  <c r="P70" i="1"/>
  <c r="R70" i="1" s="1"/>
  <c r="P82" i="1"/>
  <c r="S82" i="1" s="1"/>
  <c r="P76" i="1"/>
  <c r="R76" i="1" s="1"/>
  <c r="P62" i="1"/>
  <c r="R62" i="1" s="1"/>
  <c r="P54" i="1"/>
  <c r="R54" i="1" s="1"/>
  <c r="P52" i="1"/>
  <c r="R52" i="1" s="1"/>
  <c r="P26" i="1"/>
  <c r="S26" i="1" s="1"/>
  <c r="R30" i="1"/>
  <c r="P28" i="1"/>
  <c r="R28" i="1" s="1"/>
  <c r="P24" i="1"/>
  <c r="R24" i="1" s="1"/>
  <c r="P22" i="1"/>
  <c r="R22" i="1" s="1"/>
  <c r="R7" i="1"/>
  <c r="R11" i="1"/>
  <c r="S493" i="1" l="1"/>
  <c r="K12" i="7" s="1"/>
  <c r="R493" i="1"/>
  <c r="J12" i="7" s="1"/>
  <c r="R94" i="1"/>
  <c r="S84" i="1"/>
  <c r="R68" i="1"/>
  <c r="R78" i="1"/>
  <c r="S110" i="1"/>
  <c r="S72" i="1"/>
  <c r="R118" i="1"/>
  <c r="S102" i="1"/>
  <c r="R82" i="1"/>
  <c r="R92" i="1"/>
  <c r="S86" i="1"/>
  <c r="S70" i="1"/>
  <c r="R122" i="1"/>
  <c r="S66" i="1"/>
  <c r="S52" i="1"/>
  <c r="R60" i="1"/>
  <c r="R58" i="1"/>
  <c r="S74" i="1"/>
  <c r="S54" i="1"/>
  <c r="R56" i="1"/>
  <c r="S80" i="1"/>
  <c r="R96" i="1"/>
  <c r="S88" i="1"/>
  <c r="S112" i="1"/>
  <c r="R50" i="1"/>
  <c r="S104" i="1"/>
  <c r="S120" i="1"/>
  <c r="S116" i="1"/>
  <c r="S108" i="1"/>
  <c r="R106" i="1"/>
  <c r="S100" i="1"/>
  <c r="S90" i="1"/>
  <c r="R64" i="1"/>
  <c r="S13" i="1"/>
  <c r="S114" i="1"/>
  <c r="S98" i="1"/>
  <c r="S76" i="1"/>
  <c r="S62" i="1"/>
  <c r="R26" i="1"/>
  <c r="S7" i="1"/>
  <c r="S32" i="1"/>
  <c r="S30" i="1"/>
  <c r="S24" i="1"/>
  <c r="S28" i="1"/>
  <c r="S22" i="1"/>
  <c r="S11" i="1"/>
  <c r="I817" i="9" l="1"/>
  <c r="K817" i="9"/>
  <c r="H817" i="9"/>
  <c r="N817" i="9"/>
  <c r="E818" i="9"/>
  <c r="E817" i="9"/>
  <c r="L596" i="1"/>
  <c r="M816" i="9" s="1"/>
  <c r="H818" i="9"/>
  <c r="I818" i="9"/>
  <c r="K818" i="9"/>
  <c r="K596" i="1" l="1"/>
  <c r="L816" i="9" s="1"/>
  <c r="I597" i="1" l="1"/>
  <c r="L818" i="9" l="1"/>
  <c r="M818" i="9"/>
  <c r="J818" i="9"/>
  <c r="I753" i="9"/>
  <c r="K753" i="9"/>
  <c r="N753" i="9"/>
  <c r="I754" i="9"/>
  <c r="K754" i="9"/>
  <c r="N754" i="9"/>
  <c r="H754" i="9"/>
  <c r="H753" i="9"/>
  <c r="E753" i="9"/>
  <c r="E754" i="9"/>
  <c r="I750" i="9"/>
  <c r="K750" i="9"/>
  <c r="N750" i="9"/>
  <c r="I751" i="9"/>
  <c r="K751" i="9"/>
  <c r="N751" i="9"/>
  <c r="H751" i="9"/>
  <c r="H750" i="9"/>
  <c r="E752" i="9"/>
  <c r="E751" i="9"/>
  <c r="E750" i="9"/>
  <c r="L597" i="1" l="1"/>
  <c r="E667" i="9"/>
  <c r="E664" i="9"/>
  <c r="E661" i="9"/>
  <c r="E658" i="9"/>
  <c r="E655" i="9"/>
  <c r="E652" i="9"/>
  <c r="E649" i="9"/>
  <c r="E646" i="9"/>
  <c r="E643" i="9"/>
  <c r="E640" i="9"/>
  <c r="E637" i="9"/>
  <c r="E634" i="9"/>
  <c r="E631" i="9"/>
  <c r="E628" i="9"/>
  <c r="E625" i="9"/>
  <c r="E622" i="9"/>
  <c r="E619" i="9"/>
  <c r="E616" i="9"/>
  <c r="E613" i="9"/>
  <c r="E610" i="9"/>
  <c r="E607" i="9"/>
  <c r="E604" i="9"/>
  <c r="E601" i="9"/>
  <c r="E598" i="9"/>
  <c r="M817" i="9" l="1"/>
  <c r="J817" i="9"/>
  <c r="K597" i="1"/>
  <c r="L817" i="9" s="1"/>
  <c r="E595" i="9"/>
  <c r="E592" i="9"/>
  <c r="E589" i="9"/>
  <c r="E586" i="9"/>
  <c r="E583" i="9"/>
  <c r="E580" i="9"/>
  <c r="E577" i="9"/>
  <c r="E574" i="9"/>
  <c r="E571" i="9"/>
  <c r="E568" i="9"/>
  <c r="E567" i="9"/>
  <c r="H542" i="9" l="1"/>
  <c r="H543" i="9"/>
  <c r="H545" i="9"/>
  <c r="H546" i="9"/>
  <c r="H548" i="9"/>
  <c r="H549" i="9"/>
  <c r="H551" i="9"/>
  <c r="H552" i="9"/>
  <c r="H554" i="9"/>
  <c r="H555" i="9"/>
  <c r="H557" i="9"/>
  <c r="H558" i="9"/>
  <c r="H560" i="9"/>
  <c r="H561" i="9"/>
  <c r="H563" i="9"/>
  <c r="H564" i="9"/>
  <c r="H566" i="9"/>
  <c r="H567" i="9"/>
  <c r="H569" i="9"/>
  <c r="H570" i="9"/>
  <c r="H572" i="9"/>
  <c r="H573" i="9"/>
  <c r="H575" i="9"/>
  <c r="H576" i="9"/>
  <c r="H578" i="9"/>
  <c r="H579" i="9"/>
  <c r="H581" i="9"/>
  <c r="H582" i="9"/>
  <c r="H584" i="9"/>
  <c r="H585" i="9"/>
  <c r="H587" i="9"/>
  <c r="H588" i="9"/>
  <c r="H590" i="9"/>
  <c r="H591" i="9"/>
  <c r="H593" i="9"/>
  <c r="H594" i="9"/>
  <c r="H596" i="9"/>
  <c r="H597" i="9"/>
  <c r="H599" i="9"/>
  <c r="H600" i="9"/>
  <c r="H602" i="9"/>
  <c r="H603" i="9"/>
  <c r="H605" i="9"/>
  <c r="H606" i="9"/>
  <c r="H608" i="9"/>
  <c r="H609" i="9"/>
  <c r="H611" i="9"/>
  <c r="H612" i="9"/>
  <c r="H614" i="9"/>
  <c r="H615" i="9"/>
  <c r="H617" i="9"/>
  <c r="H618" i="9"/>
  <c r="H620" i="9"/>
  <c r="H621" i="9"/>
  <c r="H623" i="9"/>
  <c r="H624" i="9"/>
  <c r="H626" i="9"/>
  <c r="H627" i="9"/>
  <c r="H629" i="9"/>
  <c r="H630" i="9"/>
  <c r="H632" i="9"/>
  <c r="H633" i="9"/>
  <c r="H635" i="9"/>
  <c r="H636" i="9"/>
  <c r="H638" i="9"/>
  <c r="H639" i="9"/>
  <c r="H641" i="9"/>
  <c r="H642" i="9"/>
  <c r="H644" i="9"/>
  <c r="H645" i="9"/>
  <c r="H647" i="9"/>
  <c r="H648" i="9"/>
  <c r="H650" i="9"/>
  <c r="H651" i="9"/>
  <c r="H653" i="9"/>
  <c r="H654" i="9"/>
  <c r="H656" i="9"/>
  <c r="H657" i="9"/>
  <c r="H659" i="9"/>
  <c r="H660" i="9"/>
  <c r="H662" i="9"/>
  <c r="H663" i="9"/>
  <c r="H665" i="9"/>
  <c r="H666" i="9"/>
  <c r="H669" i="9"/>
  <c r="H670" i="9"/>
  <c r="H672" i="9"/>
  <c r="H673" i="9"/>
  <c r="H675" i="9"/>
  <c r="H676" i="9"/>
  <c r="H678" i="9"/>
  <c r="H679" i="9"/>
  <c r="H681" i="9"/>
  <c r="H682" i="9"/>
  <c r="H684" i="9"/>
  <c r="H685" i="9"/>
  <c r="H687" i="9"/>
  <c r="H688" i="9"/>
  <c r="H690" i="9"/>
  <c r="H691" i="9"/>
  <c r="H693" i="9"/>
  <c r="H694" i="9"/>
  <c r="H696" i="9"/>
  <c r="H697" i="9"/>
  <c r="H699" i="9"/>
  <c r="H700" i="9"/>
  <c r="H702" i="9"/>
  <c r="H703" i="9"/>
  <c r="H705" i="9"/>
  <c r="H706" i="9"/>
  <c r="H708" i="9"/>
  <c r="H709" i="9"/>
  <c r="H711" i="9"/>
  <c r="H712" i="9"/>
  <c r="H714" i="9"/>
  <c r="H715" i="9"/>
  <c r="H717" i="9"/>
  <c r="H718" i="9"/>
  <c r="H720" i="9"/>
  <c r="H721" i="9"/>
  <c r="H723" i="9"/>
  <c r="H724" i="9"/>
  <c r="H726" i="9"/>
  <c r="H727" i="9"/>
  <c r="H729" i="9"/>
  <c r="H730" i="9"/>
  <c r="H732" i="9"/>
  <c r="H733" i="9"/>
  <c r="H735" i="9"/>
  <c r="H736" i="9"/>
  <c r="H738" i="9"/>
  <c r="H739" i="9"/>
  <c r="H741" i="9"/>
  <c r="H742" i="9"/>
  <c r="H744" i="9"/>
  <c r="H745" i="9"/>
  <c r="H747" i="9"/>
  <c r="H748" i="9"/>
  <c r="H759" i="9"/>
  <c r="H760" i="9"/>
  <c r="H762" i="9"/>
  <c r="H763" i="9"/>
  <c r="H765" i="9"/>
  <c r="H766" i="9"/>
  <c r="H768" i="9"/>
  <c r="H769" i="9"/>
  <c r="H771" i="9"/>
  <c r="H772" i="9"/>
  <c r="H774" i="9"/>
  <c r="H775" i="9"/>
  <c r="H777" i="9"/>
  <c r="H778" i="9"/>
  <c r="H780" i="9"/>
  <c r="H781" i="9"/>
  <c r="H783" i="9"/>
  <c r="H784" i="9"/>
  <c r="H786" i="9"/>
  <c r="H787" i="9"/>
  <c r="H789" i="9"/>
  <c r="H790" i="9"/>
  <c r="H792" i="9"/>
  <c r="H793" i="9"/>
  <c r="H795" i="9"/>
  <c r="H796" i="9"/>
  <c r="H798" i="9"/>
  <c r="H799" i="9"/>
  <c r="H801" i="9"/>
  <c r="H802" i="9"/>
  <c r="H804" i="9"/>
  <c r="H805" i="9"/>
  <c r="H807" i="9"/>
  <c r="H808" i="9"/>
  <c r="H810" i="9"/>
  <c r="H811" i="9"/>
  <c r="H813" i="9"/>
  <c r="H814" i="9"/>
  <c r="H831" i="9"/>
  <c r="H832" i="9"/>
  <c r="H834" i="9"/>
  <c r="H835" i="9"/>
  <c r="H837" i="9"/>
  <c r="H838" i="9"/>
  <c r="H840" i="9"/>
  <c r="H841" i="9"/>
  <c r="H843" i="9"/>
  <c r="H844" i="9"/>
  <c r="H847" i="9"/>
  <c r="H848" i="9"/>
  <c r="H850" i="9"/>
  <c r="H851" i="9"/>
  <c r="H853" i="9"/>
  <c r="H854" i="9"/>
  <c r="H856" i="9"/>
  <c r="H857" i="9"/>
  <c r="H859" i="9"/>
  <c r="H860" i="9"/>
  <c r="H497" i="9"/>
  <c r="I554" i="9"/>
  <c r="K554" i="9"/>
  <c r="N554" i="9"/>
  <c r="I555" i="9"/>
  <c r="K555" i="9"/>
  <c r="N555" i="9"/>
  <c r="I551" i="9"/>
  <c r="K551" i="9"/>
  <c r="N551" i="9"/>
  <c r="I552" i="9"/>
  <c r="K552" i="9"/>
  <c r="N552" i="9"/>
  <c r="I548" i="9"/>
  <c r="K548" i="9"/>
  <c r="N548" i="9"/>
  <c r="I549" i="9"/>
  <c r="K549" i="9"/>
  <c r="N549" i="9"/>
  <c r="I509" i="9"/>
  <c r="K509" i="9"/>
  <c r="N509" i="9"/>
  <c r="I510" i="9"/>
  <c r="K510" i="9"/>
  <c r="N510" i="9"/>
  <c r="H510" i="9"/>
  <c r="H509" i="9"/>
  <c r="I506" i="9"/>
  <c r="K506" i="9"/>
  <c r="N506" i="9"/>
  <c r="I507" i="9"/>
  <c r="K507" i="9"/>
  <c r="N507" i="9"/>
  <c r="H507" i="9"/>
  <c r="H506" i="9"/>
  <c r="I503" i="9"/>
  <c r="K503" i="9"/>
  <c r="N503" i="9"/>
  <c r="I504" i="9"/>
  <c r="K504" i="9"/>
  <c r="N504" i="9"/>
  <c r="H504" i="9"/>
  <c r="H503" i="9"/>
  <c r="I500" i="9"/>
  <c r="K500" i="9"/>
  <c r="N500" i="9"/>
  <c r="I501" i="9"/>
  <c r="K501" i="9"/>
  <c r="N501" i="9"/>
  <c r="H501" i="9"/>
  <c r="H500" i="9"/>
  <c r="I497" i="9"/>
  <c r="K497" i="9"/>
  <c r="N497" i="9"/>
  <c r="I498" i="9"/>
  <c r="K498" i="9"/>
  <c r="N498" i="9"/>
  <c r="H498" i="9"/>
  <c r="E511" i="9"/>
  <c r="E510" i="9"/>
  <c r="E509" i="9"/>
  <c r="E508" i="9"/>
  <c r="E507" i="9"/>
  <c r="E506" i="9"/>
  <c r="E505" i="9"/>
  <c r="E504" i="9"/>
  <c r="E502" i="9"/>
  <c r="E501" i="9"/>
  <c r="E500" i="9"/>
  <c r="E499" i="9"/>
  <c r="E497" i="9"/>
  <c r="E498" i="9"/>
  <c r="E503" i="9"/>
  <c r="E556" i="9"/>
  <c r="E555" i="9"/>
  <c r="E553" i="9"/>
  <c r="E552" i="9"/>
  <c r="E551" i="9"/>
  <c r="E550" i="9"/>
  <c r="E549" i="9"/>
  <c r="E548" i="9"/>
  <c r="E554" i="9"/>
  <c r="E557" i="9"/>
  <c r="E558" i="9"/>
  <c r="E565" i="9"/>
  <c r="E562" i="9"/>
  <c r="E559" i="9"/>
  <c r="E547" i="9"/>
  <c r="E544" i="9"/>
  <c r="E541" i="9"/>
  <c r="E538" i="9"/>
  <c r="E535" i="9"/>
  <c r="E532" i="9"/>
  <c r="E529" i="9"/>
  <c r="E526" i="9"/>
  <c r="E523" i="9"/>
  <c r="E520" i="9"/>
  <c r="E517" i="9"/>
  <c r="E514" i="9"/>
  <c r="E496" i="9"/>
  <c r="E493" i="9"/>
  <c r="E490" i="9"/>
  <c r="E487" i="9"/>
  <c r="E484" i="9"/>
  <c r="E481" i="9"/>
  <c r="E478" i="9"/>
  <c r="E475" i="9"/>
  <c r="E472" i="9"/>
  <c r="E469" i="9"/>
  <c r="E466" i="9"/>
  <c r="E463" i="9"/>
  <c r="E460" i="9"/>
  <c r="E457" i="9"/>
  <c r="E454" i="9"/>
  <c r="E451" i="9"/>
  <c r="E448" i="9"/>
  <c r="E445" i="9"/>
  <c r="E442" i="9"/>
  <c r="E439" i="9"/>
  <c r="E436" i="9"/>
  <c r="E433" i="9"/>
  <c r="E430" i="9"/>
  <c r="E427" i="9"/>
  <c r="E424" i="9"/>
  <c r="E421" i="9"/>
  <c r="E418" i="9"/>
  <c r="E415" i="9"/>
  <c r="E412" i="9"/>
  <c r="E409" i="9"/>
  <c r="E408" i="9"/>
  <c r="E406" i="9"/>
  <c r="E403" i="9"/>
  <c r="E400" i="9"/>
  <c r="E397" i="9"/>
  <c r="E394" i="9"/>
  <c r="E391" i="9"/>
  <c r="E388" i="9"/>
  <c r="E385" i="9"/>
  <c r="G45" i="2" l="1"/>
  <c r="J910" i="9" s="1"/>
  <c r="I367" i="9" l="1"/>
  <c r="H367" i="9"/>
  <c r="H328" i="9"/>
  <c r="E379" i="9" l="1"/>
  <c r="E376" i="9"/>
  <c r="E373" i="9"/>
  <c r="E370" i="9"/>
  <c r="E367" i="9"/>
  <c r="E364" i="9"/>
  <c r="E361" i="9"/>
  <c r="E358" i="9"/>
  <c r="E355" i="9"/>
  <c r="E352" i="9"/>
  <c r="E349" i="9"/>
  <c r="E346" i="9"/>
  <c r="E343" i="9"/>
  <c r="E340" i="9"/>
  <c r="E337" i="9"/>
  <c r="E334" i="9"/>
  <c r="E331" i="9"/>
  <c r="E328" i="9"/>
  <c r="E325" i="9"/>
  <c r="E322" i="9"/>
  <c r="E319" i="9"/>
  <c r="E316" i="9"/>
  <c r="E313" i="9"/>
  <c r="E310" i="9"/>
  <c r="E307" i="9"/>
  <c r="E304" i="9"/>
  <c r="E301" i="9"/>
  <c r="E298" i="9"/>
  <c r="E295" i="9"/>
  <c r="E292" i="9"/>
  <c r="E289" i="9"/>
  <c r="E286" i="9"/>
  <c r="E283" i="9"/>
  <c r="E280" i="9"/>
  <c r="E382" i="9"/>
  <c r="E277" i="9"/>
  <c r="E276" i="9"/>
  <c r="E274" i="9"/>
  <c r="E271" i="9"/>
  <c r="E268" i="9" l="1"/>
  <c r="E265" i="9"/>
  <c r="N262" i="9"/>
  <c r="N259" i="9"/>
  <c r="E262" i="9"/>
  <c r="E259" i="9"/>
  <c r="I314" i="9"/>
  <c r="K314" i="9"/>
  <c r="N314" i="9"/>
  <c r="I315" i="9"/>
  <c r="K315" i="9"/>
  <c r="N315" i="9"/>
  <c r="I317" i="9"/>
  <c r="K317" i="9"/>
  <c r="N317" i="9"/>
  <c r="I318" i="9"/>
  <c r="K318" i="9"/>
  <c r="N318" i="9"/>
  <c r="H315" i="9"/>
  <c r="H317" i="9"/>
  <c r="H318" i="9"/>
  <c r="H314" i="9"/>
  <c r="E256" i="9"/>
  <c r="E253" i="9"/>
  <c r="E250" i="9"/>
  <c r="E247" i="9"/>
  <c r="E244" i="9"/>
  <c r="E241" i="9"/>
  <c r="E238" i="9"/>
  <c r="E235" i="9"/>
  <c r="E232" i="9"/>
  <c r="E229" i="9"/>
  <c r="E226" i="9"/>
  <c r="E225" i="9"/>
  <c r="E224" i="9"/>
  <c r="E223" i="9"/>
  <c r="H752" i="9" l="1"/>
  <c r="E220" i="9" l="1"/>
  <c r="E217" i="9"/>
  <c r="E214" i="9"/>
  <c r="E211" i="9"/>
  <c r="E208" i="9"/>
  <c r="E205" i="9"/>
  <c r="E202" i="9"/>
  <c r="E199" i="9"/>
  <c r="E196" i="9"/>
  <c r="E193" i="9"/>
  <c r="E190" i="9" l="1"/>
  <c r="E187" i="9"/>
  <c r="E184" i="9"/>
  <c r="E181" i="9"/>
  <c r="E178" i="9"/>
  <c r="E175" i="9"/>
  <c r="N57" i="9" l="1"/>
  <c r="N54" i="9"/>
  <c r="N51" i="9"/>
  <c r="E48" i="9"/>
  <c r="E47" i="9"/>
  <c r="J548" i="9" l="1"/>
  <c r="H550" i="9"/>
  <c r="I550" i="9"/>
  <c r="K550" i="9"/>
  <c r="J551" i="9"/>
  <c r="H553" i="9"/>
  <c r="I553" i="9"/>
  <c r="K553" i="9"/>
  <c r="H556" i="9"/>
  <c r="I556" i="9"/>
  <c r="K556" i="9"/>
  <c r="J497" i="9"/>
  <c r="H499" i="9"/>
  <c r="I499" i="9"/>
  <c r="K499" i="9"/>
  <c r="J500" i="9"/>
  <c r="H502" i="9"/>
  <c r="I502" i="9"/>
  <c r="K502" i="9"/>
  <c r="J503" i="9"/>
  <c r="H505" i="9"/>
  <c r="I505" i="9"/>
  <c r="K505" i="9"/>
  <c r="J506" i="9"/>
  <c r="H508" i="9"/>
  <c r="I508" i="9"/>
  <c r="K508" i="9"/>
  <c r="J509" i="9"/>
  <c r="H511" i="9"/>
  <c r="I511" i="9"/>
  <c r="K511" i="9"/>
  <c r="H316" i="9"/>
  <c r="I316" i="9"/>
  <c r="K316" i="9"/>
  <c r="L554" i="9" l="1"/>
  <c r="J554" i="9"/>
  <c r="J550" i="9"/>
  <c r="M554" i="9"/>
  <c r="M548" i="9"/>
  <c r="L548" i="9"/>
  <c r="M503" i="9"/>
  <c r="L503" i="9"/>
  <c r="M314" i="9"/>
  <c r="J314" i="9"/>
  <c r="L500" i="9"/>
  <c r="J556" i="9"/>
  <c r="M509" i="9"/>
  <c r="M553" i="9"/>
  <c r="M500" i="9"/>
  <c r="J508" i="9"/>
  <c r="M551" i="9"/>
  <c r="M499" i="9"/>
  <c r="M497" i="9"/>
  <c r="M506" i="9"/>
  <c r="L508" i="9" l="1"/>
  <c r="M550" i="9"/>
  <c r="M556" i="9"/>
  <c r="L550" i="9"/>
  <c r="L511" i="9"/>
  <c r="J511" i="9"/>
  <c r="L553" i="9"/>
  <c r="J553" i="9"/>
  <c r="L499" i="9"/>
  <c r="J499" i="9"/>
  <c r="M502" i="9"/>
  <c r="J502" i="9"/>
  <c r="M508" i="9"/>
  <c r="L505" i="9"/>
  <c r="J505" i="9"/>
  <c r="L556" i="9"/>
  <c r="L509" i="9"/>
  <c r="L497" i="9"/>
  <c r="L551" i="9"/>
  <c r="L506" i="9"/>
  <c r="L316" i="9"/>
  <c r="J316" i="9"/>
  <c r="L314" i="9"/>
  <c r="L502" i="9"/>
  <c r="M505" i="9"/>
  <c r="M316" i="9"/>
  <c r="M511" i="9"/>
  <c r="M498" i="9" l="1"/>
  <c r="J552" i="9" l="1"/>
  <c r="M504" i="9"/>
  <c r="L507" i="9"/>
  <c r="J504" i="9"/>
  <c r="L504" i="9"/>
  <c r="L555" i="9"/>
  <c r="J555" i="9"/>
  <c r="M555" i="9"/>
  <c r="L498" i="9"/>
  <c r="J498" i="9"/>
  <c r="M552" i="9" l="1"/>
  <c r="L552" i="9"/>
  <c r="M507" i="9"/>
  <c r="J507" i="9"/>
  <c r="L510" i="9"/>
  <c r="J510" i="9"/>
  <c r="M510" i="9"/>
  <c r="L501" i="9"/>
  <c r="J501" i="9"/>
  <c r="M501" i="9"/>
  <c r="L549" i="9"/>
  <c r="J549" i="9"/>
  <c r="M549" i="9"/>
  <c r="M315" i="9"/>
  <c r="J315" i="9"/>
  <c r="L315" i="9"/>
  <c r="H755" i="9"/>
  <c r="I755" i="9"/>
  <c r="K755" i="9"/>
  <c r="L552" i="1"/>
  <c r="I752" i="9"/>
  <c r="K752" i="9"/>
  <c r="J753" i="9" l="1"/>
  <c r="L554" i="1"/>
  <c r="M753" i="9" s="1"/>
  <c r="M750" i="9"/>
  <c r="J750" i="9"/>
  <c r="K552" i="1"/>
  <c r="I553" i="1" s="1"/>
  <c r="K554" i="1"/>
  <c r="I555" i="1" s="1"/>
  <c r="H250" i="9"/>
  <c r="H253" i="9"/>
  <c r="H256" i="9"/>
  <c r="H259" i="9"/>
  <c r="H262" i="9"/>
  <c r="H265" i="9"/>
  <c r="H268" i="9"/>
  <c r="H271" i="9"/>
  <c r="H274" i="9"/>
  <c r="H277" i="9"/>
  <c r="H280" i="9"/>
  <c r="H283" i="9"/>
  <c r="H286" i="9"/>
  <c r="H289" i="9"/>
  <c r="H292" i="9"/>
  <c r="H295" i="9"/>
  <c r="H298" i="9"/>
  <c r="H301" i="9"/>
  <c r="H304" i="9"/>
  <c r="H307" i="9"/>
  <c r="H310" i="9"/>
  <c r="H313" i="9"/>
  <c r="H319" i="9"/>
  <c r="H322" i="9"/>
  <c r="H325" i="9"/>
  <c r="H331" i="9"/>
  <c r="H334" i="9"/>
  <c r="H337" i="9"/>
  <c r="H340" i="9"/>
  <c r="H343" i="9"/>
  <c r="H346" i="9"/>
  <c r="H349" i="9"/>
  <c r="H352" i="9"/>
  <c r="H355" i="9"/>
  <c r="H358" i="9"/>
  <c r="H361" i="9"/>
  <c r="H364" i="9"/>
  <c r="H370" i="9"/>
  <c r="H373" i="9"/>
  <c r="H376" i="9"/>
  <c r="H379" i="9"/>
  <c r="H382" i="9"/>
  <c r="H385" i="9"/>
  <c r="H388" i="9"/>
  <c r="H391" i="9"/>
  <c r="H394" i="9"/>
  <c r="H397" i="9"/>
  <c r="H400" i="9"/>
  <c r="H403" i="9"/>
  <c r="H406" i="9"/>
  <c r="H409" i="9"/>
  <c r="H412" i="9"/>
  <c r="H415" i="9"/>
  <c r="H418" i="9"/>
  <c r="H421" i="9"/>
  <c r="H424" i="9"/>
  <c r="H427" i="9"/>
  <c r="H430" i="9"/>
  <c r="H433" i="9"/>
  <c r="H436" i="9"/>
  <c r="H439" i="9"/>
  <c r="H442" i="9"/>
  <c r="H445" i="9"/>
  <c r="H448" i="9"/>
  <c r="H451" i="9"/>
  <c r="H454" i="9"/>
  <c r="H457" i="9"/>
  <c r="H460" i="9"/>
  <c r="H463" i="9"/>
  <c r="H466" i="9"/>
  <c r="H469" i="9"/>
  <c r="H472" i="9"/>
  <c r="H475" i="9"/>
  <c r="H478" i="9"/>
  <c r="H481" i="9"/>
  <c r="H484" i="9"/>
  <c r="H487" i="9"/>
  <c r="H490" i="9"/>
  <c r="H493" i="9"/>
  <c r="H496" i="9"/>
  <c r="H514" i="9"/>
  <c r="H517" i="9"/>
  <c r="H520" i="9"/>
  <c r="H523" i="9"/>
  <c r="H526" i="9"/>
  <c r="H529" i="9"/>
  <c r="H532" i="9"/>
  <c r="H535" i="9"/>
  <c r="H538" i="9"/>
  <c r="H541" i="9"/>
  <c r="H544" i="9"/>
  <c r="H547" i="9"/>
  <c r="H559" i="9"/>
  <c r="H562" i="9"/>
  <c r="H565" i="9"/>
  <c r="H568" i="9"/>
  <c r="H571" i="9"/>
  <c r="H574" i="9"/>
  <c r="H577" i="9"/>
  <c r="H580" i="9"/>
  <c r="H583" i="9"/>
  <c r="H586" i="9"/>
  <c r="H589" i="9"/>
  <c r="H592" i="9"/>
  <c r="H595" i="9"/>
  <c r="H598" i="9"/>
  <c r="H601" i="9"/>
  <c r="H604" i="9"/>
  <c r="H607" i="9"/>
  <c r="H610" i="9"/>
  <c r="H613" i="9"/>
  <c r="H616" i="9"/>
  <c r="H619" i="9"/>
  <c r="H622" i="9"/>
  <c r="H625" i="9"/>
  <c r="H628" i="9"/>
  <c r="H631" i="9"/>
  <c r="H634" i="9"/>
  <c r="H637" i="9"/>
  <c r="H640" i="9"/>
  <c r="H643" i="9"/>
  <c r="H646" i="9"/>
  <c r="H649" i="9"/>
  <c r="H652" i="9"/>
  <c r="H655" i="9"/>
  <c r="H658" i="9"/>
  <c r="H661" i="9"/>
  <c r="H664" i="9"/>
  <c r="H667" i="9"/>
  <c r="L755" i="9" l="1"/>
  <c r="M755" i="9"/>
  <c r="M752" i="9"/>
  <c r="J755" i="9"/>
  <c r="L753" i="9"/>
  <c r="L752" i="9"/>
  <c r="J752" i="9"/>
  <c r="L750" i="9"/>
  <c r="L129" i="1"/>
  <c r="K129" i="1"/>
  <c r="M317" i="9"/>
  <c r="J317" i="9"/>
  <c r="I130" i="1" l="1"/>
  <c r="L494" i="1" s="1"/>
  <c r="L317" i="9"/>
  <c r="K130" i="1" l="1"/>
  <c r="L555" i="1"/>
  <c r="L553" i="1"/>
  <c r="L130" i="1"/>
  <c r="J754" i="9" l="1"/>
  <c r="M754" i="9"/>
  <c r="K555" i="1"/>
  <c r="L754" i="9" s="1"/>
  <c r="M751" i="9"/>
  <c r="J751" i="9"/>
  <c r="K553" i="1"/>
  <c r="L751" i="9" s="1"/>
  <c r="L318" i="9" l="1"/>
  <c r="J318" i="9"/>
  <c r="M318" i="9"/>
  <c r="E172" i="9" l="1"/>
  <c r="E169" i="9"/>
  <c r="E166" i="9"/>
  <c r="E163" i="9"/>
  <c r="E162" i="9"/>
  <c r="N161" i="9"/>
  <c r="N162" i="9"/>
  <c r="N164" i="9"/>
  <c r="N165" i="9"/>
  <c r="N167" i="9"/>
  <c r="N168" i="9"/>
  <c r="N170" i="9"/>
  <c r="N171" i="9"/>
  <c r="N173" i="9"/>
  <c r="N174" i="9"/>
  <c r="N176" i="9"/>
  <c r="N177" i="9"/>
  <c r="N179" i="9"/>
  <c r="N180" i="9"/>
  <c r="N182" i="9"/>
  <c r="N183" i="9"/>
  <c r="N185" i="9"/>
  <c r="N186" i="9"/>
  <c r="N188" i="9"/>
  <c r="N189" i="9"/>
  <c r="N191" i="9"/>
  <c r="N192" i="9"/>
  <c r="N194" i="9"/>
  <c r="N195" i="9"/>
  <c r="N197" i="9"/>
  <c r="N198" i="9"/>
  <c r="N200" i="9"/>
  <c r="N201" i="9"/>
  <c r="N203" i="9"/>
  <c r="N204" i="9"/>
  <c r="N206" i="9"/>
  <c r="N207" i="9"/>
  <c r="N209" i="9"/>
  <c r="N210" i="9"/>
  <c r="N212" i="9"/>
  <c r="N213" i="9"/>
  <c r="N215" i="9"/>
  <c r="N216" i="9"/>
  <c r="N218" i="9"/>
  <c r="N219" i="9"/>
  <c r="N221" i="9"/>
  <c r="N222" i="9"/>
  <c r="N224" i="9"/>
  <c r="N225" i="9"/>
  <c r="N227" i="9"/>
  <c r="N228" i="9"/>
  <c r="N230" i="9"/>
  <c r="N231" i="9"/>
  <c r="N233" i="9"/>
  <c r="N234" i="9"/>
  <c r="N236" i="9"/>
  <c r="N237" i="9"/>
  <c r="N239" i="9"/>
  <c r="N240" i="9"/>
  <c r="N242" i="9"/>
  <c r="N243" i="9"/>
  <c r="N245" i="9"/>
  <c r="N246" i="9"/>
  <c r="N248" i="9"/>
  <c r="N249" i="9"/>
  <c r="N251" i="9"/>
  <c r="N252" i="9"/>
  <c r="N254" i="9"/>
  <c r="N255" i="9"/>
  <c r="N257" i="9"/>
  <c r="N258" i="9"/>
  <c r="N260" i="9"/>
  <c r="N261" i="9"/>
  <c r="N263" i="9"/>
  <c r="N264" i="9"/>
  <c r="N266" i="9"/>
  <c r="N267" i="9"/>
  <c r="N269" i="9"/>
  <c r="N270" i="9"/>
  <c r="N272" i="9"/>
  <c r="N273" i="9"/>
  <c r="N275" i="9"/>
  <c r="N276" i="9"/>
  <c r="N278" i="9"/>
  <c r="N279" i="9"/>
  <c r="N281" i="9"/>
  <c r="N282" i="9"/>
  <c r="N284" i="9"/>
  <c r="N285" i="9"/>
  <c r="N287" i="9"/>
  <c r="N288" i="9"/>
  <c r="N290" i="9"/>
  <c r="N291" i="9"/>
  <c r="N293" i="9"/>
  <c r="N294" i="9"/>
  <c r="N296" i="9"/>
  <c r="N297" i="9"/>
  <c r="N299" i="9"/>
  <c r="N300" i="9"/>
  <c r="N302" i="9"/>
  <c r="N303" i="9"/>
  <c r="N305" i="9"/>
  <c r="N306" i="9"/>
  <c r="N308" i="9"/>
  <c r="N309" i="9"/>
  <c r="N311" i="9"/>
  <c r="N312" i="9"/>
  <c r="N320" i="9"/>
  <c r="N321" i="9"/>
  <c r="N323" i="9"/>
  <c r="N324" i="9"/>
  <c r="N326" i="9"/>
  <c r="N327" i="9"/>
  <c r="N329" i="9"/>
  <c r="N330" i="9"/>
  <c r="N332" i="9"/>
  <c r="N333" i="9"/>
  <c r="N335" i="9"/>
  <c r="N336" i="9"/>
  <c r="N338" i="9"/>
  <c r="N339" i="9"/>
  <c r="N341" i="9"/>
  <c r="N342" i="9"/>
  <c r="N344" i="9"/>
  <c r="N345" i="9"/>
  <c r="N347" i="9"/>
  <c r="N348" i="9"/>
  <c r="N350" i="9"/>
  <c r="N351" i="9"/>
  <c r="N353" i="9"/>
  <c r="N354" i="9"/>
  <c r="N356" i="9"/>
  <c r="N357" i="9"/>
  <c r="N359" i="9"/>
  <c r="N360" i="9"/>
  <c r="N362" i="9"/>
  <c r="N363" i="9"/>
  <c r="N365" i="9"/>
  <c r="N366" i="9"/>
  <c r="N368" i="9"/>
  <c r="N369" i="9"/>
  <c r="N371" i="9"/>
  <c r="N372" i="9"/>
  <c r="N374" i="9"/>
  <c r="N375" i="9"/>
  <c r="N377" i="9"/>
  <c r="N378" i="9"/>
  <c r="N380" i="9"/>
  <c r="N381" i="9"/>
  <c r="N383" i="9"/>
  <c r="N384" i="9"/>
  <c r="N386" i="9"/>
  <c r="N387" i="9"/>
  <c r="N389" i="9"/>
  <c r="N390" i="9"/>
  <c r="N392" i="9"/>
  <c r="N393" i="9"/>
  <c r="N395" i="9"/>
  <c r="N396" i="9"/>
  <c r="N398" i="9"/>
  <c r="N399" i="9"/>
  <c r="N401" i="9"/>
  <c r="N402" i="9"/>
  <c r="N404" i="9"/>
  <c r="N405" i="9"/>
  <c r="N407" i="9"/>
  <c r="N408" i="9"/>
  <c r="N410" i="9"/>
  <c r="N411" i="9"/>
  <c r="N413" i="9"/>
  <c r="N414" i="9"/>
  <c r="N416" i="9"/>
  <c r="N417" i="9"/>
  <c r="N419" i="9"/>
  <c r="N420" i="9"/>
  <c r="N422" i="9"/>
  <c r="N423" i="9"/>
  <c r="N425" i="9"/>
  <c r="N426" i="9"/>
  <c r="N428" i="9"/>
  <c r="N429" i="9"/>
  <c r="N431" i="9"/>
  <c r="N432" i="9"/>
  <c r="N434" i="9"/>
  <c r="N435" i="9"/>
  <c r="N437" i="9"/>
  <c r="N438" i="9"/>
  <c r="N440" i="9"/>
  <c r="N441" i="9"/>
  <c r="N443" i="9"/>
  <c r="N444" i="9"/>
  <c r="N446" i="9"/>
  <c r="N447" i="9"/>
  <c r="N449" i="9"/>
  <c r="N450" i="9"/>
  <c r="N452" i="9"/>
  <c r="N453" i="9"/>
  <c r="N455" i="9"/>
  <c r="N456" i="9"/>
  <c r="N458" i="9"/>
  <c r="N459" i="9"/>
  <c r="N461" i="9"/>
  <c r="N462" i="9"/>
  <c r="N464" i="9"/>
  <c r="N465" i="9"/>
  <c r="N467" i="9"/>
  <c r="N468" i="9"/>
  <c r="N470" i="9"/>
  <c r="N471" i="9"/>
  <c r="N473" i="9"/>
  <c r="N474" i="9"/>
  <c r="N476" i="9"/>
  <c r="N477" i="9"/>
  <c r="N479" i="9"/>
  <c r="N480" i="9"/>
  <c r="N482" i="9"/>
  <c r="N483" i="9"/>
  <c r="N485" i="9"/>
  <c r="N486" i="9"/>
  <c r="N488" i="9"/>
  <c r="N489" i="9"/>
  <c r="N491" i="9"/>
  <c r="N492" i="9"/>
  <c r="N494" i="9"/>
  <c r="N495" i="9"/>
  <c r="N512" i="9"/>
  <c r="N513" i="9"/>
  <c r="N515" i="9"/>
  <c r="N516" i="9"/>
  <c r="N518" i="9"/>
  <c r="N519" i="9"/>
  <c r="N521" i="9"/>
  <c r="N522" i="9"/>
  <c r="N524" i="9"/>
  <c r="N525" i="9"/>
  <c r="N527" i="9"/>
  <c r="N528" i="9"/>
  <c r="N530" i="9"/>
  <c r="N531" i="9"/>
  <c r="N533" i="9"/>
  <c r="N534" i="9"/>
  <c r="N536" i="9"/>
  <c r="N537" i="9"/>
  <c r="N539" i="9"/>
  <c r="N540" i="9"/>
  <c r="N542" i="9"/>
  <c r="N543" i="9"/>
  <c r="N545" i="9"/>
  <c r="N546" i="9"/>
  <c r="N557" i="9"/>
  <c r="N558" i="9"/>
  <c r="N560" i="9"/>
  <c r="N561" i="9"/>
  <c r="N563" i="9"/>
  <c r="N564" i="9"/>
  <c r="N566" i="9"/>
  <c r="N567" i="9"/>
  <c r="N569" i="9"/>
  <c r="N570" i="9"/>
  <c r="N572" i="9"/>
  <c r="N573" i="9"/>
  <c r="N575" i="9"/>
  <c r="N576" i="9"/>
  <c r="N578" i="9"/>
  <c r="N579" i="9"/>
  <c r="N581" i="9"/>
  <c r="N582" i="9"/>
  <c r="N584" i="9"/>
  <c r="N585" i="9"/>
  <c r="N587" i="9"/>
  <c r="N588" i="9"/>
  <c r="N590" i="9"/>
  <c r="N591" i="9"/>
  <c r="N593" i="9"/>
  <c r="N594" i="9"/>
  <c r="N596" i="9"/>
  <c r="N597" i="9"/>
  <c r="N599" i="9"/>
  <c r="N600" i="9"/>
  <c r="N602" i="9"/>
  <c r="N603" i="9"/>
  <c r="N605" i="9"/>
  <c r="N606" i="9"/>
  <c r="N608" i="9"/>
  <c r="N609" i="9"/>
  <c r="N611" i="9"/>
  <c r="N612" i="9"/>
  <c r="N614" i="9"/>
  <c r="N615" i="9"/>
  <c r="N617" i="9"/>
  <c r="N618" i="9"/>
  <c r="N620" i="9"/>
  <c r="N621" i="9"/>
  <c r="N623" i="9"/>
  <c r="N624" i="9"/>
  <c r="N626" i="9"/>
  <c r="N627" i="9"/>
  <c r="N629" i="9"/>
  <c r="N630" i="9"/>
  <c r="N632" i="9"/>
  <c r="N633" i="9"/>
  <c r="N635" i="9"/>
  <c r="N636" i="9"/>
  <c r="N638" i="9"/>
  <c r="N639" i="9"/>
  <c r="N641" i="9"/>
  <c r="N642" i="9"/>
  <c r="N644" i="9"/>
  <c r="N645" i="9"/>
  <c r="N647" i="9"/>
  <c r="N648" i="9"/>
  <c r="N650" i="9"/>
  <c r="N651" i="9"/>
  <c r="N654" i="9"/>
  <c r="N656" i="9"/>
  <c r="N657" i="9"/>
  <c r="N659" i="9"/>
  <c r="N660" i="9"/>
  <c r="N662" i="9"/>
  <c r="N663" i="9"/>
  <c r="N665" i="9"/>
  <c r="N666" i="9"/>
  <c r="I161" i="9"/>
  <c r="K161" i="9"/>
  <c r="I162" i="9"/>
  <c r="K162" i="9"/>
  <c r="I164" i="9"/>
  <c r="K164" i="9"/>
  <c r="L164" i="9"/>
  <c r="I165" i="9"/>
  <c r="K165" i="9"/>
  <c r="I167" i="9"/>
  <c r="K167" i="9"/>
  <c r="L167" i="9"/>
  <c r="I168" i="9"/>
  <c r="K168" i="9"/>
  <c r="I170" i="9"/>
  <c r="K170" i="9"/>
  <c r="L170" i="9"/>
  <c r="I171" i="9"/>
  <c r="K171" i="9"/>
  <c r="I173" i="9"/>
  <c r="K173" i="9"/>
  <c r="L173" i="9"/>
  <c r="I174" i="9"/>
  <c r="K174" i="9"/>
  <c r="I176" i="9"/>
  <c r="K176" i="9"/>
  <c r="L176" i="9"/>
  <c r="I177" i="9"/>
  <c r="K177" i="9"/>
  <c r="I179" i="9"/>
  <c r="K179" i="9"/>
  <c r="L179" i="9"/>
  <c r="I180" i="9"/>
  <c r="K180" i="9"/>
  <c r="I182" i="9"/>
  <c r="K182" i="9"/>
  <c r="L182" i="9"/>
  <c r="I183" i="9"/>
  <c r="K183" i="9"/>
  <c r="I185" i="9"/>
  <c r="K185" i="9"/>
  <c r="L185" i="9"/>
  <c r="I186" i="9"/>
  <c r="K186" i="9"/>
  <c r="I188" i="9"/>
  <c r="K188" i="9"/>
  <c r="L188" i="9"/>
  <c r="I189" i="9"/>
  <c r="K189" i="9"/>
  <c r="I191" i="9"/>
  <c r="K191" i="9"/>
  <c r="L191" i="9"/>
  <c r="I192" i="9"/>
  <c r="K192" i="9"/>
  <c r="I194" i="9"/>
  <c r="K194" i="9"/>
  <c r="I195" i="9"/>
  <c r="K195" i="9"/>
  <c r="I197" i="9"/>
  <c r="K197" i="9"/>
  <c r="L197" i="9"/>
  <c r="I198" i="9"/>
  <c r="K198" i="9"/>
  <c r="I200" i="9"/>
  <c r="K200" i="9"/>
  <c r="L200" i="9"/>
  <c r="I201" i="9"/>
  <c r="K201" i="9"/>
  <c r="I203" i="9"/>
  <c r="K203" i="9"/>
  <c r="L203" i="9"/>
  <c r="I204" i="9"/>
  <c r="K204" i="9"/>
  <c r="I206" i="9"/>
  <c r="K206" i="9"/>
  <c r="L206" i="9"/>
  <c r="I207" i="9"/>
  <c r="K207" i="9"/>
  <c r="I209" i="9"/>
  <c r="K209" i="9"/>
  <c r="L209" i="9"/>
  <c r="I210" i="9"/>
  <c r="K210" i="9"/>
  <c r="I212" i="9"/>
  <c r="K212" i="9"/>
  <c r="I213" i="9"/>
  <c r="K213" i="9"/>
  <c r="I215" i="9"/>
  <c r="K215" i="9"/>
  <c r="L215" i="9"/>
  <c r="I216" i="9"/>
  <c r="K216" i="9"/>
  <c r="I218" i="9"/>
  <c r="K218" i="9"/>
  <c r="I219" i="9"/>
  <c r="K219" i="9"/>
  <c r="I221" i="9"/>
  <c r="K221" i="9"/>
  <c r="L221" i="9"/>
  <c r="I222" i="9"/>
  <c r="K222" i="9"/>
  <c r="I224" i="9"/>
  <c r="K224" i="9"/>
  <c r="L224" i="9"/>
  <c r="I225" i="9"/>
  <c r="K225" i="9"/>
  <c r="I227" i="9"/>
  <c r="K227" i="9"/>
  <c r="I228" i="9"/>
  <c r="K228" i="9"/>
  <c r="I230" i="9"/>
  <c r="K230" i="9"/>
  <c r="I231" i="9"/>
  <c r="K231" i="9"/>
  <c r="I233" i="9"/>
  <c r="K233" i="9"/>
  <c r="I234" i="9"/>
  <c r="K234" i="9"/>
  <c r="I236" i="9"/>
  <c r="K236" i="9"/>
  <c r="I237" i="9"/>
  <c r="K237" i="9"/>
  <c r="I239" i="9"/>
  <c r="K239" i="9"/>
  <c r="I240" i="9"/>
  <c r="K240" i="9"/>
  <c r="I242" i="9"/>
  <c r="K242" i="9"/>
  <c r="I243" i="9"/>
  <c r="K243" i="9"/>
  <c r="I245" i="9"/>
  <c r="K245" i="9"/>
  <c r="I246" i="9"/>
  <c r="K246" i="9"/>
  <c r="I248" i="9"/>
  <c r="K248" i="9"/>
  <c r="I249" i="9"/>
  <c r="K249" i="9"/>
  <c r="I251" i="9"/>
  <c r="K251" i="9"/>
  <c r="I252" i="9"/>
  <c r="K252" i="9"/>
  <c r="I254" i="9"/>
  <c r="K254" i="9"/>
  <c r="I255" i="9"/>
  <c r="K255" i="9"/>
  <c r="I257" i="9"/>
  <c r="K257" i="9"/>
  <c r="I258" i="9"/>
  <c r="K258" i="9"/>
  <c r="I260" i="9"/>
  <c r="K260" i="9"/>
  <c r="I261" i="9"/>
  <c r="K261" i="9"/>
  <c r="I263" i="9"/>
  <c r="K263" i="9"/>
  <c r="I264" i="9"/>
  <c r="K264" i="9"/>
  <c r="I266" i="9"/>
  <c r="K266" i="9"/>
  <c r="I267" i="9"/>
  <c r="K267" i="9"/>
  <c r="I269" i="9"/>
  <c r="K269" i="9"/>
  <c r="I270" i="9"/>
  <c r="K270" i="9"/>
  <c r="I272" i="9"/>
  <c r="K272" i="9"/>
  <c r="I273" i="9"/>
  <c r="K273" i="9"/>
  <c r="I275" i="9"/>
  <c r="K275" i="9"/>
  <c r="I276" i="9"/>
  <c r="K276" i="9"/>
  <c r="I278" i="9"/>
  <c r="K278" i="9"/>
  <c r="I279" i="9"/>
  <c r="K279" i="9"/>
  <c r="I281" i="9"/>
  <c r="K281" i="9"/>
  <c r="I282" i="9"/>
  <c r="K282" i="9"/>
  <c r="I284" i="9"/>
  <c r="K284" i="9"/>
  <c r="I285" i="9"/>
  <c r="K285" i="9"/>
  <c r="I287" i="9"/>
  <c r="K287" i="9"/>
  <c r="I288" i="9"/>
  <c r="K288" i="9"/>
  <c r="I290" i="9"/>
  <c r="K290" i="9"/>
  <c r="I291" i="9"/>
  <c r="K291" i="9"/>
  <c r="I293" i="9"/>
  <c r="K293" i="9"/>
  <c r="I294" i="9"/>
  <c r="K294" i="9"/>
  <c r="I296" i="9"/>
  <c r="K296" i="9"/>
  <c r="I297" i="9"/>
  <c r="K297" i="9"/>
  <c r="I299" i="9"/>
  <c r="K299" i="9"/>
  <c r="I300" i="9"/>
  <c r="K300" i="9"/>
  <c r="I302" i="9"/>
  <c r="K302" i="9"/>
  <c r="I303" i="9"/>
  <c r="K303" i="9"/>
  <c r="I305" i="9"/>
  <c r="K305" i="9"/>
  <c r="I306" i="9"/>
  <c r="K306" i="9"/>
  <c r="I308" i="9"/>
  <c r="K308" i="9"/>
  <c r="I309" i="9"/>
  <c r="K309" i="9"/>
  <c r="I311" i="9"/>
  <c r="K311" i="9"/>
  <c r="I312" i="9"/>
  <c r="K312" i="9"/>
  <c r="I320" i="9"/>
  <c r="K320" i="9"/>
  <c r="I321" i="9"/>
  <c r="K321" i="9"/>
  <c r="I323" i="9"/>
  <c r="K323" i="9"/>
  <c r="I324" i="9"/>
  <c r="K324" i="9"/>
  <c r="I326" i="9"/>
  <c r="K326" i="9"/>
  <c r="I327" i="9"/>
  <c r="K327" i="9"/>
  <c r="I329" i="9"/>
  <c r="K329" i="9"/>
  <c r="I330" i="9"/>
  <c r="K330" i="9"/>
  <c r="I332" i="9"/>
  <c r="K332" i="9"/>
  <c r="I333" i="9"/>
  <c r="K333" i="9"/>
  <c r="I335" i="9"/>
  <c r="K335" i="9"/>
  <c r="I336" i="9"/>
  <c r="K336" i="9"/>
  <c r="I338" i="9"/>
  <c r="K338" i="9"/>
  <c r="I339" i="9"/>
  <c r="K339" i="9"/>
  <c r="I341" i="9"/>
  <c r="K341" i="9"/>
  <c r="I342" i="9"/>
  <c r="K342" i="9"/>
  <c r="I344" i="9"/>
  <c r="K344" i="9"/>
  <c r="I345" i="9"/>
  <c r="K345" i="9"/>
  <c r="I347" i="9"/>
  <c r="K347" i="9"/>
  <c r="I348" i="9"/>
  <c r="K348" i="9"/>
  <c r="I350" i="9"/>
  <c r="K350" i="9"/>
  <c r="I351" i="9"/>
  <c r="K351" i="9"/>
  <c r="I353" i="9"/>
  <c r="K353" i="9"/>
  <c r="I354" i="9"/>
  <c r="K354" i="9"/>
  <c r="I356" i="9"/>
  <c r="K356" i="9"/>
  <c r="I357" i="9"/>
  <c r="K357" i="9"/>
  <c r="I359" i="9"/>
  <c r="K359" i="9"/>
  <c r="I360" i="9"/>
  <c r="K360" i="9"/>
  <c r="I362" i="9"/>
  <c r="K362" i="9"/>
  <c r="I363" i="9"/>
  <c r="K363" i="9"/>
  <c r="I365" i="9"/>
  <c r="K365" i="9"/>
  <c r="I366" i="9"/>
  <c r="K366" i="9"/>
  <c r="I368" i="9"/>
  <c r="K368" i="9"/>
  <c r="I369" i="9"/>
  <c r="K369" i="9"/>
  <c r="I371" i="9"/>
  <c r="K371" i="9"/>
  <c r="I372" i="9"/>
  <c r="K372" i="9"/>
  <c r="I374" i="9"/>
  <c r="K374" i="9"/>
  <c r="I375" i="9"/>
  <c r="K375" i="9"/>
  <c r="I377" i="9"/>
  <c r="K377" i="9"/>
  <c r="I378" i="9"/>
  <c r="K378" i="9"/>
  <c r="I380" i="9"/>
  <c r="K380" i="9"/>
  <c r="I381" i="9"/>
  <c r="K381" i="9"/>
  <c r="I383" i="9"/>
  <c r="K383" i="9"/>
  <c r="I384" i="9"/>
  <c r="K384" i="9"/>
  <c r="I386" i="9"/>
  <c r="K386" i="9"/>
  <c r="I387" i="9"/>
  <c r="K387" i="9"/>
  <c r="I389" i="9"/>
  <c r="K389" i="9"/>
  <c r="I390" i="9"/>
  <c r="K390" i="9"/>
  <c r="I392" i="9"/>
  <c r="K392" i="9"/>
  <c r="I393" i="9"/>
  <c r="K393" i="9"/>
  <c r="I395" i="9"/>
  <c r="K395" i="9"/>
  <c r="I396" i="9"/>
  <c r="K396" i="9"/>
  <c r="I398" i="9"/>
  <c r="K398" i="9"/>
  <c r="I399" i="9"/>
  <c r="K399" i="9"/>
  <c r="I401" i="9"/>
  <c r="K401" i="9"/>
  <c r="I402" i="9"/>
  <c r="K402" i="9"/>
  <c r="I404" i="9"/>
  <c r="K404" i="9"/>
  <c r="I405" i="9"/>
  <c r="K405" i="9"/>
  <c r="I407" i="9"/>
  <c r="K407" i="9"/>
  <c r="I408" i="9"/>
  <c r="K408" i="9"/>
  <c r="I410" i="9"/>
  <c r="K410" i="9"/>
  <c r="I411" i="9"/>
  <c r="K411" i="9"/>
  <c r="I413" i="9"/>
  <c r="K413" i="9"/>
  <c r="I414" i="9"/>
  <c r="K414" i="9"/>
  <c r="I416" i="9"/>
  <c r="K416" i="9"/>
  <c r="I417" i="9"/>
  <c r="K417" i="9"/>
  <c r="I419" i="9"/>
  <c r="K419" i="9"/>
  <c r="I420" i="9"/>
  <c r="K420" i="9"/>
  <c r="I422" i="9"/>
  <c r="K422" i="9"/>
  <c r="I423" i="9"/>
  <c r="K423" i="9"/>
  <c r="I425" i="9"/>
  <c r="K425" i="9"/>
  <c r="I426" i="9"/>
  <c r="K426" i="9"/>
  <c r="I428" i="9"/>
  <c r="K428" i="9"/>
  <c r="I429" i="9"/>
  <c r="K429" i="9"/>
  <c r="I431" i="9"/>
  <c r="K431" i="9"/>
  <c r="I432" i="9"/>
  <c r="K432" i="9"/>
  <c r="I434" i="9"/>
  <c r="K434" i="9"/>
  <c r="I435" i="9"/>
  <c r="K435" i="9"/>
  <c r="I437" i="9"/>
  <c r="K437" i="9"/>
  <c r="I438" i="9"/>
  <c r="K438" i="9"/>
  <c r="I440" i="9"/>
  <c r="K440" i="9"/>
  <c r="I441" i="9"/>
  <c r="K441" i="9"/>
  <c r="I443" i="9"/>
  <c r="K443" i="9"/>
  <c r="I444" i="9"/>
  <c r="K444" i="9"/>
  <c r="I446" i="9"/>
  <c r="K446" i="9"/>
  <c r="I447" i="9"/>
  <c r="K447" i="9"/>
  <c r="I449" i="9"/>
  <c r="K449" i="9"/>
  <c r="I450" i="9"/>
  <c r="K450" i="9"/>
  <c r="I452" i="9"/>
  <c r="K452" i="9"/>
  <c r="I453" i="9"/>
  <c r="K453" i="9"/>
  <c r="I455" i="9"/>
  <c r="K455" i="9"/>
  <c r="I456" i="9"/>
  <c r="K456" i="9"/>
  <c r="I458" i="9"/>
  <c r="K458" i="9"/>
  <c r="I459" i="9"/>
  <c r="K459" i="9"/>
  <c r="I461" i="9"/>
  <c r="K461" i="9"/>
  <c r="I462" i="9"/>
  <c r="K462" i="9"/>
  <c r="I464" i="9"/>
  <c r="K464" i="9"/>
  <c r="I465" i="9"/>
  <c r="K465" i="9"/>
  <c r="I467" i="9"/>
  <c r="K467" i="9"/>
  <c r="I468" i="9"/>
  <c r="K468" i="9"/>
  <c r="I470" i="9"/>
  <c r="K470" i="9"/>
  <c r="I471" i="9"/>
  <c r="K471" i="9"/>
  <c r="I473" i="9"/>
  <c r="K473" i="9"/>
  <c r="I474" i="9"/>
  <c r="K474" i="9"/>
  <c r="I476" i="9"/>
  <c r="K476" i="9"/>
  <c r="I477" i="9"/>
  <c r="K477" i="9"/>
  <c r="I479" i="9"/>
  <c r="K479" i="9"/>
  <c r="I480" i="9"/>
  <c r="K480" i="9"/>
  <c r="I482" i="9"/>
  <c r="K482" i="9"/>
  <c r="I483" i="9"/>
  <c r="K483" i="9"/>
  <c r="I485" i="9"/>
  <c r="K485" i="9"/>
  <c r="I486" i="9"/>
  <c r="K486" i="9"/>
  <c r="I488" i="9"/>
  <c r="K488" i="9"/>
  <c r="I489" i="9"/>
  <c r="K489" i="9"/>
  <c r="I491" i="9"/>
  <c r="K491" i="9"/>
  <c r="I492" i="9"/>
  <c r="K492" i="9"/>
  <c r="I494" i="9"/>
  <c r="K494" i="9"/>
  <c r="I495" i="9"/>
  <c r="K495" i="9"/>
  <c r="I512" i="9"/>
  <c r="K512" i="9"/>
  <c r="I513" i="9"/>
  <c r="K513" i="9"/>
  <c r="I515" i="9"/>
  <c r="K515" i="9"/>
  <c r="I516" i="9"/>
  <c r="K516" i="9"/>
  <c r="I518" i="9"/>
  <c r="K518" i="9"/>
  <c r="I519" i="9"/>
  <c r="K519" i="9"/>
  <c r="I521" i="9"/>
  <c r="K521" i="9"/>
  <c r="I522" i="9"/>
  <c r="K522" i="9"/>
  <c r="I524" i="9"/>
  <c r="K524" i="9"/>
  <c r="I525" i="9"/>
  <c r="K525" i="9"/>
  <c r="I527" i="9"/>
  <c r="K527" i="9"/>
  <c r="I528" i="9"/>
  <c r="K528" i="9"/>
  <c r="I530" i="9"/>
  <c r="K530" i="9"/>
  <c r="I531" i="9"/>
  <c r="K531" i="9"/>
  <c r="I533" i="9"/>
  <c r="K533" i="9"/>
  <c r="I534" i="9"/>
  <c r="K534" i="9"/>
  <c r="I536" i="9"/>
  <c r="K536" i="9"/>
  <c r="I537" i="9"/>
  <c r="K537" i="9"/>
  <c r="I539" i="9"/>
  <c r="K539" i="9"/>
  <c r="I540" i="9"/>
  <c r="K540" i="9"/>
  <c r="I542" i="9"/>
  <c r="K542" i="9"/>
  <c r="I543" i="9"/>
  <c r="K543" i="9"/>
  <c r="I545" i="9"/>
  <c r="K545" i="9"/>
  <c r="I546" i="9"/>
  <c r="K546" i="9"/>
  <c r="I557" i="9"/>
  <c r="K557" i="9"/>
  <c r="I558" i="9"/>
  <c r="K558" i="9"/>
  <c r="I560" i="9"/>
  <c r="K560" i="9"/>
  <c r="I561" i="9"/>
  <c r="K561" i="9"/>
  <c r="I563" i="9"/>
  <c r="K563" i="9"/>
  <c r="I564" i="9"/>
  <c r="K564" i="9"/>
  <c r="I566" i="9"/>
  <c r="K566" i="9"/>
  <c r="I567" i="9"/>
  <c r="K567" i="9"/>
  <c r="I569" i="9"/>
  <c r="K569" i="9"/>
  <c r="I570" i="9"/>
  <c r="K570" i="9"/>
  <c r="I572" i="9"/>
  <c r="K572" i="9"/>
  <c r="I573" i="9"/>
  <c r="K573" i="9"/>
  <c r="I575" i="9"/>
  <c r="K575" i="9"/>
  <c r="I576" i="9"/>
  <c r="K576" i="9"/>
  <c r="I578" i="9"/>
  <c r="K578" i="9"/>
  <c r="I579" i="9"/>
  <c r="K579" i="9"/>
  <c r="I581" i="9"/>
  <c r="K581" i="9"/>
  <c r="I582" i="9"/>
  <c r="K582" i="9"/>
  <c r="I584" i="9"/>
  <c r="K584" i="9"/>
  <c r="I585" i="9"/>
  <c r="K585" i="9"/>
  <c r="I587" i="9"/>
  <c r="K587" i="9"/>
  <c r="I588" i="9"/>
  <c r="K588" i="9"/>
  <c r="I590" i="9"/>
  <c r="K590" i="9"/>
  <c r="I591" i="9"/>
  <c r="K591" i="9"/>
  <c r="I593" i="9"/>
  <c r="K593" i="9"/>
  <c r="I594" i="9"/>
  <c r="K594" i="9"/>
  <c r="I596" i="9"/>
  <c r="K596" i="9"/>
  <c r="I597" i="9"/>
  <c r="K597" i="9"/>
  <c r="I599" i="9"/>
  <c r="K599" i="9"/>
  <c r="I600" i="9"/>
  <c r="K600" i="9"/>
  <c r="I602" i="9"/>
  <c r="K602" i="9"/>
  <c r="I603" i="9"/>
  <c r="K603" i="9"/>
  <c r="I605" i="9"/>
  <c r="K605" i="9"/>
  <c r="I606" i="9"/>
  <c r="K606" i="9"/>
  <c r="I608" i="9"/>
  <c r="K608" i="9"/>
  <c r="I609" i="9"/>
  <c r="K609" i="9"/>
  <c r="I611" i="9"/>
  <c r="K611" i="9"/>
  <c r="I612" i="9"/>
  <c r="K612" i="9"/>
  <c r="I614" i="9"/>
  <c r="K614" i="9"/>
  <c r="I615" i="9"/>
  <c r="K615" i="9"/>
  <c r="I617" i="9"/>
  <c r="K617" i="9"/>
  <c r="I618" i="9"/>
  <c r="K618" i="9"/>
  <c r="I620" i="9"/>
  <c r="K620" i="9"/>
  <c r="I621" i="9"/>
  <c r="K621" i="9"/>
  <c r="I623" i="9"/>
  <c r="K623" i="9"/>
  <c r="I624" i="9"/>
  <c r="K624" i="9"/>
  <c r="I626" i="9"/>
  <c r="K626" i="9"/>
  <c r="I627" i="9"/>
  <c r="K627" i="9"/>
  <c r="I629" i="9"/>
  <c r="K629" i="9"/>
  <c r="I630" i="9"/>
  <c r="K630" i="9"/>
  <c r="I632" i="9"/>
  <c r="K632" i="9"/>
  <c r="I633" i="9"/>
  <c r="K633" i="9"/>
  <c r="I635" i="9"/>
  <c r="K635" i="9"/>
  <c r="I636" i="9"/>
  <c r="K636" i="9"/>
  <c r="I638" i="9"/>
  <c r="K638" i="9"/>
  <c r="I639" i="9"/>
  <c r="K639" i="9"/>
  <c r="I641" i="9"/>
  <c r="K641" i="9"/>
  <c r="I642" i="9"/>
  <c r="K642" i="9"/>
  <c r="I644" i="9"/>
  <c r="K644" i="9"/>
  <c r="I645" i="9"/>
  <c r="K645" i="9"/>
  <c r="I647" i="9"/>
  <c r="K647" i="9"/>
  <c r="I648" i="9"/>
  <c r="K648" i="9"/>
  <c r="I650" i="9"/>
  <c r="K650" i="9"/>
  <c r="I651" i="9"/>
  <c r="K651" i="9"/>
  <c r="I653" i="9"/>
  <c r="K653" i="9"/>
  <c r="I654" i="9"/>
  <c r="K654" i="9"/>
  <c r="I656" i="9"/>
  <c r="K656" i="9"/>
  <c r="I657" i="9"/>
  <c r="K657" i="9"/>
  <c r="I659" i="9"/>
  <c r="K659" i="9"/>
  <c r="I660" i="9"/>
  <c r="K660" i="9"/>
  <c r="I662" i="9"/>
  <c r="K662" i="9"/>
  <c r="I663" i="9"/>
  <c r="K663" i="9"/>
  <c r="I665" i="9"/>
  <c r="K665" i="9"/>
  <c r="I666" i="9"/>
  <c r="K666" i="9"/>
  <c r="H254" i="9"/>
  <c r="H255" i="9"/>
  <c r="H257" i="9"/>
  <c r="H258" i="9"/>
  <c r="H260" i="9"/>
  <c r="H261" i="9"/>
  <c r="H263" i="9"/>
  <c r="H264" i="9"/>
  <c r="H266" i="9"/>
  <c r="H267" i="9"/>
  <c r="H269" i="9"/>
  <c r="H270" i="9"/>
  <c r="H272" i="9"/>
  <c r="H273" i="9"/>
  <c r="H275" i="9"/>
  <c r="H276" i="9"/>
  <c r="H278" i="9"/>
  <c r="H279" i="9"/>
  <c r="H281" i="9"/>
  <c r="H282" i="9"/>
  <c r="H284" i="9"/>
  <c r="H285" i="9"/>
  <c r="H287" i="9"/>
  <c r="H288" i="9"/>
  <c r="H290" i="9"/>
  <c r="H291" i="9"/>
  <c r="H293" i="9"/>
  <c r="H294" i="9"/>
  <c r="H296" i="9"/>
  <c r="H297" i="9"/>
  <c r="H299" i="9"/>
  <c r="H300" i="9"/>
  <c r="H302" i="9"/>
  <c r="H303" i="9"/>
  <c r="H305" i="9"/>
  <c r="H306" i="9"/>
  <c r="H308" i="9"/>
  <c r="H309" i="9"/>
  <c r="H311" i="9"/>
  <c r="H312" i="9"/>
  <c r="H320" i="9"/>
  <c r="H321" i="9"/>
  <c r="H323" i="9"/>
  <c r="H324" i="9"/>
  <c r="H326" i="9"/>
  <c r="H327" i="9"/>
  <c r="H329" i="9"/>
  <c r="H330" i="9"/>
  <c r="H332" i="9"/>
  <c r="H333" i="9"/>
  <c r="H335" i="9"/>
  <c r="H336" i="9"/>
  <c r="H338" i="9"/>
  <c r="H339" i="9"/>
  <c r="H341" i="9"/>
  <c r="H342" i="9"/>
  <c r="H344" i="9"/>
  <c r="H345" i="9"/>
  <c r="H347" i="9"/>
  <c r="H348" i="9"/>
  <c r="H350" i="9"/>
  <c r="H351" i="9"/>
  <c r="H353" i="9"/>
  <c r="H354" i="9"/>
  <c r="H356" i="9"/>
  <c r="H357" i="9"/>
  <c r="H359" i="9"/>
  <c r="H360" i="9"/>
  <c r="H362" i="9"/>
  <c r="H363" i="9"/>
  <c r="H365" i="9"/>
  <c r="H366" i="9"/>
  <c r="H368" i="9"/>
  <c r="H369" i="9"/>
  <c r="H371" i="9"/>
  <c r="H372" i="9"/>
  <c r="H374" i="9"/>
  <c r="H375" i="9"/>
  <c r="H377" i="9"/>
  <c r="H378" i="9"/>
  <c r="H380" i="9"/>
  <c r="H381" i="9"/>
  <c r="H383" i="9"/>
  <c r="H384" i="9"/>
  <c r="H386" i="9"/>
  <c r="H387" i="9"/>
  <c r="H389" i="9"/>
  <c r="H390" i="9"/>
  <c r="H392" i="9"/>
  <c r="H393" i="9"/>
  <c r="H395" i="9"/>
  <c r="H396" i="9"/>
  <c r="H398" i="9"/>
  <c r="H399" i="9"/>
  <c r="H401" i="9"/>
  <c r="H402" i="9"/>
  <c r="H404" i="9"/>
  <c r="H405" i="9"/>
  <c r="H407" i="9"/>
  <c r="H408" i="9"/>
  <c r="H410" i="9"/>
  <c r="H411" i="9"/>
  <c r="H413" i="9"/>
  <c r="H414" i="9"/>
  <c r="H416" i="9"/>
  <c r="H417" i="9"/>
  <c r="H419" i="9"/>
  <c r="H420" i="9"/>
  <c r="H422" i="9"/>
  <c r="H423" i="9"/>
  <c r="H425" i="9"/>
  <c r="H426" i="9"/>
  <c r="H428" i="9"/>
  <c r="H429" i="9"/>
  <c r="H431" i="9"/>
  <c r="H432" i="9"/>
  <c r="H434" i="9"/>
  <c r="H435" i="9"/>
  <c r="H437" i="9"/>
  <c r="H438" i="9"/>
  <c r="H440" i="9"/>
  <c r="H441" i="9"/>
  <c r="H443" i="9"/>
  <c r="H444" i="9"/>
  <c r="H446" i="9"/>
  <c r="H447" i="9"/>
  <c r="H449" i="9"/>
  <c r="H450" i="9"/>
  <c r="H452" i="9"/>
  <c r="H453" i="9"/>
  <c r="H455" i="9"/>
  <c r="H456" i="9"/>
  <c r="H458" i="9"/>
  <c r="H459" i="9"/>
  <c r="H461" i="9"/>
  <c r="H462" i="9"/>
  <c r="H464" i="9"/>
  <c r="H465" i="9"/>
  <c r="H467" i="9"/>
  <c r="H468" i="9"/>
  <c r="H470" i="9"/>
  <c r="H471" i="9"/>
  <c r="H473" i="9"/>
  <c r="H474" i="9"/>
  <c r="H476" i="9"/>
  <c r="H477" i="9"/>
  <c r="H479" i="9"/>
  <c r="H480" i="9"/>
  <c r="H482" i="9"/>
  <c r="H483" i="9"/>
  <c r="H485" i="9"/>
  <c r="H486" i="9"/>
  <c r="H488" i="9"/>
  <c r="H489" i="9"/>
  <c r="H491" i="9"/>
  <c r="H492" i="9"/>
  <c r="H494" i="9"/>
  <c r="H495" i="9"/>
  <c r="H512" i="9"/>
  <c r="H513" i="9"/>
  <c r="H515" i="9"/>
  <c r="H516" i="9"/>
  <c r="H518" i="9"/>
  <c r="H519" i="9"/>
  <c r="H521" i="9"/>
  <c r="H522" i="9"/>
  <c r="H524" i="9"/>
  <c r="H525" i="9"/>
  <c r="H527" i="9"/>
  <c r="H528" i="9"/>
  <c r="H530" i="9"/>
  <c r="H531" i="9"/>
  <c r="H533" i="9"/>
  <c r="H534" i="9"/>
  <c r="H536" i="9"/>
  <c r="H537" i="9"/>
  <c r="H539" i="9"/>
  <c r="H540" i="9"/>
  <c r="H251" i="9"/>
  <c r="H252" i="9"/>
  <c r="E252" i="9"/>
  <c r="E251" i="9"/>
  <c r="H162" i="9"/>
  <c r="H164" i="9"/>
  <c r="H165" i="9"/>
  <c r="H167" i="9"/>
  <c r="H168" i="9"/>
  <c r="H170" i="9"/>
  <c r="H171" i="9"/>
  <c r="H173" i="9"/>
  <c r="H174" i="9"/>
  <c r="H176" i="9"/>
  <c r="H177" i="9"/>
  <c r="H179" i="9"/>
  <c r="H180" i="9"/>
  <c r="H182" i="9"/>
  <c r="H183" i="9"/>
  <c r="H185" i="9"/>
  <c r="H186" i="9"/>
  <c r="H188" i="9"/>
  <c r="H189" i="9"/>
  <c r="H191" i="9"/>
  <c r="H192" i="9"/>
  <c r="H194" i="9"/>
  <c r="H195" i="9"/>
  <c r="H197" i="9"/>
  <c r="H198" i="9"/>
  <c r="H200" i="9"/>
  <c r="H201" i="9"/>
  <c r="H203" i="9"/>
  <c r="H204" i="9"/>
  <c r="H206" i="9"/>
  <c r="H207" i="9"/>
  <c r="H209" i="9"/>
  <c r="H210" i="9"/>
  <c r="H212" i="9"/>
  <c r="H213" i="9"/>
  <c r="H215" i="9"/>
  <c r="H216" i="9"/>
  <c r="H218" i="9"/>
  <c r="H219" i="9"/>
  <c r="H221" i="9"/>
  <c r="H222" i="9"/>
  <c r="H224" i="9"/>
  <c r="H225" i="9"/>
  <c r="H227" i="9"/>
  <c r="H228" i="9"/>
  <c r="H230" i="9"/>
  <c r="H231" i="9"/>
  <c r="H233" i="9"/>
  <c r="H234" i="9"/>
  <c r="H236" i="9"/>
  <c r="H237" i="9"/>
  <c r="H239" i="9"/>
  <c r="H240" i="9"/>
  <c r="H242" i="9"/>
  <c r="H243" i="9"/>
  <c r="H245" i="9"/>
  <c r="H246" i="9"/>
  <c r="H248" i="9"/>
  <c r="H249" i="9"/>
  <c r="H161" i="9"/>
  <c r="I52" i="9" l="1"/>
  <c r="K52" i="9"/>
  <c r="N52" i="9"/>
  <c r="I53" i="9"/>
  <c r="K53" i="9"/>
  <c r="N53" i="9"/>
  <c r="I55" i="9"/>
  <c r="K55" i="9"/>
  <c r="N55" i="9"/>
  <c r="I56" i="9"/>
  <c r="K56" i="9"/>
  <c r="N56" i="9"/>
  <c r="I58" i="9"/>
  <c r="K58" i="9"/>
  <c r="N58" i="9"/>
  <c r="I59" i="9"/>
  <c r="K59" i="9"/>
  <c r="N59" i="9"/>
  <c r="I61" i="9"/>
  <c r="K61" i="9"/>
  <c r="N61" i="9"/>
  <c r="I62" i="9"/>
  <c r="K62" i="9"/>
  <c r="N62" i="9"/>
  <c r="I64" i="9"/>
  <c r="K64" i="9"/>
  <c r="N64" i="9"/>
  <c r="I65" i="9"/>
  <c r="K65" i="9"/>
  <c r="N65" i="9"/>
  <c r="I67" i="9"/>
  <c r="K67" i="9"/>
  <c r="N67" i="9"/>
  <c r="I68" i="9"/>
  <c r="K68" i="9"/>
  <c r="N68" i="9"/>
  <c r="I70" i="9"/>
  <c r="K70" i="9"/>
  <c r="N70" i="9"/>
  <c r="I71" i="9"/>
  <c r="K71" i="9"/>
  <c r="N71" i="9"/>
  <c r="I73" i="9"/>
  <c r="K73" i="9"/>
  <c r="N73" i="9"/>
  <c r="I74" i="9"/>
  <c r="K74" i="9"/>
  <c r="N74" i="9"/>
  <c r="I76" i="9"/>
  <c r="K76" i="9"/>
  <c r="N76" i="9"/>
  <c r="I77" i="9"/>
  <c r="K77" i="9"/>
  <c r="N77" i="9"/>
  <c r="I79" i="9"/>
  <c r="K79" i="9"/>
  <c r="N79" i="9"/>
  <c r="I80" i="9"/>
  <c r="K80" i="9"/>
  <c r="N80" i="9"/>
  <c r="I82" i="9"/>
  <c r="K82" i="9"/>
  <c r="N82" i="9"/>
  <c r="I83" i="9"/>
  <c r="K83" i="9"/>
  <c r="N83" i="9"/>
  <c r="I85" i="9"/>
  <c r="K85" i="9"/>
  <c r="N85" i="9"/>
  <c r="I86" i="9"/>
  <c r="K86" i="9"/>
  <c r="N86" i="9"/>
  <c r="I88" i="9"/>
  <c r="K88" i="9"/>
  <c r="N88" i="9"/>
  <c r="I89" i="9"/>
  <c r="K89" i="9"/>
  <c r="N89" i="9"/>
  <c r="I91" i="9"/>
  <c r="K91" i="9"/>
  <c r="N91" i="9"/>
  <c r="I92" i="9"/>
  <c r="K92" i="9"/>
  <c r="N92" i="9"/>
  <c r="I94" i="9"/>
  <c r="K94" i="9"/>
  <c r="N94" i="9"/>
  <c r="I95" i="9"/>
  <c r="K95" i="9"/>
  <c r="N95" i="9"/>
  <c r="I97" i="9"/>
  <c r="K97" i="9"/>
  <c r="N97" i="9"/>
  <c r="I98" i="9"/>
  <c r="K98" i="9"/>
  <c r="N98" i="9"/>
  <c r="I100" i="9"/>
  <c r="K100" i="9"/>
  <c r="N100" i="9"/>
  <c r="I101" i="9"/>
  <c r="K101" i="9"/>
  <c r="N101" i="9"/>
  <c r="I103" i="9"/>
  <c r="K103" i="9"/>
  <c r="N103" i="9"/>
  <c r="I104" i="9"/>
  <c r="K104" i="9"/>
  <c r="N104" i="9"/>
  <c r="I106" i="9"/>
  <c r="K106" i="9"/>
  <c r="N106" i="9"/>
  <c r="I107" i="9"/>
  <c r="K107" i="9"/>
  <c r="N107" i="9"/>
  <c r="I109" i="9"/>
  <c r="K109" i="9"/>
  <c r="N109" i="9"/>
  <c r="I110" i="9"/>
  <c r="K110" i="9"/>
  <c r="N110" i="9"/>
  <c r="I112" i="9"/>
  <c r="K112" i="9"/>
  <c r="N112" i="9"/>
  <c r="I113" i="9"/>
  <c r="K113" i="9"/>
  <c r="N113" i="9"/>
  <c r="I115" i="9"/>
  <c r="K115" i="9"/>
  <c r="N115" i="9"/>
  <c r="I116" i="9"/>
  <c r="K116" i="9"/>
  <c r="N116" i="9"/>
  <c r="I118" i="9"/>
  <c r="K118" i="9"/>
  <c r="N118" i="9"/>
  <c r="I119" i="9"/>
  <c r="K119" i="9"/>
  <c r="N119" i="9"/>
  <c r="I121" i="9"/>
  <c r="K121" i="9"/>
  <c r="N121" i="9"/>
  <c r="I122" i="9"/>
  <c r="K122" i="9"/>
  <c r="N122" i="9"/>
  <c r="I124" i="9"/>
  <c r="K124" i="9"/>
  <c r="N124" i="9"/>
  <c r="I125" i="9"/>
  <c r="K125" i="9"/>
  <c r="N125" i="9"/>
  <c r="I127" i="9"/>
  <c r="K127" i="9"/>
  <c r="N127" i="9"/>
  <c r="I128" i="9"/>
  <c r="K128" i="9"/>
  <c r="N128" i="9"/>
  <c r="I130" i="9"/>
  <c r="K130" i="9"/>
  <c r="N130" i="9"/>
  <c r="I131" i="9"/>
  <c r="K131" i="9"/>
  <c r="N131" i="9"/>
  <c r="I133" i="9"/>
  <c r="K133" i="9"/>
  <c r="N133" i="9"/>
  <c r="I134" i="9"/>
  <c r="K134" i="9"/>
  <c r="N134" i="9"/>
  <c r="I136" i="9"/>
  <c r="K136" i="9"/>
  <c r="N136" i="9"/>
  <c r="I137" i="9"/>
  <c r="K137" i="9"/>
  <c r="N137" i="9"/>
  <c r="I139" i="9"/>
  <c r="K139" i="9"/>
  <c r="N139" i="9"/>
  <c r="I140" i="9"/>
  <c r="K140" i="9"/>
  <c r="N140" i="9"/>
  <c r="I142" i="9"/>
  <c r="K142" i="9"/>
  <c r="N142" i="9"/>
  <c r="I143" i="9"/>
  <c r="K143" i="9"/>
  <c r="N143" i="9"/>
  <c r="I145" i="9"/>
  <c r="K145" i="9"/>
  <c r="N145" i="9"/>
  <c r="I146" i="9"/>
  <c r="K146" i="9"/>
  <c r="N146" i="9"/>
  <c r="I148" i="9"/>
  <c r="K148" i="9"/>
  <c r="N148" i="9"/>
  <c r="I149" i="9"/>
  <c r="K149" i="9"/>
  <c r="N149" i="9"/>
  <c r="I151" i="9"/>
  <c r="K151" i="9"/>
  <c r="N151" i="9"/>
  <c r="I152" i="9"/>
  <c r="K152" i="9"/>
  <c r="N152" i="9"/>
  <c r="I154" i="9"/>
  <c r="K154" i="9"/>
  <c r="N154" i="9"/>
  <c r="I155" i="9"/>
  <c r="K155" i="9"/>
  <c r="N155" i="9"/>
  <c r="I157" i="9"/>
  <c r="K157" i="9"/>
  <c r="N157" i="9"/>
  <c r="I158" i="9"/>
  <c r="K158" i="9"/>
  <c r="N158" i="9"/>
  <c r="E159" i="9"/>
  <c r="E156" i="9"/>
  <c r="E153" i="9"/>
  <c r="E150" i="9"/>
  <c r="E147" i="9"/>
  <c r="E144" i="9"/>
  <c r="E141" i="9"/>
  <c r="E138" i="9"/>
  <c r="E135" i="9"/>
  <c r="E132" i="9"/>
  <c r="E129" i="9"/>
  <c r="E126" i="9"/>
  <c r="E123" i="9"/>
  <c r="E120" i="9"/>
  <c r="E117" i="9"/>
  <c r="E114" i="9"/>
  <c r="E111" i="9"/>
  <c r="E108" i="9"/>
  <c r="E105" i="9"/>
  <c r="E102" i="9"/>
  <c r="E99" i="9"/>
  <c r="E96" i="9"/>
  <c r="E93" i="9"/>
  <c r="E90" i="9"/>
  <c r="E87" i="9"/>
  <c r="E84" i="9"/>
  <c r="E81" i="9"/>
  <c r="E78" i="9"/>
  <c r="E76" i="9"/>
  <c r="E75" i="9"/>
  <c r="E72" i="9"/>
  <c r="H158" i="9"/>
  <c r="H142" i="9"/>
  <c r="H143" i="9"/>
  <c r="H145" i="9"/>
  <c r="H146" i="9"/>
  <c r="H148" i="9"/>
  <c r="H149" i="9"/>
  <c r="H151" i="9"/>
  <c r="H152" i="9"/>
  <c r="H154" i="9"/>
  <c r="H155" i="9"/>
  <c r="H157" i="9"/>
  <c r="E118" i="9"/>
  <c r="H116" i="9"/>
  <c r="H118" i="9"/>
  <c r="H119" i="9"/>
  <c r="H121" i="9"/>
  <c r="H122" i="9"/>
  <c r="H124" i="9"/>
  <c r="H125" i="9"/>
  <c r="H127" i="9"/>
  <c r="H128" i="9"/>
  <c r="H130" i="9"/>
  <c r="H131" i="9"/>
  <c r="H133" i="9"/>
  <c r="H134" i="9"/>
  <c r="H136" i="9"/>
  <c r="H137" i="9"/>
  <c r="H139" i="9"/>
  <c r="H140" i="9"/>
  <c r="H98" i="9"/>
  <c r="H100" i="9"/>
  <c r="H101" i="9"/>
  <c r="H103" i="9"/>
  <c r="H104" i="9"/>
  <c r="H106" i="9"/>
  <c r="H107" i="9"/>
  <c r="H109" i="9"/>
  <c r="H110" i="9"/>
  <c r="H112" i="9"/>
  <c r="H113" i="9"/>
  <c r="H115" i="9"/>
  <c r="H88" i="9"/>
  <c r="H89" i="9"/>
  <c r="H91" i="9"/>
  <c r="H92" i="9"/>
  <c r="H94" i="9"/>
  <c r="H95" i="9"/>
  <c r="H97" i="9"/>
  <c r="H80" i="9"/>
  <c r="H82" i="9"/>
  <c r="H83" i="9"/>
  <c r="H85" i="9"/>
  <c r="H86" i="9"/>
  <c r="H71" i="9"/>
  <c r="H73" i="9"/>
  <c r="H74" i="9"/>
  <c r="H76" i="9"/>
  <c r="H77" i="9"/>
  <c r="H79" i="9"/>
  <c r="H70" i="9"/>
  <c r="E69" i="9"/>
  <c r="H68" i="9"/>
  <c r="H67" i="9"/>
  <c r="E66" i="9" l="1"/>
  <c r="H65" i="9"/>
  <c r="H64" i="9"/>
  <c r="E63" i="9"/>
  <c r="H62" i="9"/>
  <c r="H61" i="9"/>
  <c r="E60" i="9" l="1"/>
  <c r="H59" i="9"/>
  <c r="H58" i="9"/>
  <c r="H56" i="9"/>
  <c r="H55" i="9"/>
  <c r="H53" i="9" l="1"/>
  <c r="H52" i="9"/>
  <c r="E57" i="9"/>
  <c r="E56" i="9"/>
  <c r="E54" i="9"/>
  <c r="E51" i="9"/>
  <c r="I49" i="9"/>
  <c r="K49" i="9"/>
  <c r="N49" i="9"/>
  <c r="I50" i="9"/>
  <c r="K50" i="9"/>
  <c r="N50" i="9"/>
  <c r="H50" i="9" l="1"/>
  <c r="H47" i="9"/>
  <c r="I47" i="9"/>
  <c r="K47" i="9"/>
  <c r="N47" i="9"/>
  <c r="I46" i="9"/>
  <c r="K46" i="9"/>
  <c r="N46" i="9"/>
  <c r="H46" i="9"/>
  <c r="E46" i="9"/>
  <c r="H49" i="9"/>
  <c r="I48" i="9" l="1"/>
  <c r="H48" i="9"/>
  <c r="K48" i="9"/>
  <c r="J48" i="9" l="1"/>
  <c r="M48" i="9" s="1"/>
  <c r="L48" i="9" l="1"/>
  <c r="I253" i="9"/>
  <c r="K253" i="9"/>
  <c r="L253" i="9" l="1"/>
  <c r="J253" i="9"/>
  <c r="M253" i="9"/>
  <c r="M251" i="9" l="1"/>
  <c r="J251" i="9"/>
  <c r="L251" i="9"/>
  <c r="K7" i="2"/>
  <c r="H855" i="9" l="1"/>
  <c r="I48" i="1"/>
  <c r="J46" i="9" s="1"/>
  <c r="R48" i="1" l="1"/>
  <c r="K48" i="1"/>
  <c r="I49" i="1" s="1"/>
  <c r="L48" i="1"/>
  <c r="M46" i="9" s="1"/>
  <c r="S48" i="1" l="1"/>
  <c r="L46" i="9"/>
  <c r="J252" i="9"/>
  <c r="M252" i="9"/>
  <c r="L252" i="9"/>
  <c r="L608" i="1" l="1"/>
  <c r="L560" i="1"/>
  <c r="L562" i="1"/>
  <c r="L564" i="1"/>
  <c r="L566" i="1"/>
  <c r="L568" i="1"/>
  <c r="L570" i="1"/>
  <c r="L572" i="1"/>
  <c r="L574" i="1"/>
  <c r="L576" i="1"/>
  <c r="L578" i="1"/>
  <c r="L580" i="1"/>
  <c r="L582" i="1"/>
  <c r="L584" i="1"/>
  <c r="L586" i="1"/>
  <c r="L588" i="1"/>
  <c r="L590" i="1"/>
  <c r="L592" i="1"/>
  <c r="L606" i="1"/>
  <c r="L522" i="1"/>
  <c r="L504" i="1"/>
  <c r="L506" i="1"/>
  <c r="L508" i="1"/>
  <c r="L510" i="1"/>
  <c r="L512" i="1"/>
  <c r="L514" i="1"/>
  <c r="L516" i="1"/>
  <c r="L518" i="1"/>
  <c r="L520" i="1"/>
  <c r="L524" i="1"/>
  <c r="L526" i="1"/>
  <c r="L528" i="1"/>
  <c r="L530" i="1"/>
  <c r="L532" i="1"/>
  <c r="L534" i="1"/>
  <c r="L536" i="1"/>
  <c r="L538" i="1"/>
  <c r="L540" i="1"/>
  <c r="L542" i="1"/>
  <c r="L544" i="1"/>
  <c r="L546" i="1"/>
  <c r="L548" i="1"/>
  <c r="L550" i="1"/>
  <c r="L558" i="1"/>
  <c r="I498" i="1"/>
  <c r="I617" i="1" s="1"/>
  <c r="I11" i="1"/>
  <c r="L11" i="1" s="1"/>
  <c r="I9" i="1"/>
  <c r="I7" i="1"/>
  <c r="L7" i="1" l="1"/>
  <c r="K7" i="1"/>
  <c r="L617" i="1"/>
  <c r="L498" i="1"/>
  <c r="K9" i="1"/>
  <c r="I10" i="1" s="1"/>
  <c r="L9" i="1"/>
  <c r="J47" i="9" l="1"/>
  <c r="L49" i="1"/>
  <c r="M47" i="9" s="1"/>
  <c r="K49" i="1"/>
  <c r="L47" i="9" s="1"/>
  <c r="K166" i="9"/>
  <c r="K169" i="9"/>
  <c r="K172" i="9"/>
  <c r="K175" i="9"/>
  <c r="K178" i="9"/>
  <c r="K181" i="9"/>
  <c r="K184" i="9"/>
  <c r="K187" i="9"/>
  <c r="K190" i="9"/>
  <c r="K193" i="9"/>
  <c r="K196" i="9"/>
  <c r="K199" i="9"/>
  <c r="K202" i="9"/>
  <c r="K205" i="9"/>
  <c r="K208" i="9"/>
  <c r="K211" i="9"/>
  <c r="K214" i="9"/>
  <c r="K217" i="9"/>
  <c r="K220" i="9"/>
  <c r="K223" i="9"/>
  <c r="K226" i="9"/>
  <c r="K229" i="9"/>
  <c r="K232" i="9"/>
  <c r="K235" i="9"/>
  <c r="K238" i="9"/>
  <c r="K241" i="9"/>
  <c r="K244" i="9"/>
  <c r="K247" i="9"/>
  <c r="K250" i="9"/>
  <c r="K256" i="9"/>
  <c r="K259" i="9"/>
  <c r="K262" i="9"/>
  <c r="K265" i="9"/>
  <c r="K268" i="9"/>
  <c r="K271" i="9"/>
  <c r="K274" i="9"/>
  <c r="K277" i="9"/>
  <c r="K280" i="9"/>
  <c r="K283" i="9"/>
  <c r="K286" i="9"/>
  <c r="K289" i="9"/>
  <c r="K292" i="9"/>
  <c r="K295" i="9"/>
  <c r="K298" i="9"/>
  <c r="K301" i="9"/>
  <c r="K304" i="9"/>
  <c r="K307" i="9"/>
  <c r="K310" i="9"/>
  <c r="K313" i="9"/>
  <c r="K319" i="9"/>
  <c r="K322" i="9"/>
  <c r="K325" i="9"/>
  <c r="K328" i="9"/>
  <c r="K331" i="9"/>
  <c r="K334" i="9"/>
  <c r="K337" i="9"/>
  <c r="K340" i="9"/>
  <c r="K343" i="9"/>
  <c r="K346" i="9"/>
  <c r="K349" i="9"/>
  <c r="K352" i="9"/>
  <c r="K355" i="9"/>
  <c r="K358" i="9"/>
  <c r="K361" i="9"/>
  <c r="K364" i="9"/>
  <c r="K367" i="9"/>
  <c r="K370" i="9"/>
  <c r="K373" i="9"/>
  <c r="K376" i="9"/>
  <c r="K379" i="9"/>
  <c r="K382" i="9"/>
  <c r="K385" i="9"/>
  <c r="K388" i="9"/>
  <c r="K391" i="9"/>
  <c r="K394" i="9"/>
  <c r="K397" i="9"/>
  <c r="K400" i="9"/>
  <c r="K403" i="9"/>
  <c r="K406" i="9"/>
  <c r="K409" i="9"/>
  <c r="K412" i="9"/>
  <c r="K415" i="9"/>
  <c r="K418" i="9"/>
  <c r="K421" i="9"/>
  <c r="K424" i="9"/>
  <c r="K427" i="9"/>
  <c r="K430" i="9"/>
  <c r="K433" i="9"/>
  <c r="K436" i="9"/>
  <c r="K439" i="9"/>
  <c r="K442" i="9"/>
  <c r="K445" i="9"/>
  <c r="K448" i="9"/>
  <c r="K451" i="9"/>
  <c r="K454" i="9"/>
  <c r="K457" i="9"/>
  <c r="K460" i="9"/>
  <c r="K463" i="9"/>
  <c r="K466" i="9"/>
  <c r="K469" i="9"/>
  <c r="K472" i="9"/>
  <c r="K475" i="9"/>
  <c r="K478" i="9"/>
  <c r="K481" i="9"/>
  <c r="K484" i="9"/>
  <c r="K487" i="9"/>
  <c r="K490" i="9"/>
  <c r="K493" i="9"/>
  <c r="K496" i="9"/>
  <c r="K514" i="9"/>
  <c r="K517" i="9"/>
  <c r="K520" i="9"/>
  <c r="K523" i="9"/>
  <c r="K526" i="9"/>
  <c r="K529" i="9"/>
  <c r="K532" i="9"/>
  <c r="K535" i="9"/>
  <c r="K538" i="9"/>
  <c r="K541" i="9"/>
  <c r="K544" i="9"/>
  <c r="K547" i="9"/>
  <c r="K559" i="9"/>
  <c r="K562" i="9"/>
  <c r="K565" i="9"/>
  <c r="K568" i="9"/>
  <c r="K571" i="9"/>
  <c r="K574" i="9"/>
  <c r="K577" i="9"/>
  <c r="K580" i="9"/>
  <c r="K583" i="9"/>
  <c r="K586" i="9"/>
  <c r="K589" i="9"/>
  <c r="K592" i="9"/>
  <c r="K595" i="9"/>
  <c r="K598" i="9"/>
  <c r="K601" i="9"/>
  <c r="K604" i="9"/>
  <c r="K607" i="9"/>
  <c r="K610" i="9"/>
  <c r="K613" i="9"/>
  <c r="K616" i="9"/>
  <c r="K619" i="9"/>
  <c r="K622" i="9"/>
  <c r="K625" i="9"/>
  <c r="K628" i="9"/>
  <c r="K631" i="9"/>
  <c r="K634" i="9"/>
  <c r="K637" i="9"/>
  <c r="K640" i="9"/>
  <c r="K643" i="9"/>
  <c r="K646" i="9"/>
  <c r="K649" i="9"/>
  <c r="K652" i="9"/>
  <c r="K655" i="9"/>
  <c r="K658" i="9"/>
  <c r="K661" i="9"/>
  <c r="K664" i="9"/>
  <c r="K667" i="9"/>
  <c r="K163" i="9"/>
  <c r="I184" i="9"/>
  <c r="I187" i="9"/>
  <c r="I190" i="9"/>
  <c r="I193" i="9"/>
  <c r="I196" i="9"/>
  <c r="I199" i="9"/>
  <c r="I202" i="9"/>
  <c r="I205" i="9"/>
  <c r="I208" i="9"/>
  <c r="I211" i="9"/>
  <c r="I214" i="9"/>
  <c r="I217" i="9"/>
  <c r="I220" i="9"/>
  <c r="I223" i="9"/>
  <c r="I226" i="9"/>
  <c r="I229" i="9"/>
  <c r="I232" i="9"/>
  <c r="I235" i="9"/>
  <c r="I238" i="9"/>
  <c r="I241" i="9"/>
  <c r="I244" i="9"/>
  <c r="I247" i="9"/>
  <c r="I250" i="9"/>
  <c r="I256" i="9"/>
  <c r="I259" i="9"/>
  <c r="I262" i="9"/>
  <c r="I265" i="9"/>
  <c r="I268" i="9"/>
  <c r="I271" i="9"/>
  <c r="I274" i="9"/>
  <c r="I277" i="9"/>
  <c r="I280" i="9"/>
  <c r="I283" i="9"/>
  <c r="I286" i="9"/>
  <c r="I289" i="9"/>
  <c r="I292" i="9"/>
  <c r="I295" i="9"/>
  <c r="I298" i="9"/>
  <c r="I301" i="9"/>
  <c r="I304" i="9"/>
  <c r="I307" i="9"/>
  <c r="I310" i="9"/>
  <c r="I313" i="9"/>
  <c r="I319" i="9"/>
  <c r="I322" i="9"/>
  <c r="I325" i="9"/>
  <c r="I328" i="9"/>
  <c r="I331" i="9"/>
  <c r="I334" i="9"/>
  <c r="I337" i="9"/>
  <c r="I340" i="9"/>
  <c r="I343" i="9"/>
  <c r="I346" i="9"/>
  <c r="I349" i="9"/>
  <c r="I352" i="9"/>
  <c r="I355" i="9"/>
  <c r="I358" i="9"/>
  <c r="I361" i="9"/>
  <c r="I364" i="9"/>
  <c r="I370" i="9"/>
  <c r="I373" i="9"/>
  <c r="I376" i="9"/>
  <c r="I379" i="9"/>
  <c r="I382" i="9"/>
  <c r="I385" i="9"/>
  <c r="I388" i="9"/>
  <c r="I391" i="9"/>
  <c r="I394" i="9"/>
  <c r="I397" i="9"/>
  <c r="I400" i="9"/>
  <c r="I403" i="9"/>
  <c r="I406" i="9"/>
  <c r="I409" i="9"/>
  <c r="I412" i="9"/>
  <c r="I415" i="9"/>
  <c r="I418" i="9"/>
  <c r="I421" i="9"/>
  <c r="I424" i="9"/>
  <c r="I427" i="9"/>
  <c r="I430" i="9"/>
  <c r="I433" i="9"/>
  <c r="I436" i="9"/>
  <c r="I439" i="9"/>
  <c r="I442" i="9"/>
  <c r="I445" i="9"/>
  <c r="I448" i="9"/>
  <c r="I451" i="9"/>
  <c r="I454" i="9"/>
  <c r="I457" i="9"/>
  <c r="I460" i="9"/>
  <c r="I463" i="9"/>
  <c r="I466" i="9"/>
  <c r="I469" i="9"/>
  <c r="I472" i="9"/>
  <c r="I475" i="9"/>
  <c r="I478" i="9"/>
  <c r="I481" i="9"/>
  <c r="I484" i="9"/>
  <c r="I487" i="9"/>
  <c r="I490" i="9"/>
  <c r="I493" i="9"/>
  <c r="I496" i="9"/>
  <c r="I514" i="9"/>
  <c r="I517" i="9"/>
  <c r="I520" i="9"/>
  <c r="I523" i="9"/>
  <c r="I526" i="9"/>
  <c r="I529" i="9"/>
  <c r="I532" i="9"/>
  <c r="I535" i="9"/>
  <c r="I538" i="9"/>
  <c r="I541" i="9"/>
  <c r="I544" i="9"/>
  <c r="I547" i="9"/>
  <c r="I559" i="9"/>
  <c r="I562" i="9"/>
  <c r="I565" i="9"/>
  <c r="I568" i="9"/>
  <c r="I571" i="9"/>
  <c r="I574" i="9"/>
  <c r="I577" i="9"/>
  <c r="I580" i="9"/>
  <c r="I583" i="9"/>
  <c r="I586" i="9"/>
  <c r="I589" i="9"/>
  <c r="I592" i="9"/>
  <c r="I595" i="9"/>
  <c r="I598" i="9"/>
  <c r="I601" i="9"/>
  <c r="I604" i="9"/>
  <c r="I607" i="9"/>
  <c r="I610" i="9"/>
  <c r="I613" i="9"/>
  <c r="I616" i="9"/>
  <c r="I619" i="9"/>
  <c r="I622" i="9"/>
  <c r="I625" i="9"/>
  <c r="I628" i="9"/>
  <c r="I631" i="9"/>
  <c r="I634" i="9"/>
  <c r="I637" i="9"/>
  <c r="I640" i="9"/>
  <c r="I643" i="9"/>
  <c r="I646" i="9"/>
  <c r="I649" i="9"/>
  <c r="I652" i="9"/>
  <c r="I655" i="9"/>
  <c r="I658" i="9"/>
  <c r="I661" i="9"/>
  <c r="I664" i="9"/>
  <c r="I667" i="9"/>
  <c r="I166" i="9"/>
  <c r="I169" i="9"/>
  <c r="I172" i="9"/>
  <c r="I175" i="9"/>
  <c r="I178" i="9"/>
  <c r="I181" i="9"/>
  <c r="I163" i="9"/>
  <c r="P130" i="1"/>
  <c r="S130" i="1" s="1"/>
  <c r="J256" i="9" l="1"/>
  <c r="J274" i="9"/>
  <c r="J280" i="9"/>
  <c r="J298" i="9"/>
  <c r="J304" i="9"/>
  <c r="J322" i="9"/>
  <c r="J328" i="9"/>
  <c r="J340" i="9"/>
  <c r="J346" i="9"/>
  <c r="J358" i="9"/>
  <c r="J376" i="9"/>
  <c r="J382" i="9"/>
  <c r="J388" i="9"/>
  <c r="J394" i="9"/>
  <c r="J442" i="9"/>
  <c r="J454" i="9"/>
  <c r="J475" i="9"/>
  <c r="J487" i="9"/>
  <c r="J514" i="9"/>
  <c r="J520" i="9"/>
  <c r="J526" i="9"/>
  <c r="J665" i="9"/>
  <c r="J230" i="9"/>
  <c r="J233" i="9"/>
  <c r="J239" i="9"/>
  <c r="J245" i="9"/>
  <c r="J248" i="9"/>
  <c r="J254" i="9"/>
  <c r="J260" i="9"/>
  <c r="J263" i="9"/>
  <c r="J266" i="9"/>
  <c r="J269" i="9"/>
  <c r="J272" i="9"/>
  <c r="J275" i="9"/>
  <c r="J281" i="9"/>
  <c r="J284" i="9"/>
  <c r="J287" i="9"/>
  <c r="J290" i="9"/>
  <c r="J293" i="9"/>
  <c r="J296" i="9"/>
  <c r="J299" i="9"/>
  <c r="J302" i="9"/>
  <c r="J305" i="9"/>
  <c r="J308" i="9"/>
  <c r="J311" i="9"/>
  <c r="J320" i="9"/>
  <c r="J323" i="9"/>
  <c r="J326" i="9"/>
  <c r="J329" i="9"/>
  <c r="J332" i="9"/>
  <c r="J335" i="9"/>
  <c r="J338" i="9"/>
  <c r="J341" i="9"/>
  <c r="J344" i="9"/>
  <c r="J347" i="9"/>
  <c r="J350" i="9"/>
  <c r="J353" i="9"/>
  <c r="J356" i="9"/>
  <c r="J359" i="9"/>
  <c r="J362" i="9"/>
  <c r="J365" i="9"/>
  <c r="J368" i="9"/>
  <c r="J371" i="9"/>
  <c r="J374" i="9"/>
  <c r="J377" i="9"/>
  <c r="J380" i="9"/>
  <c r="J383" i="9"/>
  <c r="J386" i="9"/>
  <c r="J389" i="9"/>
  <c r="J392" i="9"/>
  <c r="J395" i="9"/>
  <c r="J398" i="9"/>
  <c r="J401" i="9"/>
  <c r="J404" i="9"/>
  <c r="J407" i="9"/>
  <c r="J410" i="9"/>
  <c r="J413" i="9"/>
  <c r="J416" i="9"/>
  <c r="J419" i="9"/>
  <c r="J422" i="9"/>
  <c r="J425" i="9"/>
  <c r="J428" i="9"/>
  <c r="J431" i="9"/>
  <c r="J434" i="9"/>
  <c r="J437" i="9"/>
  <c r="J440" i="9"/>
  <c r="J443" i="9"/>
  <c r="J446" i="9"/>
  <c r="J449" i="9"/>
  <c r="J452" i="9"/>
  <c r="J455" i="9"/>
  <c r="J458" i="9"/>
  <c r="J461" i="9"/>
  <c r="J464" i="9"/>
  <c r="J467" i="9"/>
  <c r="J470" i="9"/>
  <c r="J473" i="9"/>
  <c r="J476" i="9"/>
  <c r="J479" i="9"/>
  <c r="J482" i="9"/>
  <c r="J485" i="9"/>
  <c r="J488" i="9"/>
  <c r="J491" i="9"/>
  <c r="J494" i="9"/>
  <c r="J512" i="9"/>
  <c r="J515" i="9"/>
  <c r="J518" i="9"/>
  <c r="J521" i="9"/>
  <c r="J524" i="9"/>
  <c r="J527" i="9"/>
  <c r="J530" i="9"/>
  <c r="J533" i="9"/>
  <c r="J536" i="9"/>
  <c r="J539" i="9"/>
  <c r="J542" i="9"/>
  <c r="J545" i="9"/>
  <c r="J557" i="9"/>
  <c r="J560" i="9"/>
  <c r="J563" i="9"/>
  <c r="J566" i="9"/>
  <c r="J569" i="9"/>
  <c r="J572" i="9"/>
  <c r="J575" i="9"/>
  <c r="J578" i="9"/>
  <c r="J581" i="9"/>
  <c r="J584" i="9"/>
  <c r="J587" i="9"/>
  <c r="J590" i="9"/>
  <c r="J593" i="9"/>
  <c r="J596" i="9"/>
  <c r="J599" i="9"/>
  <c r="J602" i="9"/>
  <c r="J605" i="9"/>
  <c r="J608" i="9"/>
  <c r="J611" i="9"/>
  <c r="J614" i="9"/>
  <c r="J617" i="9"/>
  <c r="J620" i="9"/>
  <c r="J623" i="9"/>
  <c r="J626" i="9"/>
  <c r="J629" i="9"/>
  <c r="J632" i="9"/>
  <c r="J635" i="9"/>
  <c r="J638" i="9"/>
  <c r="J641" i="9"/>
  <c r="J644" i="9"/>
  <c r="J647" i="9"/>
  <c r="J650" i="9"/>
  <c r="J653" i="9"/>
  <c r="J656" i="9"/>
  <c r="J659" i="9"/>
  <c r="J662" i="9"/>
  <c r="J161" i="9"/>
  <c r="J157" i="9"/>
  <c r="L664" i="9" l="1"/>
  <c r="J664" i="9"/>
  <c r="L649" i="9"/>
  <c r="J649" i="9"/>
  <c r="L637" i="9"/>
  <c r="J637" i="9"/>
  <c r="L625" i="9"/>
  <c r="J625" i="9"/>
  <c r="L613" i="9"/>
  <c r="J613" i="9"/>
  <c r="L601" i="9"/>
  <c r="J601" i="9"/>
  <c r="L589" i="9"/>
  <c r="J589" i="9"/>
  <c r="L577" i="9"/>
  <c r="J577" i="9"/>
  <c r="L565" i="9"/>
  <c r="J565" i="9"/>
  <c r="L544" i="9"/>
  <c r="J544" i="9"/>
  <c r="L532" i="9"/>
  <c r="J532" i="9"/>
  <c r="L493" i="9"/>
  <c r="J493" i="9"/>
  <c r="L481" i="9"/>
  <c r="J481" i="9"/>
  <c r="L469" i="9"/>
  <c r="J469" i="9"/>
  <c r="L457" i="9"/>
  <c r="J457" i="9"/>
  <c r="L448" i="9"/>
  <c r="J448" i="9"/>
  <c r="L439" i="9"/>
  <c r="J439" i="9"/>
  <c r="L430" i="9"/>
  <c r="J430" i="9"/>
  <c r="L421" i="9"/>
  <c r="J421" i="9"/>
  <c r="L412" i="9"/>
  <c r="J412" i="9"/>
  <c r="L397" i="9"/>
  <c r="J397" i="9"/>
  <c r="M385" i="9"/>
  <c r="J385" i="9"/>
  <c r="L661" i="9"/>
  <c r="J661" i="9"/>
  <c r="L646" i="9"/>
  <c r="J646" i="9"/>
  <c r="L634" i="9"/>
  <c r="J634" i="9"/>
  <c r="M622" i="9"/>
  <c r="J622" i="9"/>
  <c r="L610" i="9"/>
  <c r="J610" i="9"/>
  <c r="M598" i="9"/>
  <c r="J598" i="9"/>
  <c r="M586" i="9"/>
  <c r="J586" i="9"/>
  <c r="M574" i="9"/>
  <c r="J574" i="9"/>
  <c r="L562" i="9"/>
  <c r="J562" i="9"/>
  <c r="L541" i="9"/>
  <c r="J541" i="9"/>
  <c r="L529" i="9"/>
  <c r="J529" i="9"/>
  <c r="L517" i="9"/>
  <c r="J517" i="9"/>
  <c r="M490" i="9"/>
  <c r="J490" i="9"/>
  <c r="M478" i="9"/>
  <c r="J478" i="9"/>
  <c r="M466" i="9"/>
  <c r="J466" i="9"/>
  <c r="M445" i="9"/>
  <c r="J445" i="9"/>
  <c r="M436" i="9"/>
  <c r="J436" i="9"/>
  <c r="M418" i="9"/>
  <c r="J418" i="9"/>
  <c r="L406" i="9"/>
  <c r="J406" i="9"/>
  <c r="L658" i="9"/>
  <c r="J658" i="9"/>
  <c r="L643" i="9"/>
  <c r="J643" i="9"/>
  <c r="L631" i="9"/>
  <c r="J631" i="9"/>
  <c r="L619" i="9"/>
  <c r="J619" i="9"/>
  <c r="L607" i="9"/>
  <c r="J607" i="9"/>
  <c r="L595" i="9"/>
  <c r="J595" i="9"/>
  <c r="L583" i="9"/>
  <c r="J583" i="9"/>
  <c r="L571" i="9"/>
  <c r="J571" i="9"/>
  <c r="L559" i="9"/>
  <c r="J559" i="9"/>
  <c r="L538" i="9"/>
  <c r="J538" i="9"/>
  <c r="L463" i="9"/>
  <c r="J463" i="9"/>
  <c r="L427" i="9"/>
  <c r="J427" i="9"/>
  <c r="L403" i="9"/>
  <c r="J403" i="9"/>
  <c r="L391" i="9"/>
  <c r="J391" i="9"/>
  <c r="L667" i="9"/>
  <c r="J667" i="9"/>
  <c r="L655" i="9"/>
  <c r="J655" i="9"/>
  <c r="M640" i="9"/>
  <c r="J640" i="9"/>
  <c r="L628" i="9"/>
  <c r="J628" i="9"/>
  <c r="M616" i="9"/>
  <c r="J616" i="9"/>
  <c r="L604" i="9"/>
  <c r="J604" i="9"/>
  <c r="L592" i="9"/>
  <c r="J592" i="9"/>
  <c r="M580" i="9"/>
  <c r="J580" i="9"/>
  <c r="M568" i="9"/>
  <c r="J568" i="9"/>
  <c r="L547" i="9"/>
  <c r="J547" i="9"/>
  <c r="L535" i="9"/>
  <c r="J535" i="9"/>
  <c r="L523" i="9"/>
  <c r="J523" i="9"/>
  <c r="L496" i="9"/>
  <c r="J496" i="9"/>
  <c r="M484" i="9"/>
  <c r="J484" i="9"/>
  <c r="M472" i="9"/>
  <c r="J472" i="9"/>
  <c r="L460" i="9"/>
  <c r="J460" i="9"/>
  <c r="L451" i="9"/>
  <c r="J451" i="9"/>
  <c r="L433" i="9"/>
  <c r="J433" i="9"/>
  <c r="M424" i="9"/>
  <c r="J424" i="9"/>
  <c r="M415" i="9"/>
  <c r="J415" i="9"/>
  <c r="M409" i="9"/>
  <c r="J409" i="9"/>
  <c r="L400" i="9"/>
  <c r="J400" i="9"/>
  <c r="L652" i="9"/>
  <c r="J652" i="9"/>
  <c r="L370" i="9"/>
  <c r="J370" i="9"/>
  <c r="L343" i="9"/>
  <c r="J343" i="9"/>
  <c r="M307" i="9"/>
  <c r="J307" i="9"/>
  <c r="M271" i="9"/>
  <c r="J271" i="9"/>
  <c r="M373" i="9"/>
  <c r="J373" i="9"/>
  <c r="L334" i="9"/>
  <c r="J334" i="9"/>
  <c r="L310" i="9"/>
  <c r="J310" i="9"/>
  <c r="L286" i="9"/>
  <c r="J286" i="9"/>
  <c r="L262" i="9"/>
  <c r="J262" i="9"/>
  <c r="L355" i="9"/>
  <c r="J355" i="9"/>
  <c r="L331" i="9"/>
  <c r="J331" i="9"/>
  <c r="M295" i="9"/>
  <c r="J295" i="9"/>
  <c r="M259" i="9"/>
  <c r="J259" i="9"/>
  <c r="L379" i="9"/>
  <c r="J379" i="9"/>
  <c r="L364" i="9"/>
  <c r="J364" i="9"/>
  <c r="L352" i="9"/>
  <c r="J352" i="9"/>
  <c r="L319" i="9"/>
  <c r="J319" i="9"/>
  <c r="L292" i="9"/>
  <c r="J292" i="9"/>
  <c r="L268" i="9"/>
  <c r="J268" i="9"/>
  <c r="L283" i="9"/>
  <c r="J283" i="9"/>
  <c r="L361" i="9"/>
  <c r="J361" i="9"/>
  <c r="M349" i="9"/>
  <c r="J349" i="9"/>
  <c r="L337" i="9"/>
  <c r="J337" i="9"/>
  <c r="M325" i="9"/>
  <c r="J325" i="9"/>
  <c r="L313" i="9"/>
  <c r="J313" i="9"/>
  <c r="M301" i="9"/>
  <c r="J301" i="9"/>
  <c r="M289" i="9"/>
  <c r="J289" i="9"/>
  <c r="M277" i="9"/>
  <c r="J277" i="9"/>
  <c r="L265" i="9"/>
  <c r="J265" i="9"/>
  <c r="L367" i="9"/>
  <c r="J367" i="9"/>
  <c r="M236" i="9"/>
  <c r="J236" i="9"/>
  <c r="M218" i="9"/>
  <c r="J218" i="9"/>
  <c r="M191" i="9"/>
  <c r="J191" i="9"/>
  <c r="M185" i="9"/>
  <c r="J185" i="9"/>
  <c r="M179" i="9"/>
  <c r="J179" i="9"/>
  <c r="M173" i="9"/>
  <c r="J173" i="9"/>
  <c r="M167" i="9"/>
  <c r="J167" i="9"/>
  <c r="J250" i="9"/>
  <c r="M238" i="9"/>
  <c r="H238" i="9"/>
  <c r="J226" i="9"/>
  <c r="H226" i="9"/>
  <c r="M214" i="9"/>
  <c r="H214" i="9"/>
  <c r="J202" i="9"/>
  <c r="H202" i="9"/>
  <c r="M190" i="9"/>
  <c r="H190" i="9"/>
  <c r="J178" i="9"/>
  <c r="H178" i="9"/>
  <c r="J166" i="9"/>
  <c r="H166" i="9"/>
  <c r="M224" i="9"/>
  <c r="J224" i="9"/>
  <c r="M209" i="9"/>
  <c r="J209" i="9"/>
  <c r="M203" i="9"/>
  <c r="J203" i="9"/>
  <c r="M197" i="9"/>
  <c r="J197" i="9"/>
  <c r="L247" i="9"/>
  <c r="H247" i="9"/>
  <c r="L235" i="9"/>
  <c r="H235" i="9"/>
  <c r="M223" i="9"/>
  <c r="H223" i="9"/>
  <c r="L211" i="9"/>
  <c r="H211" i="9"/>
  <c r="L199" i="9"/>
  <c r="H199" i="9"/>
  <c r="L187" i="9"/>
  <c r="H187" i="9"/>
  <c r="L175" i="9"/>
  <c r="H175" i="9"/>
  <c r="M257" i="9"/>
  <c r="J257" i="9"/>
  <c r="M242" i="9"/>
  <c r="J242" i="9"/>
  <c r="M215" i="9"/>
  <c r="J215" i="9"/>
  <c r="M194" i="9"/>
  <c r="J194" i="9"/>
  <c r="M188" i="9"/>
  <c r="J188" i="9"/>
  <c r="M182" i="9"/>
  <c r="J182" i="9"/>
  <c r="M176" i="9"/>
  <c r="J176" i="9"/>
  <c r="M170" i="9"/>
  <c r="J170" i="9"/>
  <c r="M164" i="9"/>
  <c r="J164" i="9"/>
  <c r="M244" i="9"/>
  <c r="H244" i="9"/>
  <c r="J232" i="9"/>
  <c r="H232" i="9"/>
  <c r="M220" i="9"/>
  <c r="H220" i="9"/>
  <c r="J208" i="9"/>
  <c r="H208" i="9"/>
  <c r="M196" i="9"/>
  <c r="H196" i="9"/>
  <c r="J184" i="9"/>
  <c r="H184" i="9"/>
  <c r="M172" i="9"/>
  <c r="H172" i="9"/>
  <c r="M278" i="9"/>
  <c r="J278" i="9"/>
  <c r="M227" i="9"/>
  <c r="J227" i="9"/>
  <c r="M221" i="9"/>
  <c r="J221" i="9"/>
  <c r="M212" i="9"/>
  <c r="J212" i="9"/>
  <c r="M206" i="9"/>
  <c r="J206" i="9"/>
  <c r="M200" i="9"/>
  <c r="J200" i="9"/>
  <c r="J163" i="9"/>
  <c r="H163" i="9"/>
  <c r="M241" i="9"/>
  <c r="H241" i="9"/>
  <c r="L229" i="9"/>
  <c r="H229" i="9"/>
  <c r="M217" i="9"/>
  <c r="H217" i="9"/>
  <c r="L205" i="9"/>
  <c r="H205" i="9"/>
  <c r="L193" i="9"/>
  <c r="H193" i="9"/>
  <c r="M181" i="9"/>
  <c r="H181" i="9"/>
  <c r="M169" i="9"/>
  <c r="H169" i="9"/>
  <c r="M662" i="9"/>
  <c r="M656" i="9"/>
  <c r="M650" i="9"/>
  <c r="M644" i="9"/>
  <c r="M638" i="9"/>
  <c r="M485" i="9"/>
  <c r="M479" i="9"/>
  <c r="M473" i="9"/>
  <c r="M467" i="9"/>
  <c r="M461" i="9"/>
  <c r="M455" i="9"/>
  <c r="M452" i="9"/>
  <c r="M371" i="9"/>
  <c r="L371" i="9"/>
  <c r="M365" i="9"/>
  <c r="M359" i="9"/>
  <c r="M353" i="9"/>
  <c r="M347" i="9"/>
  <c r="M341" i="9"/>
  <c r="M335" i="9"/>
  <c r="M272" i="9"/>
  <c r="M266" i="9"/>
  <c r="M260" i="9"/>
  <c r="M665" i="9"/>
  <c r="M632" i="9"/>
  <c r="L632" i="9"/>
  <c r="M620" i="9"/>
  <c r="M608" i="9"/>
  <c r="M596" i="9"/>
  <c r="M584" i="9"/>
  <c r="M572" i="9"/>
  <c r="M560" i="9"/>
  <c r="M539" i="9"/>
  <c r="M527" i="9"/>
  <c r="M521" i="9"/>
  <c r="M494" i="9"/>
  <c r="M446" i="9"/>
  <c r="M440" i="9"/>
  <c r="M425" i="9"/>
  <c r="M404" i="9"/>
  <c r="M386" i="9"/>
  <c r="M443" i="9"/>
  <c r="M626" i="9"/>
  <c r="M614" i="9"/>
  <c r="M602" i="9"/>
  <c r="M590" i="9"/>
  <c r="M578" i="9"/>
  <c r="M566" i="9"/>
  <c r="M545" i="9"/>
  <c r="M533" i="9"/>
  <c r="M515" i="9"/>
  <c r="M437" i="9"/>
  <c r="M428" i="9"/>
  <c r="M419" i="9"/>
  <c r="M410" i="9"/>
  <c r="M407" i="9"/>
  <c r="M398" i="9"/>
  <c r="M392" i="9"/>
  <c r="M380" i="9"/>
  <c r="M374" i="9"/>
  <c r="M329" i="9"/>
  <c r="M323" i="9"/>
  <c r="M311" i="9"/>
  <c r="M305" i="9"/>
  <c r="M299" i="9"/>
  <c r="M293" i="9"/>
  <c r="M287" i="9"/>
  <c r="M281" i="9"/>
  <c r="M254" i="9"/>
  <c r="M245" i="9"/>
  <c r="M230" i="9"/>
  <c r="M629" i="9"/>
  <c r="M623" i="9"/>
  <c r="M617" i="9"/>
  <c r="M611" i="9"/>
  <c r="M605" i="9"/>
  <c r="M599" i="9"/>
  <c r="M593" i="9"/>
  <c r="M587" i="9"/>
  <c r="M581" i="9"/>
  <c r="M575" i="9"/>
  <c r="M569" i="9"/>
  <c r="M563" i="9"/>
  <c r="M557" i="9"/>
  <c r="M542" i="9"/>
  <c r="M536" i="9"/>
  <c r="M530" i="9"/>
  <c r="M524" i="9"/>
  <c r="M518" i="9"/>
  <c r="M512" i="9"/>
  <c r="M491" i="9"/>
  <c r="M449" i="9"/>
  <c r="L449" i="9"/>
  <c r="M434" i="9"/>
  <c r="M431" i="9"/>
  <c r="M422" i="9"/>
  <c r="M416" i="9"/>
  <c r="M413" i="9"/>
  <c r="M401" i="9"/>
  <c r="M395" i="9"/>
  <c r="M389" i="9"/>
  <c r="M383" i="9"/>
  <c r="M377" i="9"/>
  <c r="M332" i="9"/>
  <c r="L332" i="9"/>
  <c r="M326" i="9"/>
  <c r="M320" i="9"/>
  <c r="M308" i="9"/>
  <c r="M302" i="9"/>
  <c r="M296" i="9"/>
  <c r="M290" i="9"/>
  <c r="M284" i="9"/>
  <c r="M248" i="9"/>
  <c r="M233" i="9"/>
  <c r="M659" i="9"/>
  <c r="M653" i="9"/>
  <c r="M647" i="9"/>
  <c r="M641" i="9"/>
  <c r="M635" i="9"/>
  <c r="M488" i="9"/>
  <c r="L488" i="9"/>
  <c r="M482" i="9"/>
  <c r="M476" i="9"/>
  <c r="M470" i="9"/>
  <c r="M464" i="9"/>
  <c r="M458" i="9"/>
  <c r="M368" i="9"/>
  <c r="M362" i="9"/>
  <c r="M356" i="9"/>
  <c r="M350" i="9"/>
  <c r="M344" i="9"/>
  <c r="M338" i="9"/>
  <c r="M275" i="9"/>
  <c r="M269" i="9"/>
  <c r="M263" i="9"/>
  <c r="M239" i="9"/>
  <c r="M469" i="9"/>
  <c r="M310" i="9"/>
  <c r="M631" i="9"/>
  <c r="M658" i="9"/>
  <c r="M334" i="9"/>
  <c r="M370" i="9"/>
  <c r="M601" i="9"/>
  <c r="M571" i="9"/>
  <c r="L472" i="9"/>
  <c r="M403" i="9"/>
  <c r="L616" i="9"/>
  <c r="M592" i="9"/>
  <c r="M628" i="9"/>
  <c r="M433" i="9"/>
  <c r="L295" i="9"/>
  <c r="M367" i="9"/>
  <c r="M496" i="9"/>
  <c r="M430" i="9"/>
  <c r="L640" i="9"/>
  <c r="M535" i="9"/>
  <c r="M547" i="9"/>
  <c r="L568" i="9"/>
  <c r="L580" i="9"/>
  <c r="M604" i="9"/>
  <c r="M460" i="9"/>
  <c r="M268" i="9"/>
  <c r="M319" i="9"/>
  <c r="M544" i="9"/>
  <c r="M292" i="9"/>
  <c r="M355" i="9"/>
  <c r="M457" i="9"/>
  <c r="L271" i="9"/>
  <c r="L424" i="9"/>
  <c r="M523" i="9"/>
  <c r="M421" i="9"/>
  <c r="M532" i="9"/>
  <c r="M283" i="9"/>
  <c r="M364" i="9"/>
  <c r="M613" i="9"/>
  <c r="M667" i="9"/>
  <c r="L349" i="9"/>
  <c r="L418" i="9"/>
  <c r="L490" i="9"/>
  <c r="M541" i="9"/>
  <c r="M562" i="9"/>
  <c r="L574" i="9"/>
  <c r="M361" i="9"/>
  <c r="M526" i="9"/>
  <c r="L526" i="9"/>
  <c r="L475" i="9"/>
  <c r="M475" i="9"/>
  <c r="L454" i="9"/>
  <c r="M454" i="9"/>
  <c r="L346" i="9"/>
  <c r="M346" i="9"/>
  <c r="L322" i="9"/>
  <c r="M322" i="9"/>
  <c r="L277" i="9"/>
  <c r="L325" i="9"/>
  <c r="M337" i="9"/>
  <c r="L259" i="9"/>
  <c r="L307" i="9"/>
  <c r="L409" i="9"/>
  <c r="L385" i="9"/>
  <c r="L484" i="9"/>
  <c r="M517" i="9"/>
  <c r="M529" i="9"/>
  <c r="L373" i="9"/>
  <c r="M439" i="9"/>
  <c r="M481" i="9"/>
  <c r="L466" i="9"/>
  <c r="M634" i="9"/>
  <c r="M664" i="9"/>
  <c r="L586" i="9"/>
  <c r="L598" i="9"/>
  <c r="M610" i="9"/>
  <c r="M646" i="9"/>
  <c r="L436" i="9"/>
  <c r="L478" i="9"/>
  <c r="M652" i="9"/>
  <c r="M265" i="9"/>
  <c r="M427" i="9"/>
  <c r="M565" i="9"/>
  <c r="M451" i="9"/>
  <c r="M397" i="9"/>
  <c r="M559" i="9"/>
  <c r="M589" i="9"/>
  <c r="M619" i="9"/>
  <c r="M649" i="9"/>
  <c r="M607" i="9"/>
  <c r="M400" i="9"/>
  <c r="L445" i="9"/>
  <c r="L622" i="9"/>
  <c r="M313" i="9"/>
  <c r="M661" i="9"/>
  <c r="M514" i="9"/>
  <c r="L514" i="9"/>
  <c r="L487" i="9"/>
  <c r="M487" i="9"/>
  <c r="L442" i="9"/>
  <c r="M442" i="9"/>
  <c r="L394" i="9"/>
  <c r="M394" i="9"/>
  <c r="L382" i="9"/>
  <c r="M382" i="9"/>
  <c r="M358" i="9"/>
  <c r="L358" i="9"/>
  <c r="M298" i="9"/>
  <c r="L298" i="9"/>
  <c r="M274" i="9"/>
  <c r="L274" i="9"/>
  <c r="L301" i="9"/>
  <c r="M463" i="9"/>
  <c r="M583" i="9"/>
  <c r="M643" i="9"/>
  <c r="M286" i="9"/>
  <c r="M520" i="9"/>
  <c r="L520" i="9"/>
  <c r="L388" i="9"/>
  <c r="M388" i="9"/>
  <c r="L376" i="9"/>
  <c r="M376" i="9"/>
  <c r="L340" i="9"/>
  <c r="M340" i="9"/>
  <c r="L328" i="9"/>
  <c r="M328" i="9"/>
  <c r="L304" i="9"/>
  <c r="M304" i="9"/>
  <c r="L280" i="9"/>
  <c r="M280" i="9"/>
  <c r="L256" i="9"/>
  <c r="M256" i="9"/>
  <c r="L289" i="9"/>
  <c r="M343" i="9"/>
  <c r="M391" i="9"/>
  <c r="L415" i="9"/>
  <c r="M331" i="9"/>
  <c r="M379" i="9"/>
  <c r="M412" i="9"/>
  <c r="M448" i="9"/>
  <c r="M493" i="9"/>
  <c r="M262" i="9"/>
  <c r="M577" i="9"/>
  <c r="M352" i="9"/>
  <c r="M406" i="9"/>
  <c r="M595" i="9"/>
  <c r="M625" i="9"/>
  <c r="M655" i="9"/>
  <c r="M637" i="9"/>
  <c r="M538" i="9"/>
  <c r="K54" i="9"/>
  <c r="K57" i="9"/>
  <c r="K60" i="9"/>
  <c r="K63" i="9"/>
  <c r="K66" i="9"/>
  <c r="K69" i="9"/>
  <c r="K72" i="9"/>
  <c r="K75" i="9"/>
  <c r="K78" i="9"/>
  <c r="K81" i="9"/>
  <c r="K84" i="9"/>
  <c r="K87" i="9"/>
  <c r="K90" i="9"/>
  <c r="K93" i="9"/>
  <c r="K96" i="9"/>
  <c r="K99" i="9"/>
  <c r="K102" i="9"/>
  <c r="K105" i="9"/>
  <c r="K108" i="9"/>
  <c r="K111" i="9"/>
  <c r="K114" i="9"/>
  <c r="K117" i="9"/>
  <c r="K120" i="9"/>
  <c r="K123" i="9"/>
  <c r="K126" i="9"/>
  <c r="K129" i="9"/>
  <c r="K132" i="9"/>
  <c r="K135" i="9"/>
  <c r="K138" i="9"/>
  <c r="K141" i="9"/>
  <c r="K144" i="9"/>
  <c r="K147" i="9"/>
  <c r="K150" i="9"/>
  <c r="K153" i="9"/>
  <c r="K156" i="9"/>
  <c r="K159" i="9"/>
  <c r="K51" i="9"/>
  <c r="H135" i="9"/>
  <c r="H144" i="9"/>
  <c r="H156" i="9"/>
  <c r="I54" i="9"/>
  <c r="I57" i="9"/>
  <c r="I60" i="9"/>
  <c r="I63" i="9"/>
  <c r="I66" i="9"/>
  <c r="I69" i="9"/>
  <c r="I72" i="9"/>
  <c r="I75" i="9"/>
  <c r="I78" i="9"/>
  <c r="I81" i="9"/>
  <c r="I84" i="9"/>
  <c r="I87" i="9"/>
  <c r="I90" i="9"/>
  <c r="I93" i="9"/>
  <c r="I96" i="9"/>
  <c r="I99" i="9"/>
  <c r="I102" i="9"/>
  <c r="I105" i="9"/>
  <c r="I108" i="9"/>
  <c r="I111" i="9"/>
  <c r="I114" i="9"/>
  <c r="I117" i="9"/>
  <c r="I120" i="9"/>
  <c r="I123" i="9"/>
  <c r="I126" i="9"/>
  <c r="I129" i="9"/>
  <c r="I132" i="9"/>
  <c r="I135" i="9"/>
  <c r="I138" i="9"/>
  <c r="I141" i="9"/>
  <c r="I144" i="9"/>
  <c r="I147" i="9"/>
  <c r="I150" i="9"/>
  <c r="I153" i="9"/>
  <c r="I156" i="9"/>
  <c r="I159" i="9"/>
  <c r="I51" i="9"/>
  <c r="H63" i="9"/>
  <c r="H138" i="9"/>
  <c r="H141" i="9"/>
  <c r="H147" i="9"/>
  <c r="H150" i="9"/>
  <c r="H153" i="9"/>
  <c r="H159" i="9"/>
  <c r="H51" i="9"/>
  <c r="H54" i="9"/>
  <c r="K122" i="1"/>
  <c r="I123" i="1" s="1"/>
  <c r="L52" i="1"/>
  <c r="M52" i="9" s="1"/>
  <c r="M184" i="9" l="1"/>
  <c r="S129" i="1"/>
  <c r="M163" i="9" s="1"/>
  <c r="L226" i="9"/>
  <c r="M178" i="9"/>
  <c r="M202" i="9"/>
  <c r="M208" i="9"/>
  <c r="L250" i="9"/>
  <c r="M232" i="9"/>
  <c r="L208" i="9"/>
  <c r="L202" i="9"/>
  <c r="M250" i="9"/>
  <c r="L184" i="9"/>
  <c r="L232" i="9"/>
  <c r="L178" i="9"/>
  <c r="M226" i="9"/>
  <c r="M166" i="9"/>
  <c r="R129" i="1"/>
  <c r="L163" i="9" s="1"/>
  <c r="L166" i="9"/>
  <c r="K112" i="1"/>
  <c r="I113" i="1" s="1"/>
  <c r="J142" i="9"/>
  <c r="L88" i="1"/>
  <c r="M106" i="9" s="1"/>
  <c r="J106" i="9"/>
  <c r="K52" i="1"/>
  <c r="I53" i="1" s="1"/>
  <c r="J52" i="9"/>
  <c r="L100" i="1"/>
  <c r="M124" i="9" s="1"/>
  <c r="J124" i="9"/>
  <c r="L84" i="1"/>
  <c r="M100" i="9" s="1"/>
  <c r="J100" i="9"/>
  <c r="L68" i="1"/>
  <c r="M76" i="9" s="1"/>
  <c r="J76" i="9"/>
  <c r="L60" i="1"/>
  <c r="M64" i="9" s="1"/>
  <c r="J64" i="9"/>
  <c r="J126" i="9"/>
  <c r="H126" i="9"/>
  <c r="J102" i="9"/>
  <c r="H102" i="9"/>
  <c r="J78" i="9"/>
  <c r="H78" i="9"/>
  <c r="K50" i="1"/>
  <c r="I51" i="1" s="1"/>
  <c r="J49" i="9"/>
  <c r="K114" i="1"/>
  <c r="I115" i="1" s="1"/>
  <c r="J145" i="9"/>
  <c r="K106" i="1"/>
  <c r="I107" i="1" s="1"/>
  <c r="J133" i="9"/>
  <c r="K98" i="1"/>
  <c r="I99" i="1" s="1"/>
  <c r="J121" i="9"/>
  <c r="K90" i="1"/>
  <c r="I91" i="1" s="1"/>
  <c r="J109" i="9"/>
  <c r="J97" i="9"/>
  <c r="K74" i="1"/>
  <c r="I75" i="1" s="1"/>
  <c r="J85" i="9"/>
  <c r="K66" i="1"/>
  <c r="I67" i="1" s="1"/>
  <c r="J73" i="9"/>
  <c r="K58" i="1"/>
  <c r="I59" i="1" s="1"/>
  <c r="J61" i="9"/>
  <c r="L118" i="1"/>
  <c r="M151" i="9" s="1"/>
  <c r="J151" i="9"/>
  <c r="J123" i="9"/>
  <c r="H123" i="9"/>
  <c r="J111" i="9"/>
  <c r="H111" i="9"/>
  <c r="J99" i="9"/>
  <c r="H99" i="9"/>
  <c r="J87" i="9"/>
  <c r="H87" i="9"/>
  <c r="J75" i="9"/>
  <c r="H75" i="9"/>
  <c r="L104" i="1"/>
  <c r="M130" i="9" s="1"/>
  <c r="J130" i="9"/>
  <c r="L80" i="1"/>
  <c r="M94" i="9" s="1"/>
  <c r="J94" i="9"/>
  <c r="L64" i="1"/>
  <c r="M70" i="9" s="1"/>
  <c r="J70" i="9"/>
  <c r="K116" i="1"/>
  <c r="J148" i="9"/>
  <c r="J120" i="9"/>
  <c r="H120" i="9"/>
  <c r="J96" i="9"/>
  <c r="H96" i="9"/>
  <c r="J72" i="9"/>
  <c r="H72" i="9"/>
  <c r="J60" i="9"/>
  <c r="H60" i="9"/>
  <c r="L169" i="9"/>
  <c r="J169" i="9"/>
  <c r="M193" i="9"/>
  <c r="J193" i="9"/>
  <c r="L217" i="9"/>
  <c r="J217" i="9"/>
  <c r="L241" i="9"/>
  <c r="J241" i="9"/>
  <c r="M175" i="9"/>
  <c r="J175" i="9"/>
  <c r="M199" i="9"/>
  <c r="J199" i="9"/>
  <c r="L223" i="9"/>
  <c r="J223" i="9"/>
  <c r="M247" i="9"/>
  <c r="J247" i="9"/>
  <c r="K56" i="1"/>
  <c r="I57" i="1" s="1"/>
  <c r="J58" i="9"/>
  <c r="K96" i="1"/>
  <c r="I97" i="1" s="1"/>
  <c r="J118" i="9"/>
  <c r="L72" i="1"/>
  <c r="M82" i="9" s="1"/>
  <c r="J82" i="9"/>
  <c r="J132" i="9"/>
  <c r="H132" i="9"/>
  <c r="J108" i="9"/>
  <c r="H108" i="9"/>
  <c r="J84" i="9"/>
  <c r="H84" i="9"/>
  <c r="L54" i="1"/>
  <c r="M55" i="9" s="1"/>
  <c r="J55" i="9"/>
  <c r="L110" i="1"/>
  <c r="M139" i="9" s="1"/>
  <c r="J139" i="9"/>
  <c r="L102" i="1"/>
  <c r="M127" i="9" s="1"/>
  <c r="J127" i="9"/>
  <c r="L94" i="1"/>
  <c r="M115" i="9" s="1"/>
  <c r="J115" i="9"/>
  <c r="L86" i="1"/>
  <c r="M103" i="9" s="1"/>
  <c r="J103" i="9"/>
  <c r="L78" i="1"/>
  <c r="M91" i="9" s="1"/>
  <c r="J91" i="9"/>
  <c r="L70" i="1"/>
  <c r="M79" i="9" s="1"/>
  <c r="J79" i="9"/>
  <c r="L62" i="1"/>
  <c r="M67" i="9" s="1"/>
  <c r="J67" i="9"/>
  <c r="L157" i="9"/>
  <c r="J129" i="9"/>
  <c r="H129" i="9"/>
  <c r="J117" i="9"/>
  <c r="H117" i="9"/>
  <c r="J105" i="9"/>
  <c r="H105" i="9"/>
  <c r="J93" i="9"/>
  <c r="H93" i="9"/>
  <c r="J81" i="9"/>
  <c r="H81" i="9"/>
  <c r="J69" i="9"/>
  <c r="H69" i="9"/>
  <c r="J57" i="9"/>
  <c r="H57" i="9"/>
  <c r="L108" i="1"/>
  <c r="M136" i="9" s="1"/>
  <c r="J136" i="9"/>
  <c r="L92" i="1"/>
  <c r="M112" i="9" s="1"/>
  <c r="J112" i="9"/>
  <c r="L76" i="1"/>
  <c r="M88" i="9" s="1"/>
  <c r="J88" i="9"/>
  <c r="L120" i="1"/>
  <c r="M154" i="9" s="1"/>
  <c r="J154" i="9"/>
  <c r="J114" i="9"/>
  <c r="H114" i="9"/>
  <c r="J90" i="9"/>
  <c r="H90" i="9"/>
  <c r="M66" i="9"/>
  <c r="H66" i="9"/>
  <c r="L181" i="9"/>
  <c r="J181" i="9"/>
  <c r="M205" i="9"/>
  <c r="J205" i="9"/>
  <c r="M229" i="9"/>
  <c r="J229" i="9"/>
  <c r="L172" i="9"/>
  <c r="J172" i="9"/>
  <c r="L196" i="9"/>
  <c r="J196" i="9"/>
  <c r="L220" i="9"/>
  <c r="J220" i="9"/>
  <c r="L244" i="9"/>
  <c r="J244" i="9"/>
  <c r="M187" i="9"/>
  <c r="J187" i="9"/>
  <c r="M211" i="9"/>
  <c r="J211" i="9"/>
  <c r="M235" i="9"/>
  <c r="J235" i="9"/>
  <c r="L190" i="9"/>
  <c r="J190" i="9"/>
  <c r="L214" i="9"/>
  <c r="J214" i="9"/>
  <c r="L238" i="9"/>
  <c r="J238" i="9"/>
  <c r="L114" i="9"/>
  <c r="L239" i="9"/>
  <c r="L269" i="9"/>
  <c r="L350" i="9"/>
  <c r="L290" i="9"/>
  <c r="L377" i="9"/>
  <c r="L401" i="9"/>
  <c r="L413" i="9"/>
  <c r="L431" i="9"/>
  <c r="L518" i="9"/>
  <c r="L542" i="9"/>
  <c r="L575" i="9"/>
  <c r="L599" i="9"/>
  <c r="L623" i="9"/>
  <c r="L254" i="9"/>
  <c r="L299" i="9"/>
  <c r="L323" i="9"/>
  <c r="L392" i="9"/>
  <c r="L419" i="9"/>
  <c r="L533" i="9"/>
  <c r="L590" i="9"/>
  <c r="L614" i="9"/>
  <c r="L404" i="9"/>
  <c r="L446" i="9"/>
  <c r="L539" i="9"/>
  <c r="L572" i="9"/>
  <c r="L596" i="9"/>
  <c r="L665" i="9"/>
  <c r="L266" i="9"/>
  <c r="L335" i="9"/>
  <c r="L347" i="9"/>
  <c r="L359" i="9"/>
  <c r="L455" i="9"/>
  <c r="L467" i="9"/>
  <c r="L479" i="9"/>
  <c r="L638" i="9"/>
  <c r="L650" i="9"/>
  <c r="L662" i="9"/>
  <c r="L338" i="9"/>
  <c r="L362" i="9"/>
  <c r="L464" i="9"/>
  <c r="L476" i="9"/>
  <c r="L641" i="9"/>
  <c r="L653" i="9"/>
  <c r="L248" i="9"/>
  <c r="L302" i="9"/>
  <c r="L326" i="9"/>
  <c r="L389" i="9"/>
  <c r="L422" i="9"/>
  <c r="L491" i="9"/>
  <c r="L530" i="9"/>
  <c r="L563" i="9"/>
  <c r="L587" i="9"/>
  <c r="L611" i="9"/>
  <c r="L230" i="9"/>
  <c r="L287" i="9"/>
  <c r="L311" i="9"/>
  <c r="L374" i="9"/>
  <c r="L407" i="9"/>
  <c r="L437" i="9"/>
  <c r="L566" i="9"/>
  <c r="L443" i="9"/>
  <c r="L521" i="9"/>
  <c r="L620" i="9"/>
  <c r="L263" i="9"/>
  <c r="L275" i="9"/>
  <c r="L344" i="9"/>
  <c r="L356" i="9"/>
  <c r="L368" i="9"/>
  <c r="L458" i="9"/>
  <c r="L470" i="9"/>
  <c r="L482" i="9"/>
  <c r="L635" i="9"/>
  <c r="L647" i="9"/>
  <c r="L659" i="9"/>
  <c r="L233" i="9"/>
  <c r="L284" i="9"/>
  <c r="L296" i="9"/>
  <c r="L308" i="9"/>
  <c r="L320" i="9"/>
  <c r="L383" i="9"/>
  <c r="L395" i="9"/>
  <c r="L416" i="9"/>
  <c r="L434" i="9"/>
  <c r="L512" i="9"/>
  <c r="L524" i="9"/>
  <c r="L536" i="9"/>
  <c r="L557" i="9"/>
  <c r="L569" i="9"/>
  <c r="L581" i="9"/>
  <c r="L593" i="9"/>
  <c r="L605" i="9"/>
  <c r="L617" i="9"/>
  <c r="L629" i="9"/>
  <c r="L245" i="9"/>
  <c r="L281" i="9"/>
  <c r="L293" i="9"/>
  <c r="L305" i="9"/>
  <c r="L329" i="9"/>
  <c r="L380" i="9"/>
  <c r="L398" i="9"/>
  <c r="L410" i="9"/>
  <c r="L428" i="9"/>
  <c r="L515" i="9"/>
  <c r="L545" i="9"/>
  <c r="L578" i="9"/>
  <c r="L602" i="9"/>
  <c r="L626" i="9"/>
  <c r="L386" i="9"/>
  <c r="L425" i="9"/>
  <c r="L440" i="9"/>
  <c r="L494" i="9"/>
  <c r="L527" i="9"/>
  <c r="L560" i="9"/>
  <c r="L584" i="9"/>
  <c r="L608" i="9"/>
  <c r="L260" i="9"/>
  <c r="L272" i="9"/>
  <c r="L341" i="9"/>
  <c r="L353" i="9"/>
  <c r="L365" i="9"/>
  <c r="L452" i="9"/>
  <c r="L461" i="9"/>
  <c r="L473" i="9"/>
  <c r="L485" i="9"/>
  <c r="L644" i="9"/>
  <c r="L656" i="9"/>
  <c r="K120" i="1"/>
  <c r="I121" i="1" s="1"/>
  <c r="M51" i="9"/>
  <c r="K118" i="1"/>
  <c r="I119" i="1" s="1"/>
  <c r="L96" i="1"/>
  <c r="M118" i="9" s="1"/>
  <c r="L56" i="1"/>
  <c r="M58" i="9" s="1"/>
  <c r="K64" i="1"/>
  <c r="I65" i="1" s="1"/>
  <c r="L112" i="1"/>
  <c r="M142" i="9" s="1"/>
  <c r="L122" i="1"/>
  <c r="M157" i="9" s="1"/>
  <c r="M78" i="9"/>
  <c r="K80" i="1"/>
  <c r="I81" i="1" s="1"/>
  <c r="K72" i="1"/>
  <c r="I73" i="1" s="1"/>
  <c r="L116" i="1"/>
  <c r="M148" i="9" s="1"/>
  <c r="L58" i="1"/>
  <c r="M61" i="9" s="1"/>
  <c r="K88" i="1"/>
  <c r="I89" i="1" s="1"/>
  <c r="L74" i="1"/>
  <c r="M85" i="9" s="1"/>
  <c r="K76" i="1"/>
  <c r="I77" i="1" s="1"/>
  <c r="L90" i="1"/>
  <c r="M109" i="9" s="1"/>
  <c r="L114" i="1"/>
  <c r="M145" i="9" s="1"/>
  <c r="L98" i="1"/>
  <c r="M121" i="9" s="1"/>
  <c r="M97" i="9"/>
  <c r="L66" i="1"/>
  <c r="M73" i="9" s="1"/>
  <c r="K108" i="1"/>
  <c r="I109" i="1" s="1"/>
  <c r="K104" i="1"/>
  <c r="I105" i="1" s="1"/>
  <c r="K92" i="1"/>
  <c r="I93" i="1" s="1"/>
  <c r="L106" i="1"/>
  <c r="M133" i="9" s="1"/>
  <c r="K102" i="1"/>
  <c r="I103" i="1" s="1"/>
  <c r="K86" i="1"/>
  <c r="I87" i="1" s="1"/>
  <c r="K70" i="1"/>
  <c r="I71" i="1" s="1"/>
  <c r="K100" i="1"/>
  <c r="I101" i="1" s="1"/>
  <c r="K94" i="1"/>
  <c r="I95" i="1" s="1"/>
  <c r="K84" i="1"/>
  <c r="I85" i="1" s="1"/>
  <c r="K78" i="1"/>
  <c r="I79" i="1" s="1"/>
  <c r="K68" i="1"/>
  <c r="I69" i="1" s="1"/>
  <c r="K60" i="1"/>
  <c r="I61" i="1" s="1"/>
  <c r="K62" i="1"/>
  <c r="I63" i="1" s="1"/>
  <c r="K54" i="1"/>
  <c r="I55" i="1" s="1"/>
  <c r="L148" i="9" l="1"/>
  <c r="I117" i="1"/>
  <c r="L57" i="9"/>
  <c r="M117" i="9"/>
  <c r="L117" i="9"/>
  <c r="L81" i="9"/>
  <c r="L60" i="9"/>
  <c r="M84" i="9"/>
  <c r="M99" i="9"/>
  <c r="M129" i="9"/>
  <c r="M60" i="9"/>
  <c r="M72" i="9"/>
  <c r="L87" i="9"/>
  <c r="L72" i="9"/>
  <c r="L123" i="9"/>
  <c r="M81" i="9"/>
  <c r="M111" i="9"/>
  <c r="L108" i="9"/>
  <c r="L69" i="9"/>
  <c r="M120" i="9"/>
  <c r="L78" i="9"/>
  <c r="L120" i="9"/>
  <c r="L111" i="9"/>
  <c r="M93" i="9"/>
  <c r="M108" i="9"/>
  <c r="M114" i="9"/>
  <c r="L93" i="9"/>
  <c r="M87" i="9"/>
  <c r="L126" i="9"/>
  <c r="M69" i="9"/>
  <c r="M126" i="9"/>
  <c r="J158" i="9"/>
  <c r="L129" i="9"/>
  <c r="M90" i="9"/>
  <c r="L90" i="9"/>
  <c r="M57" i="9"/>
  <c r="M105" i="9"/>
  <c r="L105" i="9"/>
  <c r="L102" i="9"/>
  <c r="M132" i="9"/>
  <c r="M96" i="9"/>
  <c r="L99" i="9"/>
  <c r="M75" i="9"/>
  <c r="L84" i="9"/>
  <c r="L132" i="9"/>
  <c r="L75" i="9"/>
  <c r="M102" i="9"/>
  <c r="M123" i="9"/>
  <c r="L96" i="9"/>
  <c r="L91" i="9"/>
  <c r="L153" i="9"/>
  <c r="J153" i="9"/>
  <c r="L67" i="9"/>
  <c r="L100" i="9"/>
  <c r="L103" i="9"/>
  <c r="L63" i="9"/>
  <c r="J63" i="9"/>
  <c r="L141" i="9"/>
  <c r="J141" i="9"/>
  <c r="L144" i="9"/>
  <c r="J144" i="9"/>
  <c r="L150" i="9"/>
  <c r="J150" i="9"/>
  <c r="L154" i="9"/>
  <c r="L55" i="9"/>
  <c r="L88" i="9"/>
  <c r="L51" i="9"/>
  <c r="J51" i="9"/>
  <c r="L64" i="9"/>
  <c r="L127" i="9"/>
  <c r="L147" i="9"/>
  <c r="J147" i="9"/>
  <c r="L66" i="9"/>
  <c r="J66" i="9"/>
  <c r="L58" i="9"/>
  <c r="L73" i="9"/>
  <c r="L97" i="9"/>
  <c r="L121" i="9"/>
  <c r="L145" i="9"/>
  <c r="L79" i="9"/>
  <c r="L136" i="9"/>
  <c r="L82" i="9"/>
  <c r="L135" i="9"/>
  <c r="J135" i="9"/>
  <c r="L115" i="9"/>
  <c r="L112" i="9"/>
  <c r="L106" i="9"/>
  <c r="L156" i="9"/>
  <c r="J156" i="9"/>
  <c r="M54" i="9"/>
  <c r="J54" i="9"/>
  <c r="L76" i="9"/>
  <c r="L124" i="9"/>
  <c r="L130" i="9"/>
  <c r="L94" i="9"/>
  <c r="L159" i="9"/>
  <c r="J159" i="9"/>
  <c r="L138" i="9"/>
  <c r="J138" i="9"/>
  <c r="L70" i="9"/>
  <c r="L151" i="9"/>
  <c r="L118" i="9"/>
  <c r="L61" i="9"/>
  <c r="L85" i="9"/>
  <c r="L109" i="9"/>
  <c r="L133" i="9"/>
  <c r="L49" i="9"/>
  <c r="L52" i="9"/>
  <c r="L142" i="9"/>
  <c r="M159" i="9"/>
  <c r="L54" i="9"/>
  <c r="M147" i="9"/>
  <c r="M150" i="9"/>
  <c r="M144" i="9"/>
  <c r="M153" i="9"/>
  <c r="M135" i="9"/>
  <c r="M138" i="9"/>
  <c r="M156" i="9"/>
  <c r="M141" i="9"/>
  <c r="M63" i="9"/>
  <c r="K123" i="1" l="1"/>
  <c r="L158" i="9" s="1"/>
  <c r="L123" i="1"/>
  <c r="M158" i="9" s="1"/>
  <c r="L117" i="1" l="1"/>
  <c r="M149" i="9" s="1"/>
  <c r="L101" i="1"/>
  <c r="M125" i="9" s="1"/>
  <c r="J128" i="9"/>
  <c r="L65" i="1"/>
  <c r="M71" i="9" s="1"/>
  <c r="J71" i="9"/>
  <c r="L71" i="1"/>
  <c r="M80" i="9" s="1"/>
  <c r="J80" i="9"/>
  <c r="L63" i="1"/>
  <c r="M68" i="9" s="1"/>
  <c r="J68" i="9"/>
  <c r="L87" i="1"/>
  <c r="M104" i="9" s="1"/>
  <c r="J104" i="9"/>
  <c r="L95" i="1"/>
  <c r="M116" i="9" s="1"/>
  <c r="J116" i="9"/>
  <c r="L77" i="1"/>
  <c r="M89" i="9" s="1"/>
  <c r="J89" i="9"/>
  <c r="L121" i="1"/>
  <c r="M155" i="9" s="1"/>
  <c r="J155" i="9"/>
  <c r="L119" i="1"/>
  <c r="M152" i="9" s="1"/>
  <c r="J152" i="9"/>
  <c r="L109" i="1"/>
  <c r="M137" i="9" s="1"/>
  <c r="J137" i="9"/>
  <c r="L105" i="1"/>
  <c r="M131" i="9" s="1"/>
  <c r="J131" i="9"/>
  <c r="L93" i="1"/>
  <c r="M113" i="9" s="1"/>
  <c r="J113" i="9"/>
  <c r="L73" i="1"/>
  <c r="M83" i="9" s="1"/>
  <c r="J83" i="9"/>
  <c r="L85" i="1"/>
  <c r="M101" i="9" s="1"/>
  <c r="J101" i="9"/>
  <c r="L79" i="1"/>
  <c r="M92" i="9" s="1"/>
  <c r="J92" i="9"/>
  <c r="L69" i="1"/>
  <c r="M77" i="9" s="1"/>
  <c r="J77" i="9"/>
  <c r="L81" i="1"/>
  <c r="M95" i="9" s="1"/>
  <c r="J95" i="9"/>
  <c r="L55" i="1"/>
  <c r="M56" i="9" s="1"/>
  <c r="J56" i="9"/>
  <c r="G17" i="2"/>
  <c r="J868" i="9" s="1"/>
  <c r="L103" i="1" l="1"/>
  <c r="M128" i="9" s="1"/>
  <c r="J149" i="9"/>
  <c r="J125" i="9"/>
  <c r="J65" i="9"/>
  <c r="L61" i="1"/>
  <c r="M65" i="9" s="1"/>
  <c r="L107" i="1"/>
  <c r="M134" i="9" s="1"/>
  <c r="J134" i="9"/>
  <c r="L99" i="1"/>
  <c r="M122" i="9" s="1"/>
  <c r="J122" i="9"/>
  <c r="J50" i="9"/>
  <c r="L51" i="1"/>
  <c r="M50" i="9" s="1"/>
  <c r="K51" i="1"/>
  <c r="L50" i="9" s="1"/>
  <c r="L113" i="1"/>
  <c r="M143" i="9" s="1"/>
  <c r="J143" i="9"/>
  <c r="L75" i="1"/>
  <c r="M86" i="9" s="1"/>
  <c r="J86" i="9"/>
  <c r="L59" i="1"/>
  <c r="M62" i="9" s="1"/>
  <c r="J62" i="9"/>
  <c r="M98" i="9"/>
  <c r="J98" i="9"/>
  <c r="L67" i="1"/>
  <c r="M74" i="9" s="1"/>
  <c r="J74" i="9"/>
  <c r="L89" i="1"/>
  <c r="M107" i="9" s="1"/>
  <c r="J107" i="9"/>
  <c r="J53" i="9"/>
  <c r="L53" i="1"/>
  <c r="M53" i="9" s="1"/>
  <c r="L91" i="1"/>
  <c r="M110" i="9" s="1"/>
  <c r="J110" i="9"/>
  <c r="J146" i="9"/>
  <c r="L115" i="1"/>
  <c r="M146" i="9" s="1"/>
  <c r="L97" i="1"/>
  <c r="M119" i="9" s="1"/>
  <c r="J119" i="9"/>
  <c r="J59" i="9"/>
  <c r="L57" i="1"/>
  <c r="M59" i="9" s="1"/>
  <c r="K25" i="2" l="1"/>
  <c r="H882" i="9" s="1"/>
  <c r="L25" i="2"/>
  <c r="I882" i="9" s="1"/>
  <c r="N25" i="2"/>
  <c r="K882" i="9" s="1"/>
  <c r="G25" i="2"/>
  <c r="J880" i="9" s="1"/>
  <c r="J25" i="2" l="1"/>
  <c r="M880" i="9" s="1"/>
  <c r="I25" i="2"/>
  <c r="M25" i="2"/>
  <c r="H725" i="9"/>
  <c r="H695" i="9"/>
  <c r="K671" i="9"/>
  <c r="I671" i="9"/>
  <c r="H674" i="9"/>
  <c r="H671" i="9"/>
  <c r="P25" i="2" l="1"/>
  <c r="M882" i="9" s="1"/>
  <c r="J882" i="9"/>
  <c r="G26" i="2"/>
  <c r="J26" i="2" s="1"/>
  <c r="M881" i="9" s="1"/>
  <c r="L880" i="9"/>
  <c r="O25" i="2"/>
  <c r="L882" i="9" s="1"/>
  <c r="I26" i="2" l="1"/>
  <c r="L881" i="9" s="1"/>
  <c r="J881" i="9"/>
  <c r="J19" i="5"/>
  <c r="E44" i="9" l="1"/>
  <c r="E43" i="9"/>
  <c r="E42" i="9"/>
  <c r="E41" i="9"/>
  <c r="E40" i="9"/>
  <c r="E39" i="9"/>
  <c r="E38" i="9"/>
  <c r="E37" i="9"/>
  <c r="E36" i="9"/>
  <c r="E35" i="9"/>
  <c r="E34" i="9"/>
  <c r="E33" i="9"/>
  <c r="E32" i="9"/>
  <c r="E31" i="9"/>
  <c r="E30" i="9"/>
  <c r="E29" i="9"/>
  <c r="E28" i="9"/>
  <c r="E27" i="9"/>
  <c r="E26" i="9"/>
  <c r="E25" i="9"/>
  <c r="E24" i="9"/>
  <c r="E23" i="9"/>
  <c r="E22" i="9"/>
  <c r="E21" i="9"/>
  <c r="E20" i="9"/>
  <c r="E19" i="9"/>
  <c r="E18" i="9"/>
  <c r="E17" i="9"/>
  <c r="E16" i="9"/>
  <c r="E15" i="9"/>
  <c r="E13" i="9"/>
  <c r="E12" i="9"/>
  <c r="E11" i="9"/>
  <c r="E10" i="9"/>
  <c r="E9" i="9"/>
  <c r="E8" i="9"/>
  <c r="E7" i="9"/>
  <c r="E6" i="9"/>
  <c r="E5" i="9"/>
  <c r="E4" i="9"/>
  <c r="E3" i="9"/>
  <c r="E2" i="9"/>
  <c r="E861" i="9"/>
  <c r="E860" i="9"/>
  <c r="E859" i="9"/>
  <c r="E858" i="9"/>
  <c r="E857" i="9"/>
  <c r="E856" i="9"/>
  <c r="E855" i="9"/>
  <c r="E854" i="9"/>
  <c r="E853" i="9"/>
  <c r="E852" i="9"/>
  <c r="E851" i="9"/>
  <c r="E850" i="9"/>
  <c r="E849" i="9"/>
  <c r="E848" i="9"/>
  <c r="E847" i="9"/>
  <c r="E845" i="9"/>
  <c r="E844" i="9"/>
  <c r="E843" i="9"/>
  <c r="E842" i="9"/>
  <c r="E841" i="9"/>
  <c r="E840" i="9"/>
  <c r="E839" i="9"/>
  <c r="E838" i="9"/>
  <c r="E837" i="9"/>
  <c r="E836" i="9"/>
  <c r="E835" i="9"/>
  <c r="E834" i="9"/>
  <c r="E833" i="9"/>
  <c r="E832" i="9"/>
  <c r="E831" i="9"/>
  <c r="E815" i="9"/>
  <c r="E814" i="9"/>
  <c r="E813" i="9"/>
  <c r="E812" i="9"/>
  <c r="E811" i="9"/>
  <c r="E810" i="9"/>
  <c r="E809" i="9"/>
  <c r="E808" i="9"/>
  <c r="E807" i="9"/>
  <c r="E806" i="9"/>
  <c r="E805" i="9"/>
  <c r="E804" i="9"/>
  <c r="E803" i="9"/>
  <c r="E802" i="9"/>
  <c r="E801" i="9"/>
  <c r="E800" i="9"/>
  <c r="E799" i="9"/>
  <c r="E798" i="9"/>
  <c r="E797" i="9"/>
  <c r="E796" i="9"/>
  <c r="E795" i="9"/>
  <c r="E794" i="9"/>
  <c r="E793" i="9"/>
  <c r="E792" i="9"/>
  <c r="E791" i="9"/>
  <c r="E790" i="9"/>
  <c r="E789" i="9"/>
  <c r="E788" i="9"/>
  <c r="E787" i="9"/>
  <c r="E786" i="9"/>
  <c r="E785" i="9"/>
  <c r="E784" i="9"/>
  <c r="E783" i="9"/>
  <c r="E782" i="9"/>
  <c r="E781" i="9"/>
  <c r="E780" i="9"/>
  <c r="E779" i="9"/>
  <c r="E778" i="9"/>
  <c r="E777" i="9"/>
  <c r="E776" i="9"/>
  <c r="E775" i="9"/>
  <c r="E774" i="9"/>
  <c r="E773" i="9"/>
  <c r="E772" i="9"/>
  <c r="E771" i="9"/>
  <c r="E770" i="9"/>
  <c r="E769" i="9"/>
  <c r="E768" i="9"/>
  <c r="E767" i="9"/>
  <c r="E766" i="9"/>
  <c r="E765" i="9"/>
  <c r="E764" i="9"/>
  <c r="E763" i="9"/>
  <c r="E762" i="9"/>
  <c r="E761" i="9"/>
  <c r="E760" i="9"/>
  <c r="E759" i="9"/>
  <c r="E749" i="9"/>
  <c r="E748" i="9"/>
  <c r="E747" i="9"/>
  <c r="E746" i="9"/>
  <c r="E745" i="9"/>
  <c r="E744" i="9"/>
  <c r="E743" i="9"/>
  <c r="E742" i="9"/>
  <c r="E741" i="9"/>
  <c r="E740" i="9"/>
  <c r="E739" i="9"/>
  <c r="E738" i="9"/>
  <c r="E737" i="9"/>
  <c r="E736" i="9"/>
  <c r="E735" i="9"/>
  <c r="E734" i="9"/>
  <c r="E733" i="9"/>
  <c r="E732" i="9"/>
  <c r="E731" i="9"/>
  <c r="E730" i="9"/>
  <c r="E729" i="9"/>
  <c r="E728" i="9"/>
  <c r="E727" i="9"/>
  <c r="E726" i="9"/>
  <c r="E725" i="9"/>
  <c r="E724" i="9"/>
  <c r="E723" i="9"/>
  <c r="E722" i="9"/>
  <c r="E721" i="9"/>
  <c r="E720" i="9"/>
  <c r="E719" i="9"/>
  <c r="E718" i="9"/>
  <c r="E717" i="9"/>
  <c r="E716" i="9"/>
  <c r="E715" i="9"/>
  <c r="E714" i="9"/>
  <c r="E713" i="9"/>
  <c r="E712" i="9"/>
  <c r="E711" i="9"/>
  <c r="E710" i="9"/>
  <c r="E709" i="9"/>
  <c r="E708" i="9"/>
  <c r="E707" i="9"/>
  <c r="E706" i="9"/>
  <c r="E705" i="9"/>
  <c r="E704" i="9"/>
  <c r="E703" i="9"/>
  <c r="E702" i="9"/>
  <c r="E701" i="9"/>
  <c r="E700" i="9"/>
  <c r="E699" i="9"/>
  <c r="E698" i="9"/>
  <c r="E697" i="9"/>
  <c r="E696" i="9"/>
  <c r="E695" i="9"/>
  <c r="E694" i="9"/>
  <c r="E693" i="9"/>
  <c r="E692" i="9"/>
  <c r="E691" i="9"/>
  <c r="E690" i="9"/>
  <c r="E689" i="9"/>
  <c r="E688" i="9"/>
  <c r="E687" i="9"/>
  <c r="E686" i="9"/>
  <c r="E685" i="9"/>
  <c r="E684" i="9"/>
  <c r="E683" i="9"/>
  <c r="E682" i="9"/>
  <c r="E681" i="9"/>
  <c r="E680" i="9"/>
  <c r="E679" i="9"/>
  <c r="E678" i="9"/>
  <c r="E677" i="9"/>
  <c r="E676" i="9"/>
  <c r="E675" i="9"/>
  <c r="E674" i="9"/>
  <c r="E673" i="9"/>
  <c r="E672" i="9"/>
  <c r="E671" i="9"/>
  <c r="E670" i="9"/>
  <c r="E669" i="9"/>
  <c r="E666" i="9" l="1"/>
  <c r="E665" i="9"/>
  <c r="E663" i="9"/>
  <c r="E662" i="9"/>
  <c r="E660" i="9"/>
  <c r="E659" i="9"/>
  <c r="E657" i="9"/>
  <c r="E656" i="9"/>
  <c r="E654" i="9"/>
  <c r="E653" i="9"/>
  <c r="E651" i="9"/>
  <c r="E650" i="9"/>
  <c r="E648" i="9"/>
  <c r="E647" i="9"/>
  <c r="E645" i="9"/>
  <c r="E644" i="9"/>
  <c r="E642" i="9"/>
  <c r="E641" i="9"/>
  <c r="E639" i="9"/>
  <c r="E638" i="9"/>
  <c r="E636" i="9"/>
  <c r="E635" i="9"/>
  <c r="E633" i="9"/>
  <c r="E632" i="9"/>
  <c r="E609" i="9"/>
  <c r="E608" i="9"/>
  <c r="E542" i="9"/>
  <c r="E543" i="9"/>
  <c r="E545" i="9"/>
  <c r="E546" i="9"/>
  <c r="E560" i="9"/>
  <c r="E561" i="9"/>
  <c r="E563" i="9"/>
  <c r="E564" i="9"/>
  <c r="E566" i="9"/>
  <c r="E569" i="9"/>
  <c r="E570" i="9"/>
  <c r="E572" i="9"/>
  <c r="E573" i="9"/>
  <c r="E575" i="9"/>
  <c r="E576" i="9"/>
  <c r="E578" i="9"/>
  <c r="E579" i="9"/>
  <c r="E581" i="9"/>
  <c r="E582" i="9"/>
  <c r="E584" i="9"/>
  <c r="E585" i="9"/>
  <c r="E587" i="9"/>
  <c r="E588" i="9"/>
  <c r="E590" i="9"/>
  <c r="E591" i="9"/>
  <c r="E593" i="9"/>
  <c r="E594" i="9"/>
  <c r="E596" i="9"/>
  <c r="E597" i="9"/>
  <c r="E599" i="9"/>
  <c r="E600" i="9"/>
  <c r="E602" i="9"/>
  <c r="E603" i="9"/>
  <c r="E605" i="9"/>
  <c r="E606" i="9"/>
  <c r="E611" i="9"/>
  <c r="E612" i="9"/>
  <c r="E614" i="9"/>
  <c r="E615" i="9"/>
  <c r="E617" i="9"/>
  <c r="E618" i="9"/>
  <c r="E620" i="9"/>
  <c r="E621" i="9"/>
  <c r="E623" i="9"/>
  <c r="E624" i="9"/>
  <c r="E626" i="9"/>
  <c r="E627" i="9"/>
  <c r="E629" i="9"/>
  <c r="E630" i="9"/>
  <c r="E540" i="9"/>
  <c r="E539" i="9"/>
  <c r="E537" i="9"/>
  <c r="E536" i="9"/>
  <c r="E534" i="9"/>
  <c r="E533" i="9"/>
  <c r="E531" i="9"/>
  <c r="E530" i="9"/>
  <c r="E528" i="9"/>
  <c r="E527" i="9"/>
  <c r="E525" i="9"/>
  <c r="E524" i="9"/>
  <c r="E522" i="9"/>
  <c r="E521" i="9"/>
  <c r="E519" i="9"/>
  <c r="E518" i="9"/>
  <c r="E516" i="9"/>
  <c r="E515" i="9"/>
  <c r="E513" i="9"/>
  <c r="E512" i="9"/>
  <c r="E495" i="9"/>
  <c r="E494" i="9"/>
  <c r="E492" i="9"/>
  <c r="E491" i="9"/>
  <c r="E489" i="9"/>
  <c r="E488" i="9"/>
  <c r="E486" i="9"/>
  <c r="E485" i="9"/>
  <c r="E483" i="9"/>
  <c r="E482" i="9"/>
  <c r="E480" i="9"/>
  <c r="E479" i="9"/>
  <c r="E477" i="9"/>
  <c r="E476" i="9"/>
  <c r="E474" i="9"/>
  <c r="E473" i="9"/>
  <c r="E471" i="9"/>
  <c r="E470" i="9"/>
  <c r="E468" i="9"/>
  <c r="E467" i="9"/>
  <c r="E465" i="9"/>
  <c r="E464" i="9"/>
  <c r="E462" i="9"/>
  <c r="E461" i="9"/>
  <c r="E459" i="9"/>
  <c r="E458" i="9"/>
  <c r="E456" i="9"/>
  <c r="E455" i="9"/>
  <c r="E453" i="9"/>
  <c r="E452" i="9"/>
  <c r="E450" i="9"/>
  <c r="E449" i="9"/>
  <c r="E447" i="9"/>
  <c r="E446" i="9"/>
  <c r="E444" i="9"/>
  <c r="E443" i="9"/>
  <c r="E441" i="9"/>
  <c r="E440" i="9"/>
  <c r="E438" i="9"/>
  <c r="E437" i="9"/>
  <c r="E435" i="9"/>
  <c r="E434" i="9"/>
  <c r="E432" i="9"/>
  <c r="E431" i="9"/>
  <c r="E429" i="9"/>
  <c r="E428" i="9"/>
  <c r="E426" i="9"/>
  <c r="E425" i="9"/>
  <c r="E423" i="9"/>
  <c r="E422" i="9"/>
  <c r="E420" i="9"/>
  <c r="E419" i="9"/>
  <c r="E417" i="9"/>
  <c r="E416" i="9"/>
  <c r="E414" i="9"/>
  <c r="E413" i="9"/>
  <c r="E411" i="9"/>
  <c r="E410" i="9"/>
  <c r="E407" i="9"/>
  <c r="E405" i="9"/>
  <c r="E404" i="9"/>
  <c r="E402" i="9"/>
  <c r="E401" i="9"/>
  <c r="E399" i="9"/>
  <c r="E398" i="9"/>
  <c r="E396" i="9"/>
  <c r="E395" i="9"/>
  <c r="E393" i="9"/>
  <c r="E392" i="9"/>
  <c r="E390" i="9"/>
  <c r="E389" i="9"/>
  <c r="E387" i="9"/>
  <c r="E386" i="9"/>
  <c r="E384" i="9"/>
  <c r="E383" i="9"/>
  <c r="E381" i="9"/>
  <c r="E380" i="9"/>
  <c r="E378" i="9"/>
  <c r="E377" i="9"/>
  <c r="E375" i="9"/>
  <c r="E374" i="9"/>
  <c r="E372" i="9"/>
  <c r="E371" i="9"/>
  <c r="E369" i="9"/>
  <c r="E368" i="9"/>
  <c r="E366" i="9"/>
  <c r="E365" i="9"/>
  <c r="E363" i="9"/>
  <c r="E362" i="9"/>
  <c r="E360" i="9"/>
  <c r="E359" i="9"/>
  <c r="E357" i="9"/>
  <c r="E356" i="9"/>
  <c r="E354" i="9"/>
  <c r="E353" i="9"/>
  <c r="E351" i="9"/>
  <c r="E350" i="9"/>
  <c r="E348" i="9"/>
  <c r="E347" i="9"/>
  <c r="E345" i="9"/>
  <c r="E344" i="9"/>
  <c r="E342" i="9"/>
  <c r="E341" i="9"/>
  <c r="E339" i="9"/>
  <c r="E338" i="9"/>
  <c r="E336" i="9"/>
  <c r="E335" i="9"/>
  <c r="E333" i="9"/>
  <c r="E332" i="9"/>
  <c r="E330" i="9"/>
  <c r="E329" i="9"/>
  <c r="E327" i="9"/>
  <c r="E326" i="9"/>
  <c r="E324" i="9"/>
  <c r="E323" i="9"/>
  <c r="E321" i="9"/>
  <c r="E320" i="9"/>
  <c r="E318" i="9"/>
  <c r="E317" i="9"/>
  <c r="E315" i="9"/>
  <c r="E314" i="9"/>
  <c r="E312" i="9"/>
  <c r="E311" i="9"/>
  <c r="E309" i="9"/>
  <c r="E308" i="9"/>
  <c r="E306" i="9"/>
  <c r="E305" i="9"/>
  <c r="E303" i="9"/>
  <c r="E302" i="9"/>
  <c r="E300" i="9"/>
  <c r="E299" i="9"/>
  <c r="E297" i="9"/>
  <c r="E296" i="9"/>
  <c r="E294" i="9"/>
  <c r="E293" i="9"/>
  <c r="E291" i="9"/>
  <c r="E290" i="9"/>
  <c r="E288" i="9"/>
  <c r="E287" i="9"/>
  <c r="E285" i="9"/>
  <c r="E284" i="9"/>
  <c r="E282" i="9"/>
  <c r="E281" i="9"/>
  <c r="E279" i="9"/>
  <c r="E278" i="9"/>
  <c r="E275" i="9"/>
  <c r="E273" i="9"/>
  <c r="E272" i="9"/>
  <c r="E270" i="9"/>
  <c r="E269" i="9"/>
  <c r="E267" i="9"/>
  <c r="E266" i="9"/>
  <c r="E264" i="9"/>
  <c r="E263" i="9"/>
  <c r="E261" i="9"/>
  <c r="E260" i="9"/>
  <c r="E258" i="9"/>
  <c r="E257" i="9"/>
  <c r="E255" i="9"/>
  <c r="E254" i="9"/>
  <c r="E249" i="9"/>
  <c r="E248" i="9"/>
  <c r="E246" i="9"/>
  <c r="E245" i="9"/>
  <c r="E243" i="9"/>
  <c r="E242" i="9"/>
  <c r="E240" i="9"/>
  <c r="E239" i="9"/>
  <c r="E237" i="9"/>
  <c r="E236" i="9"/>
  <c r="E234" i="9"/>
  <c r="E233" i="9"/>
  <c r="E231" i="9"/>
  <c r="E230" i="9"/>
  <c r="E228" i="9"/>
  <c r="E227" i="9"/>
  <c r="E222" i="9"/>
  <c r="E221" i="9"/>
  <c r="E219" i="9"/>
  <c r="E218" i="9"/>
  <c r="E216" i="9"/>
  <c r="E215" i="9"/>
  <c r="E213" i="9"/>
  <c r="E212" i="9"/>
  <c r="E210" i="9"/>
  <c r="E209" i="9"/>
  <c r="E207" i="9"/>
  <c r="E206" i="9"/>
  <c r="E204" i="9"/>
  <c r="E203" i="9"/>
  <c r="E201" i="9"/>
  <c r="E200" i="9"/>
  <c r="E198" i="9"/>
  <c r="E197" i="9"/>
  <c r="E195" i="9"/>
  <c r="E194" i="9"/>
  <c r="E192" i="9"/>
  <c r="E191" i="9"/>
  <c r="E189" i="9"/>
  <c r="E188" i="9"/>
  <c r="E186" i="9"/>
  <c r="E185" i="9"/>
  <c r="E183" i="9"/>
  <c r="E182" i="9"/>
  <c r="E180" i="9"/>
  <c r="E179" i="9"/>
  <c r="E177" i="9"/>
  <c r="E176" i="9"/>
  <c r="E174" i="9"/>
  <c r="E173" i="9"/>
  <c r="E171" i="9"/>
  <c r="E170" i="9"/>
  <c r="E168" i="9"/>
  <c r="E167" i="9"/>
  <c r="E165" i="9"/>
  <c r="E164" i="9"/>
  <c r="E161" i="9"/>
  <c r="E158" i="9"/>
  <c r="E157" i="9"/>
  <c r="E155" i="9"/>
  <c r="E154" i="9"/>
  <c r="E152" i="9"/>
  <c r="E151" i="9"/>
  <c r="E149" i="9"/>
  <c r="E148" i="9"/>
  <c r="E146" i="9"/>
  <c r="E145" i="9"/>
  <c r="E143" i="9"/>
  <c r="E142" i="9"/>
  <c r="E140" i="9"/>
  <c r="E139" i="9"/>
  <c r="E137" i="9"/>
  <c r="E136" i="9"/>
  <c r="E134" i="9"/>
  <c r="E133" i="9"/>
  <c r="E131" i="9"/>
  <c r="E130" i="9"/>
  <c r="E128" i="9"/>
  <c r="E127" i="9"/>
  <c r="E125" i="9"/>
  <c r="E124" i="9"/>
  <c r="E122" i="9"/>
  <c r="E121" i="9"/>
  <c r="E119" i="9"/>
  <c r="E116" i="9"/>
  <c r="E115" i="9"/>
  <c r="E113" i="9"/>
  <c r="E112" i="9"/>
  <c r="E110" i="9"/>
  <c r="E109" i="9"/>
  <c r="E107" i="9"/>
  <c r="E106" i="9"/>
  <c r="E104" i="9"/>
  <c r="E103" i="9"/>
  <c r="E101" i="9"/>
  <c r="E100" i="9"/>
  <c r="E98" i="9"/>
  <c r="E97" i="9"/>
  <c r="E95" i="9"/>
  <c r="E94" i="9"/>
  <c r="E92" i="9"/>
  <c r="E91" i="9"/>
  <c r="E89" i="9"/>
  <c r="E88" i="9"/>
  <c r="E86" i="9"/>
  <c r="E85" i="9"/>
  <c r="E83" i="9"/>
  <c r="E82" i="9"/>
  <c r="E80" i="9"/>
  <c r="E77" i="9"/>
  <c r="E74" i="9"/>
  <c r="E73" i="9"/>
  <c r="E79" i="9"/>
  <c r="E71" i="9"/>
  <c r="E70" i="9"/>
  <c r="E68" i="9"/>
  <c r="E67" i="9"/>
  <c r="E65" i="9"/>
  <c r="E64" i="9"/>
  <c r="E62" i="9"/>
  <c r="E61" i="9"/>
  <c r="E59" i="9"/>
  <c r="E58" i="9"/>
  <c r="E55" i="9"/>
  <c r="E53" i="9"/>
  <c r="E52" i="9"/>
  <c r="E50" i="9"/>
  <c r="E49" i="9"/>
  <c r="Q616" i="1" l="1"/>
  <c r="O616" i="1"/>
  <c r="N616" i="1"/>
  <c r="J660" i="9"/>
  <c r="J630" i="9"/>
  <c r="J618" i="9"/>
  <c r="J606" i="9"/>
  <c r="J594" i="9"/>
  <c r="J582" i="9"/>
  <c r="J570" i="9"/>
  <c r="J558" i="9"/>
  <c r="J396" i="9"/>
  <c r="J375" i="9"/>
  <c r="J16" i="7"/>
  <c r="H19" i="7"/>
  <c r="L161" i="9" l="1"/>
  <c r="L218" i="9"/>
  <c r="L194" i="9"/>
  <c r="M660" i="9"/>
  <c r="L660" i="9"/>
  <c r="M375" i="9"/>
  <c r="L375" i="9"/>
  <c r="M396" i="9"/>
  <c r="L396" i="9"/>
  <c r="M558" i="9"/>
  <c r="L558" i="9"/>
  <c r="M570" i="9"/>
  <c r="L570" i="9"/>
  <c r="M582" i="9"/>
  <c r="L582" i="9"/>
  <c r="M594" i="9"/>
  <c r="L594" i="9"/>
  <c r="M606" i="9"/>
  <c r="L606" i="9"/>
  <c r="M618" i="9"/>
  <c r="L618" i="9"/>
  <c r="M630" i="9"/>
  <c r="L630" i="9"/>
  <c r="J372" i="9"/>
  <c r="J366" i="9"/>
  <c r="J588" i="9"/>
  <c r="K107" i="1"/>
  <c r="L134" i="9" s="1"/>
  <c r="L257" i="9"/>
  <c r="K99" i="1"/>
  <c r="L122" i="9" s="1"/>
  <c r="J537" i="9"/>
  <c r="L278" i="9"/>
  <c r="J363" i="9"/>
  <c r="L242" i="9"/>
  <c r="J291" i="9"/>
  <c r="J441" i="9"/>
  <c r="J384" i="9"/>
  <c r="J285" i="9"/>
  <c r="J336" i="9"/>
  <c r="J438" i="9"/>
  <c r="J447" i="9"/>
  <c r="J453" i="9"/>
  <c r="J624" i="9"/>
  <c r="J600" i="9"/>
  <c r="J576" i="9"/>
  <c r="J543" i="9"/>
  <c r="J345" i="9"/>
  <c r="J378" i="9"/>
  <c r="J387" i="9"/>
  <c r="J513" i="9"/>
  <c r="J516" i="9"/>
  <c r="J528" i="9"/>
  <c r="J561" i="9"/>
  <c r="J573" i="9"/>
  <c r="J597" i="9"/>
  <c r="J609" i="9"/>
  <c r="J621" i="9"/>
  <c r="J663" i="9"/>
  <c r="J357" i="9"/>
  <c r="J645" i="9"/>
  <c r="J330" i="9"/>
  <c r="J348" i="9"/>
  <c r="J360" i="9"/>
  <c r="J381" i="9"/>
  <c r="L236" i="9"/>
  <c r="J294" i="9"/>
  <c r="J444" i="9"/>
  <c r="K63" i="1"/>
  <c r="L68" i="9" s="1"/>
  <c r="J654" i="9"/>
  <c r="J459" i="9"/>
  <c r="J471" i="9"/>
  <c r="J483" i="9"/>
  <c r="J495" i="9"/>
  <c r="J522" i="9"/>
  <c r="J534" i="9"/>
  <c r="J546" i="9"/>
  <c r="J567" i="9"/>
  <c r="J579" i="9"/>
  <c r="J591" i="9"/>
  <c r="J603" i="9"/>
  <c r="J615" i="9"/>
  <c r="J627" i="9"/>
  <c r="K57" i="1"/>
  <c r="L59" i="9" s="1"/>
  <c r="J666" i="9"/>
  <c r="J393" i="9"/>
  <c r="L227" i="9"/>
  <c r="K59" i="1"/>
  <c r="L62" i="9" s="1"/>
  <c r="P616" i="1"/>
  <c r="S616" i="1" s="1"/>
  <c r="K53" i="1"/>
  <c r="L53" i="9" s="1"/>
  <c r="K61" i="1"/>
  <c r="L65" i="9" s="1"/>
  <c r="J477" i="9"/>
  <c r="J465" i="9"/>
  <c r="J540" i="9"/>
  <c r="K16" i="7"/>
  <c r="H668" i="9"/>
  <c r="J432" i="9"/>
  <c r="J429" i="9"/>
  <c r="J426" i="9"/>
  <c r="J423" i="9"/>
  <c r="J420" i="9"/>
  <c r="J417" i="9"/>
  <c r="J435" i="9"/>
  <c r="J408" i="9"/>
  <c r="J405" i="9"/>
  <c r="J402" i="9"/>
  <c r="J414" i="9"/>
  <c r="J411" i="9"/>
  <c r="J321" i="9"/>
  <c r="J327" i="9"/>
  <c r="J324" i="9"/>
  <c r="L50" i="1"/>
  <c r="M49" i="9" s="1"/>
  <c r="L162" i="9" l="1"/>
  <c r="M267" i="9"/>
  <c r="J267" i="9"/>
  <c r="L186" i="9"/>
  <c r="L201" i="9"/>
  <c r="M225" i="9"/>
  <c r="J225" i="9"/>
  <c r="M261" i="9"/>
  <c r="J261" i="9"/>
  <c r="L270" i="9"/>
  <c r="L212" i="9"/>
  <c r="M411" i="9"/>
  <c r="L411" i="9"/>
  <c r="M417" i="9"/>
  <c r="L417" i="9"/>
  <c r="M423" i="9"/>
  <c r="L423" i="9"/>
  <c r="M432" i="9"/>
  <c r="L432" i="9"/>
  <c r="M393" i="9"/>
  <c r="L393" i="9"/>
  <c r="M459" i="9"/>
  <c r="L459" i="9"/>
  <c r="M597" i="9"/>
  <c r="L597" i="9"/>
  <c r="M666" i="9"/>
  <c r="L666" i="9"/>
  <c r="M615" i="9"/>
  <c r="L615" i="9"/>
  <c r="M591" i="9"/>
  <c r="L591" i="9"/>
  <c r="M567" i="9"/>
  <c r="L567" i="9"/>
  <c r="M534" i="9"/>
  <c r="L534" i="9"/>
  <c r="M495" i="9"/>
  <c r="L495" i="9"/>
  <c r="M471" i="9"/>
  <c r="L471" i="9"/>
  <c r="M444" i="9"/>
  <c r="L444" i="9"/>
  <c r="M381" i="9"/>
  <c r="L381" i="9"/>
  <c r="M561" i="9"/>
  <c r="L561" i="9"/>
  <c r="M516" i="9"/>
  <c r="L516" i="9"/>
  <c r="M387" i="9"/>
  <c r="L387" i="9"/>
  <c r="M543" i="9"/>
  <c r="L543" i="9"/>
  <c r="M447" i="9"/>
  <c r="L447" i="9"/>
  <c r="M336" i="9"/>
  <c r="L336" i="9"/>
  <c r="M291" i="9"/>
  <c r="L291" i="9"/>
  <c r="M348" i="9"/>
  <c r="L348" i="9"/>
  <c r="M621" i="9"/>
  <c r="L621" i="9"/>
  <c r="M378" i="9"/>
  <c r="L378" i="9"/>
  <c r="M624" i="9"/>
  <c r="L624" i="9"/>
  <c r="M285" i="9"/>
  <c r="L285" i="9"/>
  <c r="M441" i="9"/>
  <c r="L441" i="9"/>
  <c r="M537" i="9"/>
  <c r="L537" i="9"/>
  <c r="M366" i="9"/>
  <c r="L366" i="9"/>
  <c r="M324" i="9"/>
  <c r="L324" i="9"/>
  <c r="M402" i="9"/>
  <c r="L402" i="9"/>
  <c r="M465" i="9"/>
  <c r="L465" i="9"/>
  <c r="M321" i="9"/>
  <c r="L321" i="9"/>
  <c r="M414" i="9"/>
  <c r="L414" i="9"/>
  <c r="M408" i="9"/>
  <c r="L408" i="9"/>
  <c r="M435" i="9"/>
  <c r="L435" i="9"/>
  <c r="M420" i="9"/>
  <c r="L420" i="9"/>
  <c r="M426" i="9"/>
  <c r="L426" i="9"/>
  <c r="M429" i="9"/>
  <c r="L429" i="9"/>
  <c r="M477" i="9"/>
  <c r="L477" i="9"/>
  <c r="M360" i="9"/>
  <c r="L360" i="9"/>
  <c r="M330" i="9"/>
  <c r="L330" i="9"/>
  <c r="M357" i="9"/>
  <c r="L357" i="9"/>
  <c r="M663" i="9"/>
  <c r="L663" i="9"/>
  <c r="M609" i="9"/>
  <c r="L609" i="9"/>
  <c r="M576" i="9"/>
  <c r="L576" i="9"/>
  <c r="M453" i="9"/>
  <c r="L453" i="9"/>
  <c r="M588" i="9"/>
  <c r="L588" i="9"/>
  <c r="M327" i="9"/>
  <c r="L327" i="9"/>
  <c r="M405" i="9"/>
  <c r="L405" i="9"/>
  <c r="M540" i="9"/>
  <c r="L540" i="9"/>
  <c r="M627" i="9"/>
  <c r="L627" i="9"/>
  <c r="M603" i="9"/>
  <c r="L603" i="9"/>
  <c r="M579" i="9"/>
  <c r="L579" i="9"/>
  <c r="M546" i="9"/>
  <c r="L546" i="9"/>
  <c r="M522" i="9"/>
  <c r="L522" i="9"/>
  <c r="M483" i="9"/>
  <c r="L483" i="9"/>
  <c r="M654" i="9"/>
  <c r="L654" i="9"/>
  <c r="M294" i="9"/>
  <c r="L294" i="9"/>
  <c r="M645" i="9"/>
  <c r="L645" i="9"/>
  <c r="M573" i="9"/>
  <c r="L573" i="9"/>
  <c r="M528" i="9"/>
  <c r="L528" i="9"/>
  <c r="M513" i="9"/>
  <c r="L513" i="9"/>
  <c r="M345" i="9"/>
  <c r="L345" i="9"/>
  <c r="M600" i="9"/>
  <c r="L600" i="9"/>
  <c r="M438" i="9"/>
  <c r="L438" i="9"/>
  <c r="M384" i="9"/>
  <c r="L384" i="9"/>
  <c r="M363" i="9"/>
  <c r="L363" i="9"/>
  <c r="M372" i="9"/>
  <c r="L372" i="9"/>
  <c r="J642" i="9"/>
  <c r="J636" i="9"/>
  <c r="J525" i="9"/>
  <c r="J648" i="9"/>
  <c r="J651" i="9"/>
  <c r="J249" i="9"/>
  <c r="J168" i="9"/>
  <c r="J222" i="9"/>
  <c r="J612" i="9"/>
  <c r="J468" i="9"/>
  <c r="J519" i="9"/>
  <c r="J456" i="9"/>
  <c r="J480" i="9"/>
  <c r="J231" i="9"/>
  <c r="J585" i="9"/>
  <c r="J216" i="9"/>
  <c r="J369" i="9"/>
  <c r="J399" i="9"/>
  <c r="J657" i="9"/>
  <c r="J300" i="9"/>
  <c r="J531" i="9"/>
  <c r="J462" i="9"/>
  <c r="K121" i="1"/>
  <c r="L155" i="9" s="1"/>
  <c r="K113" i="1"/>
  <c r="L143" i="9" s="1"/>
  <c r="K87" i="1"/>
  <c r="L104" i="9" s="1"/>
  <c r="K69" i="1"/>
  <c r="L77" i="9" s="1"/>
  <c r="K105" i="1"/>
  <c r="L131" i="9" s="1"/>
  <c r="L98" i="9"/>
  <c r="K115" i="1"/>
  <c r="L146" i="9" s="1"/>
  <c r="K91" i="1"/>
  <c r="L110" i="9" s="1"/>
  <c r="L267" i="9"/>
  <c r="R616" i="1"/>
  <c r="L261" i="9"/>
  <c r="L225" i="9"/>
  <c r="K97" i="1"/>
  <c r="L119" i="9" s="1"/>
  <c r="K103" i="1"/>
  <c r="L128" i="9" s="1"/>
  <c r="K117" i="1"/>
  <c r="L149" i="9" s="1"/>
  <c r="K79" i="1"/>
  <c r="L92" i="9" s="1"/>
  <c r="K89" i="1"/>
  <c r="L107" i="9" s="1"/>
  <c r="K119" i="1"/>
  <c r="L152" i="9" s="1"/>
  <c r="K101" i="1"/>
  <c r="L125" i="9" s="1"/>
  <c r="K95" i="1"/>
  <c r="L116" i="9" s="1"/>
  <c r="K67" i="1"/>
  <c r="L74" i="9" s="1"/>
  <c r="K93" i="1"/>
  <c r="L113" i="9" s="1"/>
  <c r="K65" i="1"/>
  <c r="L71" i="9" s="1"/>
  <c r="K77" i="1"/>
  <c r="L89" i="9" s="1"/>
  <c r="K73" i="1"/>
  <c r="L83" i="9" s="1"/>
  <c r="J303" i="9"/>
  <c r="J306" i="9"/>
  <c r="J309" i="9"/>
  <c r="J312" i="9"/>
  <c r="G37" i="2"/>
  <c r="L616" i="1"/>
  <c r="I7" i="14"/>
  <c r="I860" i="9"/>
  <c r="K860" i="9"/>
  <c r="I859" i="9"/>
  <c r="K859" i="9"/>
  <c r="K856" i="9"/>
  <c r="I857" i="9"/>
  <c r="K857" i="9"/>
  <c r="I856" i="9"/>
  <c r="I854" i="9"/>
  <c r="K854" i="9"/>
  <c r="I853" i="9"/>
  <c r="K853" i="9"/>
  <c r="I19" i="5"/>
  <c r="I37" i="2" l="1"/>
  <c r="J898" i="9"/>
  <c r="L7" i="14"/>
  <c r="J333" i="9"/>
  <c r="M174" i="9"/>
  <c r="J174" i="9"/>
  <c r="L492" i="9"/>
  <c r="J492" i="9"/>
  <c r="L297" i="9"/>
  <c r="J297" i="9"/>
  <c r="M246" i="9"/>
  <c r="J246" i="9"/>
  <c r="M183" i="9"/>
  <c r="J183" i="9"/>
  <c r="M234" i="9"/>
  <c r="J234" i="9"/>
  <c r="M240" i="9"/>
  <c r="J240" i="9"/>
  <c r="M204" i="9"/>
  <c r="J204" i="9"/>
  <c r="L390" i="9"/>
  <c r="J390" i="9"/>
  <c r="J213" i="9"/>
  <c r="M270" i="9"/>
  <c r="J270" i="9"/>
  <c r="M189" i="9"/>
  <c r="J189" i="9"/>
  <c r="M210" i="9"/>
  <c r="J210" i="9"/>
  <c r="M198" i="9"/>
  <c r="J198" i="9"/>
  <c r="M201" i="9"/>
  <c r="J201" i="9"/>
  <c r="M282" i="9"/>
  <c r="J282" i="9"/>
  <c r="M273" i="9"/>
  <c r="J273" i="9"/>
  <c r="M162" i="9"/>
  <c r="J162" i="9"/>
  <c r="L246" i="9"/>
  <c r="J219" i="9"/>
  <c r="L234" i="9"/>
  <c r="M192" i="9"/>
  <c r="J192" i="9"/>
  <c r="L354" i="9"/>
  <c r="J354" i="9"/>
  <c r="M177" i="9"/>
  <c r="J177" i="9"/>
  <c r="M165" i="9"/>
  <c r="J165" i="9"/>
  <c r="M186" i="9"/>
  <c r="J186" i="9"/>
  <c r="M171" i="9"/>
  <c r="J171" i="9"/>
  <c r="L288" i="9"/>
  <c r="J288" i="9"/>
  <c r="L564" i="9"/>
  <c r="J564" i="9"/>
  <c r="L351" i="9"/>
  <c r="J351" i="9"/>
  <c r="M276" i="9"/>
  <c r="J276" i="9"/>
  <c r="M255" i="9"/>
  <c r="J255" i="9"/>
  <c r="L486" i="9"/>
  <c r="J486" i="9"/>
  <c r="M264" i="9"/>
  <c r="J264" i="9"/>
  <c r="L342" i="9"/>
  <c r="J342" i="9"/>
  <c r="L339" i="9"/>
  <c r="J339" i="9"/>
  <c r="L474" i="9"/>
  <c r="J474" i="9"/>
  <c r="M180" i="9"/>
  <c r="J180" i="9"/>
  <c r="M207" i="9"/>
  <c r="J207" i="9"/>
  <c r="M249" i="9"/>
  <c r="L249" i="9"/>
  <c r="M456" i="9"/>
  <c r="L456" i="9"/>
  <c r="M525" i="9"/>
  <c r="L525" i="9"/>
  <c r="M462" i="9"/>
  <c r="L462" i="9"/>
  <c r="M531" i="9"/>
  <c r="L531" i="9"/>
  <c r="L300" i="9"/>
  <c r="M657" i="9"/>
  <c r="L657" i="9"/>
  <c r="M309" i="9"/>
  <c r="L309" i="9"/>
  <c r="M303" i="9"/>
  <c r="L303" i="9"/>
  <c r="M648" i="9"/>
  <c r="L648" i="9"/>
  <c r="M312" i="9"/>
  <c r="L312" i="9"/>
  <c r="M306" i="9"/>
  <c r="L306" i="9"/>
  <c r="M519" i="9"/>
  <c r="L519" i="9"/>
  <c r="M468" i="9"/>
  <c r="L468" i="9"/>
  <c r="M636" i="9"/>
  <c r="L636" i="9"/>
  <c r="M642" i="9"/>
  <c r="L642" i="9"/>
  <c r="M399" i="9"/>
  <c r="L399" i="9"/>
  <c r="M369" i="9"/>
  <c r="L369" i="9"/>
  <c r="M585" i="9"/>
  <c r="L585" i="9"/>
  <c r="M480" i="9"/>
  <c r="L480" i="9"/>
  <c r="M612" i="9"/>
  <c r="L612" i="9"/>
  <c r="L651" i="9"/>
  <c r="M486" i="9"/>
  <c r="M216" i="9"/>
  <c r="M354" i="9"/>
  <c r="L216" i="9"/>
  <c r="L240" i="9"/>
  <c r="M288" i="9"/>
  <c r="M351" i="9"/>
  <c r="M390" i="9"/>
  <c r="M297" i="9"/>
  <c r="L192" i="9"/>
  <c r="L168" i="9"/>
  <c r="M168" i="9"/>
  <c r="L204" i="9"/>
  <c r="M300" i="9"/>
  <c r="M342" i="9"/>
  <c r="L231" i="9"/>
  <c r="M231" i="9"/>
  <c r="M339" i="9"/>
  <c r="M474" i="9"/>
  <c r="M564" i="9"/>
  <c r="M492" i="9"/>
  <c r="M222" i="9"/>
  <c r="M651" i="9"/>
  <c r="L276" i="9"/>
  <c r="K109" i="1"/>
  <c r="L137" i="9" s="1"/>
  <c r="K75" i="1"/>
  <c r="L86" i="9" s="1"/>
  <c r="K85" i="1"/>
  <c r="L101" i="9" s="1"/>
  <c r="K81" i="1"/>
  <c r="L95" i="9" s="1"/>
  <c r="K55" i="1"/>
  <c r="L56" i="9" s="1"/>
  <c r="K71" i="1"/>
  <c r="L80" i="9" s="1"/>
  <c r="L180" i="9"/>
  <c r="L174" i="9"/>
  <c r="L207" i="9"/>
  <c r="L264" i="9"/>
  <c r="L282" i="9"/>
  <c r="L273" i="9"/>
  <c r="L189" i="9"/>
  <c r="L198" i="9"/>
  <c r="L183" i="9"/>
  <c r="L210" i="9"/>
  <c r="L165" i="9"/>
  <c r="L177" i="9"/>
  <c r="L171" i="9"/>
  <c r="K7" i="14"/>
  <c r="K19" i="7"/>
  <c r="J19" i="7"/>
  <c r="K616" i="1"/>
  <c r="G38" i="2" l="1"/>
  <c r="L898" i="9"/>
  <c r="M213" i="9"/>
  <c r="L219" i="9"/>
  <c r="M333" i="9"/>
  <c r="M219" i="9"/>
  <c r="L333" i="9"/>
  <c r="M195" i="9"/>
  <c r="J195" i="9"/>
  <c r="L195" i="9"/>
  <c r="L213" i="9"/>
  <c r="K110" i="1"/>
  <c r="I32" i="1"/>
  <c r="J38" i="2" l="1"/>
  <c r="M899" i="9" s="1"/>
  <c r="J899" i="9"/>
  <c r="L139" i="9"/>
  <c r="I111" i="1"/>
  <c r="K32" i="1"/>
  <c r="L32" i="1"/>
  <c r="M243" i="9"/>
  <c r="J243" i="9"/>
  <c r="M279" i="9"/>
  <c r="J279" i="9"/>
  <c r="M228" i="9"/>
  <c r="J228" i="9"/>
  <c r="M237" i="9"/>
  <c r="J237" i="9"/>
  <c r="M258" i="9"/>
  <c r="J258" i="9"/>
  <c r="L237" i="9"/>
  <c r="L228" i="9"/>
  <c r="L258" i="9"/>
  <c r="L243" i="9"/>
  <c r="L279" i="9"/>
  <c r="J639" i="9"/>
  <c r="I814" i="9"/>
  <c r="K814" i="9"/>
  <c r="N814" i="9"/>
  <c r="I813" i="9"/>
  <c r="K813" i="9"/>
  <c r="M813" i="9"/>
  <c r="N813" i="9"/>
  <c r="I760" i="9"/>
  <c r="K760" i="9"/>
  <c r="N760" i="9"/>
  <c r="I759" i="9"/>
  <c r="K759" i="9"/>
  <c r="M759" i="9"/>
  <c r="N759" i="9"/>
  <c r="I673" i="9"/>
  <c r="K673" i="9"/>
  <c r="N673" i="9"/>
  <c r="I672" i="9"/>
  <c r="K672" i="9"/>
  <c r="N672" i="9"/>
  <c r="I670" i="9"/>
  <c r="K670" i="9"/>
  <c r="N670" i="9"/>
  <c r="I669" i="9"/>
  <c r="J669" i="9"/>
  <c r="K669" i="9"/>
  <c r="M669" i="9"/>
  <c r="N669" i="9"/>
  <c r="N11" i="9"/>
  <c r="N12" i="9"/>
  <c r="N6" i="9"/>
  <c r="N5" i="9"/>
  <c r="N8" i="9"/>
  <c r="N9" i="9"/>
  <c r="I33" i="1" l="1"/>
  <c r="L33" i="1" s="1"/>
  <c r="M639" i="9"/>
  <c r="L639" i="9"/>
  <c r="I668" i="9"/>
  <c r="K668" i="9"/>
  <c r="I25" i="9"/>
  <c r="K25" i="9"/>
  <c r="I8" i="9"/>
  <c r="K8" i="9"/>
  <c r="M8" i="9"/>
  <c r="I9" i="9"/>
  <c r="K9" i="9"/>
  <c r="H9" i="9"/>
  <c r="H8" i="9"/>
  <c r="I5" i="9"/>
  <c r="K5" i="9"/>
  <c r="M5" i="9"/>
  <c r="H5" i="9"/>
  <c r="H833" i="9"/>
  <c r="K815" i="9"/>
  <c r="H815" i="9"/>
  <c r="I815" i="9"/>
  <c r="H764" i="9"/>
  <c r="K761" i="9"/>
  <c r="I761" i="9"/>
  <c r="H761" i="9"/>
  <c r="K20" i="9"/>
  <c r="I20" i="9"/>
  <c r="K498" i="1"/>
  <c r="I499" i="1" s="1"/>
  <c r="L26" i="1"/>
  <c r="K610" i="1" l="1"/>
  <c r="I611" i="1" s="1"/>
  <c r="L610" i="1"/>
  <c r="L669" i="9"/>
  <c r="J140" i="9"/>
  <c r="K558" i="1"/>
  <c r="I559" i="1" s="1"/>
  <c r="J759" i="9"/>
  <c r="J668" i="9"/>
  <c r="M20" i="9"/>
  <c r="J8" i="9"/>
  <c r="M761" i="9" l="1"/>
  <c r="L111" i="1"/>
  <c r="M140" i="9" s="1"/>
  <c r="K111" i="1"/>
  <c r="L140" i="9" s="1"/>
  <c r="I160" i="9"/>
  <c r="K160" i="9"/>
  <c r="L761" i="9"/>
  <c r="J761" i="9"/>
  <c r="L20" i="9"/>
  <c r="J20" i="9"/>
  <c r="L759" i="9"/>
  <c r="K11" i="1"/>
  <c r="I12" i="1" s="1"/>
  <c r="H160" i="9" l="1"/>
  <c r="J160" i="9"/>
  <c r="L559" i="1"/>
  <c r="L8" i="9"/>
  <c r="K560" i="1"/>
  <c r="I561" i="1" s="1"/>
  <c r="M160" i="9" l="1"/>
  <c r="L160" i="9"/>
  <c r="L255" i="9"/>
  <c r="L561" i="1"/>
  <c r="H836" i="9"/>
  <c r="K10" i="9"/>
  <c r="I10" i="9"/>
  <c r="J10" i="9" l="1"/>
  <c r="H10" i="9"/>
  <c r="J760" i="9"/>
  <c r="K559" i="1"/>
  <c r="L760" i="9" s="1"/>
  <c r="M760" i="9"/>
  <c r="K561" i="1"/>
  <c r="L10" i="9" l="1"/>
  <c r="H14" i="9"/>
  <c r="M10" i="9"/>
  <c r="L12" i="1"/>
  <c r="G7" i="2"/>
  <c r="J853" i="9" s="1"/>
  <c r="J9" i="9" l="1"/>
  <c r="K12" i="1"/>
  <c r="L9" i="9" s="1"/>
  <c r="M9" i="9"/>
  <c r="L13" i="1" l="1"/>
  <c r="I697" i="9"/>
  <c r="I766" i="9"/>
  <c r="N15" i="2"/>
  <c r="K867" i="9" s="1"/>
  <c r="L24" i="1"/>
  <c r="M21" i="9" s="1"/>
  <c r="B4" i="1"/>
  <c r="D78" i="13"/>
  <c r="D88" i="13"/>
  <c r="D68" i="13"/>
  <c r="D51" i="13"/>
  <c r="D58" i="13"/>
  <c r="D44" i="13"/>
  <c r="D34" i="13"/>
  <c r="D39" i="13"/>
  <c r="D29" i="13"/>
  <c r="F68" i="13"/>
  <c r="F71" i="13"/>
  <c r="F74" i="13"/>
  <c r="F77" i="13"/>
  <c r="F80" i="13"/>
  <c r="F83" i="13"/>
  <c r="F86" i="13"/>
  <c r="F89" i="13"/>
  <c r="F92" i="13"/>
  <c r="F95" i="13"/>
  <c r="F65" i="13"/>
  <c r="B65" i="13" s="1"/>
  <c r="F41" i="13"/>
  <c r="F44" i="13"/>
  <c r="F47" i="13"/>
  <c r="F50" i="13"/>
  <c r="F53" i="13"/>
  <c r="F56" i="13"/>
  <c r="F59" i="13"/>
  <c r="F62" i="13"/>
  <c r="F38" i="13"/>
  <c r="F35" i="13"/>
  <c r="F32" i="13"/>
  <c r="F29" i="13"/>
  <c r="G17" i="13"/>
  <c r="G18" i="13"/>
  <c r="G19" i="13"/>
  <c r="F18" i="13"/>
  <c r="F19" i="13"/>
  <c r="F17" i="13"/>
  <c r="G20" i="13"/>
  <c r="G21" i="13"/>
  <c r="G22" i="13"/>
  <c r="F21" i="13"/>
  <c r="F22" i="13"/>
  <c r="F20" i="13"/>
  <c r="G9" i="13"/>
  <c r="G12" i="13"/>
  <c r="G13" i="13"/>
  <c r="G14" i="13"/>
  <c r="F6" i="13"/>
  <c r="F7" i="13"/>
  <c r="F13" i="13"/>
  <c r="F14" i="13"/>
  <c r="F12" i="13"/>
  <c r="F10" i="13"/>
  <c r="F11" i="13"/>
  <c r="F9" i="13"/>
  <c r="F8" i="13"/>
  <c r="N2" i="9"/>
  <c r="L116" i="12"/>
  <c r="H116" i="12"/>
  <c r="L115" i="12"/>
  <c r="H115" i="12"/>
  <c r="H114" i="12"/>
  <c r="H113" i="12"/>
  <c r="L114" i="12"/>
  <c r="M114" i="12" s="1"/>
  <c r="M115" i="12" s="1"/>
  <c r="L113" i="12"/>
  <c r="M113" i="12" s="1"/>
  <c r="G108" i="12"/>
  <c r="L107" i="12"/>
  <c r="M107" i="12" s="1"/>
  <c r="H107" i="12"/>
  <c r="H108" i="12" s="1"/>
  <c r="K89" i="12"/>
  <c r="K88" i="12"/>
  <c r="L88" i="12" s="1"/>
  <c r="M88" i="12" s="1"/>
  <c r="G99" i="12"/>
  <c r="K92" i="12"/>
  <c r="K91" i="12"/>
  <c r="K90" i="12"/>
  <c r="K97" i="12"/>
  <c r="H97" i="12"/>
  <c r="K96" i="12"/>
  <c r="K95" i="12"/>
  <c r="K94" i="12"/>
  <c r="K93" i="12"/>
  <c r="H96" i="12"/>
  <c r="H95" i="12"/>
  <c r="L31" i="2"/>
  <c r="I891" i="9" s="1"/>
  <c r="H93" i="12"/>
  <c r="H92" i="12"/>
  <c r="H91" i="12"/>
  <c r="H90" i="12"/>
  <c r="H89" i="12"/>
  <c r="H88" i="12"/>
  <c r="G84" i="12"/>
  <c r="H77" i="12"/>
  <c r="H84" i="12" s="1"/>
  <c r="G71" i="12"/>
  <c r="H65" i="12"/>
  <c r="H71" i="12" s="1"/>
  <c r="H55" i="12"/>
  <c r="G166" i="12"/>
  <c r="D180" i="12"/>
  <c r="E180" i="12"/>
  <c r="F180" i="12"/>
  <c r="H51" i="12"/>
  <c r="G53" i="12"/>
  <c r="H53" i="12" s="1"/>
  <c r="G52" i="12"/>
  <c r="H56" i="12"/>
  <c r="H54" i="12"/>
  <c r="K53" i="12"/>
  <c r="K52" i="12"/>
  <c r="J53" i="12"/>
  <c r="J52" i="12"/>
  <c r="G47" i="12"/>
  <c r="H43" i="12"/>
  <c r="H42" i="12"/>
  <c r="H41" i="12"/>
  <c r="G47" i="2"/>
  <c r="J913" i="9" s="1"/>
  <c r="G37" i="12"/>
  <c r="H30" i="12"/>
  <c r="H32" i="12"/>
  <c r="H31" i="12"/>
  <c r="H29" i="12"/>
  <c r="G11" i="12"/>
  <c r="G24" i="12"/>
  <c r="J135" i="12"/>
  <c r="H18" i="12"/>
  <c r="H17" i="12"/>
  <c r="H119" i="12"/>
  <c r="G126" i="12"/>
  <c r="G127" i="12"/>
  <c r="G128" i="12"/>
  <c r="G129" i="12"/>
  <c r="G130" i="12"/>
  <c r="G131" i="12"/>
  <c r="G132" i="12"/>
  <c r="G133" i="12"/>
  <c r="G134" i="12"/>
  <c r="G135" i="12"/>
  <c r="G136" i="12"/>
  <c r="G137" i="12"/>
  <c r="G138" i="12"/>
  <c r="G139" i="12"/>
  <c r="G140" i="12"/>
  <c r="G141" i="12"/>
  <c r="H5" i="12"/>
  <c r="H11" i="12" s="1"/>
  <c r="I850" i="9"/>
  <c r="K850" i="9"/>
  <c r="N850" i="9"/>
  <c r="I851" i="9"/>
  <c r="K851" i="9"/>
  <c r="N851" i="9"/>
  <c r="I847" i="9"/>
  <c r="K847" i="9"/>
  <c r="N847" i="9"/>
  <c r="I848" i="9"/>
  <c r="K848" i="9"/>
  <c r="N848" i="9"/>
  <c r="K675" i="9"/>
  <c r="N675" i="9"/>
  <c r="K676" i="9"/>
  <c r="N676" i="9"/>
  <c r="K678" i="9"/>
  <c r="N678" i="9"/>
  <c r="K679" i="9"/>
  <c r="N679" i="9"/>
  <c r="K681" i="9"/>
  <c r="N681" i="9"/>
  <c r="K682" i="9"/>
  <c r="N682" i="9"/>
  <c r="K684" i="9"/>
  <c r="N684" i="9"/>
  <c r="K685" i="9"/>
  <c r="N685" i="9"/>
  <c r="K687" i="9"/>
  <c r="N687" i="9"/>
  <c r="K688" i="9"/>
  <c r="N688" i="9"/>
  <c r="K690" i="9"/>
  <c r="N690" i="9"/>
  <c r="K691" i="9"/>
  <c r="N691" i="9"/>
  <c r="K693" i="9"/>
  <c r="N693" i="9"/>
  <c r="K694" i="9"/>
  <c r="N694" i="9"/>
  <c r="K696" i="9"/>
  <c r="N696" i="9"/>
  <c r="K697" i="9"/>
  <c r="N697" i="9"/>
  <c r="K699" i="9"/>
  <c r="N699" i="9"/>
  <c r="K700" i="9"/>
  <c r="N700" i="9"/>
  <c r="K702" i="9"/>
  <c r="N702" i="9"/>
  <c r="K703" i="9"/>
  <c r="N703" i="9"/>
  <c r="K705" i="9"/>
  <c r="N705" i="9"/>
  <c r="K706" i="9"/>
  <c r="N706" i="9"/>
  <c r="K708" i="9"/>
  <c r="N708" i="9"/>
  <c r="K709" i="9"/>
  <c r="N709" i="9"/>
  <c r="K711" i="9"/>
  <c r="N711" i="9"/>
  <c r="K712" i="9"/>
  <c r="N712" i="9"/>
  <c r="K714" i="9"/>
  <c r="N714" i="9"/>
  <c r="K715" i="9"/>
  <c r="N715" i="9"/>
  <c r="K717" i="9"/>
  <c r="N717" i="9"/>
  <c r="K718" i="9"/>
  <c r="N718" i="9"/>
  <c r="K720" i="9"/>
  <c r="N720" i="9"/>
  <c r="K721" i="9"/>
  <c r="N721" i="9"/>
  <c r="K723" i="9"/>
  <c r="N723" i="9"/>
  <c r="K724" i="9"/>
  <c r="N724" i="9"/>
  <c r="K726" i="9"/>
  <c r="N726" i="9"/>
  <c r="K727" i="9"/>
  <c r="N727" i="9"/>
  <c r="K729" i="9"/>
  <c r="N729" i="9"/>
  <c r="K730" i="9"/>
  <c r="N730" i="9"/>
  <c r="K732" i="9"/>
  <c r="N732" i="9"/>
  <c r="K733" i="9"/>
  <c r="N733" i="9"/>
  <c r="K735" i="9"/>
  <c r="N735" i="9"/>
  <c r="K736" i="9"/>
  <c r="N736" i="9"/>
  <c r="K738" i="9"/>
  <c r="N738" i="9"/>
  <c r="K739" i="9"/>
  <c r="N739" i="9"/>
  <c r="K741" i="9"/>
  <c r="N741" i="9"/>
  <c r="K742" i="9"/>
  <c r="N742" i="9"/>
  <c r="K744" i="9"/>
  <c r="N744" i="9"/>
  <c r="K745" i="9"/>
  <c r="N745" i="9"/>
  <c r="K747" i="9"/>
  <c r="N747" i="9"/>
  <c r="K748" i="9"/>
  <c r="N748" i="9"/>
  <c r="K762" i="9"/>
  <c r="N762" i="9"/>
  <c r="K763" i="9"/>
  <c r="N763" i="9"/>
  <c r="K765" i="9"/>
  <c r="N765" i="9"/>
  <c r="K766" i="9"/>
  <c r="N766" i="9"/>
  <c r="K768" i="9"/>
  <c r="N768" i="9"/>
  <c r="K769" i="9"/>
  <c r="N769" i="9"/>
  <c r="K771" i="9"/>
  <c r="N771" i="9"/>
  <c r="K772" i="9"/>
  <c r="N772" i="9"/>
  <c r="K774" i="9"/>
  <c r="N774" i="9"/>
  <c r="K775" i="9"/>
  <c r="N775" i="9"/>
  <c r="K777" i="9"/>
  <c r="N777" i="9"/>
  <c r="K778" i="9"/>
  <c r="N778" i="9"/>
  <c r="K780" i="9"/>
  <c r="N780" i="9"/>
  <c r="K781" i="9"/>
  <c r="N781" i="9"/>
  <c r="K783" i="9"/>
  <c r="N783" i="9"/>
  <c r="K784" i="9"/>
  <c r="N784" i="9"/>
  <c r="K786" i="9"/>
  <c r="N786" i="9"/>
  <c r="K787" i="9"/>
  <c r="N787" i="9"/>
  <c r="K789" i="9"/>
  <c r="N789" i="9"/>
  <c r="K790" i="9"/>
  <c r="N790" i="9"/>
  <c r="K792" i="9"/>
  <c r="N792" i="9"/>
  <c r="K793" i="9"/>
  <c r="N793" i="9"/>
  <c r="K795" i="9"/>
  <c r="N795" i="9"/>
  <c r="K796" i="9"/>
  <c r="N796" i="9"/>
  <c r="K798" i="9"/>
  <c r="N798" i="9"/>
  <c r="K799" i="9"/>
  <c r="N799" i="9"/>
  <c r="K801" i="9"/>
  <c r="N801" i="9"/>
  <c r="K802" i="9"/>
  <c r="N802" i="9"/>
  <c r="K804" i="9"/>
  <c r="N804" i="9"/>
  <c r="K805" i="9"/>
  <c r="N805" i="9"/>
  <c r="K807" i="9"/>
  <c r="N807" i="9"/>
  <c r="K808" i="9"/>
  <c r="N808" i="9"/>
  <c r="K810" i="9"/>
  <c r="N810" i="9"/>
  <c r="K811" i="9"/>
  <c r="N811" i="9"/>
  <c r="K831" i="9"/>
  <c r="N831" i="9"/>
  <c r="K832" i="9"/>
  <c r="N832" i="9"/>
  <c r="K834" i="9"/>
  <c r="N834" i="9"/>
  <c r="K835" i="9"/>
  <c r="N835" i="9"/>
  <c r="K837" i="9"/>
  <c r="N837" i="9"/>
  <c r="K838" i="9"/>
  <c r="N838" i="9"/>
  <c r="K840" i="9"/>
  <c r="N840" i="9"/>
  <c r="K841" i="9"/>
  <c r="N841" i="9"/>
  <c r="K843" i="9"/>
  <c r="N843" i="9"/>
  <c r="K844" i="9"/>
  <c r="N844" i="9"/>
  <c r="I675" i="9"/>
  <c r="I676" i="9"/>
  <c r="I678" i="9"/>
  <c r="I679" i="9"/>
  <c r="I681" i="9"/>
  <c r="I682" i="9"/>
  <c r="I684" i="9"/>
  <c r="I685" i="9"/>
  <c r="I687" i="9"/>
  <c r="I688" i="9"/>
  <c r="I690" i="9"/>
  <c r="I691" i="9"/>
  <c r="I696" i="9"/>
  <c r="I699" i="9"/>
  <c r="I700" i="9"/>
  <c r="I702" i="9"/>
  <c r="I703" i="9"/>
  <c r="I705" i="9"/>
  <c r="I706" i="9"/>
  <c r="I708" i="9"/>
  <c r="I709" i="9"/>
  <c r="I711" i="9"/>
  <c r="I712" i="9"/>
  <c r="I714" i="9"/>
  <c r="I715" i="9"/>
  <c r="I717" i="9"/>
  <c r="I718" i="9"/>
  <c r="I720" i="9"/>
  <c r="I721" i="9"/>
  <c r="I723" i="9"/>
  <c r="I724" i="9"/>
  <c r="I726" i="9"/>
  <c r="I727" i="9"/>
  <c r="I729" i="9"/>
  <c r="I730" i="9"/>
  <c r="I732" i="9"/>
  <c r="I733" i="9"/>
  <c r="I735" i="9"/>
  <c r="I736" i="9"/>
  <c r="I738" i="9"/>
  <c r="I739" i="9"/>
  <c r="I741" i="9"/>
  <c r="I742" i="9"/>
  <c r="I744" i="9"/>
  <c r="I745" i="9"/>
  <c r="I747" i="9"/>
  <c r="I748" i="9"/>
  <c r="I762" i="9"/>
  <c r="I763" i="9"/>
  <c r="I765" i="9"/>
  <c r="I768" i="9"/>
  <c r="I769" i="9"/>
  <c r="I771" i="9"/>
  <c r="I772" i="9"/>
  <c r="I774" i="9"/>
  <c r="I775" i="9"/>
  <c r="I777" i="9"/>
  <c r="I778" i="9"/>
  <c r="I780" i="9"/>
  <c r="I781" i="9"/>
  <c r="I783" i="9"/>
  <c r="I784" i="9"/>
  <c r="I786" i="9"/>
  <c r="I787" i="9"/>
  <c r="I789" i="9"/>
  <c r="I790" i="9"/>
  <c r="I792" i="9"/>
  <c r="I793" i="9"/>
  <c r="I795" i="9"/>
  <c r="I796" i="9"/>
  <c r="I798" i="9"/>
  <c r="I799" i="9"/>
  <c r="I801" i="9"/>
  <c r="I802" i="9"/>
  <c r="I804" i="9"/>
  <c r="I805" i="9"/>
  <c r="I807" i="9"/>
  <c r="I808" i="9"/>
  <c r="I810" i="9"/>
  <c r="I811" i="9"/>
  <c r="I831" i="9"/>
  <c r="I832" i="9"/>
  <c r="I834" i="9"/>
  <c r="I835" i="9"/>
  <c r="I837" i="9"/>
  <c r="I838" i="9"/>
  <c r="I840" i="9"/>
  <c r="I841" i="9"/>
  <c r="I843" i="9"/>
  <c r="I844" i="9"/>
  <c r="N43" i="9"/>
  <c r="N42" i="9"/>
  <c r="N41" i="9"/>
  <c r="N40" i="9"/>
  <c r="N39" i="9"/>
  <c r="N38" i="9"/>
  <c r="N37" i="9"/>
  <c r="N36" i="9"/>
  <c r="N35" i="9"/>
  <c r="N34" i="9"/>
  <c r="N33" i="9"/>
  <c r="N31" i="9"/>
  <c r="N30" i="9"/>
  <c r="N28" i="9"/>
  <c r="N27" i="9"/>
  <c r="N25" i="9"/>
  <c r="N24" i="9"/>
  <c r="N22" i="9"/>
  <c r="N21" i="9"/>
  <c r="N19" i="9"/>
  <c r="N18" i="9"/>
  <c r="N16" i="9"/>
  <c r="N15" i="9"/>
  <c r="N3" i="9"/>
  <c r="I43" i="9"/>
  <c r="I42" i="9"/>
  <c r="I41" i="9"/>
  <c r="I40" i="9"/>
  <c r="I39" i="9"/>
  <c r="I38" i="9"/>
  <c r="I37" i="9"/>
  <c r="I36" i="9"/>
  <c r="I35" i="9"/>
  <c r="I34" i="9"/>
  <c r="I33" i="9"/>
  <c r="H43" i="9"/>
  <c r="H42" i="9"/>
  <c r="H41" i="9"/>
  <c r="H40" i="9"/>
  <c r="H39" i="9"/>
  <c r="H38" i="9"/>
  <c r="H37" i="9"/>
  <c r="H36" i="9"/>
  <c r="H35" i="9"/>
  <c r="H34" i="9"/>
  <c r="H33" i="9"/>
  <c r="K43" i="9"/>
  <c r="K42" i="9"/>
  <c r="K41" i="9"/>
  <c r="K40" i="9"/>
  <c r="K39" i="9"/>
  <c r="K38" i="9"/>
  <c r="K37" i="9"/>
  <c r="K36" i="9"/>
  <c r="K35" i="9"/>
  <c r="K34" i="9"/>
  <c r="K33" i="9"/>
  <c r="K31" i="9"/>
  <c r="K30" i="9"/>
  <c r="I31" i="9"/>
  <c r="I30" i="9"/>
  <c r="H31" i="9"/>
  <c r="H30" i="9"/>
  <c r="K28" i="9"/>
  <c r="K27" i="9"/>
  <c r="I28" i="9"/>
  <c r="I27" i="9"/>
  <c r="H28" i="9"/>
  <c r="H27" i="9"/>
  <c r="K24" i="9"/>
  <c r="I24" i="9"/>
  <c r="H25" i="9"/>
  <c r="H24" i="9"/>
  <c r="K22" i="9"/>
  <c r="K21" i="9"/>
  <c r="I22" i="9"/>
  <c r="I21" i="9"/>
  <c r="H22" i="9"/>
  <c r="H21" i="9"/>
  <c r="K19" i="9"/>
  <c r="K18" i="9"/>
  <c r="I19" i="9"/>
  <c r="I18" i="9"/>
  <c r="H19" i="9"/>
  <c r="H18" i="9"/>
  <c r="K16" i="9"/>
  <c r="K15" i="9"/>
  <c r="I16" i="9"/>
  <c r="I15" i="9"/>
  <c r="H16" i="9"/>
  <c r="H15" i="9"/>
  <c r="K12" i="9"/>
  <c r="K11" i="9"/>
  <c r="I12" i="9"/>
  <c r="I11" i="9"/>
  <c r="H12" i="9"/>
  <c r="H11" i="9"/>
  <c r="K6" i="9"/>
  <c r="I6" i="9"/>
  <c r="H6" i="9"/>
  <c r="K3" i="9"/>
  <c r="K2" i="9"/>
  <c r="I3" i="9"/>
  <c r="I2" i="9"/>
  <c r="H3" i="9"/>
  <c r="H2" i="9"/>
  <c r="G7" i="13"/>
  <c r="G6" i="13"/>
  <c r="I693" i="9"/>
  <c r="I694" i="9"/>
  <c r="I9" i="5"/>
  <c r="I8" i="5"/>
  <c r="N51" i="2"/>
  <c r="K921" i="9" s="1"/>
  <c r="K51" i="2"/>
  <c r="H921" i="9" s="1"/>
  <c r="L51" i="2"/>
  <c r="I921" i="9" s="1"/>
  <c r="N49" i="2"/>
  <c r="K918" i="9" s="1"/>
  <c r="K49" i="2"/>
  <c r="H918" i="9" s="1"/>
  <c r="L49" i="2"/>
  <c r="I918" i="9" s="1"/>
  <c r="K47" i="2"/>
  <c r="H915" i="9" s="1"/>
  <c r="N45" i="2"/>
  <c r="K912" i="9" s="1"/>
  <c r="L45" i="2"/>
  <c r="I912" i="9" s="1"/>
  <c r="K45" i="2"/>
  <c r="H912" i="9" s="1"/>
  <c r="I45" i="2"/>
  <c r="L910" i="9" s="1"/>
  <c r="N43" i="2"/>
  <c r="K909" i="9" s="1"/>
  <c r="L43" i="2"/>
  <c r="I909" i="9" s="1"/>
  <c r="K43" i="2"/>
  <c r="H909" i="9" s="1"/>
  <c r="G43" i="2"/>
  <c r="N41" i="2"/>
  <c r="K906" i="9" s="1"/>
  <c r="L41" i="2"/>
  <c r="I906" i="9" s="1"/>
  <c r="K41" i="2"/>
  <c r="H906" i="9" s="1"/>
  <c r="G41" i="2"/>
  <c r="N39" i="2"/>
  <c r="K903" i="9" s="1"/>
  <c r="L39" i="2"/>
  <c r="I903" i="9" s="1"/>
  <c r="K39" i="2"/>
  <c r="H903" i="9" s="1"/>
  <c r="G39" i="2"/>
  <c r="N37" i="2"/>
  <c r="K900" i="9" s="1"/>
  <c r="K37" i="2"/>
  <c r="H900" i="9" s="1"/>
  <c r="L37" i="2"/>
  <c r="I900" i="9" s="1"/>
  <c r="N35" i="2"/>
  <c r="K897" i="9" s="1"/>
  <c r="L35" i="2"/>
  <c r="I897" i="9" s="1"/>
  <c r="K35" i="2"/>
  <c r="H897" i="9" s="1"/>
  <c r="G35" i="2"/>
  <c r="N33" i="2"/>
  <c r="K894" i="9" s="1"/>
  <c r="L33" i="2"/>
  <c r="I894" i="9" s="1"/>
  <c r="K33" i="2"/>
  <c r="H894" i="9" s="1"/>
  <c r="G33" i="2"/>
  <c r="N31" i="2"/>
  <c r="K891" i="9" s="1"/>
  <c r="K31" i="2"/>
  <c r="H891" i="9" s="1"/>
  <c r="K29" i="2"/>
  <c r="H888" i="9" s="1"/>
  <c r="L29" i="2"/>
  <c r="I888" i="9" s="1"/>
  <c r="N27" i="2"/>
  <c r="K885" i="9" s="1"/>
  <c r="L27" i="2"/>
  <c r="I885" i="9" s="1"/>
  <c r="K27" i="2"/>
  <c r="H885" i="9" s="1"/>
  <c r="G27" i="2"/>
  <c r="J883" i="9" s="1"/>
  <c r="N23" i="2"/>
  <c r="K879" i="9" s="1"/>
  <c r="K23" i="2"/>
  <c r="H879" i="9" s="1"/>
  <c r="N21" i="2"/>
  <c r="K876" i="9" s="1"/>
  <c r="K21" i="2"/>
  <c r="H876" i="9" s="1"/>
  <c r="L21" i="2"/>
  <c r="I876" i="9" s="1"/>
  <c r="N19" i="2"/>
  <c r="K873" i="9" s="1"/>
  <c r="L19" i="2"/>
  <c r="I873" i="9" s="1"/>
  <c r="K19" i="2"/>
  <c r="H873" i="9" s="1"/>
  <c r="N17" i="2"/>
  <c r="K870" i="9" s="1"/>
  <c r="L17" i="2"/>
  <c r="I870" i="9" s="1"/>
  <c r="K17" i="2"/>
  <c r="H870" i="9" s="1"/>
  <c r="L13" i="2"/>
  <c r="I864" i="9" s="1"/>
  <c r="K13" i="2"/>
  <c r="H864" i="9" s="1"/>
  <c r="G13" i="2"/>
  <c r="J862" i="9" s="1"/>
  <c r="L11" i="2"/>
  <c r="I861" i="9" s="1"/>
  <c r="K11" i="2"/>
  <c r="H861" i="9" s="1"/>
  <c r="G11" i="2"/>
  <c r="J11" i="2" s="1"/>
  <c r="M859" i="9" s="1"/>
  <c r="N9" i="2"/>
  <c r="L9" i="2"/>
  <c r="I858" i="9" s="1"/>
  <c r="K9" i="2"/>
  <c r="H858" i="9" s="1"/>
  <c r="N7" i="2"/>
  <c r="K855" i="9" s="1"/>
  <c r="L7" i="2"/>
  <c r="I7" i="2"/>
  <c r="G15" i="2"/>
  <c r="J865" i="9" s="1"/>
  <c r="G29" i="2"/>
  <c r="J886" i="9" s="1"/>
  <c r="G49" i="2"/>
  <c r="J916" i="9" s="1"/>
  <c r="G51" i="2"/>
  <c r="G21" i="2"/>
  <c r="J874" i="9" s="1"/>
  <c r="H800" i="9"/>
  <c r="K800" i="9"/>
  <c r="H803" i="9"/>
  <c r="K803" i="9"/>
  <c r="H806" i="9"/>
  <c r="I806" i="9"/>
  <c r="H809" i="9"/>
  <c r="I809" i="9"/>
  <c r="K809" i="9"/>
  <c r="H812" i="9"/>
  <c r="I812" i="9"/>
  <c r="K812" i="9"/>
  <c r="H740" i="9"/>
  <c r="K740" i="9"/>
  <c r="H743" i="9"/>
  <c r="I743" i="9"/>
  <c r="K743" i="9"/>
  <c r="H746" i="9"/>
  <c r="K746" i="9"/>
  <c r="K544" i="1"/>
  <c r="I545" i="1" s="1"/>
  <c r="K548" i="1"/>
  <c r="I549" i="1" s="1"/>
  <c r="H852" i="9"/>
  <c r="I627" i="1"/>
  <c r="H849" i="9"/>
  <c r="I623" i="1"/>
  <c r="K623" i="1" s="1"/>
  <c r="K845" i="9"/>
  <c r="H845" i="9"/>
  <c r="L614" i="1"/>
  <c r="K842" i="9"/>
  <c r="H842" i="9"/>
  <c r="L612" i="1"/>
  <c r="K839" i="9"/>
  <c r="I839" i="9"/>
  <c r="H839" i="9"/>
  <c r="M837" i="9"/>
  <c r="K836" i="9"/>
  <c r="K833" i="9"/>
  <c r="I833" i="9"/>
  <c r="K606" i="1"/>
  <c r="I607" i="1" s="1"/>
  <c r="I797" i="9"/>
  <c r="H797" i="9"/>
  <c r="K794" i="9"/>
  <c r="I794" i="9"/>
  <c r="H794" i="9"/>
  <c r="K791" i="9"/>
  <c r="I791" i="9"/>
  <c r="H791" i="9"/>
  <c r="K788" i="9"/>
  <c r="H788" i="9"/>
  <c r="K785" i="9"/>
  <c r="I785" i="9"/>
  <c r="H785" i="9"/>
  <c r="K782" i="9"/>
  <c r="H782" i="9"/>
  <c r="K779" i="9"/>
  <c r="I779" i="9"/>
  <c r="H779" i="9"/>
  <c r="K776" i="9"/>
  <c r="H776" i="9"/>
  <c r="K773" i="9"/>
  <c r="H773" i="9"/>
  <c r="K770" i="9"/>
  <c r="I770" i="9"/>
  <c r="H770" i="9"/>
  <c r="K767" i="9"/>
  <c r="H767" i="9"/>
  <c r="K764" i="9"/>
  <c r="M762" i="9"/>
  <c r="K749" i="9"/>
  <c r="H749" i="9"/>
  <c r="K737" i="9"/>
  <c r="H737" i="9"/>
  <c r="K542" i="1"/>
  <c r="I543" i="1" s="1"/>
  <c r="K734" i="9"/>
  <c r="H734" i="9"/>
  <c r="K540" i="1"/>
  <c r="I541" i="1" s="1"/>
  <c r="K731" i="9"/>
  <c r="K728" i="9"/>
  <c r="I728" i="9"/>
  <c r="H728" i="9"/>
  <c r="K725" i="9"/>
  <c r="I725" i="9"/>
  <c r="I722" i="9"/>
  <c r="H722" i="9"/>
  <c r="I719" i="9"/>
  <c r="H719" i="9"/>
  <c r="I716" i="9"/>
  <c r="H716" i="9"/>
  <c r="K713" i="9"/>
  <c r="I713" i="9"/>
  <c r="H713" i="9"/>
  <c r="K710" i="9"/>
  <c r="H710" i="9"/>
  <c r="K707" i="9"/>
  <c r="H707" i="9"/>
  <c r="K522" i="1"/>
  <c r="I523" i="1" s="1"/>
  <c r="K704" i="9"/>
  <c r="H704" i="9"/>
  <c r="K520" i="1"/>
  <c r="I521" i="1" s="1"/>
  <c r="K701" i="9"/>
  <c r="H701" i="9"/>
  <c r="K518" i="1"/>
  <c r="I519" i="1" s="1"/>
  <c r="H698" i="9"/>
  <c r="K695" i="9"/>
  <c r="I695" i="9"/>
  <c r="K692" i="9"/>
  <c r="I692" i="9"/>
  <c r="H692" i="9"/>
  <c r="K689" i="9"/>
  <c r="H689" i="9"/>
  <c r="K510" i="1"/>
  <c r="I511" i="1" s="1"/>
  <c r="K686" i="9"/>
  <c r="H686" i="9"/>
  <c r="K683" i="9"/>
  <c r="I683" i="9"/>
  <c r="H683" i="9"/>
  <c r="K680" i="9"/>
  <c r="H680" i="9"/>
  <c r="K504" i="1"/>
  <c r="I505" i="1" s="1"/>
  <c r="K677" i="9"/>
  <c r="H677" i="9"/>
  <c r="K674" i="9"/>
  <c r="L500" i="1"/>
  <c r="K44" i="9"/>
  <c r="I44" i="9"/>
  <c r="H44" i="9"/>
  <c r="K32" i="9"/>
  <c r="I32" i="9"/>
  <c r="K29" i="9"/>
  <c r="I29" i="9"/>
  <c r="H29" i="9"/>
  <c r="K26" i="9"/>
  <c r="I26" i="9"/>
  <c r="H26" i="9"/>
  <c r="J24" i="9"/>
  <c r="K23" i="9"/>
  <c r="H23" i="9"/>
  <c r="H20" i="9"/>
  <c r="K22" i="1"/>
  <c r="I23" i="1" s="1"/>
  <c r="I20" i="1"/>
  <c r="K13" i="9"/>
  <c r="I13" i="9"/>
  <c r="H13" i="9"/>
  <c r="K7" i="9"/>
  <c r="I7" i="9"/>
  <c r="H7" i="9"/>
  <c r="J5" i="9"/>
  <c r="M801" i="9"/>
  <c r="M771" i="9"/>
  <c r="M741" i="9"/>
  <c r="M831" i="9"/>
  <c r="I731" i="9"/>
  <c r="G10" i="13"/>
  <c r="G23" i="2"/>
  <c r="L23" i="2"/>
  <c r="I879" i="9" s="1"/>
  <c r="G9" i="2"/>
  <c r="I9" i="2" s="1"/>
  <c r="G10" i="2" s="1"/>
  <c r="M726" i="9"/>
  <c r="I788" i="9"/>
  <c r="I689" i="9"/>
  <c r="M765" i="9"/>
  <c r="H4" i="9"/>
  <c r="M33" i="9"/>
  <c r="M807" i="9"/>
  <c r="G8" i="13"/>
  <c r="J37" i="2"/>
  <c r="M898" i="9" s="1"/>
  <c r="L15" i="2"/>
  <c r="I867" i="9" s="1"/>
  <c r="J7" i="2"/>
  <c r="M853" i="9" s="1"/>
  <c r="K15" i="2"/>
  <c r="H867" i="9" s="1"/>
  <c r="G19" i="2"/>
  <c r="G31" i="2"/>
  <c r="J889" i="9" s="1"/>
  <c r="L47" i="2"/>
  <c r="I915" i="9" s="1"/>
  <c r="N29" i="2"/>
  <c r="K888" i="9" s="1"/>
  <c r="N11" i="2"/>
  <c r="N13" i="2"/>
  <c r="K864" i="9" s="1"/>
  <c r="N47" i="2"/>
  <c r="K915" i="9" s="1"/>
  <c r="G17" i="7"/>
  <c r="G22" i="7" s="1"/>
  <c r="I38" i="2"/>
  <c r="L899" i="9" s="1"/>
  <c r="I23" i="2" l="1"/>
  <c r="J877" i="9"/>
  <c r="J41" i="2"/>
  <c r="M904" i="9" s="1"/>
  <c r="J904" i="9"/>
  <c r="I33" i="2"/>
  <c r="J892" i="9"/>
  <c r="I19" i="2"/>
  <c r="L871" i="9" s="1"/>
  <c r="J871" i="9"/>
  <c r="J39" i="2"/>
  <c r="M901" i="9" s="1"/>
  <c r="J901" i="9"/>
  <c r="J43" i="2"/>
  <c r="M907" i="9" s="1"/>
  <c r="J907" i="9"/>
  <c r="J35" i="2"/>
  <c r="M895" i="9" s="1"/>
  <c r="J895" i="9"/>
  <c r="J51" i="2"/>
  <c r="M919" i="9" s="1"/>
  <c r="J919" i="9"/>
  <c r="M833" i="9"/>
  <c r="L847" i="9"/>
  <c r="I624" i="1"/>
  <c r="K943" i="9"/>
  <c r="I17" i="7"/>
  <c r="I22" i="7" s="1"/>
  <c r="H943" i="9"/>
  <c r="F17" i="7"/>
  <c r="I943" i="9"/>
  <c r="M672" i="9"/>
  <c r="M49" i="2"/>
  <c r="I855" i="9"/>
  <c r="M7" i="2"/>
  <c r="M47" i="2"/>
  <c r="J915" i="9" s="1"/>
  <c r="M51" i="2"/>
  <c r="H731" i="9"/>
  <c r="H24" i="12"/>
  <c r="L22" i="1"/>
  <c r="M18" i="9" s="1"/>
  <c r="J27" i="9"/>
  <c r="L28" i="1"/>
  <c r="M27" i="9" s="1"/>
  <c r="L30" i="1"/>
  <c r="M30" i="9" s="1"/>
  <c r="H37" i="12"/>
  <c r="L853" i="9"/>
  <c r="J49" i="2"/>
  <c r="M916" i="9" s="1"/>
  <c r="K13" i="1"/>
  <c r="K502" i="1"/>
  <c r="I503" i="1" s="1"/>
  <c r="L502" i="1"/>
  <c r="M675" i="9" s="1"/>
  <c r="H13" i="13"/>
  <c r="H14" i="13"/>
  <c r="D99" i="13"/>
  <c r="J67" i="2"/>
  <c r="I31" i="2"/>
  <c r="I49" i="2"/>
  <c r="L916" i="9" s="1"/>
  <c r="K698" i="9"/>
  <c r="H22" i="13"/>
  <c r="K861" i="9"/>
  <c r="H99" i="12"/>
  <c r="M37" i="2"/>
  <c r="H47" i="12"/>
  <c r="G59" i="12"/>
  <c r="J15" i="2"/>
  <c r="M865" i="9" s="1"/>
  <c r="M41" i="2"/>
  <c r="J19" i="2"/>
  <c r="M871" i="9" s="1"/>
  <c r="J17" i="2"/>
  <c r="M868" i="9" s="1"/>
  <c r="K858" i="9"/>
  <c r="I47" i="2"/>
  <c r="L913" i="9" s="1"/>
  <c r="J47" i="2"/>
  <c r="M913" i="9" s="1"/>
  <c r="M15" i="2"/>
  <c r="I13" i="2"/>
  <c r="D101" i="13"/>
  <c r="M35" i="2"/>
  <c r="M33" i="2"/>
  <c r="H21" i="13"/>
  <c r="D100" i="13"/>
  <c r="B68" i="13"/>
  <c r="J13" i="2"/>
  <c r="M862" i="9" s="1"/>
  <c r="M13" i="2"/>
  <c r="J864" i="9" s="1"/>
  <c r="J31" i="2"/>
  <c r="M889" i="9" s="1"/>
  <c r="J29" i="2"/>
  <c r="M886" i="9" s="1"/>
  <c r="I15" i="2"/>
  <c r="L865" i="9" s="1"/>
  <c r="I29" i="2"/>
  <c r="L886" i="9" s="1"/>
  <c r="M27" i="2"/>
  <c r="M23" i="2"/>
  <c r="J879" i="9" s="1"/>
  <c r="M17" i="2"/>
  <c r="G60" i="12"/>
  <c r="M116" i="12"/>
  <c r="H19" i="13"/>
  <c r="B44" i="13"/>
  <c r="M45" i="2"/>
  <c r="I27" i="2"/>
  <c r="L883" i="9" s="1"/>
  <c r="M31" i="2"/>
  <c r="J891" i="9" s="1"/>
  <c r="M29" i="2"/>
  <c r="J888" i="9" s="1"/>
  <c r="H52" i="12"/>
  <c r="H60" i="12" s="1"/>
  <c r="M43" i="2"/>
  <c r="K852" i="9"/>
  <c r="L89" i="12"/>
  <c r="H18" i="13"/>
  <c r="B29" i="13"/>
  <c r="M39" i="2"/>
  <c r="G46" i="2"/>
  <c r="J27" i="2"/>
  <c r="M883" i="9" s="1"/>
  <c r="M11" i="2"/>
  <c r="M19" i="2"/>
  <c r="H7" i="13"/>
  <c r="K4" i="9"/>
  <c r="I17" i="9"/>
  <c r="I852" i="9"/>
  <c r="F10" i="7"/>
  <c r="K17" i="9"/>
  <c r="K849" i="9"/>
  <c r="J15" i="9"/>
  <c r="K500" i="1"/>
  <c r="I501" i="1" s="1"/>
  <c r="J672" i="9"/>
  <c r="J23" i="2"/>
  <c r="M877" i="9" s="1"/>
  <c r="I51" i="2"/>
  <c r="L919" i="9" s="1"/>
  <c r="I39" i="2"/>
  <c r="L901" i="9" s="1"/>
  <c r="I41" i="2"/>
  <c r="L904" i="9" s="1"/>
  <c r="I43" i="2"/>
  <c r="L907" i="9" s="1"/>
  <c r="J9" i="2"/>
  <c r="M856" i="9" s="1"/>
  <c r="J856" i="9"/>
  <c r="J859" i="9"/>
  <c r="I11" i="2"/>
  <c r="I17" i="2"/>
  <c r="L868" i="9" s="1"/>
  <c r="J33" i="2"/>
  <c r="M892" i="9" s="1"/>
  <c r="I35" i="2"/>
  <c r="L895" i="9" s="1"/>
  <c r="M21" i="2"/>
  <c r="J45" i="2"/>
  <c r="M910" i="9" s="1"/>
  <c r="J21" i="2"/>
  <c r="M874" i="9" s="1"/>
  <c r="L856" i="9"/>
  <c r="J30" i="9"/>
  <c r="J747" i="9"/>
  <c r="K550" i="1"/>
  <c r="I551" i="1" s="1"/>
  <c r="J765" i="9"/>
  <c r="K562" i="1"/>
  <c r="I563" i="1" s="1"/>
  <c r="J834" i="9"/>
  <c r="K608" i="1"/>
  <c r="M840" i="9"/>
  <c r="K612" i="1"/>
  <c r="I613" i="1" s="1"/>
  <c r="M843" i="9"/>
  <c r="K614" i="1"/>
  <c r="I615" i="1" s="1"/>
  <c r="M810" i="9"/>
  <c r="M693" i="9"/>
  <c r="K514" i="1"/>
  <c r="I515" i="1" s="1"/>
  <c r="J681" i="9"/>
  <c r="K506" i="1"/>
  <c r="I507" i="1" s="1"/>
  <c r="J683" i="9" s="1"/>
  <c r="M684" i="9"/>
  <c r="K508" i="1"/>
  <c r="I509" i="1" s="1"/>
  <c r="M696" i="9"/>
  <c r="K516" i="1"/>
  <c r="I517" i="1" s="1"/>
  <c r="K524" i="1"/>
  <c r="I525" i="1" s="1"/>
  <c r="M711" i="9"/>
  <c r="K526" i="1"/>
  <c r="I527" i="1" s="1"/>
  <c r="J713" i="9" s="1"/>
  <c r="J714" i="9"/>
  <c r="K528" i="1"/>
  <c r="I529" i="1" s="1"/>
  <c r="J717" i="9"/>
  <c r="K530" i="1"/>
  <c r="I531" i="1" s="1"/>
  <c r="J720" i="9"/>
  <c r="K532" i="1"/>
  <c r="I533" i="1" s="1"/>
  <c r="M723" i="9"/>
  <c r="K534" i="1"/>
  <c r="I535" i="1" s="1"/>
  <c r="J726" i="9"/>
  <c r="K536" i="1"/>
  <c r="I537" i="1" s="1"/>
  <c r="J729" i="9"/>
  <c r="K538" i="1"/>
  <c r="I539" i="1" s="1"/>
  <c r="J741" i="9"/>
  <c r="K546" i="1"/>
  <c r="I547" i="1" s="1"/>
  <c r="K33" i="1"/>
  <c r="I34" i="1" s="1"/>
  <c r="J690" i="9"/>
  <c r="K512" i="1"/>
  <c r="I513" i="1" s="1"/>
  <c r="I4" i="9"/>
  <c r="M4" i="9"/>
  <c r="L33" i="9"/>
  <c r="M729" i="9"/>
  <c r="M681" i="9"/>
  <c r="J723" i="9"/>
  <c r="I23" i="9"/>
  <c r="M24" i="9"/>
  <c r="M834" i="9"/>
  <c r="M795" i="9"/>
  <c r="K26" i="1"/>
  <c r="I27" i="1" s="1"/>
  <c r="R9" i="1"/>
  <c r="L7" i="9" s="1"/>
  <c r="J831" i="9"/>
  <c r="J711" i="9"/>
  <c r="L831" i="9"/>
  <c r="K20" i="1"/>
  <c r="I21" i="1" s="1"/>
  <c r="J29" i="9"/>
  <c r="J837" i="9"/>
  <c r="M714" i="9"/>
  <c r="M789" i="9"/>
  <c r="M792" i="9"/>
  <c r="M720" i="9"/>
  <c r="M717" i="9"/>
  <c r="M23" i="9"/>
  <c r="L29" i="9"/>
  <c r="J689" i="9"/>
  <c r="M29" i="9"/>
  <c r="J693" i="9"/>
  <c r="J725" i="9"/>
  <c r="R20" i="1"/>
  <c r="L17" i="9" s="1"/>
  <c r="M13" i="9"/>
  <c r="J839" i="9"/>
  <c r="I836" i="9"/>
  <c r="M26" i="9"/>
  <c r="H12" i="13"/>
  <c r="H10" i="13"/>
  <c r="H20" i="13"/>
  <c r="H17" i="13"/>
  <c r="G11" i="13"/>
  <c r="H11" i="13" s="1"/>
  <c r="H8" i="13"/>
  <c r="H6" i="13"/>
  <c r="H9" i="13"/>
  <c r="M9" i="2"/>
  <c r="J858" i="9" s="1"/>
  <c r="G8" i="2"/>
  <c r="I21" i="2"/>
  <c r="L874" i="9" s="1"/>
  <c r="L705" i="9"/>
  <c r="J23" i="9"/>
  <c r="L23" i="9"/>
  <c r="L26" i="9"/>
  <c r="M783" i="9"/>
  <c r="H15" i="7"/>
  <c r="M780" i="9"/>
  <c r="I674" i="9"/>
  <c r="J675" i="9"/>
  <c r="I677" i="9"/>
  <c r="M678" i="9"/>
  <c r="J678" i="9"/>
  <c r="I680" i="9"/>
  <c r="L680" i="9"/>
  <c r="J684" i="9"/>
  <c r="I686" i="9"/>
  <c r="J687" i="9"/>
  <c r="M687" i="9"/>
  <c r="J696" i="9"/>
  <c r="I698" i="9"/>
  <c r="J699" i="9"/>
  <c r="M699" i="9"/>
  <c r="I701" i="9"/>
  <c r="J702" i="9"/>
  <c r="M702" i="9"/>
  <c r="I704" i="9"/>
  <c r="J705" i="9"/>
  <c r="M705" i="9"/>
  <c r="I707" i="9"/>
  <c r="I710" i="9"/>
  <c r="K716" i="9"/>
  <c r="K719" i="9"/>
  <c r="K722" i="9"/>
  <c r="J732" i="9"/>
  <c r="M732" i="9"/>
  <c r="I734" i="9"/>
  <c r="J735" i="9"/>
  <c r="M735" i="9"/>
  <c r="I737" i="9"/>
  <c r="M747" i="9"/>
  <c r="I749" i="9"/>
  <c r="J762" i="9"/>
  <c r="I764" i="9"/>
  <c r="I767" i="9"/>
  <c r="M768" i="9"/>
  <c r="I773" i="9"/>
  <c r="M774" i="9"/>
  <c r="I776" i="9"/>
  <c r="M777" i="9"/>
  <c r="I782" i="9"/>
  <c r="M786" i="9"/>
  <c r="K797" i="9"/>
  <c r="J840" i="9"/>
  <c r="I842" i="9"/>
  <c r="J843" i="9"/>
  <c r="I845" i="9"/>
  <c r="L623" i="1"/>
  <c r="J847" i="9"/>
  <c r="I849" i="9"/>
  <c r="H14" i="7"/>
  <c r="J850" i="9"/>
  <c r="K627" i="1"/>
  <c r="I628" i="1" s="1"/>
  <c r="L627" i="1"/>
  <c r="M850" i="9" s="1"/>
  <c r="J744" i="9"/>
  <c r="M738" i="9"/>
  <c r="J738" i="9"/>
  <c r="I746" i="9"/>
  <c r="I740" i="9"/>
  <c r="M804" i="9"/>
  <c r="K806" i="9"/>
  <c r="I803" i="9"/>
  <c r="M798" i="9"/>
  <c r="I800" i="9"/>
  <c r="J2" i="9"/>
  <c r="M2" i="9"/>
  <c r="I8" i="1"/>
  <c r="K8" i="1" s="1"/>
  <c r="M11" i="9"/>
  <c r="J11" i="9"/>
  <c r="H32" i="9"/>
  <c r="K24" i="1"/>
  <c r="I25" i="1" s="1"/>
  <c r="J21" i="9"/>
  <c r="K30" i="1"/>
  <c r="I31" i="1" s="1"/>
  <c r="L20" i="1"/>
  <c r="M15" i="9" s="1"/>
  <c r="J33" i="9"/>
  <c r="K28" i="1"/>
  <c r="I29" i="1" s="1"/>
  <c r="J18" i="9"/>
  <c r="M690" i="9"/>
  <c r="J708" i="9"/>
  <c r="M708" i="9"/>
  <c r="H17" i="9"/>
  <c r="M744" i="9"/>
  <c r="H17" i="7"/>
  <c r="G20" i="2" l="1"/>
  <c r="P45" i="2"/>
  <c r="M912" i="9" s="1"/>
  <c r="J912" i="9"/>
  <c r="O37" i="2"/>
  <c r="L900" i="9" s="1"/>
  <c r="J900" i="9"/>
  <c r="P19" i="2"/>
  <c r="M873" i="9" s="1"/>
  <c r="J873" i="9"/>
  <c r="P33" i="2"/>
  <c r="M894" i="9" s="1"/>
  <c r="J894" i="9"/>
  <c r="P43" i="2"/>
  <c r="M909" i="9" s="1"/>
  <c r="J909" i="9"/>
  <c r="O49" i="2"/>
  <c r="L918" i="9" s="1"/>
  <c r="J918" i="9"/>
  <c r="G34" i="2"/>
  <c r="J893" i="9" s="1"/>
  <c r="L892" i="9"/>
  <c r="P21" i="2"/>
  <c r="M876" i="9" s="1"/>
  <c r="J876" i="9"/>
  <c r="J46" i="2"/>
  <c r="M911" i="9" s="1"/>
  <c r="J911" i="9"/>
  <c r="G14" i="2"/>
  <c r="J14" i="2" s="1"/>
  <c r="M863" i="9" s="1"/>
  <c r="L862" i="9"/>
  <c r="O41" i="2"/>
  <c r="L906" i="9" s="1"/>
  <c r="J906" i="9"/>
  <c r="O39" i="2"/>
  <c r="L903" i="9" s="1"/>
  <c r="J903" i="9"/>
  <c r="P17" i="2"/>
  <c r="M870" i="9" s="1"/>
  <c r="J870" i="9"/>
  <c r="P15" i="2"/>
  <c r="M867" i="9" s="1"/>
  <c r="J867" i="9"/>
  <c r="P35" i="2"/>
  <c r="M897" i="9" s="1"/>
  <c r="J897" i="9"/>
  <c r="J20" i="2"/>
  <c r="M872" i="9" s="1"/>
  <c r="J872" i="9"/>
  <c r="G32" i="2"/>
  <c r="J890" i="9" s="1"/>
  <c r="L889" i="9"/>
  <c r="O27" i="2"/>
  <c r="L885" i="9" s="1"/>
  <c r="J885" i="9"/>
  <c r="O51" i="2"/>
  <c r="L921" i="9" s="1"/>
  <c r="J921" i="9"/>
  <c r="G24" i="2"/>
  <c r="L877" i="9"/>
  <c r="H45" i="9"/>
  <c r="F22" i="7"/>
  <c r="L731" i="9"/>
  <c r="M731" i="9"/>
  <c r="L719" i="9"/>
  <c r="L845" i="9"/>
  <c r="M845" i="9"/>
  <c r="M749" i="9"/>
  <c r="L686" i="9"/>
  <c r="M686" i="9"/>
  <c r="L677" i="9"/>
  <c r="M677" i="9"/>
  <c r="L698" i="9"/>
  <c r="M698" i="9"/>
  <c r="M692" i="9"/>
  <c r="L692" i="9"/>
  <c r="L728" i="9"/>
  <c r="M728" i="9"/>
  <c r="M716" i="9"/>
  <c r="L716" i="9"/>
  <c r="L842" i="9"/>
  <c r="M842" i="9"/>
  <c r="J674" i="9"/>
  <c r="J692" i="9"/>
  <c r="L683" i="9"/>
  <c r="M683" i="9"/>
  <c r="M725" i="9"/>
  <c r="L713" i="9"/>
  <c r="M713" i="9"/>
  <c r="L834" i="9"/>
  <c r="I609" i="1"/>
  <c r="J719" i="9"/>
  <c r="M695" i="9"/>
  <c r="L695" i="9"/>
  <c r="L743" i="9"/>
  <c r="M743" i="9"/>
  <c r="L722" i="9"/>
  <c r="M722" i="9"/>
  <c r="L710" i="9"/>
  <c r="M767" i="9"/>
  <c r="K34" i="1"/>
  <c r="I35" i="1" s="1"/>
  <c r="L34" i="1"/>
  <c r="L11" i="9"/>
  <c r="I14" i="1"/>
  <c r="P51" i="2"/>
  <c r="M921" i="9" s="1"/>
  <c r="B99" i="13"/>
  <c r="O13" i="2"/>
  <c r="L864" i="9" s="1"/>
  <c r="L23" i="1"/>
  <c r="L18" i="9"/>
  <c r="S623" i="1"/>
  <c r="K14" i="7" s="1"/>
  <c r="O29" i="2"/>
  <c r="L888" i="9" s="1"/>
  <c r="G52" i="2"/>
  <c r="J920" i="9" s="1"/>
  <c r="L708" i="9"/>
  <c r="L672" i="9"/>
  <c r="L717" i="9"/>
  <c r="L5" i="9"/>
  <c r="G36" i="2"/>
  <c r="J896" i="9" s="1"/>
  <c r="G50" i="2"/>
  <c r="P37" i="2"/>
  <c r="M900" i="9" s="1"/>
  <c r="P13" i="2"/>
  <c r="M864" i="9" s="1"/>
  <c r="G22" i="2"/>
  <c r="J875" i="9" s="1"/>
  <c r="P49" i="2"/>
  <c r="M918" i="9" s="1"/>
  <c r="L726" i="9"/>
  <c r="L720" i="9"/>
  <c r="L714" i="9"/>
  <c r="J854" i="9"/>
  <c r="J8" i="2"/>
  <c r="M854" i="9" s="1"/>
  <c r="G30" i="2"/>
  <c r="I32" i="2"/>
  <c r="L890" i="9" s="1"/>
  <c r="P29" i="2"/>
  <c r="M888" i="9" s="1"/>
  <c r="P47" i="2"/>
  <c r="M915" i="9" s="1"/>
  <c r="P9" i="2"/>
  <c r="M858" i="9" s="1"/>
  <c r="G42" i="2"/>
  <c r="J905" i="9" s="1"/>
  <c r="J857" i="9"/>
  <c r="J10" i="2"/>
  <c r="M857" i="9" s="1"/>
  <c r="G16" i="2"/>
  <c r="J866" i="9" s="1"/>
  <c r="G48" i="2"/>
  <c r="I10" i="2"/>
  <c r="L857" i="9" s="1"/>
  <c r="J68" i="2"/>
  <c r="O23" i="2"/>
  <c r="L879" i="9" s="1"/>
  <c r="G40" i="2"/>
  <c r="J902" i="9" s="1"/>
  <c r="S9" i="1"/>
  <c r="M7" i="9" s="1"/>
  <c r="G18" i="2"/>
  <c r="O35" i="2"/>
  <c r="L897" i="9" s="1"/>
  <c r="O17" i="2"/>
  <c r="L870" i="9" s="1"/>
  <c r="O33" i="2"/>
  <c r="L894" i="9" s="1"/>
  <c r="O15" i="2"/>
  <c r="L867" i="9" s="1"/>
  <c r="G44" i="2"/>
  <c r="J908" i="9" s="1"/>
  <c r="O47" i="2"/>
  <c r="L915" i="9" s="1"/>
  <c r="J7" i="9"/>
  <c r="L729" i="9"/>
  <c r="O45" i="2"/>
  <c r="L912" i="9" s="1"/>
  <c r="O19" i="2"/>
  <c r="L873" i="9" s="1"/>
  <c r="L90" i="12"/>
  <c r="M89" i="12"/>
  <c r="J855" i="9"/>
  <c r="O7" i="2"/>
  <c r="L855" i="9" s="1"/>
  <c r="P7" i="2"/>
  <c r="M855" i="9" s="1"/>
  <c r="I34" i="2"/>
  <c r="L893" i="9" s="1"/>
  <c r="J861" i="9"/>
  <c r="O11" i="2"/>
  <c r="L861" i="9" s="1"/>
  <c r="M861" i="9"/>
  <c r="I20" i="2"/>
  <c r="L872" i="9" s="1"/>
  <c r="O43" i="2"/>
  <c r="L909" i="9" s="1"/>
  <c r="O31" i="2"/>
  <c r="L891" i="9" s="1"/>
  <c r="H59" i="12"/>
  <c r="I46" i="2"/>
  <c r="L911" i="9" s="1"/>
  <c r="L725" i="9"/>
  <c r="L741" i="9"/>
  <c r="G28" i="2"/>
  <c r="J884" i="9" s="1"/>
  <c r="L689" i="9"/>
  <c r="L859" i="9"/>
  <c r="G12" i="2"/>
  <c r="O21" i="2"/>
  <c r="L876" i="9" s="1"/>
  <c r="I45" i="9"/>
  <c r="J13" i="9"/>
  <c r="L21" i="9"/>
  <c r="L24" i="9"/>
  <c r="J34" i="9"/>
  <c r="M34" i="9"/>
  <c r="L523" i="1"/>
  <c r="L539" i="1"/>
  <c r="L34" i="9"/>
  <c r="L723" i="9"/>
  <c r="J4" i="9"/>
  <c r="L4" i="9"/>
  <c r="L711" i="9"/>
  <c r="L693" i="9"/>
  <c r="M719" i="9"/>
  <c r="L839" i="9"/>
  <c r="L13" i="9"/>
  <c r="M689" i="9"/>
  <c r="L15" i="9"/>
  <c r="J17" i="9"/>
  <c r="S20" i="1"/>
  <c r="M17" i="9" s="1"/>
  <c r="J722" i="9"/>
  <c r="J26" i="9"/>
  <c r="M839" i="9"/>
  <c r="M847" i="9"/>
  <c r="L668" i="9"/>
  <c r="O9" i="2"/>
  <c r="L858" i="9" s="1"/>
  <c r="I8" i="2"/>
  <c r="J44" i="9"/>
  <c r="L44" i="9"/>
  <c r="M44" i="9"/>
  <c r="J32" i="9"/>
  <c r="M32" i="9"/>
  <c r="L32" i="9"/>
  <c r="L738" i="9"/>
  <c r="L744" i="9"/>
  <c r="J767" i="9"/>
  <c r="L767" i="9"/>
  <c r="J764" i="9"/>
  <c r="M764" i="9"/>
  <c r="L764" i="9"/>
  <c r="J749" i="9"/>
  <c r="L749" i="9"/>
  <c r="M737" i="9"/>
  <c r="J737" i="9"/>
  <c r="L737" i="9"/>
  <c r="L735" i="9"/>
  <c r="J728" i="9"/>
  <c r="J716" i="9"/>
  <c r="J710" i="9"/>
  <c r="M710" i="9"/>
  <c r="J707" i="9"/>
  <c r="L707" i="9"/>
  <c r="M707" i="9"/>
  <c r="J704" i="9"/>
  <c r="M704" i="9"/>
  <c r="L704" i="9"/>
  <c r="J698" i="9"/>
  <c r="J695" i="9"/>
  <c r="L687" i="9"/>
  <c r="J686" i="9"/>
  <c r="L678" i="9"/>
  <c r="J677" i="9"/>
  <c r="L675" i="9"/>
  <c r="L837" i="9"/>
  <c r="L765" i="9"/>
  <c r="J731" i="9"/>
  <c r="S627" i="1"/>
  <c r="K15" i="7" s="1"/>
  <c r="R627" i="1"/>
  <c r="J15" i="7" s="1"/>
  <c r="J852" i="9"/>
  <c r="L681" i="9"/>
  <c r="L2" i="9"/>
  <c r="J740" i="9"/>
  <c r="L740" i="9"/>
  <c r="M740" i="9"/>
  <c r="J743" i="9"/>
  <c r="J746" i="9"/>
  <c r="M746" i="9"/>
  <c r="L746" i="9"/>
  <c r="L850" i="9"/>
  <c r="R623" i="1"/>
  <c r="J14" i="7" s="1"/>
  <c r="J849" i="9"/>
  <c r="J845" i="9"/>
  <c r="L843" i="9"/>
  <c r="J842" i="9"/>
  <c r="L840" i="9"/>
  <c r="J833" i="9"/>
  <c r="L833" i="9"/>
  <c r="L762" i="9"/>
  <c r="L747" i="9"/>
  <c r="J734" i="9"/>
  <c r="M734" i="9"/>
  <c r="L734" i="9"/>
  <c r="L732" i="9"/>
  <c r="L702" i="9"/>
  <c r="M701" i="9"/>
  <c r="L701" i="9"/>
  <c r="J701" i="9"/>
  <c r="L699" i="9"/>
  <c r="L696" i="9"/>
  <c r="L684" i="9"/>
  <c r="J680" i="9"/>
  <c r="M680" i="9"/>
  <c r="L27" i="9"/>
  <c r="L30" i="9"/>
  <c r="L690" i="9"/>
  <c r="M668" i="9"/>
  <c r="J943" i="9"/>
  <c r="I50" i="2" l="1"/>
  <c r="L917" i="9" s="1"/>
  <c r="J917" i="9"/>
  <c r="J48" i="2"/>
  <c r="M914" i="9" s="1"/>
  <c r="J914" i="9"/>
  <c r="I14" i="2"/>
  <c r="L863" i="9" s="1"/>
  <c r="J863" i="9"/>
  <c r="J30" i="2"/>
  <c r="M887" i="9" s="1"/>
  <c r="J887" i="9"/>
  <c r="J878" i="9"/>
  <c r="I24" i="2"/>
  <c r="L878" i="9" s="1"/>
  <c r="I18" i="2"/>
  <c r="L869" i="9" s="1"/>
  <c r="J869" i="9"/>
  <c r="L674" i="9"/>
  <c r="M674" i="9"/>
  <c r="K609" i="1"/>
  <c r="M943" i="9"/>
  <c r="K17" i="7"/>
  <c r="L943" i="9"/>
  <c r="J17" i="7"/>
  <c r="K35" i="1"/>
  <c r="I36" i="1" s="1"/>
  <c r="L35" i="1"/>
  <c r="H846" i="9"/>
  <c r="L14" i="1"/>
  <c r="K23" i="1"/>
  <c r="J50" i="2"/>
  <c r="M917" i="9" s="1"/>
  <c r="I52" i="2"/>
  <c r="L920" i="9" s="1"/>
  <c r="J52" i="2"/>
  <c r="M920" i="9" s="1"/>
  <c r="J36" i="2"/>
  <c r="M896" i="9" s="1"/>
  <c r="L854" i="9"/>
  <c r="L25" i="1"/>
  <c r="L10" i="1"/>
  <c r="I36" i="2"/>
  <c r="L896" i="9" s="1"/>
  <c r="L533" i="1"/>
  <c r="I846" i="9"/>
  <c r="L531" i="1"/>
  <c r="I42" i="2"/>
  <c r="L905" i="9" s="1"/>
  <c r="J18" i="2"/>
  <c r="M869" i="9" s="1"/>
  <c r="I30" i="2"/>
  <c r="L887" i="9" s="1"/>
  <c r="I44" i="2"/>
  <c r="L908" i="9" s="1"/>
  <c r="J16" i="2"/>
  <c r="M866" i="9" s="1"/>
  <c r="I16" i="2"/>
  <c r="L866" i="9" s="1"/>
  <c r="I48" i="2"/>
  <c r="L914" i="9" s="1"/>
  <c r="J44" i="2"/>
  <c r="M908" i="9" s="1"/>
  <c r="I40" i="2"/>
  <c r="L902" i="9" s="1"/>
  <c r="M90" i="12"/>
  <c r="L91" i="12"/>
  <c r="I28" i="2"/>
  <c r="L884" i="9" s="1"/>
  <c r="H13" i="7"/>
  <c r="L849" i="9"/>
  <c r="M852" i="9"/>
  <c r="I14" i="9"/>
  <c r="L45" i="9"/>
  <c r="M849" i="9"/>
  <c r="L852" i="9"/>
  <c r="K14" i="9"/>
  <c r="K846" i="9"/>
  <c r="M45" i="9"/>
  <c r="K45" i="9"/>
  <c r="M161" i="9"/>
  <c r="M860" i="9"/>
  <c r="J860" i="9"/>
  <c r="I12" i="2"/>
  <c r="L860" i="9" s="1"/>
  <c r="L513" i="1"/>
  <c r="L509" i="1"/>
  <c r="L517" i="1"/>
  <c r="L521" i="1"/>
  <c r="L551" i="1"/>
  <c r="L611" i="1"/>
  <c r="L511" i="1"/>
  <c r="L543" i="1"/>
  <c r="L549" i="1"/>
  <c r="L545" i="1"/>
  <c r="L527" i="1"/>
  <c r="L519" i="1"/>
  <c r="L541" i="1"/>
  <c r="K539" i="1"/>
  <c r="L730" i="9" s="1"/>
  <c r="M730" i="9"/>
  <c r="L507" i="1"/>
  <c r="L563" i="1"/>
  <c r="L505" i="1"/>
  <c r="L515" i="1"/>
  <c r="L535" i="1"/>
  <c r="J35" i="9"/>
  <c r="M35" i="9"/>
  <c r="L8" i="1"/>
  <c r="J848" i="9"/>
  <c r="K624" i="1"/>
  <c r="L848" i="9" s="1"/>
  <c r="L624" i="1"/>
  <c r="J45" i="9"/>
  <c r="J22" i="2"/>
  <c r="M875" i="9" s="1"/>
  <c r="I22" i="2"/>
  <c r="L875" i="9" s="1"/>
  <c r="J730" i="9"/>
  <c r="L31" i="1"/>
  <c r="L29" i="1"/>
  <c r="L836" i="9" l="1"/>
  <c r="M836" i="9"/>
  <c r="J836" i="9"/>
  <c r="K36" i="1"/>
  <c r="I37" i="1" s="1"/>
  <c r="L36" i="1"/>
  <c r="J835" i="9"/>
  <c r="L609" i="1"/>
  <c r="M835" i="9" s="1"/>
  <c r="K547" i="1"/>
  <c r="L742" i="9" s="1"/>
  <c r="L547" i="1"/>
  <c r="M742" i="9" s="1"/>
  <c r="J832" i="9"/>
  <c r="L607" i="1"/>
  <c r="M832" i="9" s="1"/>
  <c r="K14" i="1"/>
  <c r="L12" i="9" s="1"/>
  <c r="J633" i="9"/>
  <c r="J16" i="9"/>
  <c r="L21" i="1"/>
  <c r="M16" i="9" s="1"/>
  <c r="M633" i="9"/>
  <c r="J742" i="9"/>
  <c r="K501" i="1"/>
  <c r="J450" i="9"/>
  <c r="J489" i="9"/>
  <c r="K21" i="1"/>
  <c r="L16" i="9" s="1"/>
  <c r="L835" i="9"/>
  <c r="J14" i="9"/>
  <c r="H22" i="7"/>
  <c r="J22" i="7" s="1"/>
  <c r="K607" i="1"/>
  <c r="L832" i="9" s="1"/>
  <c r="M91" i="12"/>
  <c r="L92" i="12"/>
  <c r="J13" i="7"/>
  <c r="L846" i="9" s="1"/>
  <c r="J846" i="9"/>
  <c r="K13" i="7"/>
  <c r="M846" i="9" s="1"/>
  <c r="K10" i="1"/>
  <c r="K523" i="1"/>
  <c r="L706" i="9" s="1"/>
  <c r="M706" i="9"/>
  <c r="L27" i="1"/>
  <c r="L35" i="9"/>
  <c r="K533" i="1"/>
  <c r="L721" i="9" s="1"/>
  <c r="M721" i="9"/>
  <c r="K531" i="1"/>
  <c r="L718" i="9" s="1"/>
  <c r="M718" i="9"/>
  <c r="J718" i="9"/>
  <c r="M14" i="9"/>
  <c r="J721" i="9"/>
  <c r="M848" i="9"/>
  <c r="J706" i="9"/>
  <c r="L615" i="1"/>
  <c r="L613" i="1"/>
  <c r="M22" i="9"/>
  <c r="J22" i="9"/>
  <c r="K25" i="1"/>
  <c r="L22" i="9" s="1"/>
  <c r="J6" i="9"/>
  <c r="M6" i="9"/>
  <c r="L19" i="9"/>
  <c r="J19" i="9"/>
  <c r="M19" i="9"/>
  <c r="J12" i="9"/>
  <c r="M12" i="9"/>
  <c r="L37" i="1" l="1"/>
  <c r="K37" i="1"/>
  <c r="I38" i="1" s="1"/>
  <c r="L525" i="1"/>
  <c r="M709" i="9" s="1"/>
  <c r="L537" i="1"/>
  <c r="M727" i="9" s="1"/>
  <c r="K529" i="1"/>
  <c r="L715" i="9" s="1"/>
  <c r="L529" i="1"/>
  <c r="M715" i="9" s="1"/>
  <c r="J715" i="9"/>
  <c r="L633" i="9"/>
  <c r="M450" i="9"/>
  <c r="L450" i="9"/>
  <c r="M489" i="9"/>
  <c r="L489" i="9"/>
  <c r="K537" i="1"/>
  <c r="L727" i="9" s="1"/>
  <c r="J727" i="9"/>
  <c r="J709" i="9"/>
  <c r="J673" i="9"/>
  <c r="L501" i="1"/>
  <c r="M673" i="9" s="1"/>
  <c r="L499" i="1"/>
  <c r="L673" i="9"/>
  <c r="K525" i="1"/>
  <c r="L709" i="9" s="1"/>
  <c r="K22" i="7"/>
  <c r="L93" i="12"/>
  <c r="M92" i="12"/>
  <c r="J25" i="9"/>
  <c r="J670" i="9"/>
  <c r="K541" i="1"/>
  <c r="L733" i="9" s="1"/>
  <c r="M733" i="9"/>
  <c r="K499" i="1"/>
  <c r="K509" i="1"/>
  <c r="L685" i="9" s="1"/>
  <c r="M685" i="9"/>
  <c r="K521" i="1"/>
  <c r="L703" i="9" s="1"/>
  <c r="M703" i="9"/>
  <c r="K507" i="1"/>
  <c r="L682" i="9" s="1"/>
  <c r="M682" i="9"/>
  <c r="K503" i="1"/>
  <c r="L676" i="9" s="1"/>
  <c r="L503" i="1"/>
  <c r="M676" i="9" s="1"/>
  <c r="K517" i="1"/>
  <c r="L697" i="9" s="1"/>
  <c r="M697" i="9"/>
  <c r="K551" i="1"/>
  <c r="L748" i="9" s="1"/>
  <c r="M748" i="9"/>
  <c r="K545" i="1"/>
  <c r="L739" i="9" s="1"/>
  <c r="M739" i="9"/>
  <c r="K515" i="1"/>
  <c r="L694" i="9" s="1"/>
  <c r="M694" i="9"/>
  <c r="M25" i="9"/>
  <c r="K27" i="1"/>
  <c r="L25" i="9" s="1"/>
  <c r="K513" i="1"/>
  <c r="L691" i="9" s="1"/>
  <c r="M691" i="9"/>
  <c r="K615" i="1"/>
  <c r="L844" i="9" s="1"/>
  <c r="M844" i="9"/>
  <c r="K505" i="1"/>
  <c r="L679" i="9" s="1"/>
  <c r="M679" i="9"/>
  <c r="K543" i="1"/>
  <c r="L736" i="9" s="1"/>
  <c r="M736" i="9"/>
  <c r="K549" i="1"/>
  <c r="L745" i="9" s="1"/>
  <c r="M745" i="9"/>
  <c r="K519" i="1"/>
  <c r="L700" i="9" s="1"/>
  <c r="M700" i="9"/>
  <c r="K611" i="1"/>
  <c r="L838" i="9" s="1"/>
  <c r="M838" i="9"/>
  <c r="K563" i="1"/>
  <c r="M766" i="9"/>
  <c r="K511" i="1"/>
  <c r="L688" i="9" s="1"/>
  <c r="M688" i="9"/>
  <c r="K527" i="1"/>
  <c r="L712" i="9" s="1"/>
  <c r="M712" i="9"/>
  <c r="K535" i="1"/>
  <c r="L724" i="9" s="1"/>
  <c r="M724" i="9"/>
  <c r="M36" i="9"/>
  <c r="J36" i="9"/>
  <c r="K613" i="1"/>
  <c r="L841" i="9" s="1"/>
  <c r="M841" i="9"/>
  <c r="J724" i="9"/>
  <c r="J712" i="9"/>
  <c r="J694" i="9"/>
  <c r="L6" i="9"/>
  <c r="J841" i="9"/>
  <c r="J844" i="9"/>
  <c r="J685" i="9"/>
  <c r="J703" i="9"/>
  <c r="L763" i="9"/>
  <c r="J763" i="9"/>
  <c r="M763" i="9"/>
  <c r="J3" i="9"/>
  <c r="M3" i="9"/>
  <c r="J838" i="9"/>
  <c r="J676" i="9"/>
  <c r="J739" i="9"/>
  <c r="J733" i="9"/>
  <c r="J679" i="9"/>
  <c r="J682" i="9"/>
  <c r="J736" i="9"/>
  <c r="J745" i="9"/>
  <c r="J700" i="9"/>
  <c r="J851" i="9"/>
  <c r="K628" i="1"/>
  <c r="L628" i="1"/>
  <c r="M851" i="9" s="1"/>
  <c r="J697" i="9"/>
  <c r="J748" i="9"/>
  <c r="J766" i="9"/>
  <c r="J688" i="9"/>
  <c r="K29" i="1"/>
  <c r="L28" i="9" s="1"/>
  <c r="J28" i="9"/>
  <c r="M28" i="9"/>
  <c r="L222" i="9"/>
  <c r="M31" i="9"/>
  <c r="J31" i="9"/>
  <c r="K31" i="1"/>
  <c r="L31" i="9" s="1"/>
  <c r="J691" i="9"/>
  <c r="L670" i="9" l="1"/>
  <c r="M670" i="9"/>
  <c r="L38" i="1"/>
  <c r="K38" i="1"/>
  <c r="I39" i="1" s="1"/>
  <c r="L671" i="9"/>
  <c r="J671" i="9"/>
  <c r="J813" i="9"/>
  <c r="K594" i="1"/>
  <c r="I595" i="1" s="1"/>
  <c r="L766" i="9"/>
  <c r="J792" i="9"/>
  <c r="K580" i="1"/>
  <c r="I581" i="1" s="1"/>
  <c r="K570" i="1"/>
  <c r="I571" i="1" s="1"/>
  <c r="J777" i="9"/>
  <c r="S498" i="1"/>
  <c r="M671" i="9" s="1"/>
  <c r="L3" i="9"/>
  <c r="L94" i="12"/>
  <c r="M93" i="12"/>
  <c r="L14" i="9"/>
  <c r="L36" i="9"/>
  <c r="L851" i="9"/>
  <c r="L779" i="9" l="1"/>
  <c r="M779" i="9"/>
  <c r="J779" i="9"/>
  <c r="L815" i="9"/>
  <c r="M815" i="9"/>
  <c r="J815" i="9"/>
  <c r="L794" i="9"/>
  <c r="M794" i="9"/>
  <c r="J794" i="9"/>
  <c r="K39" i="1"/>
  <c r="I40" i="1" s="1"/>
  <c r="L39" i="1"/>
  <c r="J807" i="9"/>
  <c r="K590" i="1"/>
  <c r="I591" i="1" s="1"/>
  <c r="K576" i="1"/>
  <c r="I577" i="1" s="1"/>
  <c r="J786" i="9"/>
  <c r="L792" i="9"/>
  <c r="K564" i="1"/>
  <c r="J768" i="9"/>
  <c r="J798" i="9"/>
  <c r="K584" i="1"/>
  <c r="I585" i="1" s="1"/>
  <c r="J789" i="9"/>
  <c r="K578" i="1"/>
  <c r="I579" i="1" s="1"/>
  <c r="J795" i="9"/>
  <c r="K582" i="1"/>
  <c r="I583" i="1" s="1"/>
  <c r="K568" i="1"/>
  <c r="I569" i="1" s="1"/>
  <c r="J774" i="9"/>
  <c r="J801" i="9"/>
  <c r="K586" i="1"/>
  <c r="I587" i="1" s="1"/>
  <c r="J783" i="9"/>
  <c r="K574" i="1"/>
  <c r="I575" i="1" s="1"/>
  <c r="K566" i="1"/>
  <c r="I567" i="1" s="1"/>
  <c r="J771" i="9"/>
  <c r="J780" i="9"/>
  <c r="K572" i="1"/>
  <c r="I573" i="1" s="1"/>
  <c r="J804" i="9"/>
  <c r="K588" i="1"/>
  <c r="I589" i="1" s="1"/>
  <c r="L813" i="9"/>
  <c r="K592" i="1"/>
  <c r="I593" i="1" s="1"/>
  <c r="J810" i="9"/>
  <c r="L777" i="9"/>
  <c r="L95" i="12"/>
  <c r="M94" i="12"/>
  <c r="J37" i="9"/>
  <c r="M37" i="9"/>
  <c r="L773" i="9" l="1"/>
  <c r="M773" i="9"/>
  <c r="J773" i="9"/>
  <c r="L788" i="9"/>
  <c r="M788" i="9"/>
  <c r="J788" i="9"/>
  <c r="L812" i="9"/>
  <c r="M812" i="9"/>
  <c r="J812" i="9"/>
  <c r="L809" i="9"/>
  <c r="M809" i="9"/>
  <c r="J809" i="9"/>
  <c r="L806" i="9"/>
  <c r="M806" i="9"/>
  <c r="J806" i="9"/>
  <c r="L797" i="9"/>
  <c r="M797" i="9"/>
  <c r="J797" i="9"/>
  <c r="L800" i="9"/>
  <c r="M800" i="9"/>
  <c r="J800" i="9"/>
  <c r="L785" i="9"/>
  <c r="M785" i="9"/>
  <c r="J785" i="9"/>
  <c r="M791" i="9"/>
  <c r="L791" i="9"/>
  <c r="J791" i="9"/>
  <c r="L803" i="9"/>
  <c r="M803" i="9"/>
  <c r="J803" i="9"/>
  <c r="L782" i="9"/>
  <c r="M782" i="9"/>
  <c r="J782" i="9"/>
  <c r="L776" i="9"/>
  <c r="M776" i="9"/>
  <c r="J776" i="9"/>
  <c r="K617" i="1"/>
  <c r="I565" i="1"/>
  <c r="I618" i="1" s="1"/>
  <c r="K40" i="1"/>
  <c r="I41" i="1" s="1"/>
  <c r="L40" i="1"/>
  <c r="L780" i="9"/>
  <c r="L783" i="9"/>
  <c r="L789" i="9"/>
  <c r="L774" i="9"/>
  <c r="L804" i="9"/>
  <c r="L801" i="9"/>
  <c r="L795" i="9"/>
  <c r="L798" i="9"/>
  <c r="L768" i="9"/>
  <c r="L786" i="9"/>
  <c r="L810" i="9"/>
  <c r="L771" i="9"/>
  <c r="L807" i="9"/>
  <c r="M95" i="12"/>
  <c r="L96" i="12"/>
  <c r="L37" i="9"/>
  <c r="K41" i="1" l="1"/>
  <c r="I42" i="1" s="1"/>
  <c r="L41" i="1"/>
  <c r="L571" i="1"/>
  <c r="L595" i="1"/>
  <c r="L581" i="1"/>
  <c r="L565" i="1"/>
  <c r="M96" i="12"/>
  <c r="L97" i="12"/>
  <c r="M97" i="12" s="1"/>
  <c r="J38" i="9"/>
  <c r="M38" i="9"/>
  <c r="L618" i="1" l="1"/>
  <c r="L770" i="9"/>
  <c r="M770" i="9"/>
  <c r="J770" i="9"/>
  <c r="K42" i="1"/>
  <c r="L42" i="1"/>
  <c r="M769" i="9"/>
  <c r="J769" i="9"/>
  <c r="K565" i="1"/>
  <c r="L573" i="1"/>
  <c r="J814" i="9"/>
  <c r="K595" i="1"/>
  <c r="L814" i="9" s="1"/>
  <c r="M814" i="9"/>
  <c r="L567" i="1"/>
  <c r="L589" i="1"/>
  <c r="L583" i="1"/>
  <c r="L591" i="1"/>
  <c r="L569" i="1"/>
  <c r="L585" i="1"/>
  <c r="L593" i="1"/>
  <c r="L579" i="1"/>
  <c r="L587" i="1"/>
  <c r="K581" i="1"/>
  <c r="L793" i="9" s="1"/>
  <c r="M793" i="9"/>
  <c r="J793" i="9"/>
  <c r="K571" i="1"/>
  <c r="L778" i="9" s="1"/>
  <c r="M778" i="9"/>
  <c r="J778" i="9"/>
  <c r="L575" i="1"/>
  <c r="L577" i="1"/>
  <c r="L38" i="9"/>
  <c r="R617" i="1" l="1"/>
  <c r="S617" i="1"/>
  <c r="L769" i="9"/>
  <c r="J784" i="9"/>
  <c r="K575" i="1"/>
  <c r="L784" i="9" s="1"/>
  <c r="M784" i="9"/>
  <c r="K587" i="1"/>
  <c r="L802" i="9" s="1"/>
  <c r="M802" i="9"/>
  <c r="J802" i="9"/>
  <c r="J811" i="9"/>
  <c r="K593" i="1"/>
  <c r="L811" i="9" s="1"/>
  <c r="M811" i="9"/>
  <c r="K569" i="1"/>
  <c r="L775" i="9" s="1"/>
  <c r="M775" i="9"/>
  <c r="J775" i="9"/>
  <c r="M796" i="9"/>
  <c r="K583" i="1"/>
  <c r="L796" i="9" s="1"/>
  <c r="J796" i="9"/>
  <c r="K567" i="1"/>
  <c r="M772" i="9"/>
  <c r="J772" i="9"/>
  <c r="K577" i="1"/>
  <c r="L787" i="9" s="1"/>
  <c r="M787" i="9"/>
  <c r="J787" i="9"/>
  <c r="J790" i="9"/>
  <c r="K579" i="1"/>
  <c r="L790" i="9" s="1"/>
  <c r="M790" i="9"/>
  <c r="M781" i="9"/>
  <c r="J781" i="9"/>
  <c r="K573" i="1"/>
  <c r="L781" i="9" s="1"/>
  <c r="J799" i="9"/>
  <c r="K585" i="1"/>
  <c r="L799" i="9" s="1"/>
  <c r="M799" i="9"/>
  <c r="K591" i="1"/>
  <c r="L808" i="9" s="1"/>
  <c r="M808" i="9"/>
  <c r="J808" i="9"/>
  <c r="K589" i="1"/>
  <c r="L805" i="9" s="1"/>
  <c r="J805" i="9"/>
  <c r="M805" i="9"/>
  <c r="M39" i="9"/>
  <c r="J39" i="9"/>
  <c r="K618" i="1" l="1"/>
  <c r="L772" i="9"/>
  <c r="L39" i="9"/>
  <c r="J40" i="9" l="1"/>
  <c r="M40" i="9"/>
  <c r="L40" i="9" l="1"/>
  <c r="J41" i="9" l="1"/>
  <c r="M41" i="9"/>
  <c r="L41" i="9" l="1"/>
  <c r="J42" i="9" l="1"/>
  <c r="M42" i="9"/>
  <c r="L42" i="9" l="1"/>
  <c r="M43" i="9" l="1"/>
  <c r="J43" i="9"/>
  <c r="L43" i="9" l="1"/>
</calcChain>
</file>

<file path=xl/comments1.xml><?xml version="1.0" encoding="utf-8"?>
<comments xmlns="http://schemas.openxmlformats.org/spreadsheetml/2006/main">
  <authors>
    <author>CEA TELLO, MARIO ANDRES</author>
  </authors>
  <commentList>
    <comment ref="I16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Desct. Capturas embarcación Tome y Isla Tabon, Oriente
</t>
        </r>
      </text>
    </comment>
  </commentList>
</comments>
</file>

<file path=xl/comments2.xml><?xml version="1.0" encoding="utf-8"?>
<comments xmlns="http://schemas.openxmlformats.org/spreadsheetml/2006/main">
  <authors>
    <author>CEA TELLO, MARIO ANDRES</author>
    <author>Mario Cea</author>
  </authors>
  <commentList>
    <comment ref="J21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Descuento capturas nave Oriente Opera con LTP</t>
        </r>
      </text>
    </comment>
    <comment ref="H23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Cesion de 700 Ton a Pacificblu Spa. (Res. Ex. N°019-2021)</t>
        </r>
      </text>
    </comment>
    <comment ref="H29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Cesion de 150 Ton a Soc. Pesq. Nordiomar Spa. (Res. Ex. N°018-2021)</t>
        </r>
      </text>
    </comment>
    <comment ref="G34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Res. Ex. N°001-21 Adelantamiento de cuota de 152,042 Ton a 228,042 Ton.</t>
        </r>
      </text>
    </comment>
    <comment ref="G35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Res. Ex. N°001-21 Adelantamiento de cuota de 152,042 Ton a 76,042 Ton.</t>
        </r>
      </text>
    </comment>
    <comment ref="J49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Se descuenta 0,135 Ton de LTP Oriente
</t>
        </r>
      </text>
    </comment>
    <comment ref="E50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VELASQUEZ II (RPA 954159)</t>
        </r>
      </text>
    </comment>
    <comment ref="E52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YANIRA III (956550)</t>
        </r>
      </text>
    </comment>
    <comment ref="E56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CLAUDIO ALEJANDRO (RPA 958903)
CLAUDIO ALEJANDRO (RPA 967538)</t>
        </r>
      </text>
    </comment>
    <comment ref="E68" authorId="1" shapeId="0">
      <text>
        <r>
          <rPr>
            <b/>
            <sz val="9"/>
            <color indexed="81"/>
            <rFont val="Tahoma"/>
            <family val="2"/>
          </rPr>
          <t>Mario Cea:</t>
        </r>
        <r>
          <rPr>
            <sz val="9"/>
            <color indexed="81"/>
            <rFont val="Tahoma"/>
            <family val="2"/>
          </rPr>
          <t xml:space="preserve">
SUSTITUCION : N° RPA 969082 - NOMBRE EMBARCACION : CRISTOPHER</t>
        </r>
      </text>
    </comment>
    <comment ref="E70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BENJAMIN (RPA 923209)</t>
        </r>
      </text>
    </comment>
    <comment ref="E72" authorId="1" shapeId="0">
      <text>
        <r>
          <rPr>
            <b/>
            <sz val="9"/>
            <color indexed="81"/>
            <rFont val="Tahoma"/>
            <family val="2"/>
          </rPr>
          <t>Mario Cea:</t>
        </r>
        <r>
          <rPr>
            <sz val="9"/>
            <color indexed="81"/>
            <rFont val="Tahoma"/>
            <family val="2"/>
          </rPr>
          <t xml:space="preserve">
SUSTITUCION : N° RPA 952807 - NOMBRE EMBARCACION : SAN MARCOS II</t>
        </r>
      </text>
    </comment>
    <comment ref="E74" authorId="1" shapeId="0">
      <text>
        <r>
          <rPr>
            <b/>
            <sz val="9"/>
            <color indexed="81"/>
            <rFont val="Tahoma"/>
            <family val="2"/>
          </rPr>
          <t>Mario Cea:</t>
        </r>
        <r>
          <rPr>
            <sz val="9"/>
            <color indexed="81"/>
            <rFont val="Tahoma"/>
            <family val="2"/>
          </rPr>
          <t xml:space="preserve">
SUSTITUCION 954974 DON TITO III</t>
        </r>
      </text>
    </comment>
    <comment ref="E78" authorId="0" shapeId="0">
      <text>
        <r>
          <rPr>
            <b/>
            <sz val="9"/>
            <color indexed="81"/>
            <rFont val="Tahoma"/>
            <family val="2"/>
          </rPr>
          <t xml:space="preserve">CEA TELLO, MARIO ANDRES:
</t>
        </r>
        <r>
          <rPr>
            <sz val="9"/>
            <color indexed="81"/>
            <rFont val="Tahoma"/>
            <family val="2"/>
          </rPr>
          <t>LA NENA (RPA 957823)</t>
        </r>
      </text>
    </comment>
    <comment ref="E80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HURACAN II (RPA 962717)</t>
        </r>
      </text>
    </comment>
    <comment ref="E82" authorId="1" shapeId="0">
      <text>
        <r>
          <rPr>
            <b/>
            <sz val="9"/>
            <color indexed="81"/>
            <rFont val="Tahoma"/>
            <family val="2"/>
          </rPr>
          <t>Mario Cea:</t>
        </r>
        <r>
          <rPr>
            <sz val="9"/>
            <color indexed="81"/>
            <rFont val="Tahoma"/>
            <family val="2"/>
          </rPr>
          <t xml:space="preserve">
SUSTITUCION 963246 NICOL</t>
        </r>
      </text>
    </comment>
    <comment ref="E84" authorId="1" shapeId="0">
      <text>
        <r>
          <rPr>
            <b/>
            <sz val="9"/>
            <color indexed="81"/>
            <rFont val="Tahoma"/>
            <family val="2"/>
          </rPr>
          <t>Mario Cea:</t>
        </r>
        <r>
          <rPr>
            <sz val="9"/>
            <color indexed="81"/>
            <rFont val="Tahoma"/>
            <family val="2"/>
          </rPr>
          <t xml:space="preserve">
PATO CHONCHON II (RPA 964545)
PATO CHONCHON III (RPA 968450)
EMILIA ANTONIA (RPA 968621)
</t>
        </r>
      </text>
    </comment>
    <comment ref="E86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LOS PITAS (RPA 902011)</t>
        </r>
      </text>
    </comment>
    <comment ref="E88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CHICO PITA (RPA 928200)</t>
        </r>
      </text>
    </comment>
    <comment ref="E92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ELISABETH  (RPA 954642)
ELISABETH II (RPA 968125)</t>
        </r>
      </text>
    </comment>
    <comment ref="E94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SUSTITUCION GENESIS (RPA 956822)</t>
        </r>
      </text>
    </comment>
    <comment ref="E96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EL CHUNGA II (RPA 957980)</t>
        </r>
      </text>
    </comment>
    <comment ref="E98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SUSTITUCION TOBY (959025)</t>
        </r>
      </text>
    </comment>
    <comment ref="E102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CRISTOBAL I (RPA 960762)</t>
        </r>
      </text>
    </comment>
    <comment ref="E104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SUSTITUCION EL CHUNGA III (RPA 961966)</t>
        </r>
      </text>
    </comment>
    <comment ref="E106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SUSTITUCION SAN JUAN V (964893)</t>
        </r>
      </text>
    </comment>
    <comment ref="E110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EBEN-EZER (RPA 902004)</t>
        </r>
      </text>
    </comment>
    <comment ref="E120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SUSTITUCION DE GYTTANO (RPA 963675)</t>
        </r>
      </text>
    </comment>
    <comment ref="E122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SUSTITUCION SAN DIEGO III (RPA 964920)
</t>
        </r>
      </text>
    </comment>
    <comment ref="E133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DIEGO ANTONIO I (957350)</t>
        </r>
      </text>
    </comment>
    <comment ref="E141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MARIA VICTORIA (924515)
MARIA VICTORIA (968287)</t>
        </r>
      </text>
    </comment>
    <comment ref="E145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SANTA ROSA II (956905)</t>
        </r>
      </text>
    </comment>
    <comment ref="E151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EL PELICANO III (963242)</t>
        </r>
      </text>
    </comment>
    <comment ref="E155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KARINA ANDREA II (966887)</t>
        </r>
      </text>
    </comment>
    <comment ref="E157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LOS CARRERA  (957363)</t>
        </r>
      </text>
    </comment>
    <comment ref="E159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MARGAB I (959020)</t>
        </r>
      </text>
    </comment>
    <comment ref="E163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ESMERALDA III (966210)</t>
        </r>
      </text>
    </comment>
    <comment ref="H163" authorId="1" shapeId="0">
      <text>
        <r>
          <rPr>
            <b/>
            <sz val="9"/>
            <color indexed="81"/>
            <rFont val="Tahoma"/>
            <family val="2"/>
          </rPr>
          <t>Mario Cea:</t>
        </r>
        <r>
          <rPr>
            <sz val="9"/>
            <color indexed="81"/>
            <rFont val="Tahoma"/>
            <family val="2"/>
          </rPr>
          <t xml:space="preserve">
Descuento por sancion de 0,079 Ton (Res. Ex. N°1710-2021)</t>
        </r>
      </text>
    </comment>
    <comment ref="E165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MERY (966143)</t>
        </r>
      </text>
    </comment>
    <comment ref="H167" authorId="1" shapeId="0">
      <text>
        <r>
          <rPr>
            <b/>
            <sz val="9"/>
            <color indexed="81"/>
            <rFont val="Tahoma"/>
            <family val="2"/>
          </rPr>
          <t>Mario Cea:</t>
        </r>
        <r>
          <rPr>
            <sz val="9"/>
            <color indexed="81"/>
            <rFont val="Tahoma"/>
            <family val="2"/>
          </rPr>
          <t xml:space="preserve">
Descuento por sancion de 0,142 Ton (Res. Ex. N°1709-2021)</t>
        </r>
      </text>
    </comment>
    <comment ref="E169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SAN PEDRO (913216)</t>
        </r>
      </text>
    </comment>
    <comment ref="H169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Descuento por sancion de 0,2163 Ton (Res. Ex. N°1800-2021)</t>
        </r>
      </text>
    </comment>
    <comment ref="G171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Res. Ex. N°013-21 Adelantamiento de cuota de 22,142 Ton a 33,212 Ton.</t>
        </r>
      </text>
    </comment>
    <comment ref="M171" authorId="1" shapeId="0">
      <text>
        <r>
          <rPr>
            <b/>
            <sz val="9"/>
            <color indexed="81"/>
            <rFont val="Tahoma"/>
            <family val="2"/>
          </rPr>
          <t>Mario Cea:</t>
        </r>
        <r>
          <rPr>
            <sz val="9"/>
            <color indexed="81"/>
            <rFont val="Tahoma"/>
            <family val="2"/>
          </rPr>
          <t xml:space="preserve">
Cierre de Cuota 04-06-2021
Apertura de Cuota 17-06-2021</t>
        </r>
      </text>
    </comment>
    <comment ref="G172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Res. Ex. N°013-21 Adelantamiento de cuota de 22,141 Ton a 11,071 Ton.</t>
        </r>
      </text>
    </comment>
    <comment ref="E183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EL FANTASMA I (966603)</t>
        </r>
      </text>
    </comment>
    <comment ref="E185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SKORPIOS II (966149)</t>
        </r>
      </text>
    </comment>
    <comment ref="E199" authorId="1" shapeId="0">
      <text>
        <r>
          <rPr>
            <b/>
            <sz val="9"/>
            <color indexed="81"/>
            <rFont val="Tahoma"/>
            <family val="2"/>
          </rPr>
          <t>Mario Cea:</t>
        </r>
        <r>
          <rPr>
            <sz val="9"/>
            <color indexed="81"/>
            <rFont val="Tahoma"/>
            <family val="2"/>
          </rPr>
          <t xml:space="preserve">
Sustitucion de PAZ NATANAEL III (966681) </t>
        </r>
      </text>
    </comment>
    <comment ref="G209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Res. Ex. N°006-21 Adelantamiento de cuota de 5,292 Ton a 7,938 Ton.</t>
        </r>
      </text>
    </comment>
    <comment ref="G210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Res. Ex. N°006-21 Adelantamiento de cuota de 5,292 Ton a 2,646 Ton.</t>
        </r>
      </text>
    </comment>
    <comment ref="H210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Cesion de 4 Ton desde ASOCIACIÓN GREMIAL DE PESCADORES ARTESANALES DE SAN VICENTE - TALCAHUANO RAG 18-8  VIII Region (Res. Ex N°2203-2021)</t>
        </r>
      </text>
    </comment>
    <comment ref="E213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EL REY DEL MAR (964745)</t>
        </r>
      </text>
    </comment>
    <comment ref="E215" authorId="1" shapeId="0">
      <text>
        <r>
          <rPr>
            <b/>
            <sz val="9"/>
            <color indexed="81"/>
            <rFont val="Tahoma"/>
            <family val="2"/>
          </rPr>
          <t>Mario Cea:</t>
        </r>
        <r>
          <rPr>
            <sz val="9"/>
            <color indexed="81"/>
            <rFont val="Tahoma"/>
            <family val="2"/>
          </rPr>
          <t xml:space="preserve">
Sustitucion de HALCON CUARTO (966653)</t>
        </r>
      </text>
    </comment>
    <comment ref="G215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Res. Ex. N°012-21 Adelantamiento de cuota de 5,290 Ton a 7,935 Ton.</t>
        </r>
      </text>
    </comment>
    <comment ref="M215" authorId="1" shapeId="0">
      <text>
        <r>
          <rPr>
            <b/>
            <sz val="9"/>
            <color indexed="81"/>
            <rFont val="Tahoma"/>
            <family val="2"/>
          </rPr>
          <t>Mario Cea:</t>
        </r>
        <r>
          <rPr>
            <sz val="9"/>
            <color indexed="81"/>
            <rFont val="Tahoma"/>
            <family val="2"/>
          </rPr>
          <t xml:space="preserve">
Cierre de Cuota 03-06-2021
Apertura de Cuota 17-06-2021</t>
        </r>
      </text>
    </comment>
    <comment ref="G216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Res. Ex. N°012-21 Adelantamiento de cuota de 5,290 Ton a 2,645 Ton.</t>
        </r>
      </text>
    </comment>
    <comment ref="H217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Cesion de 4 Ton desde Org. ASOCIACIÓN GREMIAL DE PESCADORES ARTESANALES CALETA LOTA-A.G. APESCA LOTA 428-8 VIII Region (Res. Ex N°1737-2021)</t>
        </r>
      </text>
    </comment>
    <comment ref="M217" authorId="1" shapeId="0">
      <text>
        <r>
          <rPr>
            <b/>
            <sz val="9"/>
            <color indexed="81"/>
            <rFont val="Tahoma"/>
            <family val="2"/>
          </rPr>
          <t>Mario Cea:</t>
        </r>
        <r>
          <rPr>
            <sz val="9"/>
            <color indexed="81"/>
            <rFont val="Tahoma"/>
            <family val="2"/>
          </rPr>
          <t xml:space="preserve">
Cierre de Cuota 03-06-2021
Apertura de Cuota 11-06-2021</t>
        </r>
      </text>
    </comment>
    <comment ref="H218" authorId="1" shapeId="0">
      <text>
        <r>
          <rPr>
            <b/>
            <sz val="9"/>
            <color indexed="81"/>
            <rFont val="Tahoma"/>
            <family val="2"/>
          </rPr>
          <t>Mario Cea:</t>
        </r>
        <r>
          <rPr>
            <sz val="9"/>
            <color indexed="81"/>
            <rFont val="Tahoma"/>
            <family val="2"/>
          </rPr>
          <t xml:space="preserve">
Cesion de 20 Ton desde ASOCIACIÓN GREMIAL DE PESCADORES ARTESANALES DE CORONEL RAG 5-8  VIII Region (Res. Ex N°2043-2021)</t>
        </r>
      </text>
    </comment>
    <comment ref="E221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PAULITO I (955236)</t>
        </r>
      </text>
    </comment>
    <comment ref="G221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Res. Ex. N°012-21 Adelantamiento de cuota de 5,291 Ton a 7,937 Ton.</t>
        </r>
      </text>
    </comment>
    <comment ref="M221" authorId="1" shapeId="0">
      <text>
        <r>
          <rPr>
            <b/>
            <sz val="9"/>
            <color indexed="81"/>
            <rFont val="Tahoma"/>
            <family val="2"/>
          </rPr>
          <t>Mario Cea:</t>
        </r>
        <r>
          <rPr>
            <sz val="9"/>
            <color indexed="81"/>
            <rFont val="Tahoma"/>
            <family val="2"/>
          </rPr>
          <t xml:space="preserve">
Cierre de Cuota 03-06-2021
Apertura de Cuota 17-06-2021</t>
        </r>
      </text>
    </comment>
    <comment ref="G222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Res. Ex. N°012-21 Adelantamiento de cuota de 5,291 Ton a 2,645 Ton.</t>
        </r>
      </text>
    </comment>
    <comment ref="E225" authorId="1" shapeId="0">
      <text>
        <r>
          <rPr>
            <b/>
            <sz val="9"/>
            <color indexed="81"/>
            <rFont val="Tahoma"/>
            <family val="2"/>
          </rPr>
          <t>Mario Cea:</t>
        </r>
        <r>
          <rPr>
            <sz val="9"/>
            <color indexed="81"/>
            <rFont val="Tahoma"/>
            <family val="2"/>
          </rPr>
          <t xml:space="preserve">
Sustitucion de RAPA NUI III (965621)</t>
        </r>
      </text>
    </comment>
    <comment ref="H225" authorId="1" shapeId="0">
      <text>
        <r>
          <rPr>
            <b/>
            <sz val="9"/>
            <color indexed="81"/>
            <rFont val="Tahoma"/>
            <family val="2"/>
          </rPr>
          <t>Mario Cea:</t>
        </r>
        <r>
          <rPr>
            <sz val="9"/>
            <color indexed="81"/>
            <rFont val="Tahoma"/>
            <family val="2"/>
          </rPr>
          <t xml:space="preserve">
Cesion de 12 Ton desde Org.  SIMBA A.G (RAG 679-8) VIII Region (Res. Ex N°1323-2021)</t>
        </r>
      </text>
    </comment>
    <comment ref="H227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Cesion de 13 Ton desde STI TRIPULANTES Y ARMADORES DE BOTES, PESCADORES ARTESANALES ALGUEROS, MARISCADORES Y ACTIVIDADES CONEXAS DE LA CALETA TUMBES DE LA COMUNA DE TALCACHUANO  RSU 08.05.0495 VIII Region (Res. Ex N°1777-2021)</t>
        </r>
      </text>
    </comment>
    <comment ref="H228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Cesion de 8,120 Ton desde STI TRIPULANTES Y ARMADORES DE BOTES, PESCADORES ARTESANALES ALGUEROS, MARISCADORES Y ACTIVIDADES CONEXAS DE LA CALETA TUMBES DE LA COMUNA DE TALCACHUANO  RSU 08.05.0495 VIII Region (Res. Ex N°2408-2021)</t>
        </r>
      </text>
    </comment>
    <comment ref="E233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SANTA MARIA IV (965378)</t>
        </r>
      </text>
    </comment>
    <comment ref="E235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ALSADO II (965728)</t>
        </r>
      </text>
    </comment>
    <comment ref="G249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Res. Ex. N°002-21 Adelantamiento de cuota de 5,291 Ton a 7,936 Ton.</t>
        </r>
      </text>
    </comment>
    <comment ref="G250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Res. Ex. N°002-21 Adelantamiento de cuota de 5,291 Ton a 2,646 Ton</t>
        </r>
      </text>
    </comment>
    <comment ref="G255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Res. Ex. N°011-21 Adelantamiento de cuota de 5,293 Ton a 7,939 Ton.</t>
        </r>
      </text>
    </comment>
    <comment ref="M255" authorId="1" shapeId="0">
      <text>
        <r>
          <rPr>
            <b/>
            <sz val="9"/>
            <color indexed="81"/>
            <rFont val="Tahoma"/>
            <family val="2"/>
          </rPr>
          <t>Mario Cea:</t>
        </r>
        <r>
          <rPr>
            <sz val="9"/>
            <color indexed="81"/>
            <rFont val="Tahoma"/>
            <family val="2"/>
          </rPr>
          <t xml:space="preserve">
Cierre de Cuota 27-05-2021
Apertura de Cuota 05-06-2021
</t>
        </r>
      </text>
    </comment>
    <comment ref="G256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Res. Ex. N°011-21 Adelantamiento de cuota de 5,293 Ton a 2,647 Ton.</t>
        </r>
      </text>
    </comment>
    <comment ref="E267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SKORPIO II (964195)</t>
        </r>
      </text>
    </comment>
    <comment ref="G267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Res. Ex. N°012-21 Adelantamiento de cuota de 5,299 Ton a 7,948 Ton.</t>
        </r>
      </text>
    </comment>
    <comment ref="M267" authorId="1" shapeId="0">
      <text>
        <r>
          <rPr>
            <b/>
            <sz val="9"/>
            <color indexed="81"/>
            <rFont val="Tahoma"/>
            <family val="2"/>
          </rPr>
          <t>Mario Cea:</t>
        </r>
        <r>
          <rPr>
            <sz val="9"/>
            <color indexed="81"/>
            <rFont val="Tahoma"/>
            <family val="2"/>
          </rPr>
          <t xml:space="preserve">
Cierre de Cuota 10-06-2021
Apertura de Cuota 17-06-2021
</t>
        </r>
      </text>
    </comment>
    <comment ref="G268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Res. Ex. N°012-21 Adelantamiento de cuota de 5,299 Ton a 2,650 Ton.</t>
        </r>
      </text>
    </comment>
    <comment ref="G275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Res. Ex. N°015-21 Adelantamiento de cuota de 5,291 Ton a 7,937 Ton.</t>
        </r>
      </text>
    </comment>
    <comment ref="M275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Cierre 03-06-2021
Apertura 26-06-2021</t>
        </r>
      </text>
    </comment>
    <comment ref="G276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Res. Ex. N°015-21 Adelantamiento de cuota de 5,291 Ton a 2,645 Ton.</t>
        </r>
      </text>
    </comment>
    <comment ref="E283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KEVIN II (961542)</t>
        </r>
      </text>
    </comment>
    <comment ref="E285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MAICOL VII (966081)</t>
        </r>
      </text>
    </comment>
    <comment ref="E287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NORTHWESTERN I (960349)
NORTHWESTERN I (968205)
NORTHWESTERN II (969495)
</t>
        </r>
      </text>
    </comment>
    <comment ref="E289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PATRON DEL MAR I (965496)</t>
        </r>
      </text>
    </comment>
    <comment ref="G289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Res. Ex. N°005-21 Adelantamiento de cuota de 5,289 Ton a 7,934 Ton</t>
        </r>
      </text>
    </comment>
    <comment ref="G290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Res. Ex. N°005-21 Adelantamiento de cuota de 5,289 Ton a 2,644 Ton</t>
        </r>
      </text>
    </comment>
    <comment ref="H292" authorId="1" shapeId="0">
      <text>
        <r>
          <rPr>
            <b/>
            <sz val="9"/>
            <color indexed="81"/>
            <rFont val="Tahoma"/>
            <family val="2"/>
          </rPr>
          <t>Mario Cea:</t>
        </r>
        <r>
          <rPr>
            <sz val="9"/>
            <color indexed="81"/>
            <rFont val="Tahoma"/>
            <family val="2"/>
          </rPr>
          <t xml:space="preserve">
Cesion de 20 Ton desde ASOCIACIÓN GREMIAL DE PESCADORES ARTESANALES DE CORONEL RAG 5-8  VIII Region (Res. Ex N°2043-2021)</t>
        </r>
      </text>
    </comment>
    <comment ref="E293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SAN SEBASTIAN  (965295)</t>
        </r>
      </text>
    </comment>
    <comment ref="G297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Res. Ex. N°012-21 Adelantamiento de cuota de 5,292 Ton a 7,938 Ton.</t>
        </r>
      </text>
    </comment>
    <comment ref="M297" authorId="1" shapeId="0">
      <text>
        <r>
          <rPr>
            <b/>
            <sz val="9"/>
            <color indexed="81"/>
            <rFont val="Tahoma"/>
            <family val="2"/>
          </rPr>
          <t>Mario Cea:</t>
        </r>
        <r>
          <rPr>
            <sz val="9"/>
            <color indexed="81"/>
            <rFont val="Tahoma"/>
            <family val="2"/>
          </rPr>
          <t xml:space="preserve">
Cierre de Cuota 03-06-2021
Apertura de Cuota 17-06-2021</t>
        </r>
      </text>
    </comment>
    <comment ref="G298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Res. Ex. N°012-21 Adelantamiento de cuota de 5,292 Ton a 2,646 Ton.</t>
        </r>
      </text>
    </comment>
    <comment ref="G299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Res. Ex. N°009-21 Adelantamiento de cuota de 5,289 Ton a 7,934 Ton.</t>
        </r>
      </text>
    </comment>
    <comment ref="M299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Cierre 18-05-2021
Apertura 28-05-2021</t>
        </r>
      </text>
    </comment>
    <comment ref="G300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Res. Ex. N°009-21 Adelantamiento de cuota de 5,289 Ton a 2,644 Ton.</t>
        </r>
      </text>
    </comment>
    <comment ref="G303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Res. Ex. N°009-21 Adelantamiento de cuota de 5,291 Ton a 7,937 Ton.</t>
        </r>
      </text>
    </comment>
    <comment ref="M303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Cierre 18-05-2021
Apertura 28-05-2021</t>
        </r>
      </text>
    </comment>
    <comment ref="G304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Res. Ex. N°009-21 Adelantamiento de cuota de 5,291 Ton a 2,645 Ton.</t>
        </r>
      </text>
    </comment>
    <comment ref="G305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Res. Ex. N°004-21 Adelantamiento de cuota de 5,293 Ton a 7,939 Ton</t>
        </r>
      </text>
    </comment>
    <comment ref="H305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Cesion de 12 Ton desde Org.STI PESCADORES, ARMADORES Y RAMAS AFINES DE LA PESCA ARTESANAL JUANOVOARCE-LOTA  RSU 08.07.0485 VIII Region (Res. Ex N°1645-2021)
Cesion de 8 Ton desde STI PESCADORES ARMADORES ARTESANALES DE EMBARCACIONES MENORES DE LA CALETA DE TUMBES SIPEAREM RSU 08.05.0569 VIII Region (Res. Ex N°1707-2021)</t>
        </r>
      </text>
    </comment>
    <comment ref="M305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Cierre 18-05-2021
Apertura 02-06-2021</t>
        </r>
      </text>
    </comment>
    <comment ref="G306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Res. Ex. N°004-21 Adelantamiento de cuota de 5,293 Ton a 2,647 Ton</t>
        </r>
      </text>
    </comment>
    <comment ref="H306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Cesion de 7 Ton desde COOPERATIVA DE PESCADORES SOL DE ISRAEL LIMITADA COOPES LTDA. 5483 VIII Region (Res. Ex N°1980-2021)</t>
        </r>
      </text>
    </comment>
    <comment ref="E307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BARLOVENTO I (967438)</t>
        </r>
      </text>
    </comment>
    <comment ref="H309" authorId="1" shapeId="0">
      <text>
        <r>
          <rPr>
            <b/>
            <sz val="9"/>
            <color indexed="81"/>
            <rFont val="Tahoma"/>
            <family val="2"/>
          </rPr>
          <t>Mario Cea:</t>
        </r>
        <r>
          <rPr>
            <sz val="9"/>
            <color indexed="81"/>
            <rFont val="Tahoma"/>
            <family val="2"/>
          </rPr>
          <t xml:space="preserve">
Cesion de 9,5 Ton desde Org.  SIPESCA LOTA BAJO RSU 08.07.0106 VIII Region (Res. Ex N°1316-2021)
Cesion de 8 Ton desde STI PESCADORES ARMADORES ARTESANALES DE EMBARCACIONES MENORES DE LA CALETA DE TUMBES SIPEAREM RSU 08.05.0569 VIII Region (Res. Ex N°1707-2021)</t>
        </r>
      </text>
    </comment>
    <comment ref="H310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Cesion de 7 Ton desde COOPERATIVA DE PESCADORES SOL DE ISRAEL LIMITADA COOPES LTDA. 5483 VIII Region (Res. Ex N°1980-2021)</t>
        </r>
      </text>
    </comment>
    <comment ref="G311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Res. Ex. N°009-21 Adelantamiento de cuota de 5,292 Ton a 7,938 Ton.</t>
        </r>
      </text>
    </comment>
    <comment ref="M311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Cierre 18-05-2021
Apertura 28-05-2021</t>
        </r>
      </text>
    </comment>
    <comment ref="G312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Res. Ex. N°009-21 Adelantamiento de cuota de 5,292 Ton a 2,646 Ton.</t>
        </r>
      </text>
    </comment>
    <comment ref="G313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Res. Ex. N°009-21 Adelantamiento de cuota de 5,291 Ton a 7,937 Ton.</t>
        </r>
      </text>
    </comment>
    <comment ref="M313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Cierre 18-05-2021
Apertura 28-05-2021</t>
        </r>
      </text>
    </comment>
    <comment ref="G314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Res. Ex. N°009-21 Adelantamiento de cuota de 5,291 Ton a 2,645 Ton.</t>
        </r>
      </text>
    </comment>
    <comment ref="H320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Cesion de 20 Ton desde ASOCIACIÓN GREMIAL DE PESCADORES ARTESANALES DE CORONEL RAG 5-8  VIII Region (Res. Ex N°2166-2021)</t>
        </r>
      </text>
    </comment>
    <comment ref="E321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EL HOLANDES (968721)</t>
        </r>
      </text>
    </comment>
    <comment ref="G321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Res. Ex. N°015-21 Adelantamiento de cuota de 5,291 Ton a 7,937 Ton.</t>
        </r>
      </text>
    </comment>
    <comment ref="M321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Cierre 17-06-2021
Apertura 26-06-2021</t>
        </r>
      </text>
    </comment>
    <comment ref="G322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Res. Ex. N°015-21 Adelantamiento de cuota de 5,291 Ton a 2,645 Ton.</t>
        </r>
      </text>
    </comment>
    <comment ref="H326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Descuento por sancion de 0,286 Ton (Res. Ex. N°2471-2021)</t>
        </r>
      </text>
    </comment>
    <comment ref="G329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Res. Ex. N°009-21 Adelantamiento de cuota de 5,292 Ton a 7,938 Ton.</t>
        </r>
      </text>
    </comment>
    <comment ref="M329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Cierre 18-05-2021
Apertura 28-05-2021</t>
        </r>
      </text>
    </comment>
    <comment ref="G330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Res. Ex. N°009-21 Adelantamiento de cuota de 5,292 Ton a 2,646 Ton.</t>
        </r>
      </text>
    </comment>
    <comment ref="E341" authorId="1" shapeId="0">
      <text>
        <r>
          <rPr>
            <b/>
            <sz val="9"/>
            <color indexed="81"/>
            <rFont val="Tahoma"/>
            <family val="2"/>
          </rPr>
          <t>Mario Cea:</t>
        </r>
        <r>
          <rPr>
            <sz val="9"/>
            <color indexed="81"/>
            <rFont val="Tahoma"/>
            <family val="2"/>
          </rPr>
          <t xml:space="preserve">
ODISEO I (962284)</t>
        </r>
      </text>
    </comment>
    <comment ref="G341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Res. Ex. N°008-21 Adelantamiento de cuota de 5,292 Ton a 7,938 Ton.</t>
        </r>
      </text>
    </comment>
    <comment ref="H341" authorId="1" shapeId="0">
      <text>
        <r>
          <rPr>
            <b/>
            <sz val="9"/>
            <color indexed="81"/>
            <rFont val="Tahoma"/>
            <family val="2"/>
          </rPr>
          <t>Mario Cea:</t>
        </r>
        <r>
          <rPr>
            <sz val="9"/>
            <color indexed="81"/>
            <rFont val="Tahoma"/>
            <family val="2"/>
          </rPr>
          <t xml:space="preserve">
Cesion de 8,75 Ton desde STI PESCADORES ARMADORES Y RAMOS AFINES DE LA PESCA ARTESANAL DE CORONEL SIPARMAR CORONEL RSU 08.70.0271 VIII Region (Res. Ex N°1708-2021)</t>
        </r>
      </text>
    </comment>
    <comment ref="G342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Res. Ex. N°008-21 Adelantamiento de cuota de 5,292 Ton a 2,646 Ton.</t>
        </r>
      </text>
    </comment>
    <comment ref="H342" authorId="1" shapeId="0">
      <text>
        <r>
          <rPr>
            <b/>
            <sz val="9"/>
            <color indexed="81"/>
            <rFont val="Tahoma"/>
            <family val="2"/>
          </rPr>
          <t>Mario Cea:</t>
        </r>
        <r>
          <rPr>
            <sz val="9"/>
            <color indexed="81"/>
            <rFont val="Tahoma"/>
            <family val="2"/>
          </rPr>
          <t xml:space="preserve">
Cesion de 20 Ton desde ASOCIACIÓN GREMIAL DE PESCADORES ARTESANALES DE CORONEL RAG 5-8  VIII Region (Res. Ex N°2043-2021)</t>
        </r>
      </text>
    </comment>
    <comment ref="H344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Cesion de 8,75 Ton desde STI PESCADORES ARTESANALES CALETA LO ROJAS SITRAINPAR RSU 08.07.0287 VIII Region (Res. Ex N°2573-2021)</t>
        </r>
      </text>
    </comment>
    <comment ref="G345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Res. Ex. N°002-21 Adelantamiento de cuota de 5,292 Ton a 7,938 Ton</t>
        </r>
      </text>
    </comment>
    <comment ref="H345" authorId="1" shapeId="0">
      <text>
        <r>
          <rPr>
            <b/>
            <sz val="9"/>
            <color indexed="81"/>
            <rFont val="Tahoma"/>
            <family val="2"/>
          </rPr>
          <t>Mario Cea:</t>
        </r>
        <r>
          <rPr>
            <sz val="9"/>
            <color indexed="81"/>
            <rFont val="Tahoma"/>
            <family val="2"/>
          </rPr>
          <t xml:space="preserve">
Cesion de 6 Ton desde STI PESCADORES ARMADORES Y RAMOS AFINES DE LA PESCA ARTESANAL DE CORONEL SIPARMAR CORONEL RSU 08.70.0271 VIII Region (Res. Ex N°1708-2021)</t>
        </r>
      </text>
    </comment>
    <comment ref="G346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Res. Ex. N°002-21 Adelantamiento de cuota de 5,292 Ton a 2,646 Ton</t>
        </r>
      </text>
    </comment>
    <comment ref="G347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Res. Ex. N°005-21 Adelantamiento de cuota de 5,292 Ton a 7,938 Ton</t>
        </r>
      </text>
    </comment>
    <comment ref="H347" authorId="1" shapeId="0">
      <text>
        <r>
          <rPr>
            <b/>
            <sz val="9"/>
            <color indexed="81"/>
            <rFont val="Tahoma"/>
            <family val="2"/>
          </rPr>
          <t>Mario Cea:</t>
        </r>
        <r>
          <rPr>
            <sz val="9"/>
            <color indexed="81"/>
            <rFont val="Tahoma"/>
            <family val="2"/>
          </rPr>
          <t xml:space="preserve">
Cesion de 8,75 Ton desde STI PESCADORES ARMADORES Y RAMOS AFINES DE LA PESCA ARTESANAL DE CORONEL SIPARMAR CORONEL RSU 08.70.0271 VIII Region (Res. Ex N°1708-2021)</t>
        </r>
      </text>
    </comment>
    <comment ref="G348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Res. Ex. N°005-21 Adelantamiento de cuota de 5,292 Ton a 2,646 Ton</t>
        </r>
      </text>
    </comment>
    <comment ref="H348" authorId="1" shapeId="0">
      <text>
        <r>
          <rPr>
            <b/>
            <sz val="9"/>
            <color indexed="81"/>
            <rFont val="Tahoma"/>
            <family val="2"/>
          </rPr>
          <t>Mario Cea:</t>
        </r>
        <r>
          <rPr>
            <sz val="9"/>
            <color indexed="81"/>
            <rFont val="Tahoma"/>
            <family val="2"/>
          </rPr>
          <t xml:space="preserve">
Cesion de 10 Ton desde ASOCIACIÓN GREMIAL DE PESCADORES ARTESANALES DE CORONEL RAG 5-8  VIII Region (Res. Ex N°2043-2021)</t>
        </r>
      </text>
    </comment>
    <comment ref="H351" authorId="1" shapeId="0">
      <text>
        <r>
          <rPr>
            <b/>
            <sz val="9"/>
            <color indexed="81"/>
            <rFont val="Tahoma"/>
            <family val="2"/>
          </rPr>
          <t>Mario Cea:</t>
        </r>
        <r>
          <rPr>
            <sz val="9"/>
            <color indexed="81"/>
            <rFont val="Tahoma"/>
            <family val="2"/>
          </rPr>
          <t xml:space="preserve">
Cesion de 8 Ton desde STI PESCADORES ARMADORES ARTESANALES DE EMBARCACIONES MENORES DE LA CALETA DE TUMBES SIPEAREM RSU 08.05.0569 VIII Region (Res. Ex N°1707-2021)</t>
        </r>
      </text>
    </comment>
    <comment ref="M351" authorId="1" shapeId="0">
      <text>
        <r>
          <rPr>
            <b/>
            <sz val="9"/>
            <color indexed="81"/>
            <rFont val="Tahoma"/>
            <family val="2"/>
          </rPr>
          <t>Mario Cea:</t>
        </r>
        <r>
          <rPr>
            <sz val="9"/>
            <color indexed="81"/>
            <rFont val="Tahoma"/>
            <family val="2"/>
          </rPr>
          <t xml:space="preserve">
Cierre de Cuota 18-05-2021
Apertura de Cuota 09-06-2021</t>
        </r>
      </text>
    </comment>
    <comment ref="H352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Cesion de 6 Ton desde STI PESCADORES, ARMADORES Y RAMAS AFINES DE LA PESCA ARTESANAL JUANOVOARCE-LOTA  RSU 08.07.0485  VIII Region (Res. Ex N°2951-2021)</t>
        </r>
      </text>
    </comment>
    <comment ref="H354" authorId="1" shapeId="0">
      <text>
        <r>
          <rPr>
            <b/>
            <sz val="9"/>
            <color indexed="81"/>
            <rFont val="Tahoma"/>
            <family val="2"/>
          </rPr>
          <t>Mario Cea:</t>
        </r>
        <r>
          <rPr>
            <sz val="9"/>
            <color indexed="81"/>
            <rFont val="Tahoma"/>
            <family val="2"/>
          </rPr>
          <t xml:space="preserve">
Cesion de 10 Ton desde ASOCIACIÓN GREMIAL DE PESCADORES ARTESANALES DE CORONEL RAG 5-8  VIII Region (Res. Ex N°2043-2021)</t>
        </r>
      </text>
    </comment>
    <comment ref="E355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NAUTILUS III (967237)</t>
        </r>
      </text>
    </comment>
    <comment ref="G355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Res. Ex. N°009-21 Adelantamiento de cuota de 5,290 Ton a 7,935 Ton.</t>
        </r>
      </text>
    </comment>
    <comment ref="G356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Res. Ex. N°009-21 Adelantamiento de cuota de 5,290 Ton a 2,645 Ton.</t>
        </r>
      </text>
    </comment>
    <comment ref="G357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Res. Ex. N°009-21 Adelantamiento de cuota de 5,292 Ton a 7,938 Ton.</t>
        </r>
      </text>
    </comment>
    <comment ref="M357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Cierre 18-05-2021
Apertura 28-05-2021</t>
        </r>
      </text>
    </comment>
    <comment ref="G358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Res. Ex. N°009-21 Adelantamiento de cuota de 5,292 Ton a 2,646 Ton.</t>
        </r>
      </text>
    </comment>
    <comment ref="E361" authorId="1" shapeId="0">
      <text>
        <r>
          <rPr>
            <b/>
            <sz val="9"/>
            <color indexed="81"/>
            <rFont val="Tahoma"/>
            <family val="2"/>
          </rPr>
          <t>Mario Cea:</t>
        </r>
        <r>
          <rPr>
            <sz val="9"/>
            <color indexed="81"/>
            <rFont val="Tahoma"/>
            <family val="2"/>
          </rPr>
          <t xml:space="preserve">
Sustitucion de ANGEL BLANCO I (955659)</t>
        </r>
      </text>
    </comment>
    <comment ref="G367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Res. Ex. N°015-21 Adelantamiento de cuota de 5,292 Ton a 7,938 Ton.</t>
        </r>
      </text>
    </comment>
    <comment ref="M367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Cierre 17-06-2021
Apertura 26-06-2021</t>
        </r>
      </text>
    </comment>
    <comment ref="G368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Res. Ex. N°015-21 Adelantamiento de cuota de 5,292 Ton a 2,646 Ton.</t>
        </r>
      </text>
    </comment>
    <comment ref="H369" authorId="1" shapeId="0">
      <text>
        <r>
          <rPr>
            <b/>
            <sz val="9"/>
            <color indexed="81"/>
            <rFont val="Tahoma"/>
            <family val="2"/>
          </rPr>
          <t>Mario Cea:</t>
        </r>
        <r>
          <rPr>
            <sz val="9"/>
            <color indexed="81"/>
            <rFont val="Tahoma"/>
            <family val="2"/>
          </rPr>
          <t xml:space="preserve">
Cesion de 8 Ton desde STI PESCADORES ARMADORES ARTESANALES DE EMBARCACIONES MENORES DE LA CALETA DE TUMBES SIPEAREM RSU 08.05.0569 VIII Region (Res. Ex N°1707-2021)</t>
        </r>
      </text>
    </comment>
    <comment ref="H370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Cesion de 6 Ton desde STI PESCADORES, ARMADORES Y RAMAS AFINES DE LA PESCA ARTESANAL JUANOVOARCE-LOTA  RSU 08.07.0485  VIII Region (Res. Ex N°2952-2021)</t>
        </r>
      </text>
    </comment>
    <comment ref="E381" authorId="1" shapeId="0">
      <text>
        <r>
          <rPr>
            <b/>
            <sz val="9"/>
            <color indexed="81"/>
            <rFont val="Tahoma"/>
            <family val="2"/>
          </rPr>
          <t>Mario Cea:</t>
        </r>
        <r>
          <rPr>
            <sz val="9"/>
            <color indexed="81"/>
            <rFont val="Tahoma"/>
            <family val="2"/>
          </rPr>
          <t xml:space="preserve">
 Sustitucion de EL ZORRO I (958349)</t>
        </r>
      </text>
    </comment>
    <comment ref="E383" authorId="1" shapeId="0">
      <text>
        <r>
          <rPr>
            <b/>
            <sz val="9"/>
            <color indexed="81"/>
            <rFont val="Tahoma"/>
            <family val="2"/>
          </rPr>
          <t>Mario Cea:</t>
        </r>
        <r>
          <rPr>
            <sz val="9"/>
            <color indexed="81"/>
            <rFont val="Tahoma"/>
            <family val="2"/>
          </rPr>
          <t xml:space="preserve">
Sustitucion de ESPERANZA II (963247)</t>
        </r>
      </text>
    </comment>
    <comment ref="G383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Res. Ex. N°004-21 Adelantamiento de cuota de 5,293 Ton a 7,939 Ton</t>
        </r>
      </text>
    </comment>
    <comment ref="G384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Res. Ex. N°004-21 Adelantamiento de cuota de 5,293 Ton a 2,647 Ton</t>
        </r>
      </text>
    </comment>
    <comment ref="H395" authorId="1" shapeId="0">
      <text>
        <r>
          <rPr>
            <b/>
            <sz val="9"/>
            <color indexed="81"/>
            <rFont val="Tahoma"/>
            <family val="2"/>
          </rPr>
          <t>Mario Cea:</t>
        </r>
        <r>
          <rPr>
            <sz val="9"/>
            <color indexed="81"/>
            <rFont val="Tahoma"/>
            <family val="2"/>
          </rPr>
          <t xml:space="preserve">
Cesion de 5,811 Ton desde Org. ASOCIACIÓN GREMIAL DE ARMADORES ARTESANALES VALLEMAR LORA 548-8 VIII Region (Res. Ex N°1293-2021)
Cesion de 8 Ton desde STI PESCADORES ARMADORES ARTESANALES DE EMBARCACIONES MENORES DE LA CALETA DE TUMBES SIPEAREM RSU 08.05.0569 VIII Region (Res. Ex N°1707-2021)</t>
        </r>
      </text>
    </comment>
    <comment ref="G397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Res. Ex. N°012-21 Adelantamiento de cuota de 5,291 Ton a 7,937 Ton.</t>
        </r>
      </text>
    </comment>
    <comment ref="M397" authorId="1" shapeId="0">
      <text>
        <r>
          <rPr>
            <b/>
            <sz val="9"/>
            <color indexed="81"/>
            <rFont val="Tahoma"/>
            <family val="2"/>
          </rPr>
          <t>Mario Cea:</t>
        </r>
        <r>
          <rPr>
            <sz val="9"/>
            <color indexed="81"/>
            <rFont val="Tahoma"/>
            <family val="2"/>
          </rPr>
          <t xml:space="preserve">
Cierre de Cuota 03-06-2021
Apertura de Cuota 17-06-2021</t>
        </r>
      </text>
    </comment>
    <comment ref="G398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Res. Ex. N°012-21 Adelantamiento de cuota de 5,291 Ton a 2,645 Ton.</t>
        </r>
      </text>
    </comment>
    <comment ref="E415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CRISTOBAL II (960553)</t>
        </r>
      </text>
    </comment>
    <comment ref="G419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Res. Ex. N°009-21 Adelantamiento de cuota de 5,291 Ton a 7,937 Ton.</t>
        </r>
      </text>
    </comment>
    <comment ref="M419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Apertura 04-06-2021</t>
        </r>
      </text>
    </comment>
    <comment ref="G420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Res. Ex. N°009-21 Adelantamiento de cuota de 5,291 Ton a 2,645 Ton.</t>
        </r>
      </text>
    </comment>
    <comment ref="E429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LAITO II (966648)</t>
        </r>
      </text>
    </comment>
    <comment ref="E431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LAITO III (960526)
LAITO III (968304)</t>
        </r>
      </text>
    </comment>
    <comment ref="H433" authorId="1" shapeId="0">
      <text>
        <r>
          <rPr>
            <b/>
            <sz val="9"/>
            <color indexed="81"/>
            <rFont val="Tahoma"/>
            <family val="2"/>
          </rPr>
          <t>Mario Cea:</t>
        </r>
        <r>
          <rPr>
            <sz val="9"/>
            <color indexed="81"/>
            <rFont val="Tahoma"/>
            <family val="2"/>
          </rPr>
          <t xml:space="preserve">
Cesion de 36,370 Ton desde Org.  STI  SIPARMAR CORONEL RSU 08.70.0271 VIII Region (Res. Ex N°1322-2021)
</t>
        </r>
      </text>
    </comment>
    <comment ref="E437" authorId="1" shapeId="0">
      <text>
        <r>
          <rPr>
            <b/>
            <sz val="9"/>
            <color indexed="81"/>
            <rFont val="Tahoma"/>
            <family val="2"/>
          </rPr>
          <t>Mario Cea:</t>
        </r>
        <r>
          <rPr>
            <sz val="9"/>
            <color indexed="81"/>
            <rFont val="Tahoma"/>
            <family val="2"/>
          </rPr>
          <t xml:space="preserve">
Sustitucion de MARIA ELIZABETH (951208)</t>
        </r>
      </text>
    </comment>
    <comment ref="E441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MEJILLONES I (954951)</t>
        </r>
      </text>
    </comment>
    <comment ref="E443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NICOL III (966956)</t>
        </r>
      </text>
    </comment>
    <comment ref="E449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PERSEVERANCIA II (966012)</t>
        </r>
      </text>
    </comment>
    <comment ref="E455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SALVADOR GAVIOTA V (956575)</t>
        </r>
      </text>
    </comment>
    <comment ref="E461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TATA FILA  (963779)</t>
        </r>
      </text>
    </comment>
    <comment ref="G463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Res. Ex. N°003-21 Adelantamiento de cuota de 5,290 Ton a 7,935 Ton</t>
        </r>
      </text>
    </comment>
    <comment ref="G464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Res. Ex. N°003-21 Adelantamiento de cuota de 5,290 Ton a 2,645 Ton</t>
        </r>
      </text>
    </comment>
    <comment ref="E471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YO SERGIO III (961952)</t>
        </r>
      </text>
    </comment>
    <comment ref="G473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Res. Ex. N°015-21 Adelantamiento de cuota de 5,288 Ton a 7,932 Ton.</t>
        </r>
      </text>
    </comment>
    <comment ref="M473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Cierre 03-06-2021
Apertura 26-06-2021</t>
        </r>
      </text>
    </comment>
    <comment ref="G474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Res. Ex. N°015-21 Adelantamiento de cuota de 5,288 Ton a 2,644 Ton.</t>
        </r>
      </text>
    </comment>
    <comment ref="E477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 TERESITA III (967858)</t>
        </r>
      </text>
    </comment>
    <comment ref="E479" authorId="1" shapeId="0">
      <text>
        <r>
          <rPr>
            <b/>
            <sz val="9"/>
            <color indexed="81"/>
            <rFont val="Tahoma"/>
            <family val="2"/>
          </rPr>
          <t>Mario Cea:</t>
        </r>
        <r>
          <rPr>
            <sz val="9"/>
            <color indexed="81"/>
            <rFont val="Tahoma"/>
            <family val="2"/>
          </rPr>
          <t xml:space="preserve">
 Sustitucion de BARCAM (968407)</t>
        </r>
      </text>
    </comment>
    <comment ref="H481" authorId="1" shapeId="0">
      <text>
        <r>
          <rPr>
            <b/>
            <sz val="9"/>
            <color indexed="81"/>
            <rFont val="Tahoma"/>
            <family val="2"/>
          </rPr>
          <t>Mario Cea:</t>
        </r>
        <r>
          <rPr>
            <sz val="9"/>
            <color indexed="81"/>
            <rFont val="Tahoma"/>
            <family val="2"/>
          </rPr>
          <t xml:space="preserve">
Cesion de 12 Ton desde Org.  SIPESCA LOTA BAJO RSU 08.07.0106 VIII Region (Res. Ex N°954-2021)</t>
        </r>
      </text>
    </comment>
    <comment ref="H483" authorId="1" shapeId="0">
      <text>
        <r>
          <rPr>
            <b/>
            <sz val="9"/>
            <color indexed="81"/>
            <rFont val="Tahoma"/>
            <family val="2"/>
          </rPr>
          <t>Mario Cea:</t>
        </r>
        <r>
          <rPr>
            <sz val="9"/>
            <color indexed="81"/>
            <rFont val="Tahoma"/>
            <family val="2"/>
          </rPr>
          <t xml:space="preserve">
Cesion de 20 Ton desde Org. SIPEAREM RSU 08.05.0569 VIII Region (Res. Ex N°648-2021)
Cesion de 50 Ton desde Org. SIPARBUMAR RSU 08.07.0183 VIII Region (Res. Ex N°1094-2021)</t>
        </r>
      </text>
    </comment>
    <comment ref="H484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Cesion de 20 Ton desde ASOCIACIÓN GREMIAL DE PESCADORES ARTESANALES DE CORONEL RAG 5-8  VIII Region (Res. Ex N°2166-2021)</t>
        </r>
      </text>
    </comment>
    <comment ref="E485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 GERSON CHINO III (969254)</t>
        </r>
      </text>
    </comment>
    <comment ref="E487" authorId="1" shapeId="0">
      <text>
        <r>
          <rPr>
            <b/>
            <sz val="9"/>
            <color indexed="81"/>
            <rFont val="Tahoma"/>
            <family val="2"/>
          </rPr>
          <t>Mario Cea:</t>
        </r>
        <r>
          <rPr>
            <sz val="9"/>
            <color indexed="81"/>
            <rFont val="Tahoma"/>
            <family val="2"/>
          </rPr>
          <t xml:space="preserve">
Sustitucion de LOLITO PELLUHUANO II (962351</t>
        </r>
      </text>
    </comment>
    <comment ref="G487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Res. Ex. N°008-21 Adelantamiento de cuota de 5,292 Ton a 7,938 Ton.</t>
        </r>
      </text>
    </comment>
    <comment ref="M487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Cierre 18-05-2021
Apertura 25-05-2021</t>
        </r>
      </text>
    </comment>
    <comment ref="G488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Res. Ex. N°008-21 Adelantamiento de cuota de 5,292 Ton a 2,646 Ton.</t>
        </r>
      </text>
    </comment>
    <comment ref="H488" authorId="1" shapeId="0">
      <text>
        <r>
          <rPr>
            <b/>
            <sz val="9"/>
            <color indexed="81"/>
            <rFont val="Tahoma"/>
            <family val="2"/>
          </rPr>
          <t>Mario Cea:</t>
        </r>
        <r>
          <rPr>
            <sz val="9"/>
            <color indexed="81"/>
            <rFont val="Tahoma"/>
            <family val="2"/>
          </rPr>
          <t xml:space="preserve">
Cesion de 10 Ton desde ASOCIACIÓN GREMIAL DE PESCADORES ARTESANALES DE CORONEL RAG 5-8  VIII Region (Res. Ex N°2043-2021)</t>
        </r>
      </text>
    </comment>
    <comment ref="G489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Res. Ex. N°007-21 Adelantamiento de cuota de 5,290 Ton a 7,935 Ton.</t>
        </r>
      </text>
    </comment>
    <comment ref="M489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Cierre 18-05-2021
Apertura 21-05-2021</t>
        </r>
      </text>
    </comment>
    <comment ref="G490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Res. Ex. N°007-21 Adelantamiento de cuota de 5,290 Ton a 2,645 Ton.</t>
        </r>
      </text>
    </comment>
    <comment ref="E491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ANTARES I (966630)
REY POSEIDON (4489)
REY POSEIDON (967687)</t>
        </r>
      </text>
    </comment>
    <comment ref="G499" authorId="1" shapeId="0">
      <text>
        <r>
          <rPr>
            <b/>
            <sz val="9"/>
            <color indexed="81"/>
            <rFont val="Tahoma"/>
            <family val="2"/>
          </rPr>
          <t>Mario Cea:</t>
        </r>
        <r>
          <rPr>
            <sz val="9"/>
            <color indexed="81"/>
            <rFont val="Tahoma"/>
            <family val="2"/>
          </rPr>
          <t xml:space="preserve">
Adelantamiento de cuota 500 Ton (Res. Ex. N°073-2021 DZP)</t>
        </r>
      </text>
    </comment>
    <comment ref="G507" authorId="1" shapeId="0">
      <text>
        <r>
          <rPr>
            <b/>
            <sz val="9"/>
            <color indexed="81"/>
            <rFont val="Tahoma"/>
            <family val="2"/>
          </rPr>
          <t>Mario Cea:</t>
        </r>
        <r>
          <rPr>
            <sz val="9"/>
            <color indexed="81"/>
            <rFont val="Tahoma"/>
            <family val="2"/>
          </rPr>
          <t xml:space="preserve">
Adelantamiento de cuota 30 Ton (Res. Ex. N°074-2021 DZP)</t>
        </r>
      </text>
    </comment>
    <comment ref="H508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Cesion de 13 Ton a Embarcacion Rapa Nui VII VII Región (Res. Ex. N°1777-2021)</t>
        </r>
      </text>
    </comment>
    <comment ref="H509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Cesion de 8,12 Ton a Embarcacion Rapa Nui VII VII Región (Res. Ex. N°2408-2021)</t>
        </r>
      </text>
    </comment>
    <comment ref="H511" authorId="1" shapeId="0">
      <text>
        <r>
          <rPr>
            <b/>
            <sz val="9"/>
            <color indexed="81"/>
            <rFont val="Tahoma"/>
            <family val="2"/>
          </rPr>
          <t>Mario Cea:</t>
        </r>
        <r>
          <rPr>
            <sz val="9"/>
            <color indexed="81"/>
            <rFont val="Tahoma"/>
            <family val="2"/>
          </rPr>
          <t xml:space="preserve">
Cesion de 35 Ton a Nordiomar SPA. (Res. Ex. N°2069-2021)</t>
        </r>
      </text>
    </comment>
    <comment ref="H512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Cesion de 8 Ton a Embarcacion Marisol I VII Región (Res. Ex. N°067-2021)
Cesion de 9,5 Ton a Embarcacion Princesa 3A VII Región (Res. Ex. N°085-2021)
Cesion de 40 Ton a Embarcaciones  VII Región (Res. Ex. N°086-2021)</t>
        </r>
      </text>
    </comment>
    <comment ref="H513" authorId="1" shapeId="0">
      <text>
        <r>
          <rPr>
            <b/>
            <sz val="9"/>
            <color indexed="81"/>
            <rFont val="Tahoma"/>
            <family val="2"/>
          </rPr>
          <t>Mario Cea:</t>
        </r>
        <r>
          <rPr>
            <sz val="9"/>
            <color indexed="81"/>
            <rFont val="Tahoma"/>
            <family val="2"/>
          </rPr>
          <t xml:space="preserve">
Cesion de 5 Ton a Embarcacion Marisol I VII Región (Res. Ex. N°092-2021)
Cesion de 4 Ton a Embarcacion Cornelia Marie 3,0 VII Región (Res. Ex. N°2203-2021)</t>
        </r>
      </text>
    </comment>
    <comment ref="H514" authorId="1" shapeId="0">
      <text>
        <r>
          <rPr>
            <b/>
            <sz val="9"/>
            <color indexed="81"/>
            <rFont val="Tahoma"/>
            <family val="2"/>
          </rPr>
          <t xml:space="preserve">Mario Cea:
</t>
        </r>
        <r>
          <rPr>
            <sz val="9"/>
            <color indexed="81"/>
            <rFont val="Tahoma"/>
            <family val="2"/>
          </rPr>
          <t xml:space="preserve">Cesion de 20 Ton a Embarcacion Felipe Jesus III VII Región (Res. Ex. N°648-2021)
Cesion de 40 Ton a Embarcaciones VII Región (Res. Ex. N°1707-2021)
Cesion de 20 Ton desde STI PESCADORES ARMADORES Y BUZOS MARISCADORES Y ACTIVIDADES CONEXAS SIPARBUM RSU 08.05.0424 VIII  (Res. Ex. N°079-2021 DZP)
Cesion de 5 Ton a Embarcación  VIII Región (Res. Ex. N°082-2021)
</t>
        </r>
      </text>
    </comment>
    <comment ref="G515" authorId="1" shapeId="0">
      <text>
        <r>
          <rPr>
            <b/>
            <sz val="9"/>
            <color indexed="81"/>
            <rFont val="Tahoma"/>
            <family val="2"/>
          </rPr>
          <t>Mario Cea:</t>
        </r>
        <r>
          <rPr>
            <sz val="9"/>
            <color indexed="81"/>
            <rFont val="Tahoma"/>
            <family val="2"/>
          </rPr>
          <t xml:space="preserve">
Adelantamiento de cuota 40 Ton (Res. Ex. N°078-2021 DZP)</t>
        </r>
      </text>
    </comment>
    <comment ref="H515" authorId="1" shapeId="0">
      <text>
        <r>
          <rPr>
            <b/>
            <sz val="9"/>
            <color indexed="81"/>
            <rFont val="Tahoma"/>
            <family val="2"/>
          </rPr>
          <t>Mario Cea:</t>
        </r>
        <r>
          <rPr>
            <sz val="9"/>
            <color indexed="81"/>
            <rFont val="Tahoma"/>
            <family val="2"/>
          </rPr>
          <t xml:space="preserve">
Cesion de 5 Ton a Embarcación  VIII Región (Res. Ex. N°089-2021)
Cesion de 6,6 Ton a Embarcaciónes  VIII Región (Res. Ex. N°093-2021)</t>
        </r>
      </text>
    </comment>
    <comment ref="H517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Cesion de 19,5 Ton a Comercializadora Simon Seafood Ltda. (Res. Ex. N°153-2021)</t>
        </r>
      </text>
    </comment>
    <comment ref="H518" authorId="1" shapeId="0">
      <text>
        <r>
          <rPr>
            <b/>
            <sz val="9"/>
            <color indexed="81"/>
            <rFont val="Tahoma"/>
            <family val="2"/>
          </rPr>
          <t>Mario Cea:</t>
        </r>
        <r>
          <rPr>
            <sz val="9"/>
            <color indexed="81"/>
            <rFont val="Tahoma"/>
            <family val="2"/>
          </rPr>
          <t xml:space="preserve">
Cesion de 9,6 Ton a Embarcacion VIII Región (Res. Ex. N°075-2021 DZP)</t>
        </r>
      </text>
    </comment>
    <comment ref="H526" authorId="1" shapeId="0">
      <text>
        <r>
          <rPr>
            <b/>
            <sz val="9"/>
            <color indexed="81"/>
            <rFont val="Tahoma"/>
            <family val="2"/>
          </rPr>
          <t>Mario Cea:</t>
        </r>
        <r>
          <rPr>
            <sz val="9"/>
            <color indexed="81"/>
            <rFont val="Tahoma"/>
            <family val="2"/>
          </rPr>
          <t xml:space="preserve">
Cesion de 20 Ton a STI PESCADORES ARMADORES ARTESANALES DE EMBARCACIONES MENORES DE LA CALETA DE TUMBES SIPEAREM RSU 08.05.0569 VIII  (Res. Ex. N°079-2021 DZP)</t>
        </r>
      </text>
    </comment>
    <comment ref="H533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Cesion de 10 Ton a Embarcaciones  VIII Región (Res. Ex. N°095-2021)</t>
        </r>
      </text>
    </comment>
    <comment ref="H537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Cesion de 10,5 Ton a Embarcacion VIII Región (Res. Ex. N°101-2021 DZP)</t>
        </r>
      </text>
    </comment>
    <comment ref="H539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Cesion de 20 Ton a Embarcaciones  VIII Región (Res. Ex. N°098-2021)</t>
        </r>
      </text>
    </comment>
    <comment ref="H540" authorId="1" shapeId="0">
      <text>
        <r>
          <rPr>
            <b/>
            <sz val="9"/>
            <color indexed="81"/>
            <rFont val="Tahoma"/>
            <family val="2"/>
          </rPr>
          <t>Mario Cea:</t>
        </r>
        <r>
          <rPr>
            <sz val="9"/>
            <color indexed="81"/>
            <rFont val="Tahoma"/>
            <family val="2"/>
          </rPr>
          <t xml:space="preserve">
Cesion de 22 Ton a Embarcaciones  VIII Región (Res. Ex. N°084-2021)</t>
        </r>
      </text>
    </comment>
    <comment ref="H560" authorId="1" shapeId="0">
      <text>
        <r>
          <rPr>
            <b/>
            <sz val="9"/>
            <color indexed="81"/>
            <rFont val="Tahoma"/>
            <family val="2"/>
          </rPr>
          <t>Mario Cea:</t>
        </r>
        <r>
          <rPr>
            <sz val="9"/>
            <color indexed="81"/>
            <rFont val="Tahoma"/>
            <family val="2"/>
          </rPr>
          <t xml:space="preserve">
Cesion de 86 Ton a Embarcaciones  VII Región (Res. Ex. N°37-2021)</t>
        </r>
      </text>
    </comment>
    <comment ref="G561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Adelantamiento de cuota 80 Ton (Res. Ex. N°076-2021)</t>
        </r>
      </text>
    </comment>
    <comment ref="H561" authorId="1" shapeId="0">
      <text>
        <r>
          <rPr>
            <b/>
            <sz val="9"/>
            <color indexed="81"/>
            <rFont val="Tahoma"/>
            <family val="2"/>
          </rPr>
          <t>Mario Cea:</t>
        </r>
        <r>
          <rPr>
            <sz val="9"/>
            <color indexed="81"/>
            <rFont val="Tahoma"/>
            <family val="2"/>
          </rPr>
          <t xml:space="preserve">
Cesion de 60 Ton a Embarcaciones  VII Región (Res. Ex. N°091-2021)</t>
        </r>
      </text>
    </comment>
    <comment ref="H562" authorId="1" shapeId="0">
      <text>
        <r>
          <rPr>
            <b/>
            <sz val="9"/>
            <color indexed="81"/>
            <rFont val="Tahoma"/>
            <family val="2"/>
          </rPr>
          <t>Mario Cea:</t>
        </r>
        <r>
          <rPr>
            <sz val="9"/>
            <color indexed="81"/>
            <rFont val="Tahoma"/>
            <family val="2"/>
          </rPr>
          <t xml:space="preserve">
Cesion de 57,5 Ton a Embarcaciones  VII Región (Res. Ex. N°36-2021)
Cesion de 50 Ton a Embarcacion VII Región (Res. Ex. N°1094-2021)
Cesion de 49,9 Ton a Embarcaciones  VIII Región (Res. Ex. N°080-2021)
Cesion de 10 Ton a Embarcación  VIII Región (Res. Ex. N°081-2021)
Cesion de 49,5 Ton a Embarcaciones  VII Región (Res. Ex. N°099-2021)</t>
        </r>
      </text>
    </comment>
    <comment ref="G563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Adelantamiento de cuota 100 Ton (Res. Ex. N°077-2021)</t>
        </r>
      </text>
    </comment>
    <comment ref="H565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Cesion de 22 Ton a Embarcacion Pitufu III, VII Región (Res. Ex. N°2573-2021)</t>
        </r>
      </text>
    </comment>
    <comment ref="H567" authorId="1" shapeId="0">
      <text>
        <r>
          <rPr>
            <b/>
            <sz val="9"/>
            <color indexed="81"/>
            <rFont val="Tahoma"/>
            <family val="2"/>
          </rPr>
          <t>Mario Cea:</t>
        </r>
        <r>
          <rPr>
            <sz val="9"/>
            <color indexed="81"/>
            <rFont val="Tahoma"/>
            <family val="2"/>
          </rPr>
          <t xml:space="preserve">
Cesion de 50 Ton a Embarcaciones VII Región (Res. Ex. N°083-2021)
Cesion de 90 Ton a Embarcaciones VII Región (Res. Ex. N°2043-2021)
Cesion de 20 Ton a Embarcaciones VIII Región (Res. Ex. N°096-2021)
Cesion de 40 Ton a Embarcaciones VII Región (Res. Ex. N°2166-2021)</t>
        </r>
      </text>
    </comment>
    <comment ref="H570" authorId="1" shapeId="0">
      <text>
        <r>
          <rPr>
            <b/>
            <sz val="9"/>
            <color indexed="81"/>
            <rFont val="Tahoma"/>
            <family val="2"/>
          </rPr>
          <t>Mario Cea:</t>
        </r>
        <r>
          <rPr>
            <sz val="9"/>
            <color indexed="81"/>
            <rFont val="Tahoma"/>
            <family val="2"/>
          </rPr>
          <t xml:space="preserve">
Cesion de 36,370 Ton a Embarcacion  VII Región (Res. Ex. N°1322-2021)
Cesion de 23,5 Ton a Embarcaciones VII Región (Res. Ex. N°1708-2021)</t>
        </r>
      </text>
    </comment>
    <comment ref="H580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Cesion de 12 Ton a Embarcacion  VII Región (Res. Ex. N°1645-2021)</t>
        </r>
      </text>
    </comment>
    <comment ref="H581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Cesion de 6 Ton a Embarcacion  VII Región (Res. Ex. N°2951-2021)
Cesion de 6 Ton a Embarcacion  VII Región (Res. Ex. N°2952-2021)</t>
        </r>
      </text>
    </comment>
    <comment ref="H583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Cesion de 14 Ton a Embarcaciones  VII Región (Res. Ex. N°1980-2021)</t>
        </r>
      </text>
    </comment>
    <comment ref="H590" authorId="1" shapeId="0">
      <text>
        <r>
          <rPr>
            <b/>
            <sz val="9"/>
            <color indexed="81"/>
            <rFont val="Tahoma"/>
            <family val="2"/>
          </rPr>
          <t>Mario Cea:</t>
        </r>
        <r>
          <rPr>
            <sz val="9"/>
            <color indexed="81"/>
            <rFont val="Tahoma"/>
            <family val="2"/>
          </rPr>
          <t xml:space="preserve">
Cesion de 12 Ton a Embarcacion  VII Región (Res. Ex. N°954-2021)
Cesion de 9,5 Ton a Embarcacion  VII Región (Res. Ex. N°1316-2021)</t>
        </r>
      </text>
    </comment>
    <comment ref="H592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Cesion de 4 Ton a Embarcacion  VII Región (Res. Ex. N°1737-2021)</t>
        </r>
      </text>
    </comment>
    <comment ref="H596" authorId="1" shapeId="0">
      <text>
        <r>
          <rPr>
            <b/>
            <sz val="9"/>
            <color indexed="81"/>
            <rFont val="Tahoma"/>
            <family val="2"/>
          </rPr>
          <t>Mario Cea:</t>
        </r>
        <r>
          <rPr>
            <sz val="9"/>
            <color indexed="81"/>
            <rFont val="Tahoma"/>
            <family val="2"/>
          </rPr>
          <t xml:space="preserve">
Cesion de 5,811 Ton a Embarcacion  VII Región (Res. Ex. N°1293-2021)</t>
        </r>
      </text>
    </comment>
    <comment ref="H600" authorId="1" shapeId="0">
      <text>
        <r>
          <rPr>
            <b/>
            <sz val="9"/>
            <color indexed="81"/>
            <rFont val="Tahoma"/>
            <family val="2"/>
          </rPr>
          <t>Mario Cea:</t>
        </r>
        <r>
          <rPr>
            <sz val="9"/>
            <color indexed="81"/>
            <rFont val="Tahoma"/>
            <family val="2"/>
          </rPr>
          <t xml:space="preserve">
Cesion de 10 Ton a Embarcacion  VIII Región (Res. Ex. N°064-2021)</t>
        </r>
      </text>
    </comment>
    <comment ref="H601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Cesion de 12 Ton a Embarcaciones  VIII Región (Res. Ex. N°088-2021)</t>
        </r>
      </text>
    </comment>
    <comment ref="H602" authorId="1" shapeId="0">
      <text>
        <r>
          <rPr>
            <b/>
            <sz val="9"/>
            <color indexed="81"/>
            <rFont val="Tahoma"/>
            <family val="2"/>
          </rPr>
          <t>Mario Cea:</t>
        </r>
        <r>
          <rPr>
            <sz val="9"/>
            <color indexed="81"/>
            <rFont val="Tahoma"/>
            <family val="2"/>
          </rPr>
          <t xml:space="preserve">
Cesion de 12 Ton a Embarcacion  VII Región (Res. Ex. N°1323-2021)</t>
        </r>
      </text>
    </comment>
    <comment ref="H604" authorId="1" shapeId="0">
      <text>
        <r>
          <rPr>
            <b/>
            <sz val="9"/>
            <color indexed="81"/>
            <rFont val="Tahoma"/>
            <family val="2"/>
          </rPr>
          <t>Mario Cea:</t>
        </r>
        <r>
          <rPr>
            <sz val="9"/>
            <color indexed="81"/>
            <rFont val="Tahoma"/>
            <family val="2"/>
          </rPr>
          <t xml:space="preserve">
Cesion de 5 Ton a embarcacion Antonella Paz I (Res. Ex. N°006-2021)</t>
        </r>
      </text>
    </comment>
    <comment ref="G609" authorId="1" shapeId="0">
      <text>
        <r>
          <rPr>
            <b/>
            <sz val="9"/>
            <color indexed="81"/>
            <rFont val="Tahoma"/>
            <family val="2"/>
          </rPr>
          <t>Mario Cea:</t>
        </r>
        <r>
          <rPr>
            <sz val="9"/>
            <color indexed="81"/>
            <rFont val="Tahoma"/>
            <family val="2"/>
          </rPr>
          <t xml:space="preserve">
Adelantamiento de cuota 60 Ton (Res. Ex. N°44-2021)</t>
        </r>
      </text>
    </comment>
    <comment ref="G613" authorId="1" shapeId="0">
      <text>
        <r>
          <rPr>
            <b/>
            <sz val="9"/>
            <color indexed="81"/>
            <rFont val="Tahoma"/>
            <family val="2"/>
          </rPr>
          <t>Mario Cea:</t>
        </r>
        <r>
          <rPr>
            <sz val="9"/>
            <color indexed="81"/>
            <rFont val="Tahoma"/>
            <family val="2"/>
          </rPr>
          <t xml:space="preserve">
Adelantamiento de cuota 70 Ton (Res. Ex. N°45-2021)</t>
        </r>
      </text>
    </comment>
  </commentList>
</comments>
</file>

<file path=xl/comments3.xml><?xml version="1.0" encoding="utf-8"?>
<comments xmlns="http://schemas.openxmlformats.org/spreadsheetml/2006/main">
  <authors>
    <author>CEA TELLO, MARIO ANDRES</author>
    <author>Mario Cea</author>
    <author>CARLOS FELIPE VALDIVIA PINO</author>
  </authors>
  <commentList>
    <comment ref="F9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Arriendo de 100,157 Ton desde Nordio Ltda. Soc. hasta el año 2021 (Cert. N°34-2016)</t>
        </r>
      </text>
    </comment>
    <comment ref="F12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Arriendo de 131,33 Ton a Soc. Pesq. Nordiomar Spa  (Cert. N°58-2016)</t>
        </r>
      </text>
    </comment>
    <comment ref="F15" authorId="1" shapeId="0">
      <text>
        <r>
          <rPr>
            <b/>
            <sz val="9"/>
            <color indexed="81"/>
            <rFont val="Tahoma"/>
            <family val="2"/>
          </rPr>
          <t>Mario Cea:</t>
        </r>
        <r>
          <rPr>
            <sz val="9"/>
            <color indexed="81"/>
            <rFont val="Tahoma"/>
            <family val="2"/>
          </rPr>
          <t xml:space="preserve">
Arriendo de 2,216 Ton a Jorge Cofre Toledo (Cert. N°05-2021)
Arriendo de 1,3298 Ton a Pesquera CMK Ltda. (Cert. N°08-2021)</t>
        </r>
      </text>
    </comment>
    <comment ref="F21" authorId="1" shapeId="0">
      <text>
        <r>
          <rPr>
            <b/>
            <sz val="9"/>
            <color indexed="81"/>
            <rFont val="Tahoma"/>
            <family val="2"/>
          </rPr>
          <t>Mario Cea:</t>
        </r>
        <r>
          <rPr>
            <sz val="9"/>
            <color indexed="81"/>
            <rFont val="Tahoma"/>
            <family val="2"/>
          </rPr>
          <t xml:space="preserve">
Compra venta de 95,755 Ton a Nordiomar spa. (Res. Ex. N°870-2021)
Compra venta de 5,541 Ton a Nordiomar spa. (Res. Ex. N°872-2021)
Compra venta de 5,541 Ton a Nordiomar spa. (Res. Ex. N°873-2021)
Compra venta de 11,082 Ton a Nordiomar spa. (Res. Ex. N°874-2021)
Compra venta de 11,082 Ton a Nordiomar spa. (Res. Ex. N°875-2021)
Compra venta de 11,082 Ton a Nordiomar spa. (Res. Ex. N°876-2021)
Compra venta de 11,082 Ton a Nordiomar spa. (Res. Ex. N°877-2021)
Compra venta de 110,820 Ton a Nordiomar spa. (Res. Ex. N°878-2021)
Compra venta de 55,410 Ton a Nordiomar spa. (Res. Ex. N°879-2021)
Deja sin efecto fidecomiso de 131,330 ton a Pilar del Rosario Plaza (Res. Ex. N°535-2021)</t>
        </r>
      </text>
    </comment>
    <comment ref="F22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Compra venta de 95,755 Ton desde Soc. Pesq Nordiomar. (Res. Ex. N°2272-2021).
Compra venta de 5,541 Ton desde Soc. Pesq Nordiomar. (Res. Ex. N°2273-2021).
Compra venta de 5,541 Ton desde Soc. Pesq Nordiomar. (Res. Ex. N°2274-2021).
Compra venta de 11,082 Ton desde Soc. Pesq Nordiomar. (Res. Ex. N°2275-2021).
Compra venta de 11,082 Ton desde Soc. Pesq Nordiomar. (Res. Ex. N°2276-2021).
Compra venta de 11,082 Ton desde Soc. Pesq Nordiomar. (Res. Ex. N°2277-2021).
Compra venta de 11,082 Ton desde Soc. Pesq Nordiomar. (Res. Ex. N°2278-2021).
Compra venta de 11,082 Ton desde Soc. Pesq Nordiomar. (Res. Ex. N°2279-2021).
Compra venta de 55,410 Ton desde Soc. Pesq Nordiomar. (Res. Ex. N°2280-2021).
Compra venta de 33,246 Ton desde Soc. Pesq Nordiomar. (Res. Ex. N°2537-2021).
Compra venta de 33,246 Ton desde Soc. Pesq Nordiomar. (Res. Ex. N°2538-2021).
Compra venta de 44,328 Ton desde Soc. Pesq Nordiomar. (Res. Ex. N°2539-2021).
Compra venta de 110,820 Ton desde Soc. Pesq Nordiomar. (Res. Ex. N°2540-2021).
Compra venta de 110,820 Ton desde Soc. Pesq Nordiomar. (Res. Ex. N°2541-2021).</t>
        </r>
      </text>
    </comment>
    <comment ref="H25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Capturas Emb. Isla Tabon opera con LTP</t>
        </r>
      </text>
    </comment>
    <comment ref="F27" authorId="1" shapeId="0">
      <text>
        <r>
          <rPr>
            <b/>
            <sz val="9"/>
            <color indexed="81"/>
            <rFont val="Tahoma"/>
            <family val="2"/>
          </rPr>
          <t>Mario Cea:</t>
        </r>
        <r>
          <rPr>
            <sz val="9"/>
            <color indexed="81"/>
            <rFont val="Tahoma"/>
            <family val="2"/>
          </rPr>
          <t xml:space="preserve">
Compra venta de 557,043 Ton a Comercializadora Simon Seafood Ltda. (Res. Ex. N°945-2021)
Compra venta de 110,820 Ton a Comercializadora Simon Seafood Ltda. (Res. Ex. N°946-2021)
Compra venta de 33,246 Ton a Comercializadora Simon Seafood Ltda. (Res. Ex. N°947-2021)</t>
        </r>
      </text>
    </comment>
    <comment ref="F30" authorId="2" shapeId="0">
      <text>
        <r>
          <rPr>
            <b/>
            <sz val="9"/>
            <color indexed="81"/>
            <rFont val="Tahoma"/>
            <charset val="1"/>
          </rPr>
          <t>CARLOS FELIPE VALDIVIA PINO:</t>
        </r>
        <r>
          <rPr>
            <sz val="9"/>
            <color indexed="81"/>
            <rFont val="Tahoma"/>
            <charset val="1"/>
          </rPr>
          <t xml:space="preserve">
Compra venta de 27,325 Ton desde PACIFICBLU Spa (Res. Ex. N°3467-2021)</t>
        </r>
      </text>
    </comment>
    <comment ref="F32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Arriendo de 32,975 Ton a Comercializadora Simon Seafood Ltda. (Cert. N°65-2021)</t>
        </r>
      </text>
    </comment>
    <comment ref="F34" authorId="2" shapeId="0">
      <text>
        <r>
          <rPr>
            <b/>
            <sz val="9"/>
            <color indexed="81"/>
            <rFont val="Tahoma"/>
            <charset val="1"/>
          </rPr>
          <t>CARLOS FELIPE VALDIVIA PINO:</t>
        </r>
        <r>
          <rPr>
            <sz val="9"/>
            <color indexed="81"/>
            <rFont val="Tahoma"/>
            <charset val="1"/>
          </rPr>
          <t xml:space="preserve">
Compra venta de 155,167 Ton a don Patricio de Los Angeles Vega Velasquez (RUT N° 5521396-8)
</t>
        </r>
      </text>
    </comment>
    <comment ref="H36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Capturas Emb. Oriente opera con LTP</t>
        </r>
      </text>
    </comment>
    <comment ref="F37" authorId="1" shapeId="0">
      <text>
        <r>
          <rPr>
            <b/>
            <sz val="9"/>
            <color indexed="81"/>
            <rFont val="Tahoma"/>
            <family val="2"/>
          </rPr>
          <t>Mario Cea:</t>
        </r>
        <r>
          <rPr>
            <sz val="9"/>
            <color indexed="81"/>
            <rFont val="Tahoma"/>
            <family val="2"/>
          </rPr>
          <t xml:space="preserve">
Compra venta de 561,855 Ton desde Pacificblu Spa. (Res. Ex. N°627-2021)</t>
        </r>
      </text>
    </comment>
    <comment ref="F39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Compra venta de 319,650 Ton a Comercializadora Simon Seafood Ltda. (Res. Ex. N°1303-2021)
Compra venta de 22,164 Ton a Comercializadora Simon Seafood Ltda. (Res. Ex. N°1304-2021)
Compra venta de 44,328 Ton a Comercializadora Simon Seafood Ltda. (Res. Ex. N°1305-2021)
Compra venta de 44,328 Ton a Comercializadora Simon Seafood Ltda. (Res. Ex. N°1306-2021)
Compra venta de 11,082 Ton a Comercializadora Simon Seafood Ltda. (Res. Ex. N°1307-2021)
</t>
        </r>
      </text>
    </comment>
    <comment ref="F41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Arriendo de 100,157 Ton a Antonio Cruz Cordoba Nakouzi E.I.R.L. hasta el año 2021 (Cert. N°34-2016)</t>
        </r>
      </text>
    </comment>
    <comment ref="F45" authorId="1" shapeId="0">
      <text>
        <r>
          <rPr>
            <b/>
            <sz val="9"/>
            <color indexed="81"/>
            <rFont val="Tahoma"/>
            <family val="2"/>
          </rPr>
          <t>Mario Cea:</t>
        </r>
        <r>
          <rPr>
            <sz val="9"/>
            <color indexed="81"/>
            <rFont val="Tahoma"/>
            <family val="2"/>
          </rPr>
          <t xml:space="preserve">
Compra venta de 561,855 Ton a Landes S.A. (Res. Ex. N°627-2021)</t>
        </r>
      </text>
    </comment>
    <comment ref="F46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Cesion de 700 Ton desde STI PESCADORES ARTESANALES DE CALETA PORTALES  (Res. Ex. N°019-2021)
Compra venta de 27,325 Ton a Pesquera GRIMAR S.A. (Res. Ex. N°3467-2021)
Compra venta de 0 Ton a Pesquera Sur Austral S.A. (Res. Ex. N°3470-2021)
Compra venta de 0 Ton a Pesquera Sur Austral S.A. (Res. Ex. N°3473-2021)</t>
        </r>
      </text>
    </comment>
    <comment ref="F52" authorId="2" shapeId="0">
      <text>
        <r>
          <rPr>
            <b/>
            <sz val="9"/>
            <color indexed="81"/>
            <rFont val="Tahoma"/>
            <charset val="1"/>
          </rPr>
          <t>CARLOS FELIPE VALDIVIA PINO:</t>
        </r>
        <r>
          <rPr>
            <sz val="9"/>
            <color indexed="81"/>
            <rFont val="Tahoma"/>
            <charset val="1"/>
          </rPr>
          <t xml:space="preserve">
Compra venta de 0 Ton desde PACIFICBLU Spa (Res. Ex. N°3470-2021)
Compra venta de 0 Ton desde PACIFICBLU Spa (Res. Ex. N°3473-2021)</t>
        </r>
      </text>
    </comment>
    <comment ref="F53" authorId="1" shapeId="0">
      <text>
        <r>
          <rPr>
            <b/>
            <sz val="9"/>
            <color indexed="81"/>
            <rFont val="Tahoma"/>
            <family val="2"/>
          </rPr>
          <t>Mario Cea:</t>
        </r>
        <r>
          <rPr>
            <sz val="9"/>
            <color indexed="81"/>
            <rFont val="Tahoma"/>
            <family val="2"/>
          </rPr>
          <t xml:space="preserve">
Arriendo de 2,216 Ton desde Camanchaca Pesca Sur S.A.(Cert. N°05-2021)</t>
        </r>
      </text>
    </comment>
    <comment ref="H54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Capturas Emb. Tome opera con LTP</t>
        </r>
      </text>
    </comment>
    <comment ref="F55" authorId="1" shapeId="0">
      <text>
        <r>
          <rPr>
            <b/>
            <sz val="9"/>
            <color indexed="81"/>
            <rFont val="Tahoma"/>
            <family val="2"/>
          </rPr>
          <t>Mario Cea:</t>
        </r>
        <r>
          <rPr>
            <sz val="9"/>
            <color indexed="81"/>
            <rFont val="Tahoma"/>
            <family val="2"/>
          </rPr>
          <t xml:space="preserve">
Compra venta de 557,043 Ton desde Gonzalez Silva Marcelino. (Res. Ex. N°945-2021)
Compra venta de 110,820 Ton desde Gonzalez Silva Marcelino. (Res. Ex. N°946-2021)
Compra venta de 33,246 Ton desde Gonzalez Silva Marcelino. (Res. Ex. N°947-2021)
Compra venta de 319,650 Ton desde Leucoton Ltda. Soc. Pesq (Res. Ex. N°1303-2021)
Compra venta de 22,164 Ton desde Leucoton Ltda. Soc. Pesq (Res. Ex. N°1304-2021)
Compra venta de 44,328 Ton desde Leucoton Ltda. Soc. Pesq (Res. Ex. N°1305-2021)
Compra venta de 44,328 Ton desde Leucoton Ltda. Soc. Pesq (Res. Ex. N°1306-2021)
Compra venta de 11,082 Ton desde Leucoton Ltda. Soc. Pesq (Res. Ex. N°1307-2021)</t>
        </r>
      </text>
    </comment>
    <comment ref="F56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Cesion de 19,5 Ton desde STI PESCADORES ARMADORES ARTESANALES BUZOS ACUICULTORES Y  RAMOS AFINES DE LA PESCA ARTESANAL DE TALCAHUANO SIPEARTAL RSU 08.05.0487 VIII Región (Res. Ex. N°153-21)
Arriendo de 32,975 Ton desde Pelantaro Inostroza Concha (Cert. N°65-2021)</t>
        </r>
      </text>
    </comment>
    <comment ref="F57" authorId="1" shapeId="0">
      <text>
        <r>
          <rPr>
            <b/>
            <sz val="9"/>
            <color indexed="81"/>
            <rFont val="Tahoma"/>
            <family val="2"/>
          </rPr>
          <t>Mario Cea:</t>
        </r>
        <r>
          <rPr>
            <sz val="9"/>
            <color indexed="81"/>
            <rFont val="Tahoma"/>
            <family val="2"/>
          </rPr>
          <t xml:space="preserve">
Arriendo de 1,3298 Ton desde Camanchaca Pesca Sur S.A.(Cert. N°08-2021)</t>
        </r>
      </text>
    </comment>
    <comment ref="F59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Deja sin efecto fidecomiso de 131,330 ton desde Enfermar Ltda. (Res. Ex. N°535-2021)</t>
        </r>
      </text>
    </comment>
    <comment ref="F60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Compra venta de 131,33 Ton a Sociedad Pesquera Nordiomar SPA (Res. Ex. N°2480-2021)
Compra venta de 55,410 Ton a Sociedad Pesquera Nordiomar SPA (Res. Ex. N°2481-2021)
Compra venta de 55,410 Ton a Sociedad Pesquera Nordiomar SPA (Res. Ex. N°2482-2021)
Compra venta de 55,410 Ton a Sociedad Pesquera Nordiomar SPA (Res. Ex. N°2483-2021)
Compra venta de 55,410 Ton a Sociedad Pesquera Nordiomar SPA (Res. Ex. N°2484-2021)
Compra venta de 110,820 Ton a Sociedad Pesquera Nordiomar SPA (Res. Ex. N°2485-2021)</t>
        </r>
      </text>
    </comment>
    <comment ref="F61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Compra venta de 95,755 Ton desde Enfermar Ltda. (Res. Ex. N°870-2021)
Compra venta de 5,541 Ton desde Enfermar Ltda. (Res. Ex. N°872-2021)
Compra venta de 5,541 Ton desde Enfermar Ltda. (Res. Ex. N°873-2021)
Compra venta de 11,082 Ton desde Enfermar Ltda. (Res. Ex. N°874-2021)
Compra venta de 11,082 Ton desde Enfermar Ltda. (Res. Ex. N°875-2021)
Compra venta de 11,082 Ton desde Enfermar Ltda. (Res. Ex. N°876-2021)
Compra venta de 11,082 Ton desde Enfermar Ltda. (Res. Ex. N°877-2021)
Compra venta de 110,820 Ton desde Enfermar Ltda. (Res. Ex. N°878-2021)
Compra venta de 55,410 Ton desde Enfermar Ltda. (Res. Ex. N°879-2021)
Cesion de 35 Ton desde STI SPARHITAL RSU 08.05.0382 VIII Región (Res. Ex. N°2069-21)</t>
        </r>
      </text>
    </comment>
    <comment ref="F62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Compra venta de 95,755 Ton a Enfermar Ltda. (Res. Ex. N°2272-2021).
Compra venta de 5,541 Ton a Enfermar Ltda. (Res. Ex. N°2273-2021).
Compra venta de 5,541 Ton a Enfermar Ltda. (Res. Ex. N°2274-2021).
Compra venta de 11,082 Ton a Enfermar Ltda. (Res. Ex. N°2275-2021).
Compra venta de 11,082 Ton a Enfermar Ltda. (Res. Ex. N°2276-2021).
Compra venta de 11,082 Ton a Enfermar Ltda. (Res. Ex. N°2277-2021).
Compra venta de 11,082 Ton a Enfermar Ltda. (Res. Ex. N°2278-2021).
Compra venta de 110,820 Ton a Enfermar Ltda. (Res. Ex. N°2279-2021).
Compra venta de 55,410 Ton a Enfermar Ltda. (Res. Ex. N°2280-2021).
Compra venta de 131,329 Ton desde Pilar del Rosario Plaza Alfaro (Res. Ex. N°2480-2021)
Compra venta de 55,410 Ton desde Pilar del Rosario Plaza Alfaro (Res. Ex. N°2481-2021)
Compra venta de 55,410 Ton desde Pilar del Rosario Plaza Alfaro (Res. Ex. N°2482-2021)
Compra venta de 55,410 Ton desde Pilar del Rosario Plaza Alfaro (Res. Ex. N°2483-2021)
Compra venta de 55,410 Ton desde Pilar del Rosario Plaza Alfaro (Res. Ex. N°2484-2021)
Compra venta de 110,820 Ton desde Pilar del Rosario Plaza Alfaro (Res. Ex. N°2485-2021)
Cesion de 150 Ton desde STI PESCADORES CALETA EL MEMBRILLO (Res. Ex. N°018-2021)
Arriendo de 131,33 Ton desde Asesorias Financieras y Comunicacionales Ltda.  (Cert. N°58-2016)</t>
        </r>
      </text>
    </comment>
    <comment ref="F64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Compra venta de 33,246 Ton a Enfermar Ltda. (Res. Ex. N°2537-2021).
Compra venta de 33,246 Ton a Enfermar Ltda. (Res. Ex. N°2538-2021).
Compra venta de 44,328 Ton a Enfermar Ltda. (Res. Ex. N°2539-2021).
Compra venta de 110,820 Ton a Enfermar Ltda. (Res. Ex. N°2540-2021).
Compra venta de 110,820 Ton a Enfermar Ltda. (Res. Ex. N°2541-2021).</t>
        </r>
      </text>
    </comment>
    <comment ref="F66" authorId="2" shapeId="0">
      <text>
        <r>
          <rPr>
            <b/>
            <sz val="9"/>
            <color indexed="81"/>
            <rFont val="Tahoma"/>
            <charset val="1"/>
          </rPr>
          <t>CARLOS FELIPE VALDIVIA PINO:</t>
        </r>
        <r>
          <rPr>
            <sz val="9"/>
            <color indexed="81"/>
            <rFont val="Tahoma"/>
            <charset val="1"/>
          </rPr>
          <t xml:space="preserve">
Compra venta de 155,16731 Ton desde Pesquera Isla Quihua (Res. Ex. N°3457-2021)</t>
        </r>
      </text>
    </comment>
  </commentList>
</comments>
</file>

<file path=xl/comments4.xml><?xml version="1.0" encoding="utf-8"?>
<comments xmlns="http://schemas.openxmlformats.org/spreadsheetml/2006/main">
  <authors>
    <author>Mario Cea</author>
  </authors>
  <commentList>
    <comment ref="C33" authorId="0" shapeId="0">
      <text>
        <r>
          <rPr>
            <b/>
            <sz val="9"/>
            <color indexed="81"/>
            <rFont val="Tahoma"/>
            <family val="2"/>
          </rPr>
          <t>Mario Cea:</t>
        </r>
        <r>
          <rPr>
            <sz val="9"/>
            <color indexed="81"/>
            <rFont val="Tahoma"/>
            <family val="2"/>
          </rPr>
          <t xml:space="preserve">
Res. Ex. N°094-2021 Modifica Res. Ex. N°088-2021</t>
        </r>
      </text>
    </comment>
  </commentList>
</comments>
</file>

<file path=xl/sharedStrings.xml><?xml version="1.0" encoding="utf-8"?>
<sst xmlns="http://schemas.openxmlformats.org/spreadsheetml/2006/main" count="8261" uniqueCount="683">
  <si>
    <t xml:space="preserve">CONTROL DE CUOTA ANUAL </t>
  </si>
  <si>
    <t>Región</t>
  </si>
  <si>
    <t>Área</t>
  </si>
  <si>
    <t>Periodo</t>
  </si>
  <si>
    <t>Cuota Asignada (ton)</t>
  </si>
  <si>
    <t>Movimientos</t>
  </si>
  <si>
    <t>Cuota Efectiva (ton)</t>
  </si>
  <si>
    <t>Saldo</t>
  </si>
  <si>
    <t>Ene</t>
  </si>
  <si>
    <t>Feb-Jun</t>
  </si>
  <si>
    <t>Jul-Dic</t>
  </si>
  <si>
    <t>Área Centro</t>
  </si>
  <si>
    <t xml:space="preserve"> -</t>
  </si>
  <si>
    <t xml:space="preserve">Feb </t>
  </si>
  <si>
    <t>Mar</t>
  </si>
  <si>
    <t>Abr</t>
  </si>
  <si>
    <t>May</t>
  </si>
  <si>
    <t>Jun</t>
  </si>
  <si>
    <t xml:space="preserve">Jul </t>
  </si>
  <si>
    <t>Ago</t>
  </si>
  <si>
    <t>Oct</t>
  </si>
  <si>
    <t>Nov</t>
  </si>
  <si>
    <t>Dic</t>
  </si>
  <si>
    <t xml:space="preserve">Area Norte I </t>
  </si>
  <si>
    <t>Area Norte II</t>
  </si>
  <si>
    <t>Area centro</t>
  </si>
  <si>
    <t xml:space="preserve">Area Norte </t>
  </si>
  <si>
    <t>Area Sur</t>
  </si>
  <si>
    <t xml:space="preserve">VEDA BIOLÓGICA DEL 01 DE SEPTIEMBRE AL 30 DE SEPTIEMBRE </t>
  </si>
  <si>
    <t>Saldo (t)</t>
  </si>
  <si>
    <t>Ene-Jul</t>
  </si>
  <si>
    <t>Zona</t>
  </si>
  <si>
    <t>Fecha cierre</t>
  </si>
  <si>
    <t>Ago-Dic</t>
  </si>
  <si>
    <t>Período</t>
  </si>
  <si>
    <t>ANTONIO CRUZ CORDOVA NAKOUZI E.I.R.L.</t>
  </si>
  <si>
    <t>Captura</t>
  </si>
  <si>
    <t xml:space="preserve">IV </t>
  </si>
  <si>
    <t>Ene-Dic</t>
  </si>
  <si>
    <t>VII</t>
  </si>
  <si>
    <t>Sector/Fracción</t>
  </si>
  <si>
    <t>Cuota Global asignada (t)</t>
  </si>
  <si>
    <t>Desembarques</t>
  </si>
  <si>
    <t>Desembarque total (t)</t>
  </si>
  <si>
    <t>% Consumo</t>
  </si>
  <si>
    <t>Industrial</t>
  </si>
  <si>
    <t>Artesanal</t>
  </si>
  <si>
    <t xml:space="preserve"> Industrial - Artesanal</t>
  </si>
  <si>
    <t>Fauna Acompañante</t>
  </si>
  <si>
    <t>VIII Región del BioBio
Res Ex N°440-18</t>
  </si>
  <si>
    <t>IV-41°28,6 L.S.</t>
  </si>
  <si>
    <t>MERLUZA COMUN IV-41°28,6 LS</t>
  </si>
  <si>
    <t>MERLUZA COMUN</t>
  </si>
  <si>
    <t>AREA</t>
  </si>
  <si>
    <t>ENERO</t>
  </si>
  <si>
    <t xml:space="preserve">FEBRERO </t>
  </si>
  <si>
    <t>JUNIO</t>
  </si>
  <si>
    <t>JULIO</t>
  </si>
  <si>
    <t>DICIEMBRE</t>
  </si>
  <si>
    <t>MARZO</t>
  </si>
  <si>
    <t>ABRIL</t>
  </si>
  <si>
    <t>MAYO</t>
  </si>
  <si>
    <t>AGOSTO</t>
  </si>
  <si>
    <t>OCTUBRE</t>
  </si>
  <si>
    <t>NOVIEMBRE</t>
  </si>
  <si>
    <t>BOLSON RESIDUAL</t>
  </si>
  <si>
    <t>ORGANIZACION</t>
  </si>
  <si>
    <t>ASOCIACIÓN GREMIAL DE ARMADORES EMBARCACIONES MENORES AG MENOR COLIUMO RAG 507-8</t>
  </si>
  <si>
    <t>REGION</t>
  </si>
  <si>
    <t>MACROZONA ARTESANAL</t>
  </si>
  <si>
    <t xml:space="preserve">V </t>
  </si>
  <si>
    <t xml:space="preserve">VI </t>
  </si>
  <si>
    <t xml:space="preserve">VII </t>
  </si>
  <si>
    <t xml:space="preserve">VIII </t>
  </si>
  <si>
    <t xml:space="preserve">IX </t>
  </si>
  <si>
    <t xml:space="preserve">XIV-X </t>
  </si>
  <si>
    <t>GONZALEZ SILVA MARCELINO</t>
  </si>
  <si>
    <t>RUBIO Y MAUAD LTDA</t>
  </si>
  <si>
    <t>IV-41°28,6 LS</t>
  </si>
  <si>
    <t>TITULAR LTP</t>
  </si>
  <si>
    <t>TOTAL LTP</t>
  </si>
  <si>
    <t>TOTAL ASIGNATARIOS LTP</t>
  </si>
  <si>
    <t>TOTAL ASIGNATARIOS REGION</t>
  </si>
  <si>
    <t>TOTAL REGION</t>
  </si>
  <si>
    <t>Resol</t>
  </si>
  <si>
    <t>Cuota</t>
  </si>
  <si>
    <t>%Consumo</t>
  </si>
  <si>
    <t>TOTAL</t>
  </si>
  <si>
    <t>ALIMENTOS MARINOS S.A.</t>
  </si>
  <si>
    <t>ANTARTIC SEAFOOD S.A.</t>
  </si>
  <si>
    <t>ANTONIO CRUZ CORDOVA NAKOUZI E.I.R.L</t>
  </si>
  <si>
    <t>DA VENEZIA RETAMALES ANTONIO</t>
  </si>
  <si>
    <t>ENFEMAR LTDA. SOC. PESQ.</t>
  </si>
  <si>
    <t>GENMAR LTDA. SOC. PESQ.</t>
  </si>
  <si>
    <t>K</t>
  </si>
  <si>
    <t>GRIMAR S.A. PESQ.</t>
  </si>
  <si>
    <t>INOSTROZA CONCHA PELANTARO</t>
  </si>
  <si>
    <t>ISLADAMAS S.A. PESQ.</t>
  </si>
  <si>
    <t>LANDES S.A. SOC. PESQ.</t>
  </si>
  <si>
    <t>LEUCOTON LTDA. SOC. PESQ.</t>
  </si>
  <si>
    <t>NORDIO LTDA. SOC.</t>
  </si>
  <si>
    <t>ORIZON S.A</t>
  </si>
  <si>
    <t>DERIS S.A.</t>
  </si>
  <si>
    <t>SUR AUSTRAL S.A. PESQ.</t>
  </si>
  <si>
    <t>QUINTERO S.A. PESQ.</t>
  </si>
  <si>
    <t>BRACPESCA S.A.</t>
  </si>
  <si>
    <t>RUBIO Y MAUAD LTDA.</t>
  </si>
  <si>
    <t>CONGELADOS PACIFICO SpA hoy PACIFICBLU SpA.</t>
  </si>
  <si>
    <t>CAMANCHACA PESCA SUR S.A.</t>
  </si>
  <si>
    <t>ASESORIAS FINANCIERAS Y COMUNICACIONALES LTDA.</t>
  </si>
  <si>
    <t>ALVAREZ ARMIJO JAIME</t>
  </si>
  <si>
    <t>CONCEPCION LTDA. PESQ.</t>
  </si>
  <si>
    <t>PESCA CHILE S.A.</t>
  </si>
  <si>
    <t>MARIA ANGÉLICA TRONCOSO REYES</t>
  </si>
  <si>
    <t>PESQUERA BIO BIO S.A. hoy PESQUERA BIO BIO SpA.</t>
  </si>
  <si>
    <t>BLUMAR S.A.</t>
  </si>
  <si>
    <t>PESSUR LTDA. SOC. PESQ.</t>
  </si>
  <si>
    <t>PESCA FINA SpA. hoy PACIFICBLU SpA.</t>
  </si>
  <si>
    <t>PILAR DEL ROSARIO PLAZA ALFARO</t>
  </si>
  <si>
    <t>TITULAR</t>
  </si>
  <si>
    <t>RUT</t>
  </si>
  <si>
    <t>COEFICIENTE</t>
  </si>
  <si>
    <t>CUOTA LTP ANUAL</t>
  </si>
  <si>
    <t>CUOTA  TITULAR</t>
  </si>
  <si>
    <t>LTP INICIAL</t>
  </si>
  <si>
    <t>COMPRA</t>
  </si>
  <si>
    <t>RESOLUCION</t>
  </si>
  <si>
    <t>2149-13</t>
  </si>
  <si>
    <t>605-18</t>
  </si>
  <si>
    <t>2155-13</t>
  </si>
  <si>
    <t>2775-13</t>
  </si>
  <si>
    <t>385-16 Mod a 2775-13</t>
  </si>
  <si>
    <t>3707-17</t>
  </si>
  <si>
    <t>384-16</t>
  </si>
  <si>
    <t>VENTA</t>
  </si>
  <si>
    <t>ok</t>
  </si>
  <si>
    <t>2068-13</t>
  </si>
  <si>
    <t>VENDE</t>
  </si>
  <si>
    <t>164-17</t>
  </si>
  <si>
    <t>3923-16</t>
  </si>
  <si>
    <t>2104-13</t>
  </si>
  <si>
    <t>3859-17</t>
  </si>
  <si>
    <t>1306-18</t>
  </si>
  <si>
    <t>DEJA S/E 3859-17</t>
  </si>
  <si>
    <t>Res 53-16</t>
  </si>
  <si>
    <t>52-16 (53-16)</t>
  </si>
  <si>
    <t>Res 3698-15</t>
  </si>
  <si>
    <t>3699-15 (3698-15)</t>
  </si>
  <si>
    <r>
      <rPr>
        <b/>
        <sz val="10"/>
        <rFont val="Arial Narrow"/>
        <family val="2"/>
      </rPr>
      <t>TITULAR LTP</t>
    </r>
  </si>
  <si>
    <r>
      <rPr>
        <b/>
        <sz val="10"/>
        <rFont val="Arial Narrow"/>
        <family val="2"/>
      </rPr>
      <t>COEFICIENTE</t>
    </r>
  </si>
  <si>
    <r>
      <rPr>
        <b/>
        <sz val="10"/>
        <rFont val="Arial Narrow"/>
        <family val="2"/>
      </rPr>
      <t>ENE-JUL</t>
    </r>
  </si>
  <si>
    <r>
      <rPr>
        <b/>
        <sz val="10"/>
        <rFont val="Arial Narrow"/>
        <family val="2"/>
      </rPr>
      <t>AGO-DIC</t>
    </r>
  </si>
  <si>
    <r>
      <rPr>
        <b/>
        <sz val="10"/>
        <rFont val="Arial Narrow"/>
        <family val="2"/>
      </rPr>
      <t>TOTAL</t>
    </r>
  </si>
  <si>
    <r>
      <rPr>
        <sz val="10"/>
        <rFont val="Arial Narrow"/>
        <family val="2"/>
      </rPr>
      <t>ALIMENTOS MARINOS S.A.</t>
    </r>
  </si>
  <si>
    <r>
      <rPr>
        <sz val="10"/>
        <rFont val="Arial Narrow"/>
        <family val="2"/>
      </rPr>
      <t>ANTARTIC SEAFOOD S.A.</t>
    </r>
  </si>
  <si>
    <r>
      <rPr>
        <sz val="10"/>
        <rFont val="Arial Narrow"/>
        <family val="2"/>
      </rPr>
      <t>ANTONIO CRUZ CORDOVA NAKOUZI E.I.R.L</t>
    </r>
  </si>
  <si>
    <r>
      <rPr>
        <sz val="10"/>
        <rFont val="Arial Narrow"/>
        <family val="2"/>
      </rPr>
      <t xml:space="preserve">ASESORIAS FINANCIERAS Y COMUNICACIONALES </t>
    </r>
    <r>
      <rPr>
        <sz val="10"/>
        <rFont val="Arial Narrow"/>
        <family val="2"/>
      </rPr>
      <t>LTDA.</t>
    </r>
  </si>
  <si>
    <r>
      <rPr>
        <sz val="10"/>
        <rFont val="Arial Narrow"/>
        <family val="2"/>
      </rPr>
      <t>BRACPESCA S.A.</t>
    </r>
  </si>
  <si>
    <r>
      <rPr>
        <sz val="10"/>
        <rFont val="Arial Narrow"/>
        <family val="2"/>
      </rPr>
      <t>CAMANCHACA PESCA SUR S.A.</t>
    </r>
  </si>
  <si>
    <r>
      <rPr>
        <sz val="10"/>
        <rFont val="Arial Narrow"/>
        <family val="2"/>
      </rPr>
      <t>CONGELADOS PACIFICO SpA.</t>
    </r>
  </si>
  <si>
    <r>
      <rPr>
        <sz val="10"/>
        <rFont val="Arial Narrow"/>
        <family val="2"/>
      </rPr>
      <t>DA VENEZIA RETAMALES ANTONIO</t>
    </r>
  </si>
  <si>
    <r>
      <rPr>
        <sz val="10"/>
        <rFont val="Arial Narrow"/>
        <family val="2"/>
      </rPr>
      <t>DERIS S.A.</t>
    </r>
  </si>
  <si>
    <r>
      <rPr>
        <sz val="10"/>
        <rFont val="Arial Narrow"/>
        <family val="2"/>
      </rPr>
      <t>ENFEMAR LTDA. SOC. PESQ.</t>
    </r>
  </si>
  <si>
    <r>
      <rPr>
        <sz val="10"/>
        <rFont val="Arial Narrow"/>
        <family val="2"/>
      </rPr>
      <t>GENMAR LTDA. SOC. PESQ.</t>
    </r>
  </si>
  <si>
    <r>
      <rPr>
        <sz val="10"/>
        <rFont val="Arial Narrow"/>
        <family val="2"/>
      </rPr>
      <t>GONZALEZ SILVA MARCELINO</t>
    </r>
  </si>
  <si>
    <r>
      <rPr>
        <sz val="10"/>
        <rFont val="Arial Narrow"/>
        <family val="2"/>
      </rPr>
      <t>GRIMAR S.A. PESQ,</t>
    </r>
  </si>
  <si>
    <r>
      <rPr>
        <sz val="10"/>
        <rFont val="Arial Narrow"/>
        <family val="2"/>
      </rPr>
      <t>INOSTROZA CONCHA PELANTARO</t>
    </r>
  </si>
  <si>
    <r>
      <rPr>
        <sz val="10"/>
        <rFont val="Arial Narrow"/>
        <family val="2"/>
      </rPr>
      <t>ISLADAMAS S.A. PESQ.</t>
    </r>
  </si>
  <si>
    <r>
      <rPr>
        <sz val="10"/>
        <rFont val="Arial Narrow"/>
        <family val="2"/>
      </rPr>
      <t>LANDES S.A. SOC. PESO.</t>
    </r>
  </si>
  <si>
    <r>
      <rPr>
        <sz val="10"/>
        <rFont val="Arial Narrow"/>
        <family val="2"/>
      </rPr>
      <t>LEUCOTON LTDA. SOC. PESQ.</t>
    </r>
  </si>
  <si>
    <r>
      <rPr>
        <sz val="10"/>
        <rFont val="Arial Narrow"/>
        <family val="2"/>
      </rPr>
      <t>NORDIO LTDA. SOC.</t>
    </r>
  </si>
  <si>
    <r>
      <rPr>
        <sz val="10"/>
        <rFont val="Arial Narrow"/>
        <family val="2"/>
      </rPr>
      <t>ORIZON S,A.</t>
    </r>
  </si>
  <si>
    <r>
      <rPr>
        <sz val="10"/>
        <rFont val="Arial Narrow"/>
        <family val="2"/>
      </rPr>
      <t>PESCA FINA SpA.</t>
    </r>
  </si>
  <si>
    <r>
      <rPr>
        <sz val="10"/>
        <rFont val="Arial Narrow"/>
        <family val="2"/>
      </rPr>
      <t>QUINTERO S.A. PESQ.</t>
    </r>
  </si>
  <si>
    <r>
      <rPr>
        <sz val="10"/>
        <rFont val="Arial Narrow"/>
        <family val="2"/>
      </rPr>
      <t>RUBIO Y MAUAD LTDA.</t>
    </r>
  </si>
  <si>
    <r>
      <rPr>
        <sz val="10"/>
        <rFont val="Arial Narrow"/>
        <family val="2"/>
      </rPr>
      <t>SUR AUSTRAL S.A. PESQ.</t>
    </r>
  </si>
  <si>
    <t>2535-17</t>
  </si>
  <si>
    <t>2073-13</t>
  </si>
  <si>
    <t>2232-13</t>
  </si>
  <si>
    <t>2221-13</t>
  </si>
  <si>
    <t>3562-15</t>
  </si>
  <si>
    <t>713-16</t>
  </si>
  <si>
    <t>DEJA S/E 3562-15</t>
  </si>
  <si>
    <t>947-16</t>
  </si>
  <si>
    <t>DEJA S/E 713-16</t>
  </si>
  <si>
    <t>1046-16</t>
  </si>
  <si>
    <t>RECTIFICA 947-16</t>
  </si>
  <si>
    <t>2013-15 (2012-15)</t>
  </si>
  <si>
    <t>102-16</t>
  </si>
  <si>
    <t>106-16</t>
  </si>
  <si>
    <t>2144-15 (107-16)</t>
  </si>
  <si>
    <t>Coef Negocio</t>
  </si>
  <si>
    <t>LTP Final</t>
  </si>
  <si>
    <t>UMD</t>
  </si>
  <si>
    <t>UMR</t>
  </si>
  <si>
    <t>107-16</t>
  </si>
  <si>
    <t>MOD A 2144-15</t>
  </si>
  <si>
    <t>3121-14</t>
  </si>
  <si>
    <t>2112-13</t>
  </si>
  <si>
    <t>N° identificación en Registro</t>
  </si>
  <si>
    <t>2065-13</t>
  </si>
  <si>
    <t>3924-16</t>
  </si>
  <si>
    <t>MOD 2065-13 POR VENTA</t>
  </si>
  <si>
    <t xml:space="preserve">Queda radicada </t>
  </si>
  <si>
    <t>COMPRA A ANTONIO DA V.</t>
  </si>
  <si>
    <t>518-18</t>
  </si>
  <si>
    <t>COMPRA A PACIFIC B..</t>
  </si>
  <si>
    <t>Unidad</t>
  </si>
  <si>
    <t>Recurso</t>
  </si>
  <si>
    <t>Tipo_Asignatario</t>
  </si>
  <si>
    <t>Organizacion_Titular_Area</t>
  </si>
  <si>
    <t>Periodo_Inicio</t>
  </si>
  <si>
    <t>Periodo_Final</t>
  </si>
  <si>
    <t>Cesiones_Descuentos</t>
  </si>
  <si>
    <t>Cuota_Efectiva</t>
  </si>
  <si>
    <t>Consumo_Porcentaje</t>
  </si>
  <si>
    <t>Cierre</t>
  </si>
  <si>
    <t>Preliminar</t>
  </si>
  <si>
    <t>-</t>
  </si>
  <si>
    <t>SINDICATO DE PESCADORES ARTESANALES Y AFINES "MANUEL VELIZ"   RSU 70.20.167 (ROA 1677)</t>
  </si>
  <si>
    <t>S.T.I. BUZOS PESCADORES U ACUICULTORES CALETA PRESIDENTE BALMACEDA DE LLICO    RSU 70.20.096  (ROA 1684)</t>
  </si>
  <si>
    <t>STIS.T.I. BUZOS , PESCADOREES ARTESANALES Y ACUICULTORES "EL ESFUERZO" DE BOYERUCA   RSU 70.20.147 (ROA 90322)</t>
  </si>
  <si>
    <t>S.T.I. BUZOS Y PESCADORES LIBERTAD DE BOYERUCA    RSU   70.20.094 (ROA 1706)</t>
  </si>
  <si>
    <t>RESIDUAL (UPT 187)</t>
  </si>
  <si>
    <t>S.T.I. de buzos y pescadores algueros y ramos afines Proa Centro de Duao RSU   70.20.111 (ROA 433)</t>
  </si>
  <si>
    <t>S.T.I. Pescadores artesanales Mar Brava de Duao RSU 70.20.116 (ROA 90214)</t>
  </si>
  <si>
    <t>S.T.I. de buzos, pescadores artesanales y acuicultores Mataquito de la Pesca RSU 70.20.103 (ROA 441)</t>
  </si>
  <si>
    <t>S.T.I de buzos pescadores artesanales Rancura-Duao RSU 70.20.216 (ROA 90337)</t>
  </si>
  <si>
    <t>S.T.I. de Tripulantes, Pescadores y Acuicultores - Caleta Duao RSU 70.20.252 (ROA 90492)</t>
  </si>
  <si>
    <t>Residual (UPT 91)</t>
  </si>
  <si>
    <t>S.T.I. Pescadores Estrellas de Mar RSU 70.50.168 (ROA 90319)</t>
  </si>
  <si>
    <t>STI PESCADORES ARTESANALES, BUZOS, MARISCADORES Y ALGUEROS DE PELLINES RSU  70.50.061 (ROA 1653)</t>
  </si>
  <si>
    <t>STI PESCADORES ARTESANALES Y BUZOS MARISCADORES PUERTO MAGUILLINES      RSU 70.50.046 (ROA 1688)</t>
  </si>
  <si>
    <t>S.T.I. BUZOS Y PESCADORES ARTEANALES N° 2 DE LA COMUNA DE PELLUHUE, CALETA CURANIPE   RSU 70.40.048 (ROA 1685)</t>
  </si>
  <si>
    <t>S.T.I. BUZOS Y PESCADORES ARTESANLES DE CURANIPE DE LA COMUNA DE PELLUHUE PROVINCIA CAUQUENES    RSU  70.40.029 (ROA 431)</t>
  </si>
  <si>
    <t>S.T.I. PESCADORES ARTESANALES, BUZOS, MARISCADORES Y RAMOS SIMILARES DE PELLUHUE   RSU 70.40.026 (ROA 432)</t>
  </si>
  <si>
    <t>S.T.I. PESCADORES ARTESANALES, BUZOS, MARISCADORES, ALGUEROS, ACUICULTORES Y ACTIVIDADES CONEXAS DE LA CALETA LOANCO DE LA COMUNA DE CHANCO  RSU 70.40.022 (ROA 413)</t>
  </si>
  <si>
    <t>STI DE PESCADORES ARTESANALES RECOLECTORES DE ORILLA BUZOS Y ALGUEROS N°2 DE PUTU     RSU 70.50.158 (ROA 90163)</t>
  </si>
  <si>
    <t>Residual (UPT 92)</t>
  </si>
  <si>
    <t>S.T.I. PESCADORES ARTESANALES, ACUICULTORES Y MARISCADORES DE ORILLA DE LOANCO N°2  RSU   70.40.045 (ROA 1657)</t>
  </si>
  <si>
    <t xml:space="preserve">S.T.I De Armadores constitucion R.S.U 70.50.186 (ROA 90638)
</t>
  </si>
  <si>
    <t xml:space="preserve">VII Región del Maule </t>
  </si>
  <si>
    <t xml:space="preserve">VI Región de Ohiggins </t>
  </si>
  <si>
    <t>No hay</t>
  </si>
  <si>
    <t>Organización</t>
  </si>
  <si>
    <t>Cuota Asignada Organización (ton)</t>
  </si>
  <si>
    <t>Cuota Asignada Area (Ton)</t>
  </si>
  <si>
    <t>Cuota Asignada Periodo (ton)</t>
  </si>
  <si>
    <t>XIV-X Regiones</t>
  </si>
  <si>
    <t>RESIDUAL CENTRO</t>
  </si>
  <si>
    <t>IX Region de la Araucanía</t>
  </si>
  <si>
    <t>AREA CENTRO</t>
  </si>
  <si>
    <t>AREA SUR</t>
  </si>
  <si>
    <t>AREA NORTE</t>
  </si>
  <si>
    <t>AREA NORTE II</t>
  </si>
  <si>
    <t>IX REGION</t>
  </si>
  <si>
    <t>XIV-X REGIONES</t>
  </si>
  <si>
    <t>ISLA QUIHUA S.A</t>
  </si>
  <si>
    <t xml:space="preserve">ANTARTIC SEAFOOD S.A.   </t>
  </si>
  <si>
    <t xml:space="preserve">ASESORIAS FINANCIERAS Y COMUCACIONALES LTDA. </t>
  </si>
  <si>
    <t xml:space="preserve">BRACPESCA S.A.              </t>
  </si>
  <si>
    <t xml:space="preserve">CAMANCHACA PESCA SUR S.A. </t>
  </si>
  <si>
    <t>ENFEMAR LTDA.</t>
  </si>
  <si>
    <t>GENMAR LTDA.</t>
  </si>
  <si>
    <t>GRIMAR S.A.</t>
  </si>
  <si>
    <t>INOSTROZA CONCHA PELANTARIO</t>
  </si>
  <si>
    <t>LANDES S.A.</t>
  </si>
  <si>
    <t>ORIZON S.A.</t>
  </si>
  <si>
    <t>PACIFICBLU SpA.</t>
  </si>
  <si>
    <t>SUR AUSTRAL S.A</t>
  </si>
  <si>
    <t>A.G PESCADORES ARTESANALES, BUZOS Y MARISCADORES DE COQUIMBO RAG 55-4</t>
  </si>
  <si>
    <t>RESIDUAL CENTRO VALPARAÍSO</t>
  </si>
  <si>
    <t>RESIDUAL SUR SAN ANTONIO</t>
  </si>
  <si>
    <t>STI PESCADORES ARTESANALES LAS TERRAZAS DE PICHILEMU RSU 06.07.0058</t>
  </si>
  <si>
    <t>STI PESCADORES ARTESANALES DE PICHILEMU RSU 06.07.0010</t>
  </si>
  <si>
    <t>S.T.I. PESCADORES DE BUCALEMU RSU 06.07.0071</t>
  </si>
  <si>
    <t>STI LAS ANIMAS 06.07.0070</t>
  </si>
  <si>
    <t>STI ARMADORES, PESCADORES ARTESANALES, RECOLECTORES Y RAMOS AFINES RSU 06.07.0075</t>
  </si>
  <si>
    <t>STI BUZOS MARISCADORES, PESCADORES Y ALGUEROS DE BUCALEMU 06.07.0019</t>
  </si>
  <si>
    <t>STI DE BUZOS Y PESCADORES ALGUEROS Y RAMOS AFINES PROA CENTRO DUAO RSU 07.02.0111 (ROA 433)</t>
  </si>
  <si>
    <t>STI DE BUZOS Y PESCADORES ARTESANALES MAR BRAVA DE DUAO RSU 07.02.0116 (ROA 90214)</t>
  </si>
  <si>
    <t>STI PESCADORES ARTESANALES, ARMADORES, PATRONES Y TRIPULANTES DE LA PESCA ARTESANAL Y ACTIVIDADES CONEXAS DE LA CALETA COCHOLGÜE DE TOMÉ RSU 08.06.0106 (ROA 5128)</t>
  </si>
  <si>
    <t>STI PESCADORES ARTESANALES DE LA CALETA COCHOLGÜE RSU 08.06.0023 (ROA 5125)</t>
  </si>
  <si>
    <t>STI PESCADORES ARTESANALES DE CALETA COLIUMO RSU 08.06.0027 (ROA 1037)</t>
  </si>
  <si>
    <t>STI DEL MAR Y ACUICULTORES DE LA PESCA ARTESANAL CALETA DICHATO RSU 08.06.0030 (ROA 1001)</t>
  </si>
  <si>
    <t>STI PESCADORES ARTESANALES, ARMADORES Y ACTIVIDADES CONEXAS DE TOMÉ LOS BAGRES RSU 08.06.0024 (ROA 5141)</t>
  </si>
  <si>
    <t>STI TRIPULANTES Y ARMADORES DE BOTES, PESCADORES ARTESANALES ALGUEROS, MARISCADORES Y ACTIVIDADES CONEXAS DE LA CALETA TUMBES DE LA COMUNA DE TALCACHUANO  RSU 08.05.0495 (ROA 5222)</t>
  </si>
  <si>
    <t>ASOCIACIÓN GREMIAL DE PESCADORES ARTESANALES DE SAN VICENTE - TALCAHUANO RAG 18-8</t>
  </si>
  <si>
    <t>STI PESCADORES ARTESANALES Y ALGUEROS VILLARICA-DICHATO RSU 08.06.0055</t>
  </si>
  <si>
    <t>STI DE ARMADORES PESCADORES ARTESANALES TRIPULANTES Y RAMAS SIMILARES BAHÍA CONCEPCIÓN RSU 08.05.0648</t>
  </si>
  <si>
    <t>STI PESCADORES ARTESANALES DE CALETA TUMBES TALCAHUANO RSU 08.05.0057</t>
  </si>
  <si>
    <t>ASOCIACIÓN GREMIAL DE PESCADORES ARTESANALES DE CALETA INFIERNILLO RAG 98-8</t>
  </si>
  <si>
    <t>STI PESCADORES ARTESANALES PENÍNSULA DE TUMBES RSU 08.05.0391</t>
  </si>
  <si>
    <t>STI ARMADORES Y PESCADORES Y RAMOS AFINES DE LA PESCA ARTESANAL DE CALETA LO ROJAS SITRAL RSU 08.07.0322</t>
  </si>
  <si>
    <t>STI PESCADORES ARTESANALES, BUZOS MARISCADORES, ARMADORES ARTESANALES Y ACTIVIDADES CONEXAS DE CORONEL Y DEL GOLFO DE ARAUCO VIII REGIÓN SIPARBUMAR CORONEL RSU 08.07.0183</t>
  </si>
  <si>
    <t>STI PESCADORES ARTESANALES CALETA LO ROJAS SITRAINPAR RSU 08.07.0287</t>
  </si>
  <si>
    <t>STI PEQUEÑOS ARMADORES Y PESCADORES ARTESANALES DE CERCO Y OTRAS ACTIVIDADES AFINES DE CORONEL Y LOTA SIPAC RSU 08.07.0373</t>
  </si>
  <si>
    <t>ASOCIACIÓN GREMIAL DE PESCADORES ARTESANALES DE CORONEL RAG 5-8</t>
  </si>
  <si>
    <t>ASOCIACIÓN GREMIAL DE ARMADORES, PESCADORES ARTESANALES Y ACTIVIDADES AFINES ARMAPESCA A.G RAG 635-8</t>
  </si>
  <si>
    <t>ASOCIACIÓN GREMIAL DE PRODUCTORES PELÁGICOS, ARMADORES ARTESANALES DE LAS CALETAS DE CORONEL Y SAN VICENTE DE LA VIII REGIÓN ARPESCA A.G RAG 447-8</t>
  </si>
  <si>
    <t>STI PESCADORES ARTESANALES MERLUCEROS Y AFINES DE CALETA LO ROJAS RSU 08.07.0227</t>
  </si>
  <si>
    <t>STI PESCADORES, ARMADORES Y RAMOS AFINES SIPEAYRAS DE LOTA RSU 08.07.0296</t>
  </si>
  <si>
    <t>STI PESCADORES, ARMADORES Y RAMAS AFINES DE LA PESCA ARTESANAL JUANOVOARCE-LOTA  RSU 08.07.0485</t>
  </si>
  <si>
    <t>COOPERATIVA DE PESCADORES SOL DE ISRAEL LIMITADA COOPES LTDA. 5483</t>
  </si>
  <si>
    <t>STI PESCADORES Y ARMADORES Y RAMOS AFINES DE LA PESCA ARTESANAL, LOTA PESCA RSU 08.07.0495</t>
  </si>
  <si>
    <t>STI PESCADORES Y ARMADORES Y RAMOS AFINES DE LA PESCA ARTESANAL, EPES LOTA RSU 08.07.0510</t>
  </si>
  <si>
    <t>COOPERATIVA PESQUERA ARTESABAK DE CORONEL LTDA. 5472</t>
  </si>
  <si>
    <t>STI PESCADORES ARTESANALES, LANCHEROS, ACUICULTORES Y ACTIVIDADES CONEXAS DE CALETA LOTA BAJO SIPESCA LOTA BAJO RSU 08.07.0106</t>
  </si>
  <si>
    <t>STI PESCA ARTESANAL, BUZOS MARISCADORES Y ACTIVIDADES CONEXAS DE LA CALETA DE QUIDICO RSU 08.04.0032</t>
  </si>
  <si>
    <t>STI DE LA PESCA ARTESANAL, BUZOS MARISCADORES Y ACTIVIDADES CONEXAS DE LA CALETA DE TIRUA RSU 08.12.0007</t>
  </si>
  <si>
    <t>STI DE PESCADORES ARTESANALES, BUZOS MARISCADORES CALETA QUIDICO RSU 08.13.0051</t>
  </si>
  <si>
    <t>CONTROL CUOTA MERLUZA COMÚN_ ARTESANAL_IV-X_AÑO 2019</t>
  </si>
  <si>
    <t>ASOCIACIÓN GREMIAL DE PESCADORES ARTESANALES CALETA LOTA-A.G. APESCA LOTA 428-8</t>
  </si>
  <si>
    <t>STI DE BUZOS Y PESCADORES ARTESANALES Y ACUICULTORES MATAQUITO DE LA PESCA RSU 07.02.0103</t>
  </si>
  <si>
    <t>STI PESCADORES ESTRELLAS DE MAR RSU 07.05.0168</t>
  </si>
  <si>
    <t>STI DE TRIPULANTES, PESCADORES Y ACUICULTORES - CALETA DUAO RSU 07.02.0252</t>
  </si>
  <si>
    <t>STI PESCADORES ARTESANALES HISTÓRICOS DE TALCAHUANO SPARHITAL  RSU 08.05.0382 (ROA 1633)</t>
  </si>
  <si>
    <t>STI PESCADORES ARMADORES ARTESANALES DE EMBARCACIONES MENORES DE LA CALETA DE TUMBES SIPEAREM RSU 08.05.0569</t>
  </si>
  <si>
    <t>STI PESCADORES ARMADORES ARTESANALES BUZOS ACUICULTORES Y  RAMOS AFINES DE LA PESCA ARTESANAL DE TALCAHUANO SIPEARTAL RSU 08.05.0487</t>
  </si>
  <si>
    <t>STI DE BUZOS, AYUDANTES DE BUZO, PESCADORES ARTESANALES ALGUERAS Y ACTIVIDADES CONEXAS DE LAS CALETAS TOMÉ Y QUICHIUTO RSU 08.06.0043</t>
  </si>
  <si>
    <t>STI ARMADORES PESCADORES ARTESANALES ALGUEROS Y RAMOS AFINES MEDITERRÁNEO RSU 08.05.0605</t>
  </si>
  <si>
    <t>STI PESCA ARTESANAL ARMADORES BUZOS MARISCADORES RECOLECTORES DE ORILLA Y ACTIVIDADES CONEXAS CALETA COBQUECURA RSU 08.02.0176</t>
  </si>
  <si>
    <t>STI PESCADORES ARMADORES Y BUZOS MARISCADORES Y ACTIVIDADES CONEXAS SIPARBUM RSU 08.05.0424</t>
  </si>
  <si>
    <t>STI PESCADORES ARTESANALES ARMADORES Y ACTIVIDADES CONEZAS DE CALETA COLIUMO RSU 08.06.0150</t>
  </si>
  <si>
    <t>STI PESCADORES ARTESANALES BUZOS MARISCADORES CALETA CANTERA RSU 08.05.0210</t>
  </si>
  <si>
    <t>STI PESCADORES ARMADORES Y RAMOS AFINES DE LA PESCA ARTESANAL APAT CALETA TUMBES RSU 08.05.0380</t>
  </si>
  <si>
    <t>SINDICATO PESCADORES ARTESANALES ARMADORES PELÁGICOS Y ACTIVIDADES CONEXAS DE LA CALETA VEGAS DE COLIUMO RSU 08.06.0113</t>
  </si>
  <si>
    <t>ASOCIACIÓN GREMIAL DE ARMADORES PESCADORES ARTESANALES BUZOS MARISCADORES RECOLECTORES DE ORILLA Y RAMOS AFINES - AG ESCAFANDRAS CON HISTORIA DE TALCAHUANO RAG 62-8</t>
  </si>
  <si>
    <t>ASOCIACIÓN GREMIAL DE PESCADORES Y ARMADORES PELÁGICOS DE LA REGIÓN DEL BIOBÍO - PESCAMAR AG RAG 450-8</t>
  </si>
  <si>
    <t>AGRUPACIÓN DE ARMADORES GOLFO DE ARAUCO  ROC 621 ARAUCO</t>
  </si>
  <si>
    <t>BOLSON RESIDUAL CENTRO</t>
  </si>
  <si>
    <t>NORTE I</t>
  </si>
  <si>
    <t>AREA NORTE QUINTERO</t>
  </si>
  <si>
    <t>Cuota ton</t>
  </si>
  <si>
    <t>RPA</t>
  </si>
  <si>
    <t>CESIONARIOS INDIVIDUALES</t>
  </si>
  <si>
    <t>I</t>
  </si>
  <si>
    <t>EMBARCACION</t>
  </si>
  <si>
    <t>Total cesiones</t>
  </si>
  <si>
    <t>LA SOFI (RPA 954560)</t>
  </si>
  <si>
    <t>VAY II (RPA 959029)</t>
  </si>
  <si>
    <t>R. JUNIOR (RPA 966604)</t>
  </si>
  <si>
    <t>EL LEYTON (RPA 900331)</t>
  </si>
  <si>
    <t>SANTA ROSA II (RPA 954991)</t>
  </si>
  <si>
    <t>PERLA NEGRA (RPA 953991)</t>
  </si>
  <si>
    <t>FULLU (RPA 954253)</t>
  </si>
  <si>
    <t>ESPERANZA I (RPA 955167)</t>
  </si>
  <si>
    <t>EL PATRON (RPA 962485)</t>
  </si>
  <si>
    <t>ERICAR (RPA 957516)</t>
  </si>
  <si>
    <t>SAN JOSE III (RPA 962034)</t>
  </si>
  <si>
    <t>BEN-HUR II (RPA 962110)</t>
  </si>
  <si>
    <t>MARIA ELIANA (RPA 958902)</t>
  </si>
  <si>
    <t>EL FARO (RPA 964544)</t>
  </si>
  <si>
    <t>GONZALO ZUÑIGA ROMERO</t>
  </si>
  <si>
    <t>año</t>
  </si>
  <si>
    <t>comentario</t>
  </si>
  <si>
    <t>Nota: Con el fin de establecer correctamente la cuota asignada y debido a que las cuotas por organización (Res. Ex. N° 853-19) y por embarcación (Res. Ex. N° 1405-19) fueron publicadas durante febrero y abril, respectivamente y además consideraron los saldos de los meses anteriores,para los RAE por organizacion, en el mes de enero se le descontó el saldo de existente al 19 de febrero y es por esto que muchas se encuentran con un consumo de 100%. En la distribucion de RAE individual, se descontó el saldo del período en que operó solo a nivel de organizacion, Febrero - Marzo, produciendose la misma situacion antes mencionada.</t>
  </si>
  <si>
    <t xml:space="preserve">AREA SUR </t>
  </si>
  <si>
    <t>AREA  NORTE</t>
  </si>
  <si>
    <t>VI REGIÓN DEL LIBERTADOR BERNARDO O´HIGGINS</t>
  </si>
  <si>
    <t>VII REGIÓN DEL MAULE</t>
  </si>
  <si>
    <t>VIII REGIÓN DEL BIOBÍO</t>
  </si>
  <si>
    <t>AREA NORTE 1</t>
  </si>
  <si>
    <t>CESIONES INDIVIDUALES MERLUZA COMÚN, AÑO 2020</t>
  </si>
  <si>
    <t>captura</t>
  </si>
  <si>
    <t>SEA SHEPHERD (967391)</t>
  </si>
  <si>
    <t>JOSEFA (967328)</t>
  </si>
  <si>
    <t>STI N° 1 DE BUZOS, PESCADORES Y ACUICULTORES "PRESIDENTE BALMACEDA DE LLICO"  RSU 07.02.0372</t>
  </si>
  <si>
    <t>CARLITA II (963657)</t>
  </si>
  <si>
    <t>CRUCERO DEL MAR I (963743)</t>
  </si>
  <si>
    <t>EL NIÑO I (963683)</t>
  </si>
  <si>
    <t>EL RAUL I (959324)</t>
  </si>
  <si>
    <t>MARIA IRENE III (965110)</t>
  </si>
  <si>
    <t>PINGÜINO I (956576)</t>
  </si>
  <si>
    <t>TITAN DEL MAR I (965111)</t>
  </si>
  <si>
    <t>VICENTE ALONSO (966350)</t>
  </si>
  <si>
    <t>EL VIEJO ROLA (966699)</t>
  </si>
  <si>
    <t>MARIA LUISA (965925)</t>
  </si>
  <si>
    <t>DEILYN I (961356)</t>
  </si>
  <si>
    <t>EL LOLO II (960360)</t>
  </si>
  <si>
    <t>ABRAHAM (966190)</t>
  </si>
  <si>
    <t>ALFA I (961290)</t>
  </si>
  <si>
    <t>MAC - GIVER IV (966923)</t>
  </si>
  <si>
    <t xml:space="preserve">SABANDIJA (966072) </t>
  </si>
  <si>
    <t>TRISTAN II (964422)</t>
  </si>
  <si>
    <t>TRISTAN III (965407)</t>
  </si>
  <si>
    <t>LOBO SOLITARIO IV (967956)</t>
  </si>
  <si>
    <t>CORNELIA MARIE 3.0 (967937)</t>
  </si>
  <si>
    <t>EL LLANERO VI (967255)</t>
  </si>
  <si>
    <t>LOBO SOLITARIO V (967631)</t>
  </si>
  <si>
    <t>PERLA NEGRA II (967660)</t>
  </si>
  <si>
    <t>RAPA NUI VII (966898)</t>
  </si>
  <si>
    <t>SAN FRANCISCO VI (967464)</t>
  </si>
  <si>
    <t>ANA DELIA III (966442)</t>
  </si>
  <si>
    <t>ATUN II (965119)</t>
  </si>
  <si>
    <t>AVENTURERO III (965028)</t>
  </si>
  <si>
    <t>CORSARIOS (961538)</t>
  </si>
  <si>
    <t>EL SAMURAI (913244)</t>
  </si>
  <si>
    <t>INBANO IV (966145)</t>
  </si>
  <si>
    <t>LUCAS II (962133)</t>
  </si>
  <si>
    <t>LUKAS MARCELO II (960852)</t>
  </si>
  <si>
    <t>MARIMARCE III (966523)</t>
  </si>
  <si>
    <t>PELICANO III (960308)</t>
  </si>
  <si>
    <t>RAUL ALEXANDER I (960895)</t>
  </si>
  <si>
    <t>SAMURAI V (966836)</t>
  </si>
  <si>
    <t>SANDER III (963707)</t>
  </si>
  <si>
    <t>TRITON IV (963932)</t>
  </si>
  <si>
    <t>COSTA BRAVA IV (966736)</t>
  </si>
  <si>
    <t>DELFIN VIII (966792)</t>
  </si>
  <si>
    <t>EL SOLITARIO IV (960371)</t>
  </si>
  <si>
    <t>JESUS VI (966043)</t>
  </si>
  <si>
    <t>SAN ANTONIO VII (967081)</t>
  </si>
  <si>
    <t>TIBURON VIII (966737)</t>
  </si>
  <si>
    <t>VIDA MARINA IV (959394)</t>
  </si>
  <si>
    <t>EMMANUEL II (967124)</t>
  </si>
  <si>
    <t>OCEANIC III (965565)</t>
  </si>
  <si>
    <t>AGUILA REAL  V (966819)</t>
  </si>
  <si>
    <t>AGUILUCHO I  (963628)</t>
  </si>
  <si>
    <t>BELEN I (968302)</t>
  </si>
  <si>
    <t>CORSARIO VI (966584)</t>
  </si>
  <si>
    <t>DON MOISES I (966476)</t>
  </si>
  <si>
    <t>EL SIRIO (966942)</t>
  </si>
  <si>
    <t>FERNANDA IGNACIA I (967158)</t>
  </si>
  <si>
    <t>GERSON VIII (965326)</t>
  </si>
  <si>
    <t>INDEPENDENCIA I (967157)</t>
  </si>
  <si>
    <t>KING FISH I (966651)</t>
  </si>
  <si>
    <t>KOMATSU KAMING I (965179)</t>
  </si>
  <si>
    <t>MAR BEN (966274)</t>
  </si>
  <si>
    <t>MAR LOA (968228)</t>
  </si>
  <si>
    <t>MAX RAPER I (965814)</t>
  </si>
  <si>
    <t>MISTER CHILE I (965767)</t>
  </si>
  <si>
    <t>PITUFO III (966444)</t>
  </si>
  <si>
    <t>PUNTA DE LOBOS II (968163)</t>
  </si>
  <si>
    <t>PUNTA DE LOBOS I (967155)</t>
  </si>
  <si>
    <t>PUNTA DEL ESTE I (966953)</t>
  </si>
  <si>
    <t>RAYO DE SOL IV (965226)</t>
  </si>
  <si>
    <t>RAYO IV (966787)</t>
  </si>
  <si>
    <t>SANTA OLGA III (966443)</t>
  </si>
  <si>
    <t>SIMBAD EL MARINO VI (967018)</t>
  </si>
  <si>
    <t>TIO CHERITO (966055)</t>
  </si>
  <si>
    <t>LEONORA II (966658)</t>
  </si>
  <si>
    <t>BUENA VISTA IV (965550)</t>
  </si>
  <si>
    <t>DON BETITO I (967595)</t>
  </si>
  <si>
    <t>EL FENIX I (965543)</t>
  </si>
  <si>
    <t>LUIS RICARDO III (966090)</t>
  </si>
  <si>
    <t>TERESITA II (968011)</t>
  </si>
  <si>
    <t>PEZ DORADO III (967326)</t>
  </si>
  <si>
    <t>SAN NICOLAS I (963622)</t>
  </si>
  <si>
    <t>SAN ROQUE VII (966419)</t>
  </si>
  <si>
    <t>TITANIC VII (967667)</t>
  </si>
  <si>
    <t>ANUBIS II (965560)</t>
  </si>
  <si>
    <t xml:space="preserve">ARIES V (967117) </t>
  </si>
  <si>
    <t>CACHARPIN III (966768)</t>
  </si>
  <si>
    <t>CHILOTE I (961144)</t>
  </si>
  <si>
    <t>CRISTIAN III (963684)</t>
  </si>
  <si>
    <t>CRISTOBAL III (966327)</t>
  </si>
  <si>
    <t>DAYSI ANDREA IV (966642)</t>
  </si>
  <si>
    <t>FARO FELIX III (965293)</t>
  </si>
  <si>
    <t>JEREMY IGNACIO II (963727)</t>
  </si>
  <si>
    <t>JIMMY CRISTAL II (966785)</t>
  </si>
  <si>
    <t>KOSITA II (966412)</t>
  </si>
  <si>
    <t>MAMA ROSA V (966897)</t>
  </si>
  <si>
    <t>MARANATHA II (966725)</t>
  </si>
  <si>
    <t>MARINER III (966280)</t>
  </si>
  <si>
    <t>OLIMPO V (966766)</t>
  </si>
  <si>
    <t>PADRE PIO (957203)</t>
  </si>
  <si>
    <t>POMPEYA II (967128)</t>
  </si>
  <si>
    <t>RODRIGO ANDRES II (964703)</t>
  </si>
  <si>
    <t>SAN CARLOS III (966007)</t>
  </si>
  <si>
    <t>SAN PITER I (960855)</t>
  </si>
  <si>
    <t>TATA RENE II (965577)</t>
  </si>
  <si>
    <t>TIARE CAROLINA I (966652)</t>
  </si>
  <si>
    <t>WAL-PA V (963900)</t>
  </si>
  <si>
    <t>WAL-PA VI (964547)</t>
  </si>
  <si>
    <t>ASOCIACIÓN GREMIAL DE ARMADORES ARTESANALES Y PRODUCTORES PELÁGICOS DE LA CALETA EL MORRO DE TALCAHUANO AGEMAPAR (376-8)</t>
  </si>
  <si>
    <t>SINDICATO DE PESCADORES Y ARMADORES ARTESANALES DEL MAR SIPARMAR TALCAHUANO (08.05.0399)</t>
  </si>
  <si>
    <t>Pesca de investigación Merluza común 2020</t>
  </si>
  <si>
    <t>SAN DIEGO V (963896)</t>
  </si>
  <si>
    <t>CARLITA (964956)</t>
  </si>
  <si>
    <t>AQUILES VI (966275)</t>
  </si>
  <si>
    <t>BAYWACHT II (966647)</t>
  </si>
  <si>
    <t>GALILEA (965735)</t>
  </si>
  <si>
    <t>VICTOR MANUEL V (966623)</t>
  </si>
  <si>
    <t>BENJAMIN ANTONIO M (964033)</t>
  </si>
  <si>
    <t>EL TORITO II (966116)</t>
  </si>
  <si>
    <t>GUARDIAN DE LA BAHIA III (961540)</t>
  </si>
  <si>
    <t>QUETZAL III (958072)</t>
  </si>
  <si>
    <t>ASOCIACIÓN GREMIAL DE ARMADORES ARTESANALES VALLEMAR LORA 548-8</t>
  </si>
  <si>
    <t>Ene-Jun</t>
  </si>
  <si>
    <t>STI PESCADORES ARTESANALES DE CALETA PORTALES  RSU 05.10.0037</t>
  </si>
  <si>
    <t>STI ARTESANALES DE CON CON  RSU 50.60.0043</t>
  </si>
  <si>
    <t>STI PESCADORES ARTESANALES DE CALETA HIGUERILLA RSU 50.60.0048</t>
  </si>
  <si>
    <t>STI PESCADORES CALETA EL MEMBRILLO RSU 50.10.0061</t>
  </si>
  <si>
    <t>GOLIATH IV (967024)</t>
  </si>
  <si>
    <t xml:space="preserve"> SOFIA II (963674)</t>
  </si>
  <si>
    <t>RESIDUAL</t>
  </si>
  <si>
    <t>ISLADAMAS S.A.</t>
  </si>
  <si>
    <t>UNIDAD DE PESQUERIA</t>
  </si>
  <si>
    <t>SECTOR</t>
  </si>
  <si>
    <t>FRACCIONAMIENTO</t>
  </si>
  <si>
    <t>MOVIMIENTOS (TON)</t>
  </si>
  <si>
    <t>CUOTA EFECTIVA (TON)</t>
  </si>
  <si>
    <t>SALDO (TON)</t>
  </si>
  <si>
    <t>% CONSUMIDO</t>
  </si>
  <si>
    <t>MERLUZA COMUN IV AL 41°28,6 L.S.</t>
  </si>
  <si>
    <t>ARTESANAL</t>
  </si>
  <si>
    <t>CESIONES INDIVIDUALES</t>
  </si>
  <si>
    <t>INDUSTRIAL</t>
  </si>
  <si>
    <t>INVESTIGACION</t>
  </si>
  <si>
    <t>IMPREVISTO</t>
  </si>
  <si>
    <t>ARTESANL IV</t>
  </si>
  <si>
    <t>ARTESANAL V</t>
  </si>
  <si>
    <t>ARTESANAL VI</t>
  </si>
  <si>
    <t>ARTESANAL VII</t>
  </si>
  <si>
    <t>ARTESANAL XVI-VIII</t>
  </si>
  <si>
    <t>ARTESANAL IX</t>
  </si>
  <si>
    <t>ARTESANAL XIV-X</t>
  </si>
  <si>
    <t>FAUNA ACOMPAÑANTE</t>
  </si>
  <si>
    <t>CONTROL CUOTA GLOBAL MERLUZA COMUN IV-41°28,6 L.S AÑO 2021.</t>
  </si>
  <si>
    <t>FRACCION</t>
  </si>
  <si>
    <t>FUERA DE AREA</t>
  </si>
  <si>
    <t>INDUSTRIAL-ARTESANAL</t>
  </si>
  <si>
    <t>Información Preliminar</t>
  </si>
  <si>
    <t>ASIGNATARIO</t>
  </si>
  <si>
    <t>AREA/ORGANIZACIÓN</t>
  </si>
  <si>
    <t>PERIODO</t>
  </si>
  <si>
    <t>CUOTA ASIGANDA (TON)</t>
  </si>
  <si>
    <t>CAPTURA (TON)</t>
  </si>
  <si>
    <t>FECHA DE CIERRE</t>
  </si>
  <si>
    <t>IV REGION DE COQUIMBO</t>
  </si>
  <si>
    <t xml:space="preserve">V REGION DE VALPARAISO
</t>
  </si>
  <si>
    <t>TITULAR DE CUOTA LTP</t>
  </si>
  <si>
    <t>CUOTA ASIGNADA (TON)</t>
  </si>
  <si>
    <t>MOVIMIENTO (TON)</t>
  </si>
  <si>
    <t>CONTROL DE CUOTA MERLUZA COMUN IV al 41°28,6´ LS. FRACCION INDUSTRIAL AÑO 2021</t>
  </si>
  <si>
    <t>MERLUZA COMUN IV REGION AL PARALELO  41° 28,6' L.S.</t>
  </si>
  <si>
    <t>STI ARMADORES Y PESCADORES ARTESANALES, ACUICULTORES, ALGUEROS (AS) Y RAMOS AFINES "MAFMAR" (08.05.0645)</t>
  </si>
  <si>
    <t>ASOCIACION GREMIAL DE PESCADORES ARTESANALES, ARMADORES ARTESANALES PELÁGICOS Y ACTIVIDADES AFINES DE LA CALETA DE LOTA VIII REGIÓN A.G.-SIERRA AZUL A.G., REGISTRO DE ASOCIACIONES GEMIALES 576-8</t>
  </si>
  <si>
    <t>ASOCIACION GREMIAL DE ARMADORES, PESCADORES ARTESANALES Y ACTIVIDADES AFINES, CHALLWAFE A.G-CHALLWAFE A.G (RAG 674-8)</t>
  </si>
  <si>
    <t>ASOCIACION GREMIAL DE ARMADORES, PESCADORES ARTESANALES Y ACTIVIDADES AFINES, SIMBA A.G (RAG 679-8)</t>
  </si>
  <si>
    <t>ASOCIACION GREMIAL DE ARMADORES, PESCADORES ARTESANALES Y ACTIVIDADES AFINES, DE LAS CALETAS DE CORONEL Y LOTA DE LA REGIÓN DEL BIOBÍO - PESCA SUR A.G (RAG 680-8)</t>
  </si>
  <si>
    <t xml:space="preserve">RESIDUAL </t>
  </si>
  <si>
    <t>GERSON CHINO IV (967400)</t>
  </si>
  <si>
    <t xml:space="preserve"> CAPITAN PAVEZ (969389)</t>
  </si>
  <si>
    <t xml:space="preserve"> BARCAM (968407)</t>
  </si>
  <si>
    <t xml:space="preserve"> EL GITANO III (966092)</t>
  </si>
  <si>
    <t xml:space="preserve"> FELIPE JESUS III (966209)</t>
  </si>
  <si>
    <t>PERONI (968844)</t>
  </si>
  <si>
    <t>SOL Y MAR II (967610)</t>
  </si>
  <si>
    <t>Antonella Paz I</t>
  </si>
  <si>
    <t>VIII-XVI</t>
  </si>
  <si>
    <t>N° RESOLUCION</t>
  </si>
  <si>
    <t>CUOTA (TON)</t>
  </si>
  <si>
    <t>DESCUENTOS</t>
  </si>
  <si>
    <t>% CONSUMO</t>
  </si>
  <si>
    <t>EL SALINERO (RPA 697275)</t>
  </si>
  <si>
    <t>SAN MARCOS III (RPA 968849)</t>
  </si>
  <si>
    <t>RUTH CAROLINA (RPA 969109)</t>
  </si>
  <si>
    <t>CRISTOPHER II (RPA 969226)</t>
  </si>
  <si>
    <t>PATO CHONCHON IV (RPA 969349)</t>
  </si>
  <si>
    <t>JORGE COFRE TOLEDO</t>
  </si>
  <si>
    <t>Don Jose L I</t>
  </si>
  <si>
    <t>Catalina</t>
  </si>
  <si>
    <t>Diana III</t>
  </si>
  <si>
    <t>L. Maximiliano I</t>
  </si>
  <si>
    <t>Genezaret II</t>
  </si>
  <si>
    <t>Uziel IV</t>
  </si>
  <si>
    <t>Uziel III</t>
  </si>
  <si>
    <t>Genezaret I</t>
  </si>
  <si>
    <t>Marisan I</t>
  </si>
  <si>
    <t>Noemi I</t>
  </si>
  <si>
    <t>COMERCIALIZADORA SIMON SEAFOOD LTDA.</t>
  </si>
  <si>
    <t>PESQUERA CMK LTDA.</t>
  </si>
  <si>
    <t>SOCIEDAD PESQUERA NORDIOMAR SpA</t>
  </si>
  <si>
    <t>MARIELA DE LOS ANGELES PINO LEIVA</t>
  </si>
  <si>
    <t>STI PESCADORES ARMADORES Y RAMOS AFINES DE LA PESCA ARTESANAL DE CORONEL SIPARMAR CORONEL RSU 08.70.0271</t>
  </si>
  <si>
    <t>PAZ NATANAEL IV (969524)</t>
  </si>
  <si>
    <t>MONTECRISTO (969566)</t>
  </si>
  <si>
    <t>RAPA NUI VIII (697630)</t>
  </si>
  <si>
    <t>ADONAI ALEJEIM (969227)</t>
  </si>
  <si>
    <t>ZORRO II (969300)</t>
  </si>
  <si>
    <t>ESPERANZA III (968695)</t>
  </si>
  <si>
    <t>ANTONIOS IRENE (967597)</t>
  </si>
  <si>
    <t>Montecristo II</t>
  </si>
  <si>
    <t>Marisol I</t>
  </si>
  <si>
    <t>DIEGO ANTONIO II (697566)</t>
  </si>
  <si>
    <t>MARIA VICTORIA II (968372)</t>
  </si>
  <si>
    <t>SANTA ROSA III (968954)</t>
  </si>
  <si>
    <t>EL PELICANO IV (968909)</t>
  </si>
  <si>
    <t>KARINA ANDREA III (697782)</t>
  </si>
  <si>
    <t>LOS CARRERA I (967344)</t>
  </si>
  <si>
    <t>MARGAB II (967798)</t>
  </si>
  <si>
    <t>ESMERALDA R (697570)</t>
  </si>
  <si>
    <t>MERY I (697551)</t>
  </si>
  <si>
    <t>SAN PEDRO I (968968)</t>
  </si>
  <si>
    <t>EL FANTASMA I (968333)</t>
  </si>
  <si>
    <t>SKORPIOS III (969008)</t>
  </si>
  <si>
    <t>PAULITO II (969208)</t>
  </si>
  <si>
    <t>SANTA MARIA V (968097)</t>
  </si>
  <si>
    <t>ALSADO II (968702)</t>
  </si>
  <si>
    <t>AYSEN III (966821)</t>
  </si>
  <si>
    <t>SKORPIO III (968042)</t>
  </si>
  <si>
    <t>KEVIN III (967882)</t>
  </si>
  <si>
    <t>MAICOL  (969037)</t>
  </si>
  <si>
    <t>NORTHWESTERN III (697835)</t>
  </si>
  <si>
    <t>PATRON DEL MAR  (969013)</t>
  </si>
  <si>
    <t>SAN SEBASTIAN 1  (968514)</t>
  </si>
  <si>
    <t>BARLOVENTO  (969310)</t>
  </si>
  <si>
    <t>ALEXANDER (969309)</t>
  </si>
  <si>
    <t>NAUTILUS III (968827)</t>
  </si>
  <si>
    <t>JEFE DEL MAR VII (965784)</t>
  </si>
  <si>
    <t>CRISTOBAL II (967948)</t>
  </si>
  <si>
    <t>LAITO II (697698)</t>
  </si>
  <si>
    <t>LAITO III (968664)</t>
  </si>
  <si>
    <t>MEJILLONES V (967779)</t>
  </si>
  <si>
    <t>NICOL III (697790)</t>
  </si>
  <si>
    <t>PERSEVERANCIA III (967345)</t>
  </si>
  <si>
    <t>TATA FILA I  (967210)</t>
  </si>
  <si>
    <t>YO SERGIO IV (967419)</t>
  </si>
  <si>
    <t>RESIDUAL SUR (NO ASOCIADOS: LUCIANA, SAN LORENZO, ANTARES II, REY POSEIDON I)</t>
  </si>
  <si>
    <t xml:space="preserve"> TERESITA IV (697714)</t>
  </si>
  <si>
    <t>SINDICATO DE PESCADORES ARTESANALES Y AFINES "MANUEL VELIZ"   RSU 70.02.0167</t>
  </si>
  <si>
    <t>S.T.I. BUZOS Y PESCADORES LIBERTAD DE BOYERUCA  RSU 07.02.0094</t>
  </si>
  <si>
    <t>STI PESCADORES ARTESANALES, BUZOS, MARISCADORES Y ALGUEROS DE PELLINES  RSU 07.05.0061</t>
  </si>
  <si>
    <t xml:space="preserve">S.T.I. PESCADORES ARTESANALES, ACUICULTORES Y MARISCADORES DE ORILLA DE LOANCO (N°2) RSU 07.04.0045 </t>
  </si>
  <si>
    <t>S.T.I. BUZOS Y PESCADORES ARTEANALES N° 2 DE LA COMUNA DE PELLUHUE, CALETA CURANIPE   RSU 07.04.0048</t>
  </si>
  <si>
    <t>STI PESCADORES ARTESANALES Y BUZOS MARISCADORES PUERTO MAGUILLINES      RSU 07.05.0046</t>
  </si>
  <si>
    <t>S.T.I. BUZOS Y PESCADORES ARTESANLES DE CURANIPE DE LA COMUNA DE PELLUHUE PROVINCIA CAUQUENES    RSU  07.04.0029</t>
  </si>
  <si>
    <t>S.T.I. PESCADORES ARTESANALES, BUZOS, MARISCADORES Y RAMOS SIMILARES DE PELLUHUE R.S.U. 07.04.0026</t>
  </si>
  <si>
    <t>S.T.I. PESCADORES ARTESANALES, BUZOS, MARISCADORES, ALGUEROS, ACUICULTORES Y ACTIVIDADES CONEXAS DE LA CALETA LOANCO DE LA COMUNA DE CHANCO  RSU 07.04.0022</t>
  </si>
  <si>
    <t xml:space="preserve">STI DE PESCADORES ARTESANALES RECOLECTORES DE ORILLA BUZOS Y ALGUEROS N°2 DE PUTU     RSU 07.05.0158  </t>
  </si>
  <si>
    <t>S.T.I DE ARMADORES DE CONSTITUCION RSU 07.05.0186</t>
  </si>
  <si>
    <t>STIS.T.I. BUZOS , PESCADOREES ARTESANALES Y ACUICULTORES "EL ESFUERZO" DE BOYERUCA RSU 07.02.0147</t>
  </si>
  <si>
    <t>REGION IX</t>
  </si>
  <si>
    <t>MACROZONA XIV-X</t>
  </si>
  <si>
    <t>DON BLAS  (969046)</t>
  </si>
  <si>
    <t>DESCUENTO POR SANCION</t>
  </si>
  <si>
    <t>CUOTA RESIDUAL O BOLSÓN NORTE</t>
  </si>
  <si>
    <t>CUOTA RESIDUAL O BOLSÓN CENTRO</t>
  </si>
  <si>
    <t>CUOTA RESIDUAL O BOLSÓN SUR</t>
  </si>
  <si>
    <t>Flor Maria II</t>
  </si>
  <si>
    <t>Jonnathan</t>
  </si>
  <si>
    <t>Perla Negra</t>
  </si>
  <si>
    <t>Santa Evita II</t>
  </si>
  <si>
    <t>Princesa 3A</t>
  </si>
  <si>
    <t>Uziel II</t>
  </si>
  <si>
    <t>Carmen Gloria</t>
  </si>
  <si>
    <t>Bendicion II</t>
  </si>
  <si>
    <t>Don Luciano</t>
  </si>
  <si>
    <t>Mateito</t>
  </si>
  <si>
    <t>Lerito</t>
  </si>
  <si>
    <t>Sarita II</t>
  </si>
  <si>
    <t>Estrella II</t>
  </si>
  <si>
    <t>EL CHUNGA IV (RPA 697345)</t>
  </si>
  <si>
    <t>GENESIS II (RPA 968056)</t>
  </si>
  <si>
    <t>LOS GOMEZ (968121)</t>
  </si>
  <si>
    <t>MAR Y LUZ (967771)</t>
  </si>
  <si>
    <t>IBAÑEZ (RPA 697942)</t>
  </si>
  <si>
    <t>EL CHICO ROJAS (RPA 697974)</t>
  </si>
  <si>
    <t>EBEN-EZER II (RPA 969473)</t>
  </si>
  <si>
    <t>GONZALO HERNAN (968343)</t>
  </si>
  <si>
    <t>Cuota Anual de Captura Merluza común Fuera de Unidad de Pesquería, año 2021</t>
  </si>
  <si>
    <t>II-VIII</t>
  </si>
  <si>
    <t>09-06-2021 al 09-12-2021</t>
  </si>
  <si>
    <t>Don Jairo</t>
  </si>
  <si>
    <t>Acuario II</t>
  </si>
  <si>
    <t>SALVADOR GAVIOTA VI (967520)</t>
  </si>
  <si>
    <t>ESPADON III (969212)</t>
  </si>
  <si>
    <t xml:space="preserve">RESUMEN CONSUMO ANUAL MERLUZA COMUN FUERA UNIDAD DE PESQUERÍAS AÑO 2021. </t>
  </si>
  <si>
    <t>CHICO PITA II (RPA 697703)</t>
  </si>
  <si>
    <t>ELISABETH II (RPA 698351)</t>
  </si>
  <si>
    <t>EL REY DEL MAR I (698101)</t>
  </si>
  <si>
    <t xml:space="preserve"> SANTA MARIA IV (697917)</t>
  </si>
  <si>
    <t>STI ARMADORES PESCADORES Y RAMOS AFINES DE LA PESCA ARTESANAL DE LA REGIÓN DEL BIOBÍO RSU 08.05.0378</t>
  </si>
  <si>
    <t>LA NENA 2.0 (RPA 698614)</t>
  </si>
  <si>
    <t>CLAUDIO ALEJANDRO II (RPA 698613)</t>
  </si>
  <si>
    <t>LOS CHUNGAS (RPA 698647)</t>
  </si>
  <si>
    <t>CRISTOBAL  (RPA 698519)</t>
  </si>
  <si>
    <t>FACUNDO (RPA 698356)</t>
  </si>
  <si>
    <t>HURACAN III (RPA 698423)</t>
  </si>
  <si>
    <t>LOS PITAS (RPA 698380)</t>
  </si>
  <si>
    <t>BENJAMIN II (RPA 967308)</t>
  </si>
  <si>
    <t>PATRICIO DE LOS ANGELES VEGA VELÁSQUEZ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</si>
</sst>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164" formatCode="_-&quot;$&quot;\ * #,##0.00_-;\-&quot;$&quot;\ * #,##0.00_-;_-&quot;$&quot;\ * &quot;-&quot;??_-;_-@_-"/>
    <numFmt numFmtId="165" formatCode="_-* #,##0.00_-;\-* #,##0.00_-;_-* &quot;-&quot;??_-;_-@_-"/>
    <numFmt numFmtId="166" formatCode="0.000"/>
    <numFmt numFmtId="167" formatCode="#,##0.000"/>
    <numFmt numFmtId="168" formatCode="[$-F800]dddd\,\ mmmm\ dd\,\ yyyy"/>
    <numFmt numFmtId="169" formatCode="#,##0_ ;[Red]\-#,##0\ "/>
    <numFmt numFmtId="170" formatCode="#,##0.00_ ;[Red]\-#,##0.00\ "/>
    <numFmt numFmtId="171" formatCode="#,##0.000_ ;[Red]\-#,##0.000\ "/>
    <numFmt numFmtId="172" formatCode="_-* #,##0_-;\-* #,##0_-;_-* &quot;-&quot;??_-;_-@_-"/>
    <numFmt numFmtId="173" formatCode="_-* #,##0.00000000_-;\-* #,##0.00000000_-;_-* &quot;-&quot;??_-;_-@_-"/>
    <numFmt numFmtId="174" formatCode="0.0000000"/>
    <numFmt numFmtId="175" formatCode="000.000"/>
    <numFmt numFmtId="176" formatCode="0.000.000"/>
    <numFmt numFmtId="177" formatCode="00.000"/>
    <numFmt numFmtId="178" formatCode="0.0000"/>
    <numFmt numFmtId="179" formatCode="0.000%"/>
    <numFmt numFmtId="180" formatCode="_-* #,##0.00\ _p_t_a_-;\-* #,##0.00\ _p_t_a_-;_-* \-??\ _p_t_a_-;_-@_-"/>
    <numFmt numFmtId="181" formatCode="0.0%"/>
  </numFmts>
  <fonts count="6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9"/>
      <color rgb="FF000000"/>
      <name val="Calibri"/>
      <family val="2"/>
    </font>
    <font>
      <b/>
      <sz val="9"/>
      <color rgb="FF000000"/>
      <name val="Calibri"/>
      <family val="2"/>
    </font>
    <font>
      <strike/>
      <sz val="9"/>
      <color rgb="FF000000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  <font>
      <strike/>
      <sz val="11"/>
      <color theme="1"/>
      <name val="Calibri"/>
      <family val="2"/>
      <scheme val="minor"/>
    </font>
    <font>
      <sz val="9"/>
      <color rgb="FFFF000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Verdana"/>
      <family val="2"/>
    </font>
    <font>
      <sz val="10"/>
      <color theme="1"/>
      <name val="gobC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u/>
      <sz val="6.25"/>
      <color theme="10"/>
      <name val="Calibri"/>
      <family val="2"/>
    </font>
    <font>
      <u/>
      <sz val="11"/>
      <color theme="10"/>
      <name val="Calibri"/>
      <family val="2"/>
    </font>
    <font>
      <u/>
      <sz val="7"/>
      <color theme="10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9"/>
      <color rgb="FFFF0000"/>
      <name val="Calibri"/>
      <family val="2"/>
      <scheme val="minor"/>
    </font>
    <font>
      <i/>
      <sz val="9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9"/>
      <color theme="7" tint="-0.499984740745262"/>
      <name val="Calibri"/>
      <family val="2"/>
      <scheme val="minor"/>
    </font>
    <font>
      <sz val="9"/>
      <color theme="4"/>
      <name val="Calibri"/>
      <family val="2"/>
      <scheme val="minor"/>
    </font>
    <font>
      <sz val="9"/>
      <color theme="3" tint="0.59999389629810485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color theme="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auto="1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  <fill>
      <patternFill patternType="solid">
        <fgColor theme="8" tint="-0.2499465926084170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/>
        <bgColor auto="1"/>
      </patternFill>
    </fill>
    <fill>
      <patternFill patternType="solid">
        <fgColor rgb="FF99CC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2126">
    <xf numFmtId="0" fontId="0" fillId="0" borderId="0"/>
    <xf numFmtId="9" fontId="1" fillId="32" borderId="0" applyFont="0" applyBorder="0" applyAlignment="0" applyProtection="0"/>
    <xf numFmtId="0" fontId="7" fillId="0" borderId="0"/>
    <xf numFmtId="0" fontId="7" fillId="0" borderId="0"/>
    <xf numFmtId="0" fontId="7" fillId="0" borderId="0"/>
    <xf numFmtId="9" fontId="8" fillId="0" borderId="0" applyFont="0" applyFill="0" applyBorder="0" applyAlignment="0" applyProtection="0"/>
    <xf numFmtId="0" fontId="9" fillId="0" borderId="0"/>
    <xf numFmtId="9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2" fillId="0" borderId="0"/>
    <xf numFmtId="0" fontId="24" fillId="0" borderId="0"/>
    <xf numFmtId="9" fontId="24" fillId="0" borderId="0" applyFont="0" applyFill="0" applyBorder="0" applyAlignment="0" applyProtection="0"/>
    <xf numFmtId="0" fontId="23" fillId="0" borderId="0"/>
    <xf numFmtId="0" fontId="1" fillId="0" borderId="0"/>
    <xf numFmtId="0" fontId="25" fillId="0" borderId="0"/>
    <xf numFmtId="9" fontId="26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7" fillId="0" borderId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30" fillId="24" borderId="18" applyNumberFormat="0" applyAlignment="0" applyProtection="0"/>
    <xf numFmtId="0" fontId="30" fillId="24" borderId="18" applyNumberFormat="0" applyAlignment="0" applyProtection="0"/>
    <xf numFmtId="0" fontId="30" fillId="24" borderId="18" applyNumberFormat="0" applyAlignment="0" applyProtection="0"/>
    <xf numFmtId="0" fontId="30" fillId="24" borderId="18" applyNumberFormat="0" applyAlignment="0" applyProtection="0"/>
    <xf numFmtId="0" fontId="30" fillId="24" borderId="18" applyNumberFormat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8" fillId="0" borderId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21" applyNumberFormat="0" applyFill="0" applyAlignment="0" applyProtection="0"/>
    <xf numFmtId="0" fontId="40" fillId="0" borderId="21" applyNumberFormat="0" applyFill="0" applyAlignment="0" applyProtection="0"/>
    <xf numFmtId="0" fontId="40" fillId="0" borderId="21" applyNumberFormat="0" applyFill="0" applyAlignment="0" applyProtection="0"/>
    <xf numFmtId="0" fontId="40" fillId="0" borderId="21" applyNumberFormat="0" applyFill="0" applyAlignment="0" applyProtection="0"/>
    <xf numFmtId="0" fontId="40" fillId="0" borderId="21" applyNumberFormat="0" applyFill="0" applyAlignment="0" applyProtection="0"/>
    <xf numFmtId="0" fontId="41" fillId="0" borderId="22" applyNumberFormat="0" applyFill="0" applyAlignment="0" applyProtection="0"/>
    <xf numFmtId="0" fontId="41" fillId="0" borderId="22" applyNumberFormat="0" applyFill="0" applyAlignment="0" applyProtection="0"/>
    <xf numFmtId="0" fontId="41" fillId="0" borderId="22" applyNumberFormat="0" applyFill="0" applyAlignment="0" applyProtection="0"/>
    <xf numFmtId="0" fontId="41" fillId="0" borderId="22" applyNumberFormat="0" applyFill="0" applyAlignment="0" applyProtection="0"/>
    <xf numFmtId="0" fontId="41" fillId="0" borderId="22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7" fillId="0" borderId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9" fontId="1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5" fillId="0" borderId="0"/>
    <xf numFmtId="0" fontId="24" fillId="0" borderId="0"/>
    <xf numFmtId="0" fontId="23" fillId="0" borderId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30" fillId="24" borderId="18" applyNumberFormat="0" applyAlignment="0" applyProtection="0"/>
    <xf numFmtId="0" fontId="30" fillId="24" borderId="18" applyNumberFormat="0" applyAlignment="0" applyProtection="0"/>
    <xf numFmtId="0" fontId="30" fillId="24" borderId="18" applyNumberFormat="0" applyAlignment="0" applyProtection="0"/>
    <xf numFmtId="0" fontId="30" fillId="24" borderId="18" applyNumberFormat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80" fontId="7" fillId="0" borderId="0" applyFill="0" applyBorder="0" applyAlignment="0" applyProtection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0" fillId="0" borderId="21" applyNumberFormat="0" applyFill="0" applyAlignment="0" applyProtection="0"/>
    <xf numFmtId="0" fontId="40" fillId="0" borderId="21" applyNumberFormat="0" applyFill="0" applyAlignment="0" applyProtection="0"/>
    <xf numFmtId="0" fontId="40" fillId="0" borderId="21" applyNumberFormat="0" applyFill="0" applyAlignment="0" applyProtection="0"/>
    <xf numFmtId="0" fontId="40" fillId="0" borderId="21" applyNumberFormat="0" applyFill="0" applyAlignment="0" applyProtection="0"/>
    <xf numFmtId="0" fontId="41" fillId="0" borderId="22" applyNumberFormat="0" applyFill="0" applyAlignment="0" applyProtection="0"/>
    <xf numFmtId="0" fontId="41" fillId="0" borderId="22" applyNumberFormat="0" applyFill="0" applyAlignment="0" applyProtection="0"/>
    <xf numFmtId="0" fontId="41" fillId="0" borderId="22" applyNumberFormat="0" applyFill="0" applyAlignment="0" applyProtection="0"/>
    <xf numFmtId="0" fontId="41" fillId="0" borderId="22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11" borderId="0" applyNumberFormat="0" applyBorder="0" applyAlignment="0" applyProtection="0"/>
    <xf numFmtId="0" fontId="29" fillId="23" borderId="25" applyNumberFormat="0" applyAlignment="0" applyProtection="0"/>
    <xf numFmtId="0" fontId="30" fillId="24" borderId="18" applyNumberFormat="0" applyAlignment="0" applyProtection="0"/>
    <xf numFmtId="0" fontId="31" fillId="0" borderId="19" applyNumberFormat="0" applyFill="0" applyAlignment="0" applyProtection="0"/>
    <xf numFmtId="0" fontId="32" fillId="0" borderId="0" applyNumberFormat="0" applyFill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8" borderId="0" applyNumberFormat="0" applyBorder="0" applyAlignment="0" applyProtection="0"/>
    <xf numFmtId="0" fontId="33" fillId="14" borderId="25" applyNumberFormat="0" applyAlignment="0" applyProtection="0"/>
    <xf numFmtId="10" fontId="1" fillId="0" borderId="8" applyBorder="0">
      <alignment horizontal="center" vertical="center"/>
    </xf>
    <xf numFmtId="0" fontId="46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34" fillId="10" borderId="0" applyNumberFormat="0" applyBorder="0" applyAlignment="0" applyProtection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35" fillId="29" borderId="0" applyNumberFormat="0" applyBorder="0" applyAlignment="0" applyProtection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30" borderId="26" applyNumberFormat="0" applyFon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36" fillId="23" borderId="27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0" fillId="0" borderId="21" applyNumberFormat="0" applyFill="0" applyAlignment="0" applyProtection="0"/>
    <xf numFmtId="0" fontId="39" fillId="0" borderId="0" applyNumberFormat="0" applyFill="0" applyBorder="0" applyAlignment="0" applyProtection="0"/>
    <xf numFmtId="0" fontId="41" fillId="0" borderId="22" applyNumberFormat="0" applyFill="0" applyAlignment="0" applyProtection="0"/>
    <xf numFmtId="0" fontId="32" fillId="0" borderId="23" applyNumberFormat="0" applyFill="0" applyAlignment="0" applyProtection="0"/>
    <xf numFmtId="0" fontId="42" fillId="0" borderId="28" applyNumberFormat="0" applyFill="0" applyAlignment="0" applyProtection="0"/>
  </cellStyleXfs>
  <cellXfs count="470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2" xfId="0" applyFill="1" applyBorder="1"/>
    <xf numFmtId="0" fontId="0" fillId="0" borderId="0" xfId="0" applyAlignment="1">
      <alignment vertical="center"/>
    </xf>
    <xf numFmtId="0" fontId="14" fillId="0" borderId="0" xfId="0" applyFont="1"/>
    <xf numFmtId="0" fontId="14" fillId="0" borderId="0" xfId="0" applyFont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4" fillId="0" borderId="2" xfId="0" applyFont="1" applyBorder="1"/>
    <xf numFmtId="0" fontId="14" fillId="0" borderId="13" xfId="0" applyFont="1" applyBorder="1"/>
    <xf numFmtId="0" fontId="14" fillId="0" borderId="0" xfId="0" applyFont="1" applyBorder="1"/>
    <xf numFmtId="0" fontId="14" fillId="0" borderId="15" xfId="0" applyFont="1" applyBorder="1"/>
    <xf numFmtId="0" fontId="14" fillId="0" borderId="8" xfId="0" applyFont="1" applyBorder="1"/>
    <xf numFmtId="0" fontId="14" fillId="0" borderId="9" xfId="0" applyFont="1" applyBorder="1"/>
    <xf numFmtId="0" fontId="14" fillId="0" borderId="14" xfId="0" applyFont="1" applyBorder="1"/>
    <xf numFmtId="0" fontId="14" fillId="0" borderId="4" xfId="0" applyFont="1" applyBorder="1"/>
    <xf numFmtId="0" fontId="14" fillId="0" borderId="5" xfId="0" applyFont="1" applyBorder="1"/>
    <xf numFmtId="0" fontId="14" fillId="0" borderId="0" xfId="0" applyFont="1" applyAlignment="1">
      <alignment horizontal="center"/>
    </xf>
    <xf numFmtId="0" fontId="15" fillId="0" borderId="2" xfId="0" applyFont="1" applyBorder="1"/>
    <xf numFmtId="0" fontId="15" fillId="0" borderId="2" xfId="0" applyFont="1" applyBorder="1" applyAlignment="1">
      <alignment vertical="center"/>
    </xf>
    <xf numFmtId="0" fontId="15" fillId="0" borderId="2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5" fillId="7" borderId="2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/>
    </xf>
    <xf numFmtId="0" fontId="15" fillId="0" borderId="3" xfId="0" applyFont="1" applyBorder="1"/>
    <xf numFmtId="0" fontId="15" fillId="0" borderId="10" xfId="0" applyFont="1" applyBorder="1"/>
    <xf numFmtId="0" fontId="15" fillId="0" borderId="12" xfId="0" applyFont="1" applyBorder="1"/>
    <xf numFmtId="0" fontId="15" fillId="0" borderId="11" xfId="0" applyFont="1" applyBorder="1"/>
    <xf numFmtId="0" fontId="14" fillId="0" borderId="2" xfId="0" applyFont="1" applyFill="1" applyBorder="1"/>
    <xf numFmtId="0" fontId="16" fillId="0" borderId="2" xfId="0" applyFont="1" applyFill="1" applyBorder="1"/>
    <xf numFmtId="0" fontId="0" fillId="0" borderId="4" xfId="0" applyBorder="1"/>
    <xf numFmtId="0" fontId="0" fillId="0" borderId="5" xfId="0" applyBorder="1"/>
    <xf numFmtId="0" fontId="15" fillId="0" borderId="0" xfId="0" applyFont="1"/>
    <xf numFmtId="173" fontId="0" fillId="0" borderId="0" xfId="8" applyNumberFormat="1" applyFont="1"/>
    <xf numFmtId="166" fontId="0" fillId="0" borderId="0" xfId="0" applyNumberFormat="1"/>
    <xf numFmtId="0" fontId="17" fillId="0" borderId="2" xfId="6" applyFont="1" applyBorder="1" applyAlignment="1">
      <alignment horizontal="left" vertical="center" wrapText="1"/>
    </xf>
    <xf numFmtId="174" fontId="17" fillId="0" borderId="2" xfId="6" applyNumberFormat="1" applyFont="1" applyBorder="1" applyAlignment="1">
      <alignment horizontal="right" vertical="center" wrapText="1"/>
    </xf>
    <xf numFmtId="166" fontId="17" fillId="0" borderId="2" xfId="6" applyNumberFormat="1" applyFont="1" applyBorder="1" applyAlignment="1">
      <alignment horizontal="right" vertical="center" wrapText="1"/>
    </xf>
    <xf numFmtId="175" fontId="17" fillId="0" borderId="2" xfId="6" applyNumberFormat="1" applyFont="1" applyBorder="1" applyAlignment="1">
      <alignment horizontal="right" vertical="center" wrapText="1"/>
    </xf>
    <xf numFmtId="167" fontId="17" fillId="0" borderId="2" xfId="6" applyNumberFormat="1" applyFont="1" applyBorder="1" applyAlignment="1">
      <alignment horizontal="right" vertical="center" wrapText="1"/>
    </xf>
    <xf numFmtId="0" fontId="18" fillId="0" borderId="2" xfId="6" applyFont="1" applyBorder="1" applyAlignment="1">
      <alignment horizontal="left" vertical="center" wrapText="1"/>
    </xf>
    <xf numFmtId="0" fontId="18" fillId="0" borderId="2" xfId="6" applyFont="1" applyBorder="1" applyAlignment="1">
      <alignment horizontal="right" vertical="center" wrapText="1" indent="1"/>
    </xf>
    <xf numFmtId="0" fontId="18" fillId="0" borderId="2" xfId="6" applyFont="1" applyBorder="1" applyAlignment="1">
      <alignment horizontal="right" vertical="center" wrapText="1" indent="2"/>
    </xf>
    <xf numFmtId="176" fontId="17" fillId="0" borderId="2" xfId="6" applyNumberFormat="1" applyFont="1" applyBorder="1" applyAlignment="1">
      <alignment horizontal="right" vertical="center" wrapText="1"/>
    </xf>
    <xf numFmtId="0" fontId="18" fillId="0" borderId="2" xfId="6" applyFont="1" applyBorder="1" applyAlignment="1">
      <alignment horizontal="center" vertical="center" wrapText="1"/>
    </xf>
    <xf numFmtId="177" fontId="17" fillId="0" borderId="2" xfId="6" applyNumberFormat="1" applyFont="1" applyBorder="1" applyAlignment="1">
      <alignment horizontal="right" vertical="center" wrapText="1"/>
    </xf>
    <xf numFmtId="0" fontId="17" fillId="0" borderId="2" xfId="6" applyFont="1" applyBorder="1" applyAlignment="1">
      <alignment horizontal="left" vertical="top" wrapText="1" indent="1"/>
    </xf>
    <xf numFmtId="174" fontId="17" fillId="0" borderId="2" xfId="6" applyNumberFormat="1" applyFont="1" applyBorder="1" applyAlignment="1">
      <alignment horizontal="right" wrapText="1"/>
    </xf>
    <xf numFmtId="166" fontId="17" fillId="0" borderId="2" xfId="6" applyNumberFormat="1" applyFont="1" applyBorder="1" applyAlignment="1">
      <alignment horizontal="right" wrapText="1"/>
    </xf>
    <xf numFmtId="175" fontId="17" fillId="0" borderId="2" xfId="6" applyNumberFormat="1" applyFont="1" applyBorder="1" applyAlignment="1">
      <alignment horizontal="right" wrapText="1"/>
    </xf>
    <xf numFmtId="0" fontId="17" fillId="2" borderId="2" xfId="6" applyFont="1" applyFill="1" applyBorder="1" applyAlignment="1">
      <alignment horizontal="left" vertical="center" wrapText="1"/>
    </xf>
    <xf numFmtId="174" fontId="17" fillId="2" borderId="2" xfId="6" applyNumberFormat="1" applyFont="1" applyFill="1" applyBorder="1" applyAlignment="1">
      <alignment horizontal="right" vertical="center" wrapText="1"/>
    </xf>
    <xf numFmtId="166" fontId="17" fillId="2" borderId="2" xfId="6" applyNumberFormat="1" applyFont="1" applyFill="1" applyBorder="1" applyAlignment="1">
      <alignment horizontal="right" vertical="center" wrapText="1"/>
    </xf>
    <xf numFmtId="175" fontId="17" fillId="2" borderId="2" xfId="6" applyNumberFormat="1" applyFont="1" applyFill="1" applyBorder="1" applyAlignment="1">
      <alignment horizontal="right" vertical="center" wrapText="1"/>
    </xf>
    <xf numFmtId="0" fontId="15" fillId="0" borderId="2" xfId="0" applyFont="1" applyFill="1" applyBorder="1"/>
    <xf numFmtId="0" fontId="14" fillId="0" borderId="2" xfId="0" applyFont="1" applyBorder="1" applyAlignment="1">
      <alignment horizontal="right"/>
    </xf>
    <xf numFmtId="0" fontId="14" fillId="0" borderId="2" xfId="0" applyFont="1" applyFill="1" applyBorder="1" applyAlignment="1">
      <alignment horizontal="right"/>
    </xf>
    <xf numFmtId="0" fontId="0" fillId="0" borderId="3" xfId="0" applyBorder="1"/>
    <xf numFmtId="0" fontId="15" fillId="0" borderId="6" xfId="0" applyFont="1" applyBorder="1" applyAlignment="1">
      <alignment horizontal="center" vertical="center" wrapText="1"/>
    </xf>
    <xf numFmtId="0" fontId="19" fillId="0" borderId="0" xfId="0" applyFont="1"/>
    <xf numFmtId="0" fontId="15" fillId="0" borderId="2" xfId="0" applyFont="1" applyBorder="1" applyAlignment="1">
      <alignment horizontal="center" vertical="center"/>
    </xf>
    <xf numFmtId="0" fontId="20" fillId="0" borderId="2" xfId="0" applyFont="1" applyBorder="1"/>
    <xf numFmtId="0" fontId="20" fillId="0" borderId="2" xfId="0" applyFont="1" applyFill="1" applyBorder="1"/>
    <xf numFmtId="0" fontId="15" fillId="0" borderId="6" xfId="0" applyFont="1" applyBorder="1"/>
    <xf numFmtId="0" fontId="15" fillId="0" borderId="7" xfId="0" applyFont="1" applyBorder="1"/>
    <xf numFmtId="0" fontId="2" fillId="0" borderId="2" xfId="0" applyFont="1" applyBorder="1"/>
    <xf numFmtId="0" fontId="2" fillId="0" borderId="3" xfId="0" applyFont="1" applyBorder="1"/>
    <xf numFmtId="0" fontId="0" fillId="0" borderId="13" xfId="0" applyBorder="1"/>
    <xf numFmtId="0" fontId="2" fillId="0" borderId="11" xfId="0" applyFont="1" applyBorder="1"/>
    <xf numFmtId="0" fontId="15" fillId="0" borderId="3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 wrapText="1"/>
    </xf>
    <xf numFmtId="0" fontId="14" fillId="0" borderId="6" xfId="0" applyFont="1" applyBorder="1"/>
    <xf numFmtId="0" fontId="14" fillId="0" borderId="7" xfId="0" applyFont="1" applyBorder="1"/>
    <xf numFmtId="0" fontId="15" fillId="0" borderId="0" xfId="0" applyFont="1" applyFill="1" applyBorder="1"/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4" borderId="2" xfId="0" applyFont="1" applyFill="1" applyBorder="1" applyAlignment="1">
      <alignment horizontal="center" vertical="center"/>
    </xf>
    <xf numFmtId="0" fontId="49" fillId="5" borderId="1" xfId="0" applyFont="1" applyFill="1" applyBorder="1"/>
    <xf numFmtId="0" fontId="49" fillId="5" borderId="0" xfId="0" applyFont="1" applyFill="1" applyBorder="1"/>
    <xf numFmtId="0" fontId="49" fillId="0" borderId="0" xfId="0" applyFont="1"/>
    <xf numFmtId="1" fontId="49" fillId="5" borderId="0" xfId="0" applyNumberFormat="1" applyFont="1" applyFill="1" applyBorder="1" applyAlignment="1">
      <alignment horizontal="center"/>
    </xf>
    <xf numFmtId="1" fontId="49" fillId="5" borderId="0" xfId="0" applyNumberFormat="1" applyFont="1" applyFill="1" applyBorder="1"/>
    <xf numFmtId="0" fontId="51" fillId="0" borderId="2" xfId="0" applyFont="1" applyFill="1" applyBorder="1" applyAlignment="1">
      <alignment horizontal="center" vertical="center"/>
    </xf>
    <xf numFmtId="166" fontId="51" fillId="0" borderId="2" xfId="0" applyNumberFormat="1" applyFont="1" applyFill="1" applyBorder="1" applyAlignment="1">
      <alignment horizontal="center" vertical="center"/>
    </xf>
    <xf numFmtId="178" fontId="49" fillId="0" borderId="0" xfId="0" applyNumberFormat="1" applyFont="1"/>
    <xf numFmtId="0" fontId="49" fillId="0" borderId="0" xfId="0" applyFont="1" applyBorder="1"/>
    <xf numFmtId="172" fontId="49" fillId="5" borderId="0" xfId="8" applyNumberFormat="1" applyFont="1" applyFill="1" applyBorder="1" applyAlignment="1">
      <alignment vertical="center"/>
    </xf>
    <xf numFmtId="9" fontId="49" fillId="5" borderId="0" xfId="0" applyNumberFormat="1" applyFont="1" applyFill="1" applyBorder="1"/>
    <xf numFmtId="0" fontId="49" fillId="0" borderId="2" xfId="0" applyFont="1" applyFill="1" applyBorder="1" applyAlignment="1">
      <alignment horizontal="center" vertical="center"/>
    </xf>
    <xf numFmtId="169" fontId="51" fillId="0" borderId="2" xfId="0" applyNumberFormat="1" applyFont="1" applyFill="1" applyBorder="1" applyAlignment="1">
      <alignment horizontal="center" vertical="center"/>
    </xf>
    <xf numFmtId="170" fontId="51" fillId="0" borderId="2" xfId="0" applyNumberFormat="1" applyFont="1" applyFill="1" applyBorder="1" applyAlignment="1">
      <alignment horizontal="center" vertical="center"/>
    </xf>
    <xf numFmtId="0" fontId="50" fillId="5" borderId="2" xfId="0" applyFont="1" applyFill="1" applyBorder="1" applyAlignment="1">
      <alignment horizontal="center" vertical="center"/>
    </xf>
    <xf numFmtId="0" fontId="52" fillId="0" borderId="2" xfId="0" applyFont="1" applyFill="1" applyBorder="1" applyAlignment="1">
      <alignment horizontal="center" vertical="center"/>
    </xf>
    <xf numFmtId="0" fontId="52" fillId="0" borderId="2" xfId="0" applyFont="1" applyFill="1" applyBorder="1" applyAlignment="1">
      <alignment horizontal="center" vertical="center" wrapText="1"/>
    </xf>
    <xf numFmtId="0" fontId="51" fillId="0" borderId="2" xfId="0" applyFont="1" applyFill="1" applyBorder="1" applyAlignment="1">
      <alignment horizontal="left" vertical="center"/>
    </xf>
    <xf numFmtId="0" fontId="50" fillId="0" borderId="2" xfId="0" applyFont="1" applyFill="1" applyBorder="1" applyAlignment="1">
      <alignment horizontal="center" vertical="center"/>
    </xf>
    <xf numFmtId="0" fontId="50" fillId="0" borderId="2" xfId="0" applyFont="1" applyFill="1" applyBorder="1" applyAlignment="1">
      <alignment horizontal="center" vertical="center" wrapText="1"/>
    </xf>
    <xf numFmtId="181" fontId="51" fillId="0" borderId="2" xfId="1" applyNumberFormat="1" applyFont="1" applyFill="1" applyBorder="1" applyAlignment="1">
      <alignment horizontal="center"/>
    </xf>
    <xf numFmtId="166" fontId="52" fillId="0" borderId="2" xfId="8" applyNumberFormat="1" applyFont="1" applyFill="1" applyBorder="1" applyAlignment="1">
      <alignment horizontal="center" vertical="center"/>
    </xf>
    <xf numFmtId="166" fontId="52" fillId="0" borderId="2" xfId="0" applyNumberFormat="1" applyFont="1" applyFill="1" applyBorder="1" applyAlignment="1">
      <alignment horizontal="center" vertical="center"/>
    </xf>
    <xf numFmtId="0" fontId="49" fillId="0" borderId="0" xfId="0" applyFont="1" applyFill="1"/>
    <xf numFmtId="0" fontId="51" fillId="0" borderId="0" xfId="0" applyFont="1" applyFill="1"/>
    <xf numFmtId="0" fontId="49" fillId="0" borderId="0" xfId="0" applyFont="1" applyFill="1" applyAlignment="1">
      <alignment horizontal="center" vertical="center"/>
    </xf>
    <xf numFmtId="0" fontId="52" fillId="0" borderId="0" xfId="0" applyFont="1" applyFill="1" applyAlignment="1">
      <alignment horizontal="center" vertical="center"/>
    </xf>
    <xf numFmtId="14" fontId="49" fillId="0" borderId="0" xfId="0" applyNumberFormat="1" applyFont="1" applyFill="1" applyAlignment="1">
      <alignment horizontal="center" vertical="center"/>
    </xf>
    <xf numFmtId="10" fontId="49" fillId="0" borderId="0" xfId="0" applyNumberFormat="1" applyFont="1" applyFill="1" applyAlignment="1">
      <alignment horizontal="center" vertical="center"/>
    </xf>
    <xf numFmtId="166" fontId="49" fillId="0" borderId="2" xfId="0" applyNumberFormat="1" applyFont="1" applyFill="1" applyBorder="1" applyAlignment="1">
      <alignment horizontal="center" vertical="center"/>
    </xf>
    <xf numFmtId="0" fontId="53" fillId="0" borderId="0" xfId="0" applyFont="1" applyFill="1" applyBorder="1"/>
    <xf numFmtId="0" fontId="51" fillId="0" borderId="0" xfId="0" applyFont="1" applyFill="1" applyBorder="1"/>
    <xf numFmtId="0" fontId="49" fillId="0" borderId="0" xfId="0" applyFont="1" applyFill="1" applyBorder="1"/>
    <xf numFmtId="0" fontId="49" fillId="0" borderId="0" xfId="0" applyFont="1" applyFill="1" applyBorder="1" applyAlignment="1">
      <alignment horizontal="center" vertical="center" textRotation="90" wrapText="1"/>
    </xf>
    <xf numFmtId="0" fontId="51" fillId="0" borderId="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2" fontId="49" fillId="0" borderId="0" xfId="0" applyNumberFormat="1" applyFont="1" applyFill="1" applyBorder="1" applyAlignment="1">
      <alignment horizontal="center" vertical="center"/>
    </xf>
    <xf numFmtId="2" fontId="51" fillId="0" borderId="0" xfId="0" applyNumberFormat="1" applyFont="1" applyFill="1" applyBorder="1" applyAlignment="1">
      <alignment horizontal="center" vertical="center"/>
    </xf>
    <xf numFmtId="10" fontId="49" fillId="0" borderId="0" xfId="1" applyNumberFormat="1" applyFont="1" applyFill="1" applyBorder="1" applyAlignment="1">
      <alignment horizontal="center" vertical="center"/>
    </xf>
    <xf numFmtId="14" fontId="49" fillId="0" borderId="0" xfId="0" applyNumberFormat="1" applyFont="1" applyFill="1" applyBorder="1" applyAlignment="1">
      <alignment horizontal="center" vertical="center"/>
    </xf>
    <xf numFmtId="179" fontId="49" fillId="0" borderId="0" xfId="1" applyNumberFormat="1" applyFont="1" applyFill="1" applyBorder="1" applyAlignment="1">
      <alignment horizontal="center" vertical="center"/>
    </xf>
    <xf numFmtId="0" fontId="49" fillId="0" borderId="2" xfId="0" applyFont="1" applyFill="1" applyBorder="1"/>
    <xf numFmtId="167" fontId="51" fillId="0" borderId="0" xfId="0" applyNumberFormat="1" applyFont="1" applyFill="1" applyBorder="1"/>
    <xf numFmtId="0" fontId="51" fillId="0" borderId="0" xfId="0" applyFont="1" applyFill="1" applyBorder="1" applyAlignment="1">
      <alignment vertical="center"/>
    </xf>
    <xf numFmtId="0" fontId="56" fillId="0" borderId="0" xfId="0" applyFont="1" applyFill="1" applyBorder="1"/>
    <xf numFmtId="167" fontId="56" fillId="0" borderId="0" xfId="0" applyNumberFormat="1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166" fontId="51" fillId="0" borderId="0" xfId="0" applyNumberFormat="1" applyFont="1" applyFill="1" applyBorder="1" applyAlignment="1">
      <alignment horizontal="center" vertical="center"/>
    </xf>
    <xf numFmtId="179" fontId="51" fillId="0" borderId="0" xfId="1" applyNumberFormat="1" applyFont="1" applyFill="1" applyBorder="1" applyAlignment="1">
      <alignment horizontal="center" vertical="center"/>
    </xf>
    <xf numFmtId="1" fontId="49" fillId="0" borderId="0" xfId="0" applyNumberFormat="1" applyFont="1" applyFill="1" applyBorder="1" applyAlignment="1">
      <alignment horizontal="center" vertical="center"/>
    </xf>
    <xf numFmtId="166" fontId="49" fillId="0" borderId="0" xfId="0" applyNumberFormat="1" applyFont="1" applyFill="1" applyBorder="1" applyAlignment="1">
      <alignment horizontal="center" vertical="center"/>
    </xf>
    <xf numFmtId="9" fontId="49" fillId="0" borderId="0" xfId="1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left"/>
    </xf>
    <xf numFmtId="0" fontId="51" fillId="0" borderId="0" xfId="0" applyFont="1" applyFill="1" applyBorder="1" applyAlignment="1">
      <alignment horizontal="left"/>
    </xf>
    <xf numFmtId="0" fontId="57" fillId="0" borderId="0" xfId="0" applyFont="1" applyFill="1" applyBorder="1"/>
    <xf numFmtId="0" fontId="57" fillId="0" borderId="0" xfId="0" applyFont="1" applyFill="1" applyBorder="1" applyAlignment="1">
      <alignment vertical="center"/>
    </xf>
    <xf numFmtId="0" fontId="57" fillId="0" borderId="0" xfId="0" applyFont="1" applyFill="1" applyBorder="1" applyAlignment="1"/>
    <xf numFmtId="0" fontId="57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 wrapText="1"/>
    </xf>
    <xf numFmtId="166" fontId="51" fillId="0" borderId="0" xfId="1" applyNumberFormat="1" applyFont="1" applyFill="1" applyBorder="1" applyAlignment="1">
      <alignment horizontal="center" vertical="center"/>
    </xf>
    <xf numFmtId="167" fontId="49" fillId="0" borderId="0" xfId="0" applyNumberFormat="1" applyFont="1" applyFill="1" applyBorder="1" applyAlignment="1">
      <alignment horizontal="center" vertical="center"/>
    </xf>
    <xf numFmtId="0" fontId="58" fillId="0" borderId="0" xfId="0" applyFont="1" applyFill="1" applyBorder="1"/>
    <xf numFmtId="167" fontId="51" fillId="0" borderId="0" xfId="0" applyNumberFormat="1" applyFont="1" applyFill="1" applyBorder="1" applyAlignment="1">
      <alignment horizontal="center" vertical="center"/>
    </xf>
    <xf numFmtId="3" fontId="51" fillId="0" borderId="0" xfId="0" applyNumberFormat="1" applyFont="1" applyFill="1" applyBorder="1" applyAlignment="1">
      <alignment horizontal="center" vertical="center"/>
    </xf>
    <xf numFmtId="167" fontId="51" fillId="0" borderId="0" xfId="0" applyNumberFormat="1" applyFont="1" applyFill="1" applyBorder="1" applyAlignment="1">
      <alignment horizontal="left"/>
    </xf>
    <xf numFmtId="167" fontId="52" fillId="0" borderId="0" xfId="0" applyNumberFormat="1" applyFont="1" applyFill="1" applyBorder="1" applyAlignment="1">
      <alignment horizontal="left"/>
    </xf>
    <xf numFmtId="9" fontId="49" fillId="0" borderId="2" xfId="1" applyFont="1" applyFill="1" applyBorder="1" applyAlignment="1">
      <alignment horizontal="center" vertical="center"/>
    </xf>
    <xf numFmtId="166" fontId="49" fillId="0" borderId="2" xfId="8" applyNumberFormat="1" applyFont="1" applyFill="1" applyBorder="1" applyAlignment="1">
      <alignment horizontal="center" vertical="center"/>
    </xf>
    <xf numFmtId="166" fontId="53" fillId="0" borderId="2" xfId="0" applyNumberFormat="1" applyFont="1" applyFill="1" applyBorder="1" applyAlignment="1">
      <alignment horizontal="center" vertical="center"/>
    </xf>
    <xf numFmtId="0" fontId="59" fillId="0" borderId="0" xfId="9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/>
    </xf>
    <xf numFmtId="0" fontId="51" fillId="0" borderId="0" xfId="9" applyFont="1" applyFill="1" applyBorder="1" applyAlignment="1">
      <alignment horizontal="center" vertical="center" wrapText="1"/>
    </xf>
    <xf numFmtId="166" fontId="51" fillId="0" borderId="0" xfId="0" applyNumberFormat="1" applyFont="1" applyFill="1" applyBorder="1"/>
    <xf numFmtId="0" fontId="49" fillId="31" borderId="0" xfId="0" applyFont="1" applyFill="1" applyAlignment="1">
      <alignment horizontal="center" vertical="center"/>
    </xf>
    <xf numFmtId="0" fontId="49" fillId="31" borderId="0" xfId="0" applyFont="1" applyFill="1" applyAlignment="1">
      <alignment horizontal="center" vertical="center" wrapText="1"/>
    </xf>
    <xf numFmtId="0" fontId="49" fillId="31" borderId="0" xfId="0" applyFont="1" applyFill="1"/>
    <xf numFmtId="10" fontId="49" fillId="0" borderId="2" xfId="1" applyNumberFormat="1" applyFont="1" applyFill="1" applyBorder="1" applyAlignment="1">
      <alignment horizontal="center" vertical="center"/>
    </xf>
    <xf numFmtId="14" fontId="49" fillId="31" borderId="0" xfId="0" applyNumberFormat="1" applyFont="1" applyFill="1" applyAlignment="1">
      <alignment horizontal="center" vertical="center" wrapText="1"/>
    </xf>
    <xf numFmtId="166" fontId="49" fillId="31" borderId="0" xfId="0" applyNumberFormat="1" applyFont="1" applyFill="1" applyAlignment="1">
      <alignment horizontal="center"/>
    </xf>
    <xf numFmtId="166" fontId="50" fillId="0" borderId="2" xfId="0" applyNumberFormat="1" applyFont="1" applyFill="1" applyBorder="1" applyAlignment="1">
      <alignment horizontal="center" vertical="center" wrapText="1"/>
    </xf>
    <xf numFmtId="9" fontId="50" fillId="0" borderId="2" xfId="1" applyFont="1" applyFill="1" applyBorder="1" applyAlignment="1">
      <alignment horizontal="center" vertical="center" wrapText="1"/>
    </xf>
    <xf numFmtId="9" fontId="51" fillId="0" borderId="2" xfId="1" applyFont="1" applyFill="1" applyBorder="1" applyAlignment="1">
      <alignment horizontal="center" vertical="center"/>
    </xf>
    <xf numFmtId="9" fontId="52" fillId="0" borderId="2" xfId="1" applyFont="1" applyFill="1" applyBorder="1" applyAlignment="1">
      <alignment horizontal="center" vertical="center"/>
    </xf>
    <xf numFmtId="0" fontId="59" fillId="0" borderId="0" xfId="9" applyFont="1" applyFill="1" applyBorder="1" applyAlignment="1">
      <alignment horizontal="center" vertical="center" wrapText="1"/>
    </xf>
    <xf numFmtId="166" fontId="49" fillId="0" borderId="2" xfId="0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51" fillId="0" borderId="2" xfId="0" applyFont="1" applyFill="1" applyBorder="1" applyAlignment="1">
      <alignment horizontal="center" vertical="center" wrapText="1"/>
    </xf>
    <xf numFmtId="10" fontId="49" fillId="0" borderId="2" xfId="1" applyNumberFormat="1" applyFont="1" applyFill="1" applyBorder="1" applyAlignment="1">
      <alignment horizontal="center" vertical="center"/>
    </xf>
    <xf numFmtId="14" fontId="49" fillId="0" borderId="2" xfId="0" applyNumberFormat="1" applyFont="1" applyFill="1" applyBorder="1" applyAlignment="1">
      <alignment horizontal="center" vertical="center"/>
    </xf>
    <xf numFmtId="0" fontId="50" fillId="0" borderId="2" xfId="0" applyFont="1" applyFill="1" applyBorder="1"/>
    <xf numFmtId="166" fontId="50" fillId="0" borderId="2" xfId="0" applyNumberFormat="1" applyFont="1" applyFill="1" applyBorder="1" applyAlignment="1">
      <alignment horizontal="center" vertical="center"/>
    </xf>
    <xf numFmtId="10" fontId="50" fillId="0" borderId="2" xfId="1" applyNumberFormat="1" applyFont="1" applyFill="1" applyBorder="1" applyAlignment="1">
      <alignment horizontal="center" vertical="center"/>
    </xf>
    <xf numFmtId="14" fontId="50" fillId="0" borderId="2" xfId="0" applyNumberFormat="1" applyFont="1" applyFill="1" applyBorder="1" applyAlignment="1">
      <alignment horizontal="center" vertical="center"/>
    </xf>
    <xf numFmtId="167" fontId="50" fillId="0" borderId="2" xfId="0" applyNumberFormat="1" applyFont="1" applyFill="1" applyBorder="1" applyAlignment="1">
      <alignment horizontal="center" vertical="center"/>
    </xf>
    <xf numFmtId="9" fontId="50" fillId="0" borderId="2" xfId="1" applyFont="1" applyFill="1" applyBorder="1" applyAlignment="1">
      <alignment horizontal="center" vertical="center"/>
    </xf>
    <xf numFmtId="166" fontId="51" fillId="0" borderId="2" xfId="1" applyNumberFormat="1" applyFont="1" applyFill="1" applyBorder="1" applyAlignment="1">
      <alignment horizontal="center" vertical="center"/>
    </xf>
    <xf numFmtId="179" fontId="49" fillId="0" borderId="2" xfId="1" applyNumberFormat="1" applyFont="1" applyFill="1" applyBorder="1" applyAlignment="1">
      <alignment horizontal="center" vertical="center"/>
    </xf>
    <xf numFmtId="0" fontId="50" fillId="37" borderId="2" xfId="0" applyFont="1" applyFill="1" applyBorder="1" applyAlignment="1">
      <alignment horizontal="center" vertical="center" wrapText="1"/>
    </xf>
    <xf numFmtId="0" fontId="52" fillId="37" borderId="2" xfId="0" applyFont="1" applyFill="1" applyBorder="1" applyAlignment="1">
      <alignment horizontal="center" vertical="center" wrapText="1"/>
    </xf>
    <xf numFmtId="14" fontId="50" fillId="37" borderId="2" xfId="0" applyNumberFormat="1" applyFont="1" applyFill="1" applyBorder="1" applyAlignment="1">
      <alignment horizontal="center" vertical="center" wrapText="1"/>
    </xf>
    <xf numFmtId="0" fontId="61" fillId="37" borderId="2" xfId="2" applyFont="1" applyFill="1" applyBorder="1" applyAlignment="1">
      <alignment horizontal="center" vertical="center" wrapText="1"/>
    </xf>
    <xf numFmtId="0" fontId="51" fillId="0" borderId="2" xfId="0" applyFont="1" applyFill="1" applyBorder="1" applyAlignment="1">
      <alignment horizontal="center" vertical="center"/>
    </xf>
    <xf numFmtId="166" fontId="49" fillId="0" borderId="2" xfId="0" applyNumberFormat="1" applyFont="1" applyFill="1" applyBorder="1" applyAlignment="1">
      <alignment horizontal="center" vertical="center"/>
    </xf>
    <xf numFmtId="0" fontId="49" fillId="0" borderId="2" xfId="0" applyFont="1" applyFill="1" applyBorder="1" applyAlignment="1">
      <alignment horizontal="center" vertical="center"/>
    </xf>
    <xf numFmtId="0" fontId="49" fillId="5" borderId="0" xfId="0" applyFont="1" applyFill="1"/>
    <xf numFmtId="0" fontId="51" fillId="0" borderId="2" xfId="0" applyFont="1" applyFill="1" applyBorder="1" applyAlignment="1">
      <alignment horizontal="center"/>
    </xf>
    <xf numFmtId="171" fontId="51" fillId="0" borderId="2" xfId="0" applyNumberFormat="1" applyFont="1" applyFill="1" applyBorder="1" applyAlignment="1">
      <alignment horizontal="center" vertical="center" wrapText="1"/>
    </xf>
    <xf numFmtId="10" fontId="51" fillId="0" borderId="2" xfId="7" applyNumberFormat="1" applyFont="1" applyFill="1" applyBorder="1" applyAlignment="1">
      <alignment horizontal="center"/>
    </xf>
    <xf numFmtId="14" fontId="49" fillId="0" borderId="2" xfId="0" applyNumberFormat="1" applyFont="1" applyFill="1" applyBorder="1" applyAlignment="1">
      <alignment horizontal="center"/>
    </xf>
    <xf numFmtId="0" fontId="49" fillId="0" borderId="2" xfId="0" applyFont="1" applyFill="1" applyBorder="1" applyAlignment="1">
      <alignment horizontal="center"/>
    </xf>
    <xf numFmtId="166" fontId="49" fillId="0" borderId="2" xfId="0" applyNumberFormat="1" applyFont="1" applyFill="1" applyBorder="1" applyAlignment="1">
      <alignment horizontal="center"/>
    </xf>
    <xf numFmtId="2" fontId="49" fillId="0" borderId="2" xfId="0" applyNumberFormat="1" applyFont="1" applyFill="1" applyBorder="1" applyAlignment="1">
      <alignment horizontal="center"/>
    </xf>
    <xf numFmtId="9" fontId="49" fillId="0" borderId="2" xfId="318" applyFont="1" applyFill="1" applyBorder="1" applyAlignment="1">
      <alignment horizontal="center"/>
    </xf>
    <xf numFmtId="166" fontId="49" fillId="5" borderId="0" xfId="0" applyNumberFormat="1" applyFont="1" applyFill="1"/>
    <xf numFmtId="166" fontId="49" fillId="0" borderId="0" xfId="0" applyNumberFormat="1" applyFont="1" applyFill="1"/>
    <xf numFmtId="0" fontId="49" fillId="5" borderId="0" xfId="0" applyFont="1" applyFill="1" applyAlignment="1">
      <alignment horizontal="center"/>
    </xf>
    <xf numFmtId="0" fontId="50" fillId="0" borderId="0" xfId="0" applyFont="1"/>
    <xf numFmtId="0" fontId="49" fillId="0" borderId="0" xfId="0" applyFont="1" applyAlignment="1">
      <alignment horizontal="center"/>
    </xf>
    <xf numFmtId="0" fontId="50" fillId="38" borderId="2" xfId="0" applyFont="1" applyFill="1" applyBorder="1" applyAlignment="1">
      <alignment horizontal="center"/>
    </xf>
    <xf numFmtId="166" fontId="49" fillId="0" borderId="2" xfId="0" applyNumberFormat="1" applyFont="1" applyFill="1" applyBorder="1" applyAlignment="1">
      <alignment horizontal="center" vertical="center"/>
    </xf>
    <xf numFmtId="0" fontId="49" fillId="0" borderId="2" xfId="0" applyFont="1" applyFill="1" applyBorder="1" applyAlignment="1">
      <alignment horizontal="center" vertical="center"/>
    </xf>
    <xf numFmtId="10" fontId="49" fillId="0" borderId="2" xfId="1" applyNumberFormat="1" applyFont="1" applyFill="1" applyBorder="1" applyAlignment="1">
      <alignment horizontal="center" vertical="center"/>
    </xf>
    <xf numFmtId="166" fontId="49" fillId="0" borderId="2" xfId="0" applyNumberFormat="1" applyFont="1" applyFill="1" applyBorder="1" applyAlignment="1">
      <alignment horizontal="center" vertical="center"/>
    </xf>
    <xf numFmtId="0" fontId="49" fillId="0" borderId="2" xfId="0" applyFont="1" applyBorder="1" applyAlignment="1">
      <alignment horizontal="center" vertical="center"/>
    </xf>
    <xf numFmtId="10" fontId="49" fillId="0" borderId="2" xfId="0" applyNumberFormat="1" applyFont="1" applyFill="1" applyBorder="1" applyAlignment="1">
      <alignment horizontal="center" vertical="center"/>
    </xf>
    <xf numFmtId="0" fontId="49" fillId="0" borderId="2" xfId="0" applyFont="1" applyBorder="1" applyAlignment="1">
      <alignment horizontal="left" vertical="center"/>
    </xf>
    <xf numFmtId="166" fontId="49" fillId="0" borderId="2" xfId="0" applyNumberFormat="1" applyFont="1" applyBorder="1" applyAlignment="1">
      <alignment horizontal="center" vertical="center"/>
    </xf>
    <xf numFmtId="166" fontId="49" fillId="0" borderId="2" xfId="0" applyNumberFormat="1" applyFont="1" applyFill="1" applyBorder="1" applyAlignment="1">
      <alignment horizontal="center" vertical="center"/>
    </xf>
    <xf numFmtId="0" fontId="49" fillId="0" borderId="2" xfId="0" applyFont="1" applyFill="1" applyBorder="1" applyAlignment="1">
      <alignment horizontal="center" vertical="center"/>
    </xf>
    <xf numFmtId="10" fontId="49" fillId="0" borderId="2" xfId="1" applyNumberFormat="1" applyFont="1" applyFill="1" applyBorder="1" applyAlignment="1">
      <alignment horizontal="center" vertical="center"/>
    </xf>
    <xf numFmtId="166" fontId="49" fillId="0" borderId="2" xfId="0" applyNumberFormat="1" applyFont="1" applyFill="1" applyBorder="1" applyAlignment="1">
      <alignment horizontal="center" vertical="center"/>
    </xf>
    <xf numFmtId="0" fontId="49" fillId="0" borderId="2" xfId="0" applyFont="1" applyFill="1" applyBorder="1" applyAlignment="1">
      <alignment horizontal="center" vertical="center"/>
    </xf>
    <xf numFmtId="10" fontId="49" fillId="0" borderId="2" xfId="1" applyNumberFormat="1" applyFont="1" applyFill="1" applyBorder="1" applyAlignment="1">
      <alignment horizontal="center" vertical="center"/>
    </xf>
    <xf numFmtId="166" fontId="49" fillId="0" borderId="2" xfId="0" applyNumberFormat="1" applyFont="1" applyFill="1" applyBorder="1" applyAlignment="1">
      <alignment horizontal="center" vertical="center"/>
    </xf>
    <xf numFmtId="0" fontId="49" fillId="0" borderId="2" xfId="0" applyFont="1" applyFill="1" applyBorder="1" applyAlignment="1">
      <alignment horizontal="center" vertical="center"/>
    </xf>
    <xf numFmtId="10" fontId="49" fillId="0" borderId="2" xfId="1" applyNumberFormat="1" applyFont="1" applyFill="1" applyBorder="1" applyAlignment="1">
      <alignment horizontal="center" vertical="center"/>
    </xf>
    <xf numFmtId="166" fontId="49" fillId="0" borderId="2" xfId="0" applyNumberFormat="1" applyFont="1" applyFill="1" applyBorder="1" applyAlignment="1">
      <alignment horizontal="center" vertical="center"/>
    </xf>
    <xf numFmtId="166" fontId="49" fillId="0" borderId="2" xfId="0" applyNumberFormat="1" applyFont="1" applyFill="1" applyBorder="1" applyAlignment="1">
      <alignment horizontal="center" vertical="center"/>
    </xf>
    <xf numFmtId="166" fontId="49" fillId="0" borderId="2" xfId="0" applyNumberFormat="1" applyFont="1" applyFill="1" applyBorder="1" applyAlignment="1">
      <alignment horizontal="center" vertical="center"/>
    </xf>
    <xf numFmtId="0" fontId="49" fillId="0" borderId="2" xfId="0" applyFont="1" applyFill="1" applyBorder="1" applyAlignment="1">
      <alignment horizontal="center" vertical="center"/>
    </xf>
    <xf numFmtId="9" fontId="0" fillId="0" borderId="2" xfId="1" applyFont="1" applyFill="1" applyBorder="1" applyAlignment="1">
      <alignment horizontal="center" vertical="center"/>
    </xf>
    <xf numFmtId="14" fontId="11" fillId="0" borderId="2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9" fontId="21" fillId="0" borderId="2" xfId="1" applyFont="1" applyFill="1" applyBorder="1" applyAlignment="1">
      <alignment horizontal="center" vertical="center"/>
    </xf>
    <xf numFmtId="14" fontId="12" fillId="0" borderId="2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4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9" fontId="0" fillId="0" borderId="0" xfId="1" applyFont="1" applyFill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2" fontId="9" fillId="0" borderId="2" xfId="0" applyNumberFormat="1" applyFont="1" applyFill="1" applyBorder="1" applyAlignment="1">
      <alignment horizontal="center" vertical="center"/>
    </xf>
    <xf numFmtId="14" fontId="9" fillId="0" borderId="2" xfId="0" applyNumberFormat="1" applyFont="1" applyFill="1" applyBorder="1" applyAlignment="1">
      <alignment horizontal="center" vertical="center"/>
    </xf>
    <xf numFmtId="14" fontId="13" fillId="0" borderId="2" xfId="0" applyNumberFormat="1" applyFont="1" applyFill="1" applyBorder="1" applyAlignment="1">
      <alignment horizontal="center" vertical="center"/>
    </xf>
    <xf numFmtId="14" fontId="9" fillId="0" borderId="2" xfId="1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9" fontId="5" fillId="0" borderId="2" xfId="1" applyFont="1" applyFill="1" applyBorder="1" applyAlignment="1">
      <alignment horizontal="center" vertical="center"/>
    </xf>
    <xf numFmtId="14" fontId="0" fillId="0" borderId="2" xfId="0" applyNumberFormat="1" applyFont="1" applyFill="1" applyBorder="1" applyAlignment="1">
      <alignment horizontal="center" vertical="center"/>
    </xf>
    <xf numFmtId="14" fontId="0" fillId="0" borderId="2" xfId="0" applyNumberForma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0" fillId="0" borderId="2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49" fillId="0" borderId="2" xfId="0" applyFont="1" applyBorder="1" applyAlignment="1">
      <alignment horizontal="center"/>
    </xf>
    <xf numFmtId="10" fontId="49" fillId="40" borderId="2" xfId="0" applyNumberFormat="1" applyFont="1" applyFill="1" applyBorder="1" applyAlignment="1">
      <alignment horizontal="center" vertical="center"/>
    </xf>
    <xf numFmtId="166" fontId="49" fillId="0" borderId="2" xfId="0" applyNumberFormat="1" applyFont="1" applyFill="1" applyBorder="1" applyAlignment="1">
      <alignment horizontal="center" vertical="center"/>
    </xf>
    <xf numFmtId="166" fontId="9" fillId="0" borderId="2" xfId="0" applyNumberFormat="1" applyFont="1" applyFill="1" applyBorder="1" applyAlignment="1">
      <alignment horizontal="center" vertical="center"/>
    </xf>
    <xf numFmtId="10" fontId="9" fillId="0" borderId="2" xfId="1" applyNumberFormat="1" applyFont="1" applyFill="1" applyBorder="1" applyAlignment="1">
      <alignment horizontal="center" vertical="center"/>
    </xf>
    <xf numFmtId="0" fontId="51" fillId="0" borderId="6" xfId="0" applyFont="1" applyFill="1" applyBorder="1" applyAlignment="1">
      <alignment horizontal="left" vertical="center"/>
    </xf>
    <xf numFmtId="0" fontId="51" fillId="0" borderId="7" xfId="0" applyFont="1" applyFill="1" applyBorder="1" applyAlignment="1">
      <alignment horizontal="left" vertical="center"/>
    </xf>
    <xf numFmtId="166" fontId="49" fillId="0" borderId="2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9" fillId="0" borderId="2" xfId="0" applyFont="1" applyFill="1" applyBorder="1" applyAlignment="1">
      <alignment horizontal="center" vertical="center"/>
    </xf>
    <xf numFmtId="0" fontId="49" fillId="0" borderId="2" xfId="0" applyFont="1" applyFill="1" applyBorder="1" applyAlignment="1">
      <alignment horizontal="left" vertical="center"/>
    </xf>
    <xf numFmtId="0" fontId="49" fillId="0" borderId="2" xfId="0" applyFont="1" applyBorder="1" applyAlignment="1">
      <alignment horizontal="left"/>
    </xf>
    <xf numFmtId="0" fontId="49" fillId="0" borderId="2" xfId="0" applyFont="1" applyFill="1" applyBorder="1" applyAlignment="1">
      <alignment horizontal="center" vertical="center"/>
    </xf>
    <xf numFmtId="166" fontId="49" fillId="0" borderId="2" xfId="0" applyNumberFormat="1" applyFont="1" applyFill="1" applyBorder="1" applyAlignment="1">
      <alignment horizontal="center" vertical="center"/>
    </xf>
    <xf numFmtId="166" fontId="49" fillId="0" borderId="2" xfId="0" applyNumberFormat="1" applyFont="1" applyBorder="1" applyAlignment="1">
      <alignment horizontal="center"/>
    </xf>
    <xf numFmtId="166" fontId="49" fillId="0" borderId="2" xfId="0" applyNumberFormat="1" applyFont="1" applyFill="1" applyBorder="1" applyAlignment="1">
      <alignment horizontal="center" vertical="center"/>
    </xf>
    <xf numFmtId="166" fontId="49" fillId="0" borderId="2" xfId="0" applyNumberFormat="1" applyFont="1" applyFill="1" applyBorder="1" applyAlignment="1">
      <alignment horizontal="center" vertical="center"/>
    </xf>
    <xf numFmtId="171" fontId="51" fillId="0" borderId="2" xfId="0" applyNumberFormat="1" applyFont="1" applyFill="1" applyBorder="1" applyAlignment="1">
      <alignment horizontal="center" vertical="center"/>
    </xf>
    <xf numFmtId="166" fontId="49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66" fontId="2" fillId="0" borderId="2" xfId="0" applyNumberFormat="1" applyFont="1" applyFill="1" applyBorder="1" applyAlignment="1">
      <alignment horizontal="center" vertical="center"/>
    </xf>
    <xf numFmtId="10" fontId="2" fillId="0" borderId="2" xfId="1" applyNumberFormat="1" applyFont="1" applyFill="1" applyBorder="1" applyAlignment="1">
      <alignment horizontal="center" vertical="center"/>
    </xf>
    <xf numFmtId="166" fontId="11" fillId="0" borderId="2" xfId="0" applyNumberFormat="1" applyFont="1" applyFill="1" applyBorder="1" applyAlignment="1">
      <alignment horizontal="center" vertical="center"/>
    </xf>
    <xf numFmtId="10" fontId="11" fillId="0" borderId="2" xfId="1" applyNumberFormat="1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64" fillId="0" borderId="2" xfId="0" applyFont="1" applyFill="1" applyBorder="1" applyAlignment="1">
      <alignment horizontal="center" vertical="center"/>
    </xf>
    <xf numFmtId="166" fontId="21" fillId="0" borderId="2" xfId="0" applyNumberFormat="1" applyFont="1" applyFill="1" applyBorder="1" applyAlignment="1">
      <alignment horizontal="center" vertical="center"/>
    </xf>
    <xf numFmtId="10" fontId="21" fillId="0" borderId="2" xfId="1" applyNumberFormat="1" applyFont="1" applyFill="1" applyBorder="1" applyAlignment="1">
      <alignment horizontal="center" vertical="center"/>
    </xf>
    <xf numFmtId="14" fontId="21" fillId="0" borderId="2" xfId="0" applyNumberFormat="1" applyFont="1" applyFill="1" applyBorder="1" applyAlignment="1">
      <alignment horizontal="center" vertical="center"/>
    </xf>
    <xf numFmtId="14" fontId="2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66" fontId="49" fillId="0" borderId="2" xfId="0" applyNumberFormat="1" applyFont="1" applyFill="1" applyBorder="1" applyAlignment="1">
      <alignment horizontal="center" vertical="center"/>
    </xf>
    <xf numFmtId="166" fontId="49" fillId="0" borderId="2" xfId="0" applyNumberFormat="1" applyFont="1" applyFill="1" applyBorder="1" applyAlignment="1">
      <alignment horizontal="center" vertical="center"/>
    </xf>
    <xf numFmtId="2" fontId="52" fillId="0" borderId="2" xfId="8" applyNumberFormat="1" applyFont="1" applyFill="1" applyBorder="1" applyAlignment="1">
      <alignment horizontal="center" vertical="center"/>
    </xf>
    <xf numFmtId="2" fontId="52" fillId="0" borderId="2" xfId="0" applyNumberFormat="1" applyFont="1" applyFill="1" applyBorder="1" applyAlignment="1">
      <alignment horizontal="center" vertical="center"/>
    </xf>
    <xf numFmtId="166" fontId="49" fillId="0" borderId="2" xfId="0" applyNumberFormat="1" applyFont="1" applyFill="1" applyBorder="1" applyAlignment="1">
      <alignment horizontal="center" vertical="center"/>
    </xf>
    <xf numFmtId="166" fontId="49" fillId="0" borderId="2" xfId="0" applyNumberFormat="1" applyFont="1" applyFill="1" applyBorder="1" applyAlignment="1">
      <alignment horizontal="center" vertical="center"/>
    </xf>
    <xf numFmtId="0" fontId="65" fillId="0" borderId="2" xfId="0" applyFont="1" applyFill="1" applyBorder="1" applyAlignment="1">
      <alignment horizontal="center" vertical="center"/>
    </xf>
    <xf numFmtId="166" fontId="51" fillId="42" borderId="2" xfId="0" applyNumberFormat="1" applyFont="1" applyFill="1" applyBorder="1" applyAlignment="1">
      <alignment horizontal="center" vertical="center"/>
    </xf>
    <xf numFmtId="166" fontId="49" fillId="42" borderId="2" xfId="0" applyNumberFormat="1" applyFont="1" applyFill="1" applyBorder="1" applyAlignment="1">
      <alignment horizontal="center" vertical="center"/>
    </xf>
    <xf numFmtId="166" fontId="49" fillId="42" borderId="2" xfId="0" applyNumberFormat="1" applyFont="1" applyFill="1" applyBorder="1" applyAlignment="1">
      <alignment horizontal="center"/>
    </xf>
    <xf numFmtId="166" fontId="49" fillId="2" borderId="2" xfId="0" applyNumberFormat="1" applyFont="1" applyFill="1" applyBorder="1" applyAlignment="1">
      <alignment horizontal="center" vertical="center"/>
    </xf>
    <xf numFmtId="166" fontId="51" fillId="2" borderId="2" xfId="0" applyNumberFormat="1" applyFont="1" applyFill="1" applyBorder="1" applyAlignment="1">
      <alignment horizontal="center" vertical="center"/>
    </xf>
    <xf numFmtId="171" fontId="51" fillId="2" borderId="2" xfId="0" applyNumberFormat="1" applyFont="1" applyFill="1" applyBorder="1" applyAlignment="1">
      <alignment horizontal="center" vertical="center" wrapText="1"/>
    </xf>
    <xf numFmtId="0" fontId="49" fillId="2" borderId="2" xfId="0" applyFont="1" applyFill="1" applyBorder="1" applyAlignment="1">
      <alignment horizontal="center"/>
    </xf>
    <xf numFmtId="166" fontId="52" fillId="42" borderId="2" xfId="0" applyNumberFormat="1" applyFont="1" applyFill="1" applyBorder="1" applyAlignment="1">
      <alignment horizontal="center" vertical="center"/>
    </xf>
    <xf numFmtId="167" fontId="50" fillId="42" borderId="2" xfId="0" applyNumberFormat="1" applyFont="1" applyFill="1" applyBorder="1" applyAlignment="1">
      <alignment horizontal="center" vertical="center"/>
    </xf>
    <xf numFmtId="166" fontId="50" fillId="42" borderId="2" xfId="0" applyNumberFormat="1" applyFont="1" applyFill="1" applyBorder="1" applyAlignment="1">
      <alignment horizontal="center" vertical="center"/>
    </xf>
    <xf numFmtId="166" fontId="49" fillId="41" borderId="2" xfId="0" applyNumberFormat="1" applyFont="1" applyFill="1" applyBorder="1" applyAlignment="1">
      <alignment horizontal="center" vertical="center"/>
    </xf>
    <xf numFmtId="166" fontId="49" fillId="41" borderId="2" xfId="0" applyNumberFormat="1" applyFont="1" applyFill="1" applyBorder="1" applyAlignment="1">
      <alignment horizontal="center" vertical="center"/>
    </xf>
    <xf numFmtId="167" fontId="53" fillId="0" borderId="0" xfId="0" applyNumberFormat="1" applyFont="1" applyFill="1" applyBorder="1" applyAlignment="1">
      <alignment horizontal="left"/>
    </xf>
    <xf numFmtId="0" fontId="49" fillId="41" borderId="2" xfId="0" applyFont="1" applyFill="1" applyBorder="1"/>
    <xf numFmtId="166" fontId="51" fillId="41" borderId="2" xfId="1" applyNumberFormat="1" applyFont="1" applyFill="1" applyBorder="1" applyAlignment="1">
      <alignment horizontal="center" vertical="center"/>
    </xf>
    <xf numFmtId="9" fontId="49" fillId="41" borderId="2" xfId="1" applyFont="1" applyFill="1" applyBorder="1" applyAlignment="1">
      <alignment horizontal="center" vertical="center"/>
    </xf>
    <xf numFmtId="14" fontId="49" fillId="41" borderId="2" xfId="0" applyNumberFormat="1" applyFont="1" applyFill="1" applyBorder="1" applyAlignment="1">
      <alignment horizontal="center" vertical="center"/>
    </xf>
    <xf numFmtId="0" fontId="49" fillId="41" borderId="2" xfId="0" applyFont="1" applyFill="1" applyBorder="1" applyAlignment="1">
      <alignment horizontal="center" vertical="center"/>
    </xf>
    <xf numFmtId="166" fontId="49" fillId="41" borderId="2" xfId="0" applyNumberFormat="1" applyFont="1" applyFill="1" applyBorder="1" applyAlignment="1">
      <alignment horizontal="center" vertical="center"/>
    </xf>
    <xf numFmtId="0" fontId="50" fillId="5" borderId="0" xfId="0" applyFont="1" applyFill="1" applyBorder="1" applyAlignment="1">
      <alignment horizontal="center"/>
    </xf>
    <xf numFmtId="0" fontId="51" fillId="0" borderId="2" xfId="0" applyFont="1" applyFill="1" applyBorder="1" applyAlignment="1">
      <alignment horizontal="center" vertical="center"/>
    </xf>
    <xf numFmtId="0" fontId="50" fillId="34" borderId="11" xfId="0" applyFont="1" applyFill="1" applyBorder="1" applyAlignment="1">
      <alignment horizontal="center" vertical="center"/>
    </xf>
    <xf numFmtId="0" fontId="50" fillId="34" borderId="10" xfId="0" applyFont="1" applyFill="1" applyBorder="1" applyAlignment="1">
      <alignment horizontal="center" vertical="center"/>
    </xf>
    <xf numFmtId="0" fontId="50" fillId="34" borderId="12" xfId="0" applyFont="1" applyFill="1" applyBorder="1" applyAlignment="1">
      <alignment horizontal="center" vertical="center"/>
    </xf>
    <xf numFmtId="168" fontId="50" fillId="34" borderId="8" xfId="0" applyNumberFormat="1" applyFont="1" applyFill="1" applyBorder="1" applyAlignment="1">
      <alignment horizontal="center" vertical="center"/>
    </xf>
    <xf numFmtId="168" fontId="50" fillId="34" borderId="9" xfId="0" applyNumberFormat="1" applyFont="1" applyFill="1" applyBorder="1" applyAlignment="1">
      <alignment horizontal="center" vertical="center"/>
    </xf>
    <xf numFmtId="168" fontId="50" fillId="34" borderId="14" xfId="0" applyNumberFormat="1" applyFont="1" applyFill="1" applyBorder="1" applyAlignment="1">
      <alignment horizontal="center" vertical="center"/>
    </xf>
    <xf numFmtId="0" fontId="50" fillId="35" borderId="11" xfId="0" applyFont="1" applyFill="1" applyBorder="1" applyAlignment="1">
      <alignment horizontal="center" vertical="center"/>
    </xf>
    <xf numFmtId="0" fontId="50" fillId="35" borderId="10" xfId="0" applyFont="1" applyFill="1" applyBorder="1" applyAlignment="1">
      <alignment horizontal="center" vertical="center"/>
    </xf>
    <xf numFmtId="0" fontId="50" fillId="35" borderId="12" xfId="0" applyFont="1" applyFill="1" applyBorder="1" applyAlignment="1">
      <alignment horizontal="center" vertical="center"/>
    </xf>
    <xf numFmtId="168" fontId="50" fillId="35" borderId="8" xfId="0" applyNumberFormat="1" applyFont="1" applyFill="1" applyBorder="1" applyAlignment="1">
      <alignment horizontal="center" vertical="center"/>
    </xf>
    <xf numFmtId="0" fontId="50" fillId="35" borderId="9" xfId="0" applyFont="1" applyFill="1" applyBorder="1" applyAlignment="1">
      <alignment horizontal="center" vertical="center"/>
    </xf>
    <xf numFmtId="0" fontId="50" fillId="35" borderId="14" xfId="0" applyFont="1" applyFill="1" applyBorder="1" applyAlignment="1">
      <alignment horizontal="center" vertical="center"/>
    </xf>
    <xf numFmtId="0" fontId="51" fillId="0" borderId="6" xfId="0" applyFont="1" applyFill="1" applyBorder="1" applyAlignment="1">
      <alignment horizontal="left" vertical="center"/>
    </xf>
    <xf numFmtId="0" fontId="51" fillId="0" borderId="7" xfId="0" applyFont="1" applyFill="1" applyBorder="1" applyAlignment="1">
      <alignment horizontal="left" vertical="center"/>
    </xf>
    <xf numFmtId="0" fontId="49" fillId="5" borderId="6" xfId="0" applyFont="1" applyFill="1" applyBorder="1" applyAlignment="1">
      <alignment horizontal="center"/>
    </xf>
    <xf numFmtId="0" fontId="49" fillId="5" borderId="29" xfId="0" applyFont="1" applyFill="1" applyBorder="1" applyAlignment="1">
      <alignment horizontal="center"/>
    </xf>
    <xf numFmtId="0" fontId="49" fillId="5" borderId="7" xfId="0" applyFont="1" applyFill="1" applyBorder="1" applyAlignment="1">
      <alignment horizontal="center"/>
    </xf>
    <xf numFmtId="0" fontId="49" fillId="5" borderId="4" xfId="0" applyFont="1" applyFill="1" applyBorder="1" applyAlignment="1">
      <alignment horizontal="center" vertical="center"/>
    </xf>
    <xf numFmtId="0" fontId="49" fillId="5" borderId="5" xfId="0" applyFont="1" applyFill="1" applyBorder="1" applyAlignment="1">
      <alignment horizontal="center" vertical="center"/>
    </xf>
    <xf numFmtId="168" fontId="50" fillId="0" borderId="0" xfId="0" applyNumberFormat="1" applyFont="1" applyAlignment="1">
      <alignment horizontal="center"/>
    </xf>
    <xf numFmtId="0" fontId="52" fillId="0" borderId="2" xfId="0" applyFont="1" applyFill="1" applyBorder="1" applyAlignment="1">
      <alignment horizontal="center" vertical="center" wrapText="1"/>
    </xf>
    <xf numFmtId="167" fontId="49" fillId="0" borderId="2" xfId="0" applyNumberFormat="1" applyFont="1" applyFill="1" applyBorder="1" applyAlignment="1">
      <alignment horizontal="center" vertical="center"/>
    </xf>
    <xf numFmtId="167" fontId="49" fillId="41" borderId="2" xfId="0" applyNumberFormat="1" applyFont="1" applyFill="1" applyBorder="1" applyAlignment="1">
      <alignment horizontal="center" vertical="center"/>
    </xf>
    <xf numFmtId="179" fontId="49" fillId="0" borderId="2" xfId="1" applyNumberFormat="1" applyFont="1" applyFill="1" applyBorder="1" applyAlignment="1">
      <alignment horizontal="center" vertical="center"/>
    </xf>
    <xf numFmtId="179" fontId="49" fillId="41" borderId="2" xfId="1" applyNumberFormat="1" applyFont="1" applyFill="1" applyBorder="1" applyAlignment="1">
      <alignment horizontal="center" vertical="center"/>
    </xf>
    <xf numFmtId="166" fontId="49" fillId="0" borderId="2" xfId="0" applyNumberFormat="1" applyFont="1" applyFill="1" applyBorder="1" applyAlignment="1">
      <alignment horizontal="center" vertical="center"/>
    </xf>
    <xf numFmtId="0" fontId="51" fillId="41" borderId="3" xfId="0" applyFont="1" applyFill="1" applyBorder="1" applyAlignment="1">
      <alignment horizontal="left" vertical="center"/>
    </xf>
    <xf numFmtId="0" fontId="51" fillId="41" borderId="5" xfId="0" applyFont="1" applyFill="1" applyBorder="1" applyAlignment="1">
      <alignment horizontal="left" vertical="center"/>
    </xf>
    <xf numFmtId="0" fontId="51" fillId="0" borderId="3" xfId="0" applyFont="1" applyFill="1" applyBorder="1" applyAlignment="1">
      <alignment horizontal="left" vertical="center"/>
    </xf>
    <xf numFmtId="0" fontId="51" fillId="0" borderId="5" xfId="0" applyFont="1" applyFill="1" applyBorder="1" applyAlignment="1">
      <alignment horizontal="left" vertical="center"/>
    </xf>
    <xf numFmtId="0" fontId="49" fillId="0" borderId="2" xfId="0" applyFont="1" applyFill="1" applyBorder="1" applyAlignment="1">
      <alignment horizontal="center" vertical="center" textRotation="90" wrapText="1"/>
    </xf>
    <xf numFmtId="0" fontId="50" fillId="0" borderId="2" xfId="0" applyFont="1" applyFill="1" applyBorder="1" applyAlignment="1">
      <alignment horizontal="center" vertical="center"/>
    </xf>
    <xf numFmtId="0" fontId="52" fillId="0" borderId="2" xfId="0" applyFont="1" applyFill="1" applyBorder="1" applyAlignment="1">
      <alignment horizontal="center" vertical="center"/>
    </xf>
    <xf numFmtId="0" fontId="50" fillId="0" borderId="2" xfId="0" applyFont="1" applyFill="1" applyBorder="1" applyAlignment="1">
      <alignment horizontal="center" vertical="center" wrapText="1"/>
    </xf>
    <xf numFmtId="166" fontId="50" fillId="0" borderId="2" xfId="0" applyNumberFormat="1" applyFont="1" applyFill="1" applyBorder="1" applyAlignment="1">
      <alignment horizontal="center" vertical="center"/>
    </xf>
    <xf numFmtId="0" fontId="51" fillId="0" borderId="2" xfId="0" applyFont="1" applyFill="1" applyBorder="1" applyAlignment="1">
      <alignment horizontal="left" vertical="center" wrapText="1"/>
    </xf>
    <xf numFmtId="0" fontId="51" fillId="0" borderId="2" xfId="0" applyFont="1" applyFill="1" applyBorder="1" applyAlignment="1">
      <alignment horizontal="center" vertical="center" wrapText="1"/>
    </xf>
    <xf numFmtId="0" fontId="51" fillId="0" borderId="2" xfId="0" applyFont="1" applyFill="1" applyBorder="1"/>
    <xf numFmtId="0" fontId="49" fillId="0" borderId="2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/>
    </xf>
    <xf numFmtId="179" fontId="50" fillId="0" borderId="2" xfId="1" applyNumberFormat="1" applyFont="1" applyFill="1" applyBorder="1" applyAlignment="1">
      <alignment horizontal="center" vertical="center"/>
    </xf>
    <xf numFmtId="0" fontId="51" fillId="0" borderId="2" xfId="0" applyFont="1" applyFill="1" applyBorder="1" applyAlignment="1">
      <alignment horizontal="left" vertical="center"/>
    </xf>
    <xf numFmtId="0" fontId="54" fillId="0" borderId="0" xfId="0" applyFont="1" applyFill="1" applyBorder="1" applyAlignment="1">
      <alignment horizontal="left" vertical="top" wrapText="1"/>
    </xf>
    <xf numFmtId="0" fontId="55" fillId="0" borderId="0" xfId="0" applyFont="1" applyFill="1" applyBorder="1" applyAlignment="1">
      <alignment horizontal="left" vertical="top" wrapText="1"/>
    </xf>
    <xf numFmtId="0" fontId="55" fillId="0" borderId="15" xfId="0" applyFont="1" applyFill="1" applyBorder="1" applyAlignment="1">
      <alignment horizontal="left" vertical="top" wrapText="1"/>
    </xf>
    <xf numFmtId="0" fontId="60" fillId="0" borderId="0" xfId="0" applyFont="1" applyFill="1" applyAlignment="1">
      <alignment horizontal="center" vertical="center"/>
    </xf>
    <xf numFmtId="0" fontId="51" fillId="0" borderId="3" xfId="9" applyFont="1" applyFill="1" applyBorder="1" applyAlignment="1">
      <alignment horizontal="center" vertical="center" wrapText="1"/>
    </xf>
    <xf numFmtId="0" fontId="51" fillId="0" borderId="4" xfId="9" applyFont="1" applyFill="1" applyBorder="1" applyAlignment="1">
      <alignment horizontal="center" vertical="center" wrapText="1"/>
    </xf>
    <xf numFmtId="0" fontId="51" fillId="0" borderId="5" xfId="9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horizontal="center" vertical="center"/>
    </xf>
    <xf numFmtId="0" fontId="49" fillId="0" borderId="2" xfId="0" applyFont="1" applyFill="1" applyBorder="1" applyAlignment="1">
      <alignment horizontal="left" vertical="center" wrapText="1"/>
    </xf>
    <xf numFmtId="0" fontId="51" fillId="0" borderId="2" xfId="0" applyFont="1" applyFill="1" applyBorder="1" applyAlignment="1">
      <alignment horizontal="left" wrapText="1"/>
    </xf>
    <xf numFmtId="166" fontId="49" fillId="41" borderId="2" xfId="0" applyNumberFormat="1" applyFont="1" applyFill="1" applyBorder="1" applyAlignment="1">
      <alignment horizontal="center" vertical="center"/>
    </xf>
    <xf numFmtId="0" fontId="51" fillId="0" borderId="2" xfId="9" applyFont="1" applyFill="1" applyBorder="1" applyAlignment="1">
      <alignment horizontal="center" vertical="center" wrapText="1"/>
    </xf>
    <xf numFmtId="168" fontId="52" fillId="0" borderId="0" xfId="0" applyNumberFormat="1" applyFont="1" applyFill="1" applyBorder="1" applyAlignment="1">
      <alignment horizontal="center"/>
    </xf>
    <xf numFmtId="168" fontId="52" fillId="0" borderId="0" xfId="0" applyNumberFormat="1" applyFont="1" applyFill="1" applyBorder="1" applyAlignment="1">
      <alignment horizontal="center" vertical="center"/>
    </xf>
    <xf numFmtId="0" fontId="59" fillId="0" borderId="0" xfId="9" applyFont="1" applyFill="1" applyBorder="1" applyAlignment="1">
      <alignment horizontal="center" vertical="center" wrapText="1"/>
    </xf>
    <xf numFmtId="0" fontId="53" fillId="0" borderId="0" xfId="9" applyFont="1" applyFill="1" applyBorder="1" applyAlignment="1">
      <alignment horizontal="center" vertical="center" wrapText="1"/>
    </xf>
    <xf numFmtId="0" fontId="49" fillId="41" borderId="2" xfId="0" applyFont="1" applyFill="1" applyBorder="1" applyAlignment="1">
      <alignment horizontal="center" vertical="center" wrapText="1"/>
    </xf>
    <xf numFmtId="0" fontId="51" fillId="39" borderId="2" xfId="0" applyFont="1" applyFill="1" applyBorder="1" applyAlignment="1">
      <alignment horizontal="left" vertical="center"/>
    </xf>
    <xf numFmtId="0" fontId="49" fillId="0" borderId="2" xfId="0" applyFont="1" applyFill="1" applyBorder="1" applyAlignment="1">
      <alignment horizontal="center" vertical="center"/>
    </xf>
    <xf numFmtId="167" fontId="50" fillId="0" borderId="2" xfId="0" applyNumberFormat="1" applyFont="1" applyFill="1" applyBorder="1" applyAlignment="1">
      <alignment horizontal="center" vertical="center"/>
    </xf>
    <xf numFmtId="0" fontId="49" fillId="41" borderId="3" xfId="0" applyFont="1" applyFill="1" applyBorder="1" applyAlignment="1">
      <alignment horizontal="left" vertical="center"/>
    </xf>
    <xf numFmtId="0" fontId="49" fillId="41" borderId="5" xfId="0" applyFont="1" applyFill="1" applyBorder="1" applyAlignment="1">
      <alignment horizontal="left" vertical="center"/>
    </xf>
    <xf numFmtId="10" fontId="49" fillId="0" borderId="2" xfId="1" applyNumberFormat="1" applyFont="1" applyFill="1" applyBorder="1" applyAlignment="1">
      <alignment horizontal="center" vertical="center"/>
    </xf>
    <xf numFmtId="168" fontId="50" fillId="36" borderId="8" xfId="0" applyNumberFormat="1" applyFont="1" applyFill="1" applyBorder="1" applyAlignment="1">
      <alignment horizontal="center" vertical="center"/>
    </xf>
    <xf numFmtId="168" fontId="50" fillId="36" borderId="9" xfId="0" applyNumberFormat="1" applyFont="1" applyFill="1" applyBorder="1" applyAlignment="1">
      <alignment horizontal="center" vertical="center"/>
    </xf>
    <xf numFmtId="168" fontId="50" fillId="36" borderId="14" xfId="0" applyNumberFormat="1" applyFont="1" applyFill="1" applyBorder="1" applyAlignment="1">
      <alignment horizontal="center" vertical="center"/>
    </xf>
    <xf numFmtId="0" fontId="49" fillId="0" borderId="3" xfId="0" applyFont="1" applyFill="1" applyBorder="1" applyAlignment="1">
      <alignment horizontal="center" vertical="center" textRotation="90" wrapText="1"/>
    </xf>
    <xf numFmtId="0" fontId="49" fillId="0" borderId="4" xfId="0" applyFont="1" applyFill="1" applyBorder="1" applyAlignment="1">
      <alignment horizontal="center" vertical="center" textRotation="90" wrapText="1"/>
    </xf>
    <xf numFmtId="0" fontId="49" fillId="0" borderId="5" xfId="0" applyFont="1" applyFill="1" applyBorder="1" applyAlignment="1">
      <alignment horizontal="center" vertical="center" textRotation="90" wrapText="1"/>
    </xf>
    <xf numFmtId="0" fontId="50" fillId="0" borderId="3" xfId="0" applyFont="1" applyFill="1" applyBorder="1" applyAlignment="1">
      <alignment horizontal="center" vertical="center" wrapText="1"/>
    </xf>
    <xf numFmtId="0" fontId="50" fillId="0" borderId="5" xfId="0" applyFont="1" applyFill="1" applyBorder="1" applyAlignment="1">
      <alignment horizontal="center" vertical="center" wrapText="1"/>
    </xf>
    <xf numFmtId="0" fontId="49" fillId="41" borderId="2" xfId="0" applyFont="1" applyFill="1" applyBorder="1" applyAlignment="1">
      <alignment horizontal="left" vertical="center"/>
    </xf>
    <xf numFmtId="0" fontId="49" fillId="41" borderId="2" xfId="0" applyFont="1" applyFill="1" applyBorder="1" applyAlignment="1">
      <alignment horizontal="left" vertical="center" wrapText="1"/>
    </xf>
    <xf numFmtId="2" fontId="50" fillId="36" borderId="11" xfId="0" applyNumberFormat="1" applyFont="1" applyFill="1" applyBorder="1" applyAlignment="1">
      <alignment horizontal="center" vertical="center"/>
    </xf>
    <xf numFmtId="2" fontId="50" fillId="36" borderId="10" xfId="0" applyNumberFormat="1" applyFont="1" applyFill="1" applyBorder="1" applyAlignment="1">
      <alignment horizontal="center" vertical="center"/>
    </xf>
    <xf numFmtId="2" fontId="50" fillId="36" borderId="12" xfId="0" applyNumberFormat="1" applyFont="1" applyFill="1" applyBorder="1" applyAlignment="1">
      <alignment horizontal="center" vertical="center"/>
    </xf>
    <xf numFmtId="166" fontId="50" fillId="0" borderId="2" xfId="0" applyNumberFormat="1" applyFont="1" applyFill="1" applyBorder="1" applyAlignment="1">
      <alignment horizontal="center" vertical="center" wrapText="1"/>
    </xf>
    <xf numFmtId="9" fontId="50" fillId="0" borderId="2" xfId="1" applyFont="1" applyFill="1" applyBorder="1" applyAlignment="1">
      <alignment horizontal="center" vertical="center" wrapText="1"/>
    </xf>
    <xf numFmtId="0" fontId="49" fillId="0" borderId="3" xfId="0" applyFont="1" applyFill="1" applyBorder="1" applyAlignment="1">
      <alignment horizontal="left" vertical="center"/>
    </xf>
    <xf numFmtId="0" fontId="49" fillId="0" borderId="5" xfId="0" applyFont="1" applyFill="1" applyBorder="1" applyAlignment="1">
      <alignment horizontal="left" vertical="center"/>
    </xf>
    <xf numFmtId="0" fontId="49" fillId="0" borderId="2" xfId="0" applyFont="1" applyFill="1" applyBorder="1" applyAlignment="1">
      <alignment horizontal="left" vertical="center"/>
    </xf>
    <xf numFmtId="0" fontId="49" fillId="0" borderId="3" xfId="0" applyFont="1" applyBorder="1" applyAlignment="1">
      <alignment horizontal="center" vertical="center"/>
    </xf>
    <xf numFmtId="0" fontId="49" fillId="0" borderId="4" xfId="0" applyFont="1" applyBorder="1" applyAlignment="1">
      <alignment horizontal="center" vertical="center"/>
    </xf>
    <xf numFmtId="0" fontId="49" fillId="0" borderId="5" xfId="0" applyFont="1" applyBorder="1" applyAlignment="1">
      <alignment horizontal="center" vertical="center"/>
    </xf>
    <xf numFmtId="166" fontId="49" fillId="0" borderId="3" xfId="0" applyNumberFormat="1" applyFont="1" applyBorder="1" applyAlignment="1">
      <alignment horizontal="center" vertical="center"/>
    </xf>
    <xf numFmtId="166" fontId="49" fillId="0" borderId="4" xfId="0" applyNumberFormat="1" applyFont="1" applyBorder="1" applyAlignment="1">
      <alignment horizontal="center" vertical="center"/>
    </xf>
    <xf numFmtId="166" fontId="49" fillId="0" borderId="5" xfId="0" applyNumberFormat="1" applyFont="1" applyBorder="1" applyAlignment="1">
      <alignment horizontal="center" vertical="center"/>
    </xf>
    <xf numFmtId="0" fontId="60" fillId="33" borderId="30" xfId="0" applyFont="1" applyFill="1" applyBorder="1" applyAlignment="1">
      <alignment horizontal="center"/>
    </xf>
    <xf numFmtId="0" fontId="60" fillId="33" borderId="31" xfId="0" applyFont="1" applyFill="1" applyBorder="1" applyAlignment="1">
      <alignment horizontal="center"/>
    </xf>
    <xf numFmtId="0" fontId="60" fillId="33" borderId="32" xfId="0" applyFont="1" applyFill="1" applyBorder="1" applyAlignment="1">
      <alignment horizontal="center"/>
    </xf>
    <xf numFmtId="168" fontId="55" fillId="33" borderId="33" xfId="0" applyNumberFormat="1" applyFont="1" applyFill="1" applyBorder="1" applyAlignment="1">
      <alignment horizontal="center"/>
    </xf>
    <xf numFmtId="168" fontId="55" fillId="33" borderId="34" xfId="0" applyNumberFormat="1" applyFont="1" applyFill="1" applyBorder="1" applyAlignment="1">
      <alignment horizontal="center"/>
    </xf>
    <xf numFmtId="168" fontId="55" fillId="33" borderId="35" xfId="0" applyNumberFormat="1" applyFont="1" applyFill="1" applyBorder="1" applyAlignment="1">
      <alignment horizontal="center"/>
    </xf>
    <xf numFmtId="0" fontId="49" fillId="0" borderId="3" xfId="0" applyFont="1" applyFill="1" applyBorder="1" applyAlignment="1">
      <alignment horizontal="center" vertical="center"/>
    </xf>
    <xf numFmtId="0" fontId="49" fillId="0" borderId="4" xfId="0" applyFont="1" applyFill="1" applyBorder="1" applyAlignment="1">
      <alignment horizontal="center" vertical="center"/>
    </xf>
    <xf numFmtId="0" fontId="49" fillId="0" borderId="5" xfId="0" applyFont="1" applyFill="1" applyBorder="1" applyAlignment="1">
      <alignment horizontal="center" vertical="center"/>
    </xf>
    <xf numFmtId="10" fontId="49" fillId="0" borderId="3" xfId="0" applyNumberFormat="1" applyFont="1" applyFill="1" applyBorder="1" applyAlignment="1">
      <alignment horizontal="center" vertical="center"/>
    </xf>
    <xf numFmtId="10" fontId="49" fillId="0" borderId="4" xfId="0" applyNumberFormat="1" applyFont="1" applyFill="1" applyBorder="1" applyAlignment="1">
      <alignment horizontal="center" vertical="center"/>
    </xf>
    <xf numFmtId="10" fontId="49" fillId="0" borderId="5" xfId="0" applyNumberFormat="1" applyFont="1" applyFill="1" applyBorder="1" applyAlignment="1">
      <alignment horizontal="center" vertical="center"/>
    </xf>
    <xf numFmtId="0" fontId="52" fillId="8" borderId="11" xfId="0" applyFont="1" applyFill="1" applyBorder="1" applyAlignment="1">
      <alignment horizontal="center"/>
    </xf>
    <xf numFmtId="0" fontId="52" fillId="8" borderId="10" xfId="0" applyFont="1" applyFill="1" applyBorder="1" applyAlignment="1">
      <alignment horizontal="center"/>
    </xf>
    <xf numFmtId="0" fontId="52" fillId="8" borderId="12" xfId="0" applyFont="1" applyFill="1" applyBorder="1" applyAlignment="1">
      <alignment horizontal="center"/>
    </xf>
    <xf numFmtId="168" fontId="52" fillId="8" borderId="8" xfId="0" applyNumberFormat="1" applyFont="1" applyFill="1" applyBorder="1" applyAlignment="1">
      <alignment horizontal="center"/>
    </xf>
    <xf numFmtId="168" fontId="52" fillId="8" borderId="9" xfId="0" applyNumberFormat="1" applyFont="1" applyFill="1" applyBorder="1" applyAlignment="1">
      <alignment horizontal="center"/>
    </xf>
    <xf numFmtId="168" fontId="52" fillId="8" borderId="14" xfId="0" applyNumberFormat="1" applyFont="1" applyFill="1" applyBorder="1" applyAlignment="1">
      <alignment horizontal="center"/>
    </xf>
    <xf numFmtId="3" fontId="51" fillId="0" borderId="2" xfId="0" applyNumberFormat="1" applyFont="1" applyFill="1" applyBorder="1" applyAlignment="1">
      <alignment horizontal="center" vertical="center" wrapText="1"/>
    </xf>
    <xf numFmtId="0" fontId="51" fillId="0" borderId="2" xfId="0" applyFont="1" applyFill="1" applyBorder="1" applyAlignment="1">
      <alignment horizontal="center"/>
    </xf>
    <xf numFmtId="3" fontId="51" fillId="0" borderId="2" xfId="0" applyNumberFormat="1" applyFont="1" applyFill="1" applyBorder="1" applyAlignment="1">
      <alignment horizontal="center" vertical="center"/>
    </xf>
    <xf numFmtId="14" fontId="49" fillId="0" borderId="2" xfId="0" applyNumberFormat="1" applyFont="1" applyFill="1" applyBorder="1" applyAlignment="1">
      <alignment horizontal="center" vertical="center" wrapText="1"/>
    </xf>
    <xf numFmtId="0" fontId="50" fillId="6" borderId="11" xfId="0" applyFont="1" applyFill="1" applyBorder="1" applyAlignment="1">
      <alignment horizontal="center"/>
    </xf>
    <xf numFmtId="0" fontId="50" fillId="6" borderId="10" xfId="0" applyFont="1" applyFill="1" applyBorder="1" applyAlignment="1">
      <alignment horizontal="center"/>
    </xf>
    <xf numFmtId="0" fontId="50" fillId="6" borderId="12" xfId="0" applyFont="1" applyFill="1" applyBorder="1" applyAlignment="1">
      <alignment horizontal="center"/>
    </xf>
    <xf numFmtId="168" fontId="50" fillId="6" borderId="8" xfId="0" applyNumberFormat="1" applyFont="1" applyFill="1" applyBorder="1" applyAlignment="1">
      <alignment horizontal="center" vertical="center"/>
    </xf>
    <xf numFmtId="168" fontId="50" fillId="6" borderId="9" xfId="0" applyNumberFormat="1" applyFont="1" applyFill="1" applyBorder="1" applyAlignment="1">
      <alignment horizontal="center" vertical="center"/>
    </xf>
    <xf numFmtId="168" fontId="50" fillId="6" borderId="14" xfId="0" applyNumberFormat="1" applyFont="1" applyFill="1" applyBorder="1" applyAlignment="1">
      <alignment horizontal="center" vertical="center"/>
    </xf>
    <xf numFmtId="0" fontId="15" fillId="0" borderId="2" xfId="0" applyFont="1" applyBorder="1" applyAlignment="1">
      <alignment horizontal="right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10" fontId="49" fillId="41" borderId="2" xfId="1" applyNumberFormat="1" applyFont="1" applyFill="1" applyBorder="1" applyAlignment="1">
      <alignment horizontal="center" vertical="center"/>
    </xf>
    <xf numFmtId="10" fontId="49" fillId="41" borderId="2" xfId="1" applyNumberFormat="1" applyFont="1" applyFill="1" applyBorder="1" applyAlignment="1">
      <alignment horizontal="center" vertical="center"/>
    </xf>
  </cellXfs>
  <cellStyles count="42126">
    <cellStyle name="20% - Énfasis1 2" xfId="19"/>
    <cellStyle name="20% - Énfasis1 2 2" xfId="20"/>
    <cellStyle name="20% - Énfasis1 2 3" xfId="21"/>
    <cellStyle name="20% - Énfasis1 2 4" xfId="345"/>
    <cellStyle name="20% - Énfasis1 3" xfId="22"/>
    <cellStyle name="20% - Énfasis1 4" xfId="18"/>
    <cellStyle name="20% - Énfasis1 5" xfId="346"/>
    <cellStyle name="20% - Énfasis1 6" xfId="347"/>
    <cellStyle name="20% - Énfasis1 7" xfId="348"/>
    <cellStyle name="20% - Énfasis1 8" xfId="41740"/>
    <cellStyle name="20% - Énfasis2 2" xfId="24"/>
    <cellStyle name="20% - Énfasis2 2 2" xfId="25"/>
    <cellStyle name="20% - Énfasis2 2 3" xfId="26"/>
    <cellStyle name="20% - Énfasis2 2 4" xfId="349"/>
    <cellStyle name="20% - Énfasis2 3" xfId="27"/>
    <cellStyle name="20% - Énfasis2 4" xfId="23"/>
    <cellStyle name="20% - Énfasis2 5" xfId="350"/>
    <cellStyle name="20% - Énfasis2 6" xfId="351"/>
    <cellStyle name="20% - Énfasis2 7" xfId="352"/>
    <cellStyle name="20% - Énfasis2 8" xfId="41741"/>
    <cellStyle name="20% - Énfasis3 2" xfId="29"/>
    <cellStyle name="20% - Énfasis3 2 2" xfId="30"/>
    <cellStyle name="20% - Énfasis3 2 3" xfId="31"/>
    <cellStyle name="20% - Énfasis3 2 4" xfId="353"/>
    <cellStyle name="20% - Énfasis3 3" xfId="32"/>
    <cellStyle name="20% - Énfasis3 4" xfId="28"/>
    <cellStyle name="20% - Énfasis3 5" xfId="354"/>
    <cellStyle name="20% - Énfasis3 6" xfId="355"/>
    <cellStyle name="20% - Énfasis3 7" xfId="356"/>
    <cellStyle name="20% - Énfasis3 8" xfId="41742"/>
    <cellStyle name="20% - Énfasis4 2" xfId="34"/>
    <cellStyle name="20% - Énfasis4 2 2" xfId="35"/>
    <cellStyle name="20% - Énfasis4 2 3" xfId="36"/>
    <cellStyle name="20% - Énfasis4 2 4" xfId="357"/>
    <cellStyle name="20% - Énfasis4 3" xfId="37"/>
    <cellStyle name="20% - Énfasis4 4" xfId="33"/>
    <cellStyle name="20% - Énfasis4 5" xfId="358"/>
    <cellStyle name="20% - Énfasis4 6" xfId="359"/>
    <cellStyle name="20% - Énfasis4 7" xfId="360"/>
    <cellStyle name="20% - Énfasis4 8" xfId="41743"/>
    <cellStyle name="20% - Énfasis5 2" xfId="39"/>
    <cellStyle name="20% - Énfasis5 2 2" xfId="40"/>
    <cellStyle name="20% - Énfasis5 2 3" xfId="41"/>
    <cellStyle name="20% - Énfasis5 2 4" xfId="361"/>
    <cellStyle name="20% - Énfasis5 3" xfId="42"/>
    <cellStyle name="20% - Énfasis5 4" xfId="38"/>
    <cellStyle name="20% - Énfasis5 5" xfId="362"/>
    <cellStyle name="20% - Énfasis5 6" xfId="363"/>
    <cellStyle name="20% - Énfasis5 7" xfId="364"/>
    <cellStyle name="20% - Énfasis5 8" xfId="41744"/>
    <cellStyle name="20% - Énfasis6 2" xfId="44"/>
    <cellStyle name="20% - Énfasis6 2 2" xfId="45"/>
    <cellStyle name="20% - Énfasis6 2 3" xfId="46"/>
    <cellStyle name="20% - Énfasis6 2 4" xfId="365"/>
    <cellStyle name="20% - Énfasis6 3" xfId="47"/>
    <cellStyle name="20% - Énfasis6 4" xfId="43"/>
    <cellStyle name="20% - Énfasis6 5" xfId="366"/>
    <cellStyle name="20% - Énfasis6 6" xfId="367"/>
    <cellStyle name="20% - Énfasis6 7" xfId="368"/>
    <cellStyle name="20% - Énfasis6 8" xfId="41745"/>
    <cellStyle name="40% - Énfasis1 2" xfId="49"/>
    <cellStyle name="40% - Énfasis1 2 2" xfId="50"/>
    <cellStyle name="40% - Énfasis1 2 3" xfId="51"/>
    <cellStyle name="40% - Énfasis1 2 4" xfId="369"/>
    <cellStyle name="40% - Énfasis1 3" xfId="52"/>
    <cellStyle name="40% - Énfasis1 4" xfId="48"/>
    <cellStyle name="40% - Énfasis1 5" xfId="370"/>
    <cellStyle name="40% - Énfasis1 6" xfId="371"/>
    <cellStyle name="40% - Énfasis1 7" xfId="372"/>
    <cellStyle name="40% - Énfasis1 8" xfId="41746"/>
    <cellStyle name="40% - Énfasis2 2" xfId="54"/>
    <cellStyle name="40% - Énfasis2 2 2" xfId="55"/>
    <cellStyle name="40% - Énfasis2 2 3" xfId="56"/>
    <cellStyle name="40% - Énfasis2 2 4" xfId="373"/>
    <cellStyle name="40% - Énfasis2 3" xfId="57"/>
    <cellStyle name="40% - Énfasis2 4" xfId="53"/>
    <cellStyle name="40% - Énfasis2 5" xfId="374"/>
    <cellStyle name="40% - Énfasis2 6" xfId="375"/>
    <cellStyle name="40% - Énfasis2 7" xfId="376"/>
    <cellStyle name="40% - Énfasis2 8" xfId="41747"/>
    <cellStyle name="40% - Énfasis3 2" xfId="59"/>
    <cellStyle name="40% - Énfasis3 2 2" xfId="60"/>
    <cellStyle name="40% - Énfasis3 2 3" xfId="61"/>
    <cellStyle name="40% - Énfasis3 2 4" xfId="377"/>
    <cellStyle name="40% - Énfasis3 3" xfId="62"/>
    <cellStyle name="40% - Énfasis3 4" xfId="58"/>
    <cellStyle name="40% - Énfasis3 5" xfId="378"/>
    <cellStyle name="40% - Énfasis3 6" xfId="379"/>
    <cellStyle name="40% - Énfasis3 7" xfId="380"/>
    <cellStyle name="40% - Énfasis3 8" xfId="41748"/>
    <cellStyle name="40% - Énfasis4 2" xfId="64"/>
    <cellStyle name="40% - Énfasis4 2 2" xfId="65"/>
    <cellStyle name="40% - Énfasis4 2 3" xfId="66"/>
    <cellStyle name="40% - Énfasis4 2 4" xfId="381"/>
    <cellStyle name="40% - Énfasis4 3" xfId="67"/>
    <cellStyle name="40% - Énfasis4 4" xfId="63"/>
    <cellStyle name="40% - Énfasis4 5" xfId="382"/>
    <cellStyle name="40% - Énfasis4 6" xfId="383"/>
    <cellStyle name="40% - Énfasis4 7" xfId="384"/>
    <cellStyle name="40% - Énfasis4 8" xfId="41749"/>
    <cellStyle name="40% - Énfasis5 2" xfId="69"/>
    <cellStyle name="40% - Énfasis5 2 2" xfId="70"/>
    <cellStyle name="40% - Énfasis5 2 3" xfId="71"/>
    <cellStyle name="40% - Énfasis5 2 4" xfId="385"/>
    <cellStyle name="40% - Énfasis5 3" xfId="72"/>
    <cellStyle name="40% - Énfasis5 4" xfId="68"/>
    <cellStyle name="40% - Énfasis5 5" xfId="386"/>
    <cellStyle name="40% - Énfasis5 6" xfId="387"/>
    <cellStyle name="40% - Énfasis5 7" xfId="388"/>
    <cellStyle name="40% - Énfasis5 8" xfId="41750"/>
    <cellStyle name="40% - Énfasis6 2" xfId="74"/>
    <cellStyle name="40% - Énfasis6 2 2" xfId="75"/>
    <cellStyle name="40% - Énfasis6 2 3" xfId="76"/>
    <cellStyle name="40% - Énfasis6 2 4" xfId="389"/>
    <cellStyle name="40% - Énfasis6 3" xfId="77"/>
    <cellStyle name="40% - Énfasis6 4" xfId="73"/>
    <cellStyle name="40% - Énfasis6 5" xfId="390"/>
    <cellStyle name="40% - Énfasis6 6" xfId="391"/>
    <cellStyle name="40% - Énfasis6 7" xfId="392"/>
    <cellStyle name="40% - Énfasis6 8" xfId="41751"/>
    <cellStyle name="60% - Énfasis1 2" xfId="79"/>
    <cellStyle name="60% - Énfasis1 2 2" xfId="80"/>
    <cellStyle name="60% - Énfasis1 2 3" xfId="81"/>
    <cellStyle name="60% - Énfasis1 2 4" xfId="393"/>
    <cellStyle name="60% - Énfasis1 3" xfId="82"/>
    <cellStyle name="60% - Énfasis1 4" xfId="78"/>
    <cellStyle name="60% - Énfasis1 5" xfId="394"/>
    <cellStyle name="60% - Énfasis1 6" xfId="395"/>
    <cellStyle name="60% - Énfasis1 7" xfId="396"/>
    <cellStyle name="60% - Énfasis1 8" xfId="41752"/>
    <cellStyle name="60% - Énfasis2 2" xfId="84"/>
    <cellStyle name="60% - Énfasis2 2 2" xfId="85"/>
    <cellStyle name="60% - Énfasis2 2 3" xfId="86"/>
    <cellStyle name="60% - Énfasis2 2 4" xfId="397"/>
    <cellStyle name="60% - Énfasis2 3" xfId="87"/>
    <cellStyle name="60% - Énfasis2 4" xfId="83"/>
    <cellStyle name="60% - Énfasis2 5" xfId="398"/>
    <cellStyle name="60% - Énfasis2 6" xfId="399"/>
    <cellStyle name="60% - Énfasis2 7" xfId="400"/>
    <cellStyle name="60% - Énfasis2 8" xfId="41753"/>
    <cellStyle name="60% - Énfasis3 2" xfId="89"/>
    <cellStyle name="60% - Énfasis3 2 2" xfId="90"/>
    <cellStyle name="60% - Énfasis3 2 3" xfId="91"/>
    <cellStyle name="60% - Énfasis3 2 4" xfId="401"/>
    <cellStyle name="60% - Énfasis3 3" xfId="92"/>
    <cellStyle name="60% - Énfasis3 4" xfId="88"/>
    <cellStyle name="60% - Énfasis3 5" xfId="402"/>
    <cellStyle name="60% - Énfasis3 6" xfId="403"/>
    <cellStyle name="60% - Énfasis3 7" xfId="404"/>
    <cellStyle name="60% - Énfasis3 8" xfId="41754"/>
    <cellStyle name="60% - Énfasis4 2" xfId="94"/>
    <cellStyle name="60% - Énfasis4 2 2" xfId="95"/>
    <cellStyle name="60% - Énfasis4 2 3" xfId="96"/>
    <cellStyle name="60% - Énfasis4 2 4" xfId="405"/>
    <cellStyle name="60% - Énfasis4 3" xfId="97"/>
    <cellStyle name="60% - Énfasis4 4" xfId="93"/>
    <cellStyle name="60% - Énfasis4 5" xfId="406"/>
    <cellStyle name="60% - Énfasis4 6" xfId="407"/>
    <cellStyle name="60% - Énfasis4 7" xfId="408"/>
    <cellStyle name="60% - Énfasis4 8" xfId="41755"/>
    <cellStyle name="60% - Énfasis5 2" xfId="99"/>
    <cellStyle name="60% - Énfasis5 2 2" xfId="100"/>
    <cellStyle name="60% - Énfasis5 2 3" xfId="101"/>
    <cellStyle name="60% - Énfasis5 2 4" xfId="409"/>
    <cellStyle name="60% - Énfasis5 3" xfId="102"/>
    <cellStyle name="60% - Énfasis5 4" xfId="98"/>
    <cellStyle name="60% - Énfasis5 5" xfId="410"/>
    <cellStyle name="60% - Énfasis5 6" xfId="411"/>
    <cellStyle name="60% - Énfasis5 7" xfId="412"/>
    <cellStyle name="60% - Énfasis5 8" xfId="41756"/>
    <cellStyle name="60% - Énfasis6 2" xfId="104"/>
    <cellStyle name="60% - Énfasis6 2 2" xfId="105"/>
    <cellStyle name="60% - Énfasis6 2 3" xfId="106"/>
    <cellStyle name="60% - Énfasis6 2 4" xfId="413"/>
    <cellStyle name="60% - Énfasis6 3" xfId="107"/>
    <cellStyle name="60% - Énfasis6 4" xfId="103"/>
    <cellStyle name="60% - Énfasis6 5" xfId="414"/>
    <cellStyle name="60% - Énfasis6 6" xfId="415"/>
    <cellStyle name="60% - Énfasis6 7" xfId="416"/>
    <cellStyle name="60% - Énfasis6 8" xfId="41757"/>
    <cellStyle name="Buena 2" xfId="109"/>
    <cellStyle name="Buena 2 2" xfId="110"/>
    <cellStyle name="Buena 2 3" xfId="111"/>
    <cellStyle name="Buena 2 4" xfId="417"/>
    <cellStyle name="Buena 3" xfId="112"/>
    <cellStyle name="Buena 4" xfId="108"/>
    <cellStyle name="Buena 5" xfId="418"/>
    <cellStyle name="Buena 6" xfId="419"/>
    <cellStyle name="Buena 7" xfId="420"/>
    <cellStyle name="Buena 8" xfId="41758"/>
    <cellStyle name="Cálculo 2" xfId="114"/>
    <cellStyle name="Cálculo 2 10" xfId="421"/>
    <cellStyle name="Cálculo 2 10 2" xfId="422"/>
    <cellStyle name="Cálculo 2 11" xfId="423"/>
    <cellStyle name="Cálculo 2 11 2" xfId="424"/>
    <cellStyle name="Cálculo 2 12" xfId="425"/>
    <cellStyle name="Cálculo 2 12 2" xfId="426"/>
    <cellStyle name="Cálculo 2 13" xfId="427"/>
    <cellStyle name="Cálculo 2 13 2" xfId="428"/>
    <cellStyle name="Cálculo 2 14" xfId="429"/>
    <cellStyle name="Cálculo 2 14 2" xfId="430"/>
    <cellStyle name="Cálculo 2 15" xfId="431"/>
    <cellStyle name="Cálculo 2 15 2" xfId="432"/>
    <cellStyle name="Cálculo 2 16" xfId="433"/>
    <cellStyle name="Cálculo 2 16 2" xfId="434"/>
    <cellStyle name="Cálculo 2 17" xfId="435"/>
    <cellStyle name="Cálculo 2 17 2" xfId="436"/>
    <cellStyle name="Cálculo 2 18" xfId="437"/>
    <cellStyle name="Cálculo 2 18 2" xfId="438"/>
    <cellStyle name="Cálculo 2 19" xfId="439"/>
    <cellStyle name="Cálculo 2 2" xfId="115"/>
    <cellStyle name="Cálculo 2 2 10" xfId="440"/>
    <cellStyle name="Cálculo 2 2 10 2" xfId="441"/>
    <cellStyle name="Cálculo 2 2 11" xfId="442"/>
    <cellStyle name="Cálculo 2 2 11 2" xfId="443"/>
    <cellStyle name="Cálculo 2 2 12" xfId="444"/>
    <cellStyle name="Cálculo 2 2 12 2" xfId="445"/>
    <cellStyle name="Cálculo 2 2 13" xfId="446"/>
    <cellStyle name="Cálculo 2 2 13 2" xfId="447"/>
    <cellStyle name="Cálculo 2 2 14" xfId="448"/>
    <cellStyle name="Cálculo 2 2 14 2" xfId="449"/>
    <cellStyle name="Cálculo 2 2 15" xfId="450"/>
    <cellStyle name="Cálculo 2 2 15 2" xfId="451"/>
    <cellStyle name="Cálculo 2 2 16" xfId="452"/>
    <cellStyle name="Cálculo 2 2 17" xfId="453"/>
    <cellStyle name="Cálculo 2 2 18" xfId="454"/>
    <cellStyle name="Cálculo 2 2 2" xfId="285"/>
    <cellStyle name="Cálculo 2 2 2 10" xfId="455"/>
    <cellStyle name="Cálculo 2 2 2 10 2" xfId="456"/>
    <cellStyle name="Cálculo 2 2 2 11" xfId="457"/>
    <cellStyle name="Cálculo 2 2 2 11 2" xfId="458"/>
    <cellStyle name="Cálculo 2 2 2 12" xfId="459"/>
    <cellStyle name="Cálculo 2 2 2 12 2" xfId="460"/>
    <cellStyle name="Cálculo 2 2 2 13" xfId="461"/>
    <cellStyle name="Cálculo 2 2 2 13 2" xfId="462"/>
    <cellStyle name="Cálculo 2 2 2 14" xfId="463"/>
    <cellStyle name="Cálculo 2 2 2 14 2" xfId="464"/>
    <cellStyle name="Cálculo 2 2 2 15" xfId="465"/>
    <cellStyle name="Cálculo 2 2 2 16" xfId="466"/>
    <cellStyle name="Cálculo 2 2 2 2" xfId="467"/>
    <cellStyle name="Cálculo 2 2 2 2 10" xfId="468"/>
    <cellStyle name="Cálculo 2 2 2 2 10 2" xfId="469"/>
    <cellStyle name="Cálculo 2 2 2 2 11" xfId="470"/>
    <cellStyle name="Cálculo 2 2 2 2 11 2" xfId="471"/>
    <cellStyle name="Cálculo 2 2 2 2 12" xfId="472"/>
    <cellStyle name="Cálculo 2 2 2 2 12 2" xfId="473"/>
    <cellStyle name="Cálculo 2 2 2 2 13" xfId="474"/>
    <cellStyle name="Cálculo 2 2 2 2 2" xfId="475"/>
    <cellStyle name="Cálculo 2 2 2 2 2 10" xfId="476"/>
    <cellStyle name="Cálculo 2 2 2 2 2 10 2" xfId="477"/>
    <cellStyle name="Cálculo 2 2 2 2 2 11" xfId="478"/>
    <cellStyle name="Cálculo 2 2 2 2 2 2" xfId="479"/>
    <cellStyle name="Cálculo 2 2 2 2 2 2 2" xfId="480"/>
    <cellStyle name="Cálculo 2 2 2 2 2 3" xfId="481"/>
    <cellStyle name="Cálculo 2 2 2 2 2 3 2" xfId="482"/>
    <cellStyle name="Cálculo 2 2 2 2 2 4" xfId="483"/>
    <cellStyle name="Cálculo 2 2 2 2 2 4 2" xfId="484"/>
    <cellStyle name="Cálculo 2 2 2 2 2 5" xfId="485"/>
    <cellStyle name="Cálculo 2 2 2 2 2 5 2" xfId="486"/>
    <cellStyle name="Cálculo 2 2 2 2 2 6" xfId="487"/>
    <cellStyle name="Cálculo 2 2 2 2 2 6 2" xfId="488"/>
    <cellStyle name="Cálculo 2 2 2 2 2 7" xfId="489"/>
    <cellStyle name="Cálculo 2 2 2 2 2 7 2" xfId="490"/>
    <cellStyle name="Cálculo 2 2 2 2 2 8" xfId="491"/>
    <cellStyle name="Cálculo 2 2 2 2 2 8 2" xfId="492"/>
    <cellStyle name="Cálculo 2 2 2 2 2 9" xfId="493"/>
    <cellStyle name="Cálculo 2 2 2 2 2 9 2" xfId="494"/>
    <cellStyle name="Cálculo 2 2 2 2 3" xfId="495"/>
    <cellStyle name="Cálculo 2 2 2 2 3 10" xfId="496"/>
    <cellStyle name="Cálculo 2 2 2 2 3 10 2" xfId="497"/>
    <cellStyle name="Cálculo 2 2 2 2 3 11" xfId="498"/>
    <cellStyle name="Cálculo 2 2 2 2 3 2" xfId="499"/>
    <cellStyle name="Cálculo 2 2 2 2 3 2 2" xfId="500"/>
    <cellStyle name="Cálculo 2 2 2 2 3 3" xfId="501"/>
    <cellStyle name="Cálculo 2 2 2 2 3 3 2" xfId="502"/>
    <cellStyle name="Cálculo 2 2 2 2 3 4" xfId="503"/>
    <cellStyle name="Cálculo 2 2 2 2 3 4 2" xfId="504"/>
    <cellStyle name="Cálculo 2 2 2 2 3 5" xfId="505"/>
    <cellStyle name="Cálculo 2 2 2 2 3 5 2" xfId="506"/>
    <cellStyle name="Cálculo 2 2 2 2 3 6" xfId="507"/>
    <cellStyle name="Cálculo 2 2 2 2 3 6 2" xfId="508"/>
    <cellStyle name="Cálculo 2 2 2 2 3 7" xfId="509"/>
    <cellStyle name="Cálculo 2 2 2 2 3 7 2" xfId="510"/>
    <cellStyle name="Cálculo 2 2 2 2 3 8" xfId="511"/>
    <cellStyle name="Cálculo 2 2 2 2 3 8 2" xfId="512"/>
    <cellStyle name="Cálculo 2 2 2 2 3 9" xfId="513"/>
    <cellStyle name="Cálculo 2 2 2 2 3 9 2" xfId="514"/>
    <cellStyle name="Cálculo 2 2 2 2 4" xfId="515"/>
    <cellStyle name="Cálculo 2 2 2 2 4 2" xfId="516"/>
    <cellStyle name="Cálculo 2 2 2 2 5" xfId="517"/>
    <cellStyle name="Cálculo 2 2 2 2 5 2" xfId="518"/>
    <cellStyle name="Cálculo 2 2 2 2 6" xfId="519"/>
    <cellStyle name="Cálculo 2 2 2 2 6 2" xfId="520"/>
    <cellStyle name="Cálculo 2 2 2 2 7" xfId="521"/>
    <cellStyle name="Cálculo 2 2 2 2 7 2" xfId="522"/>
    <cellStyle name="Cálculo 2 2 2 2 8" xfId="523"/>
    <cellStyle name="Cálculo 2 2 2 2 8 2" xfId="524"/>
    <cellStyle name="Cálculo 2 2 2 2 9" xfId="525"/>
    <cellStyle name="Cálculo 2 2 2 2 9 2" xfId="526"/>
    <cellStyle name="Cálculo 2 2 2 3" xfId="527"/>
    <cellStyle name="Cálculo 2 2 2 3 10" xfId="528"/>
    <cellStyle name="Cálculo 2 2 2 3 10 2" xfId="529"/>
    <cellStyle name="Cálculo 2 2 2 3 11" xfId="530"/>
    <cellStyle name="Cálculo 2 2 2 3 11 2" xfId="531"/>
    <cellStyle name="Cálculo 2 2 2 3 12" xfId="532"/>
    <cellStyle name="Cálculo 2 2 2 3 12 2" xfId="533"/>
    <cellStyle name="Cálculo 2 2 2 3 13" xfId="534"/>
    <cellStyle name="Cálculo 2 2 2 3 2" xfId="535"/>
    <cellStyle name="Cálculo 2 2 2 3 2 10" xfId="536"/>
    <cellStyle name="Cálculo 2 2 2 3 2 10 2" xfId="537"/>
    <cellStyle name="Cálculo 2 2 2 3 2 11" xfId="538"/>
    <cellStyle name="Cálculo 2 2 2 3 2 2" xfId="539"/>
    <cellStyle name="Cálculo 2 2 2 3 2 2 2" xfId="540"/>
    <cellStyle name="Cálculo 2 2 2 3 2 3" xfId="541"/>
    <cellStyle name="Cálculo 2 2 2 3 2 3 2" xfId="542"/>
    <cellStyle name="Cálculo 2 2 2 3 2 4" xfId="543"/>
    <cellStyle name="Cálculo 2 2 2 3 2 4 2" xfId="544"/>
    <cellStyle name="Cálculo 2 2 2 3 2 5" xfId="545"/>
    <cellStyle name="Cálculo 2 2 2 3 2 5 2" xfId="546"/>
    <cellStyle name="Cálculo 2 2 2 3 2 6" xfId="547"/>
    <cellStyle name="Cálculo 2 2 2 3 2 6 2" xfId="548"/>
    <cellStyle name="Cálculo 2 2 2 3 2 7" xfId="549"/>
    <cellStyle name="Cálculo 2 2 2 3 2 7 2" xfId="550"/>
    <cellStyle name="Cálculo 2 2 2 3 2 8" xfId="551"/>
    <cellStyle name="Cálculo 2 2 2 3 2 8 2" xfId="552"/>
    <cellStyle name="Cálculo 2 2 2 3 2 9" xfId="553"/>
    <cellStyle name="Cálculo 2 2 2 3 2 9 2" xfId="554"/>
    <cellStyle name="Cálculo 2 2 2 3 3" xfId="555"/>
    <cellStyle name="Cálculo 2 2 2 3 3 10" xfId="556"/>
    <cellStyle name="Cálculo 2 2 2 3 3 10 2" xfId="557"/>
    <cellStyle name="Cálculo 2 2 2 3 3 11" xfId="558"/>
    <cellStyle name="Cálculo 2 2 2 3 3 2" xfId="559"/>
    <cellStyle name="Cálculo 2 2 2 3 3 2 2" xfId="560"/>
    <cellStyle name="Cálculo 2 2 2 3 3 3" xfId="561"/>
    <cellStyle name="Cálculo 2 2 2 3 3 3 2" xfId="562"/>
    <cellStyle name="Cálculo 2 2 2 3 3 4" xfId="563"/>
    <cellStyle name="Cálculo 2 2 2 3 3 4 2" xfId="564"/>
    <cellStyle name="Cálculo 2 2 2 3 3 5" xfId="565"/>
    <cellStyle name="Cálculo 2 2 2 3 3 5 2" xfId="566"/>
    <cellStyle name="Cálculo 2 2 2 3 3 6" xfId="567"/>
    <cellStyle name="Cálculo 2 2 2 3 3 6 2" xfId="568"/>
    <cellStyle name="Cálculo 2 2 2 3 3 7" xfId="569"/>
    <cellStyle name="Cálculo 2 2 2 3 3 7 2" xfId="570"/>
    <cellStyle name="Cálculo 2 2 2 3 3 8" xfId="571"/>
    <cellStyle name="Cálculo 2 2 2 3 3 8 2" xfId="572"/>
    <cellStyle name="Cálculo 2 2 2 3 3 9" xfId="573"/>
    <cellStyle name="Cálculo 2 2 2 3 3 9 2" xfId="574"/>
    <cellStyle name="Cálculo 2 2 2 3 4" xfId="575"/>
    <cellStyle name="Cálculo 2 2 2 3 4 2" xfId="576"/>
    <cellStyle name="Cálculo 2 2 2 3 5" xfId="577"/>
    <cellStyle name="Cálculo 2 2 2 3 5 2" xfId="578"/>
    <cellStyle name="Cálculo 2 2 2 3 6" xfId="579"/>
    <cellStyle name="Cálculo 2 2 2 3 6 2" xfId="580"/>
    <cellStyle name="Cálculo 2 2 2 3 7" xfId="581"/>
    <cellStyle name="Cálculo 2 2 2 3 7 2" xfId="582"/>
    <cellStyle name="Cálculo 2 2 2 3 8" xfId="583"/>
    <cellStyle name="Cálculo 2 2 2 3 8 2" xfId="584"/>
    <cellStyle name="Cálculo 2 2 2 3 9" xfId="585"/>
    <cellStyle name="Cálculo 2 2 2 3 9 2" xfId="586"/>
    <cellStyle name="Cálculo 2 2 2 4" xfId="587"/>
    <cellStyle name="Cálculo 2 2 2 4 10" xfId="588"/>
    <cellStyle name="Cálculo 2 2 2 4 10 2" xfId="589"/>
    <cellStyle name="Cálculo 2 2 2 4 11" xfId="590"/>
    <cellStyle name="Cálculo 2 2 2 4 2" xfId="591"/>
    <cellStyle name="Cálculo 2 2 2 4 2 2" xfId="592"/>
    <cellStyle name="Cálculo 2 2 2 4 3" xfId="593"/>
    <cellStyle name="Cálculo 2 2 2 4 3 2" xfId="594"/>
    <cellStyle name="Cálculo 2 2 2 4 4" xfId="595"/>
    <cellStyle name="Cálculo 2 2 2 4 4 2" xfId="596"/>
    <cellStyle name="Cálculo 2 2 2 4 5" xfId="597"/>
    <cellStyle name="Cálculo 2 2 2 4 5 2" xfId="598"/>
    <cellStyle name="Cálculo 2 2 2 4 6" xfId="599"/>
    <cellStyle name="Cálculo 2 2 2 4 6 2" xfId="600"/>
    <cellStyle name="Cálculo 2 2 2 4 7" xfId="601"/>
    <cellStyle name="Cálculo 2 2 2 4 7 2" xfId="602"/>
    <cellStyle name="Cálculo 2 2 2 4 8" xfId="603"/>
    <cellStyle name="Cálculo 2 2 2 4 8 2" xfId="604"/>
    <cellStyle name="Cálculo 2 2 2 4 9" xfId="605"/>
    <cellStyle name="Cálculo 2 2 2 4 9 2" xfId="606"/>
    <cellStyle name="Cálculo 2 2 2 5" xfId="607"/>
    <cellStyle name="Cálculo 2 2 2 5 10" xfId="608"/>
    <cellStyle name="Cálculo 2 2 2 5 10 2" xfId="609"/>
    <cellStyle name="Cálculo 2 2 2 5 11" xfId="610"/>
    <cellStyle name="Cálculo 2 2 2 5 2" xfId="611"/>
    <cellStyle name="Cálculo 2 2 2 5 2 2" xfId="612"/>
    <cellStyle name="Cálculo 2 2 2 5 3" xfId="613"/>
    <cellStyle name="Cálculo 2 2 2 5 3 2" xfId="614"/>
    <cellStyle name="Cálculo 2 2 2 5 4" xfId="615"/>
    <cellStyle name="Cálculo 2 2 2 5 4 2" xfId="616"/>
    <cellStyle name="Cálculo 2 2 2 5 5" xfId="617"/>
    <cellStyle name="Cálculo 2 2 2 5 5 2" xfId="618"/>
    <cellStyle name="Cálculo 2 2 2 5 6" xfId="619"/>
    <cellStyle name="Cálculo 2 2 2 5 6 2" xfId="620"/>
    <cellStyle name="Cálculo 2 2 2 5 7" xfId="621"/>
    <cellStyle name="Cálculo 2 2 2 5 7 2" xfId="622"/>
    <cellStyle name="Cálculo 2 2 2 5 8" xfId="623"/>
    <cellStyle name="Cálculo 2 2 2 5 8 2" xfId="624"/>
    <cellStyle name="Cálculo 2 2 2 5 9" xfId="625"/>
    <cellStyle name="Cálculo 2 2 2 5 9 2" xfId="626"/>
    <cellStyle name="Cálculo 2 2 2 6" xfId="627"/>
    <cellStyle name="Cálculo 2 2 2 6 2" xfId="628"/>
    <cellStyle name="Cálculo 2 2 2 7" xfId="629"/>
    <cellStyle name="Cálculo 2 2 2 7 2" xfId="630"/>
    <cellStyle name="Cálculo 2 2 2 8" xfId="631"/>
    <cellStyle name="Cálculo 2 2 2 8 2" xfId="632"/>
    <cellStyle name="Cálculo 2 2 2 9" xfId="633"/>
    <cellStyle name="Cálculo 2 2 2 9 2" xfId="634"/>
    <cellStyle name="Cálculo 2 2 3" xfId="288"/>
    <cellStyle name="Cálculo 2 2 3 10" xfId="635"/>
    <cellStyle name="Cálculo 2 2 3 10 2" xfId="636"/>
    <cellStyle name="Cálculo 2 2 3 11" xfId="637"/>
    <cellStyle name="Cálculo 2 2 3 11 2" xfId="638"/>
    <cellStyle name="Cálculo 2 2 3 12" xfId="639"/>
    <cellStyle name="Cálculo 2 2 3 12 2" xfId="640"/>
    <cellStyle name="Cálculo 2 2 3 13" xfId="641"/>
    <cellStyle name="Cálculo 2 2 3 13 2" xfId="642"/>
    <cellStyle name="Cálculo 2 2 3 14" xfId="643"/>
    <cellStyle name="Cálculo 2 2 3 14 2" xfId="644"/>
    <cellStyle name="Cálculo 2 2 3 15" xfId="645"/>
    <cellStyle name="Cálculo 2 2 3 2" xfId="646"/>
    <cellStyle name="Cálculo 2 2 3 2 10" xfId="647"/>
    <cellStyle name="Cálculo 2 2 3 2 10 2" xfId="648"/>
    <cellStyle name="Cálculo 2 2 3 2 11" xfId="649"/>
    <cellStyle name="Cálculo 2 2 3 2 11 2" xfId="650"/>
    <cellStyle name="Cálculo 2 2 3 2 12" xfId="651"/>
    <cellStyle name="Cálculo 2 2 3 2 12 2" xfId="652"/>
    <cellStyle name="Cálculo 2 2 3 2 13" xfId="653"/>
    <cellStyle name="Cálculo 2 2 3 2 2" xfId="654"/>
    <cellStyle name="Cálculo 2 2 3 2 2 10" xfId="655"/>
    <cellStyle name="Cálculo 2 2 3 2 2 10 2" xfId="656"/>
    <cellStyle name="Cálculo 2 2 3 2 2 11" xfId="657"/>
    <cellStyle name="Cálculo 2 2 3 2 2 2" xfId="658"/>
    <cellStyle name="Cálculo 2 2 3 2 2 2 2" xfId="659"/>
    <cellStyle name="Cálculo 2 2 3 2 2 3" xfId="660"/>
    <cellStyle name="Cálculo 2 2 3 2 2 3 2" xfId="661"/>
    <cellStyle name="Cálculo 2 2 3 2 2 4" xfId="662"/>
    <cellStyle name="Cálculo 2 2 3 2 2 4 2" xfId="663"/>
    <cellStyle name="Cálculo 2 2 3 2 2 5" xfId="664"/>
    <cellStyle name="Cálculo 2 2 3 2 2 5 2" xfId="665"/>
    <cellStyle name="Cálculo 2 2 3 2 2 6" xfId="666"/>
    <cellStyle name="Cálculo 2 2 3 2 2 6 2" xfId="667"/>
    <cellStyle name="Cálculo 2 2 3 2 2 7" xfId="668"/>
    <cellStyle name="Cálculo 2 2 3 2 2 7 2" xfId="669"/>
    <cellStyle name="Cálculo 2 2 3 2 2 8" xfId="670"/>
    <cellStyle name="Cálculo 2 2 3 2 2 8 2" xfId="671"/>
    <cellStyle name="Cálculo 2 2 3 2 2 9" xfId="672"/>
    <cellStyle name="Cálculo 2 2 3 2 2 9 2" xfId="673"/>
    <cellStyle name="Cálculo 2 2 3 2 3" xfId="674"/>
    <cellStyle name="Cálculo 2 2 3 2 3 10" xfId="675"/>
    <cellStyle name="Cálculo 2 2 3 2 3 10 2" xfId="676"/>
    <cellStyle name="Cálculo 2 2 3 2 3 11" xfId="677"/>
    <cellStyle name="Cálculo 2 2 3 2 3 2" xfId="678"/>
    <cellStyle name="Cálculo 2 2 3 2 3 2 2" xfId="679"/>
    <cellStyle name="Cálculo 2 2 3 2 3 3" xfId="680"/>
    <cellStyle name="Cálculo 2 2 3 2 3 3 2" xfId="681"/>
    <cellStyle name="Cálculo 2 2 3 2 3 4" xfId="682"/>
    <cellStyle name="Cálculo 2 2 3 2 3 4 2" xfId="683"/>
    <cellStyle name="Cálculo 2 2 3 2 3 5" xfId="684"/>
    <cellStyle name="Cálculo 2 2 3 2 3 5 2" xfId="685"/>
    <cellStyle name="Cálculo 2 2 3 2 3 6" xfId="686"/>
    <cellStyle name="Cálculo 2 2 3 2 3 6 2" xfId="687"/>
    <cellStyle name="Cálculo 2 2 3 2 3 7" xfId="688"/>
    <cellStyle name="Cálculo 2 2 3 2 3 7 2" xfId="689"/>
    <cellStyle name="Cálculo 2 2 3 2 3 8" xfId="690"/>
    <cellStyle name="Cálculo 2 2 3 2 3 8 2" xfId="691"/>
    <cellStyle name="Cálculo 2 2 3 2 3 9" xfId="692"/>
    <cellStyle name="Cálculo 2 2 3 2 3 9 2" xfId="693"/>
    <cellStyle name="Cálculo 2 2 3 2 4" xfId="694"/>
    <cellStyle name="Cálculo 2 2 3 2 4 2" xfId="695"/>
    <cellStyle name="Cálculo 2 2 3 2 5" xfId="696"/>
    <cellStyle name="Cálculo 2 2 3 2 5 2" xfId="697"/>
    <cellStyle name="Cálculo 2 2 3 2 6" xfId="698"/>
    <cellStyle name="Cálculo 2 2 3 2 6 2" xfId="699"/>
    <cellStyle name="Cálculo 2 2 3 2 7" xfId="700"/>
    <cellStyle name="Cálculo 2 2 3 2 7 2" xfId="701"/>
    <cellStyle name="Cálculo 2 2 3 2 8" xfId="702"/>
    <cellStyle name="Cálculo 2 2 3 2 8 2" xfId="703"/>
    <cellStyle name="Cálculo 2 2 3 2 9" xfId="704"/>
    <cellStyle name="Cálculo 2 2 3 2 9 2" xfId="705"/>
    <cellStyle name="Cálculo 2 2 3 3" xfId="706"/>
    <cellStyle name="Cálculo 2 2 3 3 10" xfId="707"/>
    <cellStyle name="Cálculo 2 2 3 3 10 2" xfId="708"/>
    <cellStyle name="Cálculo 2 2 3 3 11" xfId="709"/>
    <cellStyle name="Cálculo 2 2 3 3 11 2" xfId="710"/>
    <cellStyle name="Cálculo 2 2 3 3 12" xfId="711"/>
    <cellStyle name="Cálculo 2 2 3 3 12 2" xfId="712"/>
    <cellStyle name="Cálculo 2 2 3 3 13" xfId="713"/>
    <cellStyle name="Cálculo 2 2 3 3 2" xfId="714"/>
    <cellStyle name="Cálculo 2 2 3 3 2 10" xfId="715"/>
    <cellStyle name="Cálculo 2 2 3 3 2 10 2" xfId="716"/>
    <cellStyle name="Cálculo 2 2 3 3 2 11" xfId="717"/>
    <cellStyle name="Cálculo 2 2 3 3 2 2" xfId="718"/>
    <cellStyle name="Cálculo 2 2 3 3 2 2 2" xfId="719"/>
    <cellStyle name="Cálculo 2 2 3 3 2 3" xfId="720"/>
    <cellStyle name="Cálculo 2 2 3 3 2 3 2" xfId="721"/>
    <cellStyle name="Cálculo 2 2 3 3 2 4" xfId="722"/>
    <cellStyle name="Cálculo 2 2 3 3 2 4 2" xfId="723"/>
    <cellStyle name="Cálculo 2 2 3 3 2 5" xfId="724"/>
    <cellStyle name="Cálculo 2 2 3 3 2 5 2" xfId="725"/>
    <cellStyle name="Cálculo 2 2 3 3 2 6" xfId="726"/>
    <cellStyle name="Cálculo 2 2 3 3 2 6 2" xfId="727"/>
    <cellStyle name="Cálculo 2 2 3 3 2 7" xfId="728"/>
    <cellStyle name="Cálculo 2 2 3 3 2 7 2" xfId="729"/>
    <cellStyle name="Cálculo 2 2 3 3 2 8" xfId="730"/>
    <cellStyle name="Cálculo 2 2 3 3 2 8 2" xfId="731"/>
    <cellStyle name="Cálculo 2 2 3 3 2 9" xfId="732"/>
    <cellStyle name="Cálculo 2 2 3 3 2 9 2" xfId="733"/>
    <cellStyle name="Cálculo 2 2 3 3 3" xfId="734"/>
    <cellStyle name="Cálculo 2 2 3 3 3 10" xfId="735"/>
    <cellStyle name="Cálculo 2 2 3 3 3 10 2" xfId="736"/>
    <cellStyle name="Cálculo 2 2 3 3 3 11" xfId="737"/>
    <cellStyle name="Cálculo 2 2 3 3 3 2" xfId="738"/>
    <cellStyle name="Cálculo 2 2 3 3 3 2 2" xfId="739"/>
    <cellStyle name="Cálculo 2 2 3 3 3 3" xfId="740"/>
    <cellStyle name="Cálculo 2 2 3 3 3 3 2" xfId="741"/>
    <cellStyle name="Cálculo 2 2 3 3 3 4" xfId="742"/>
    <cellStyle name="Cálculo 2 2 3 3 3 4 2" xfId="743"/>
    <cellStyle name="Cálculo 2 2 3 3 3 5" xfId="744"/>
    <cellStyle name="Cálculo 2 2 3 3 3 5 2" xfId="745"/>
    <cellStyle name="Cálculo 2 2 3 3 3 6" xfId="746"/>
    <cellStyle name="Cálculo 2 2 3 3 3 6 2" xfId="747"/>
    <cellStyle name="Cálculo 2 2 3 3 3 7" xfId="748"/>
    <cellStyle name="Cálculo 2 2 3 3 3 7 2" xfId="749"/>
    <cellStyle name="Cálculo 2 2 3 3 3 8" xfId="750"/>
    <cellStyle name="Cálculo 2 2 3 3 3 8 2" xfId="751"/>
    <cellStyle name="Cálculo 2 2 3 3 3 9" xfId="752"/>
    <cellStyle name="Cálculo 2 2 3 3 3 9 2" xfId="753"/>
    <cellStyle name="Cálculo 2 2 3 3 4" xfId="754"/>
    <cellStyle name="Cálculo 2 2 3 3 4 2" xfId="755"/>
    <cellStyle name="Cálculo 2 2 3 3 5" xfId="756"/>
    <cellStyle name="Cálculo 2 2 3 3 5 2" xfId="757"/>
    <cellStyle name="Cálculo 2 2 3 3 6" xfId="758"/>
    <cellStyle name="Cálculo 2 2 3 3 6 2" xfId="759"/>
    <cellStyle name="Cálculo 2 2 3 3 7" xfId="760"/>
    <cellStyle name="Cálculo 2 2 3 3 7 2" xfId="761"/>
    <cellStyle name="Cálculo 2 2 3 3 8" xfId="762"/>
    <cellStyle name="Cálculo 2 2 3 3 8 2" xfId="763"/>
    <cellStyle name="Cálculo 2 2 3 3 9" xfId="764"/>
    <cellStyle name="Cálculo 2 2 3 3 9 2" xfId="765"/>
    <cellStyle name="Cálculo 2 2 3 4" xfId="766"/>
    <cellStyle name="Cálculo 2 2 3 4 10" xfId="767"/>
    <cellStyle name="Cálculo 2 2 3 4 10 2" xfId="768"/>
    <cellStyle name="Cálculo 2 2 3 4 11" xfId="769"/>
    <cellStyle name="Cálculo 2 2 3 4 2" xfId="770"/>
    <cellStyle name="Cálculo 2 2 3 4 2 2" xfId="771"/>
    <cellStyle name="Cálculo 2 2 3 4 3" xfId="772"/>
    <cellStyle name="Cálculo 2 2 3 4 3 2" xfId="773"/>
    <cellStyle name="Cálculo 2 2 3 4 4" xfId="774"/>
    <cellStyle name="Cálculo 2 2 3 4 4 2" xfId="775"/>
    <cellStyle name="Cálculo 2 2 3 4 5" xfId="776"/>
    <cellStyle name="Cálculo 2 2 3 4 5 2" xfId="777"/>
    <cellStyle name="Cálculo 2 2 3 4 6" xfId="778"/>
    <cellStyle name="Cálculo 2 2 3 4 6 2" xfId="779"/>
    <cellStyle name="Cálculo 2 2 3 4 7" xfId="780"/>
    <cellStyle name="Cálculo 2 2 3 4 7 2" xfId="781"/>
    <cellStyle name="Cálculo 2 2 3 4 8" xfId="782"/>
    <cellStyle name="Cálculo 2 2 3 4 8 2" xfId="783"/>
    <cellStyle name="Cálculo 2 2 3 4 9" xfId="784"/>
    <cellStyle name="Cálculo 2 2 3 4 9 2" xfId="785"/>
    <cellStyle name="Cálculo 2 2 3 5" xfId="786"/>
    <cellStyle name="Cálculo 2 2 3 5 10" xfId="787"/>
    <cellStyle name="Cálculo 2 2 3 5 10 2" xfId="788"/>
    <cellStyle name="Cálculo 2 2 3 5 11" xfId="789"/>
    <cellStyle name="Cálculo 2 2 3 5 2" xfId="790"/>
    <cellStyle name="Cálculo 2 2 3 5 2 2" xfId="791"/>
    <cellStyle name="Cálculo 2 2 3 5 3" xfId="792"/>
    <cellStyle name="Cálculo 2 2 3 5 3 2" xfId="793"/>
    <cellStyle name="Cálculo 2 2 3 5 4" xfId="794"/>
    <cellStyle name="Cálculo 2 2 3 5 4 2" xfId="795"/>
    <cellStyle name="Cálculo 2 2 3 5 5" xfId="796"/>
    <cellStyle name="Cálculo 2 2 3 5 5 2" xfId="797"/>
    <cellStyle name="Cálculo 2 2 3 5 6" xfId="798"/>
    <cellStyle name="Cálculo 2 2 3 5 6 2" xfId="799"/>
    <cellStyle name="Cálculo 2 2 3 5 7" xfId="800"/>
    <cellStyle name="Cálculo 2 2 3 5 7 2" xfId="801"/>
    <cellStyle name="Cálculo 2 2 3 5 8" xfId="802"/>
    <cellStyle name="Cálculo 2 2 3 5 8 2" xfId="803"/>
    <cellStyle name="Cálculo 2 2 3 5 9" xfId="804"/>
    <cellStyle name="Cálculo 2 2 3 5 9 2" xfId="805"/>
    <cellStyle name="Cálculo 2 2 3 6" xfId="806"/>
    <cellStyle name="Cálculo 2 2 3 6 2" xfId="807"/>
    <cellStyle name="Cálculo 2 2 3 7" xfId="808"/>
    <cellStyle name="Cálculo 2 2 3 7 2" xfId="809"/>
    <cellStyle name="Cálculo 2 2 3 8" xfId="810"/>
    <cellStyle name="Cálculo 2 2 3 8 2" xfId="811"/>
    <cellStyle name="Cálculo 2 2 3 9" xfId="812"/>
    <cellStyle name="Cálculo 2 2 3 9 2" xfId="813"/>
    <cellStyle name="Cálculo 2 2 4" xfId="814"/>
    <cellStyle name="Cálculo 2 2 4 10" xfId="815"/>
    <cellStyle name="Cálculo 2 2 4 10 2" xfId="816"/>
    <cellStyle name="Cálculo 2 2 4 11" xfId="817"/>
    <cellStyle name="Cálculo 2 2 4 11 2" xfId="818"/>
    <cellStyle name="Cálculo 2 2 4 12" xfId="819"/>
    <cellStyle name="Cálculo 2 2 4 12 2" xfId="820"/>
    <cellStyle name="Cálculo 2 2 4 13" xfId="821"/>
    <cellStyle name="Cálculo 2 2 4 2" xfId="822"/>
    <cellStyle name="Cálculo 2 2 4 2 10" xfId="823"/>
    <cellStyle name="Cálculo 2 2 4 2 10 2" xfId="824"/>
    <cellStyle name="Cálculo 2 2 4 2 11" xfId="825"/>
    <cellStyle name="Cálculo 2 2 4 2 2" xfId="826"/>
    <cellStyle name="Cálculo 2 2 4 2 2 2" xfId="827"/>
    <cellStyle name="Cálculo 2 2 4 2 3" xfId="828"/>
    <cellStyle name="Cálculo 2 2 4 2 3 2" xfId="829"/>
    <cellStyle name="Cálculo 2 2 4 2 4" xfId="830"/>
    <cellStyle name="Cálculo 2 2 4 2 4 2" xfId="831"/>
    <cellStyle name="Cálculo 2 2 4 2 5" xfId="832"/>
    <cellStyle name="Cálculo 2 2 4 2 5 2" xfId="833"/>
    <cellStyle name="Cálculo 2 2 4 2 6" xfId="834"/>
    <cellStyle name="Cálculo 2 2 4 2 6 2" xfId="835"/>
    <cellStyle name="Cálculo 2 2 4 2 7" xfId="836"/>
    <cellStyle name="Cálculo 2 2 4 2 7 2" xfId="837"/>
    <cellStyle name="Cálculo 2 2 4 2 8" xfId="838"/>
    <cellStyle name="Cálculo 2 2 4 2 8 2" xfId="839"/>
    <cellStyle name="Cálculo 2 2 4 2 9" xfId="840"/>
    <cellStyle name="Cálculo 2 2 4 2 9 2" xfId="841"/>
    <cellStyle name="Cálculo 2 2 4 3" xfId="842"/>
    <cellStyle name="Cálculo 2 2 4 3 10" xfId="843"/>
    <cellStyle name="Cálculo 2 2 4 3 10 2" xfId="844"/>
    <cellStyle name="Cálculo 2 2 4 3 11" xfId="845"/>
    <cellStyle name="Cálculo 2 2 4 3 2" xfId="846"/>
    <cellStyle name="Cálculo 2 2 4 3 2 2" xfId="847"/>
    <cellStyle name="Cálculo 2 2 4 3 3" xfId="848"/>
    <cellStyle name="Cálculo 2 2 4 3 3 2" xfId="849"/>
    <cellStyle name="Cálculo 2 2 4 3 4" xfId="850"/>
    <cellStyle name="Cálculo 2 2 4 3 4 2" xfId="851"/>
    <cellStyle name="Cálculo 2 2 4 3 5" xfId="852"/>
    <cellStyle name="Cálculo 2 2 4 3 5 2" xfId="853"/>
    <cellStyle name="Cálculo 2 2 4 3 6" xfId="854"/>
    <cellStyle name="Cálculo 2 2 4 3 6 2" xfId="855"/>
    <cellStyle name="Cálculo 2 2 4 3 7" xfId="856"/>
    <cellStyle name="Cálculo 2 2 4 3 7 2" xfId="857"/>
    <cellStyle name="Cálculo 2 2 4 3 8" xfId="858"/>
    <cellStyle name="Cálculo 2 2 4 3 8 2" xfId="859"/>
    <cellStyle name="Cálculo 2 2 4 3 9" xfId="860"/>
    <cellStyle name="Cálculo 2 2 4 3 9 2" xfId="861"/>
    <cellStyle name="Cálculo 2 2 4 4" xfId="862"/>
    <cellStyle name="Cálculo 2 2 4 4 2" xfId="863"/>
    <cellStyle name="Cálculo 2 2 4 5" xfId="864"/>
    <cellStyle name="Cálculo 2 2 4 5 2" xfId="865"/>
    <cellStyle name="Cálculo 2 2 4 6" xfId="866"/>
    <cellStyle name="Cálculo 2 2 4 6 2" xfId="867"/>
    <cellStyle name="Cálculo 2 2 4 7" xfId="868"/>
    <cellStyle name="Cálculo 2 2 4 7 2" xfId="869"/>
    <cellStyle name="Cálculo 2 2 4 8" xfId="870"/>
    <cellStyle name="Cálculo 2 2 4 8 2" xfId="871"/>
    <cellStyle name="Cálculo 2 2 4 9" xfId="872"/>
    <cellStyle name="Cálculo 2 2 4 9 2" xfId="873"/>
    <cellStyle name="Cálculo 2 2 5" xfId="874"/>
    <cellStyle name="Cálculo 2 2 5 10" xfId="875"/>
    <cellStyle name="Cálculo 2 2 5 10 2" xfId="876"/>
    <cellStyle name="Cálculo 2 2 5 11" xfId="877"/>
    <cellStyle name="Cálculo 2 2 5 11 2" xfId="878"/>
    <cellStyle name="Cálculo 2 2 5 12" xfId="879"/>
    <cellStyle name="Cálculo 2 2 5 12 2" xfId="880"/>
    <cellStyle name="Cálculo 2 2 5 13" xfId="881"/>
    <cellStyle name="Cálculo 2 2 5 2" xfId="882"/>
    <cellStyle name="Cálculo 2 2 5 2 10" xfId="883"/>
    <cellStyle name="Cálculo 2 2 5 2 10 2" xfId="884"/>
    <cellStyle name="Cálculo 2 2 5 2 11" xfId="885"/>
    <cellStyle name="Cálculo 2 2 5 2 2" xfId="886"/>
    <cellStyle name="Cálculo 2 2 5 2 2 2" xfId="887"/>
    <cellStyle name="Cálculo 2 2 5 2 3" xfId="888"/>
    <cellStyle name="Cálculo 2 2 5 2 3 2" xfId="889"/>
    <cellStyle name="Cálculo 2 2 5 2 4" xfId="890"/>
    <cellStyle name="Cálculo 2 2 5 2 4 2" xfId="891"/>
    <cellStyle name="Cálculo 2 2 5 2 5" xfId="892"/>
    <cellStyle name="Cálculo 2 2 5 2 5 2" xfId="893"/>
    <cellStyle name="Cálculo 2 2 5 2 6" xfId="894"/>
    <cellStyle name="Cálculo 2 2 5 2 6 2" xfId="895"/>
    <cellStyle name="Cálculo 2 2 5 2 7" xfId="896"/>
    <cellStyle name="Cálculo 2 2 5 2 7 2" xfId="897"/>
    <cellStyle name="Cálculo 2 2 5 2 8" xfId="898"/>
    <cellStyle name="Cálculo 2 2 5 2 8 2" xfId="899"/>
    <cellStyle name="Cálculo 2 2 5 2 9" xfId="900"/>
    <cellStyle name="Cálculo 2 2 5 2 9 2" xfId="901"/>
    <cellStyle name="Cálculo 2 2 5 3" xfId="902"/>
    <cellStyle name="Cálculo 2 2 5 3 10" xfId="903"/>
    <cellStyle name="Cálculo 2 2 5 3 10 2" xfId="904"/>
    <cellStyle name="Cálculo 2 2 5 3 11" xfId="905"/>
    <cellStyle name="Cálculo 2 2 5 3 2" xfId="906"/>
    <cellStyle name="Cálculo 2 2 5 3 2 2" xfId="907"/>
    <cellStyle name="Cálculo 2 2 5 3 3" xfId="908"/>
    <cellStyle name="Cálculo 2 2 5 3 3 2" xfId="909"/>
    <cellStyle name="Cálculo 2 2 5 3 4" xfId="910"/>
    <cellStyle name="Cálculo 2 2 5 3 4 2" xfId="911"/>
    <cellStyle name="Cálculo 2 2 5 3 5" xfId="912"/>
    <cellStyle name="Cálculo 2 2 5 3 5 2" xfId="913"/>
    <cellStyle name="Cálculo 2 2 5 3 6" xfId="914"/>
    <cellStyle name="Cálculo 2 2 5 3 6 2" xfId="915"/>
    <cellStyle name="Cálculo 2 2 5 3 7" xfId="916"/>
    <cellStyle name="Cálculo 2 2 5 3 7 2" xfId="917"/>
    <cellStyle name="Cálculo 2 2 5 3 8" xfId="918"/>
    <cellStyle name="Cálculo 2 2 5 3 8 2" xfId="919"/>
    <cellStyle name="Cálculo 2 2 5 3 9" xfId="920"/>
    <cellStyle name="Cálculo 2 2 5 3 9 2" xfId="921"/>
    <cellStyle name="Cálculo 2 2 5 4" xfId="922"/>
    <cellStyle name="Cálculo 2 2 5 4 2" xfId="923"/>
    <cellStyle name="Cálculo 2 2 5 5" xfId="924"/>
    <cellStyle name="Cálculo 2 2 5 5 2" xfId="925"/>
    <cellStyle name="Cálculo 2 2 5 6" xfId="926"/>
    <cellStyle name="Cálculo 2 2 5 6 2" xfId="927"/>
    <cellStyle name="Cálculo 2 2 5 7" xfId="928"/>
    <cellStyle name="Cálculo 2 2 5 7 2" xfId="929"/>
    <cellStyle name="Cálculo 2 2 5 8" xfId="930"/>
    <cellStyle name="Cálculo 2 2 5 8 2" xfId="931"/>
    <cellStyle name="Cálculo 2 2 5 9" xfId="932"/>
    <cellStyle name="Cálculo 2 2 5 9 2" xfId="933"/>
    <cellStyle name="Cálculo 2 2 6" xfId="934"/>
    <cellStyle name="Cálculo 2 2 6 2" xfId="935"/>
    <cellStyle name="Cálculo 2 2 7" xfId="936"/>
    <cellStyle name="Cálculo 2 2 7 2" xfId="937"/>
    <cellStyle name="Cálculo 2 2 8" xfId="938"/>
    <cellStyle name="Cálculo 2 2 8 2" xfId="939"/>
    <cellStyle name="Cálculo 2 2 9" xfId="940"/>
    <cellStyle name="Cálculo 2 2 9 2" xfId="941"/>
    <cellStyle name="Cálculo 2 20" xfId="942"/>
    <cellStyle name="Cálculo 2 21" xfId="943"/>
    <cellStyle name="Cálculo 2 3" xfId="116"/>
    <cellStyle name="Cálculo 2 3 10" xfId="944"/>
    <cellStyle name="Cálculo 2 3 10 2" xfId="945"/>
    <cellStyle name="Cálculo 2 3 11" xfId="946"/>
    <cellStyle name="Cálculo 2 3 11 2" xfId="947"/>
    <cellStyle name="Cálculo 2 3 12" xfId="948"/>
    <cellStyle name="Cálculo 2 3 12 2" xfId="949"/>
    <cellStyle name="Cálculo 2 3 13" xfId="950"/>
    <cellStyle name="Cálculo 2 3 13 2" xfId="951"/>
    <cellStyle name="Cálculo 2 3 14" xfId="952"/>
    <cellStyle name="Cálculo 2 3 14 2" xfId="953"/>
    <cellStyle name="Cálculo 2 3 15" xfId="954"/>
    <cellStyle name="Cálculo 2 3 16" xfId="955"/>
    <cellStyle name="Cálculo 2 3 17" xfId="956"/>
    <cellStyle name="Cálculo 2 3 2" xfId="286"/>
    <cellStyle name="Cálculo 2 3 2 10" xfId="957"/>
    <cellStyle name="Cálculo 2 3 2 10 2" xfId="958"/>
    <cellStyle name="Cálculo 2 3 2 11" xfId="959"/>
    <cellStyle name="Cálculo 2 3 2 11 2" xfId="960"/>
    <cellStyle name="Cálculo 2 3 2 12" xfId="961"/>
    <cellStyle name="Cálculo 2 3 2 12 2" xfId="962"/>
    <cellStyle name="Cálculo 2 3 2 13" xfId="963"/>
    <cellStyle name="Cálculo 2 3 2 13 2" xfId="964"/>
    <cellStyle name="Cálculo 2 3 2 14" xfId="965"/>
    <cellStyle name="Cálculo 2 3 2 14 2" xfId="966"/>
    <cellStyle name="Cálculo 2 3 2 15" xfId="967"/>
    <cellStyle name="Cálculo 2 3 2 16" xfId="968"/>
    <cellStyle name="Cálculo 2 3 2 2" xfId="969"/>
    <cellStyle name="Cálculo 2 3 2 2 10" xfId="970"/>
    <cellStyle name="Cálculo 2 3 2 2 10 2" xfId="971"/>
    <cellStyle name="Cálculo 2 3 2 2 11" xfId="972"/>
    <cellStyle name="Cálculo 2 3 2 2 11 2" xfId="973"/>
    <cellStyle name="Cálculo 2 3 2 2 12" xfId="974"/>
    <cellStyle name="Cálculo 2 3 2 2 12 2" xfId="975"/>
    <cellStyle name="Cálculo 2 3 2 2 13" xfId="976"/>
    <cellStyle name="Cálculo 2 3 2 2 2" xfId="977"/>
    <cellStyle name="Cálculo 2 3 2 2 2 10" xfId="978"/>
    <cellStyle name="Cálculo 2 3 2 2 2 10 2" xfId="979"/>
    <cellStyle name="Cálculo 2 3 2 2 2 11" xfId="980"/>
    <cellStyle name="Cálculo 2 3 2 2 2 2" xfId="981"/>
    <cellStyle name="Cálculo 2 3 2 2 2 2 2" xfId="982"/>
    <cellStyle name="Cálculo 2 3 2 2 2 3" xfId="983"/>
    <cellStyle name="Cálculo 2 3 2 2 2 3 2" xfId="984"/>
    <cellStyle name="Cálculo 2 3 2 2 2 4" xfId="985"/>
    <cellStyle name="Cálculo 2 3 2 2 2 4 2" xfId="986"/>
    <cellStyle name="Cálculo 2 3 2 2 2 5" xfId="987"/>
    <cellStyle name="Cálculo 2 3 2 2 2 5 2" xfId="988"/>
    <cellStyle name="Cálculo 2 3 2 2 2 6" xfId="989"/>
    <cellStyle name="Cálculo 2 3 2 2 2 6 2" xfId="990"/>
    <cellStyle name="Cálculo 2 3 2 2 2 7" xfId="991"/>
    <cellStyle name="Cálculo 2 3 2 2 2 7 2" xfId="992"/>
    <cellStyle name="Cálculo 2 3 2 2 2 8" xfId="993"/>
    <cellStyle name="Cálculo 2 3 2 2 2 8 2" xfId="994"/>
    <cellStyle name="Cálculo 2 3 2 2 2 9" xfId="995"/>
    <cellStyle name="Cálculo 2 3 2 2 2 9 2" xfId="996"/>
    <cellStyle name="Cálculo 2 3 2 2 3" xfId="997"/>
    <cellStyle name="Cálculo 2 3 2 2 3 10" xfId="998"/>
    <cellStyle name="Cálculo 2 3 2 2 3 10 2" xfId="999"/>
    <cellStyle name="Cálculo 2 3 2 2 3 11" xfId="1000"/>
    <cellStyle name="Cálculo 2 3 2 2 3 2" xfId="1001"/>
    <cellStyle name="Cálculo 2 3 2 2 3 2 2" xfId="1002"/>
    <cellStyle name="Cálculo 2 3 2 2 3 3" xfId="1003"/>
    <cellStyle name="Cálculo 2 3 2 2 3 3 2" xfId="1004"/>
    <cellStyle name="Cálculo 2 3 2 2 3 4" xfId="1005"/>
    <cellStyle name="Cálculo 2 3 2 2 3 4 2" xfId="1006"/>
    <cellStyle name="Cálculo 2 3 2 2 3 5" xfId="1007"/>
    <cellStyle name="Cálculo 2 3 2 2 3 5 2" xfId="1008"/>
    <cellStyle name="Cálculo 2 3 2 2 3 6" xfId="1009"/>
    <cellStyle name="Cálculo 2 3 2 2 3 6 2" xfId="1010"/>
    <cellStyle name="Cálculo 2 3 2 2 3 7" xfId="1011"/>
    <cellStyle name="Cálculo 2 3 2 2 3 7 2" xfId="1012"/>
    <cellStyle name="Cálculo 2 3 2 2 3 8" xfId="1013"/>
    <cellStyle name="Cálculo 2 3 2 2 3 8 2" xfId="1014"/>
    <cellStyle name="Cálculo 2 3 2 2 3 9" xfId="1015"/>
    <cellStyle name="Cálculo 2 3 2 2 3 9 2" xfId="1016"/>
    <cellStyle name="Cálculo 2 3 2 2 4" xfId="1017"/>
    <cellStyle name="Cálculo 2 3 2 2 4 2" xfId="1018"/>
    <cellStyle name="Cálculo 2 3 2 2 5" xfId="1019"/>
    <cellStyle name="Cálculo 2 3 2 2 5 2" xfId="1020"/>
    <cellStyle name="Cálculo 2 3 2 2 6" xfId="1021"/>
    <cellStyle name="Cálculo 2 3 2 2 6 2" xfId="1022"/>
    <cellStyle name="Cálculo 2 3 2 2 7" xfId="1023"/>
    <cellStyle name="Cálculo 2 3 2 2 7 2" xfId="1024"/>
    <cellStyle name="Cálculo 2 3 2 2 8" xfId="1025"/>
    <cellStyle name="Cálculo 2 3 2 2 8 2" xfId="1026"/>
    <cellStyle name="Cálculo 2 3 2 2 9" xfId="1027"/>
    <cellStyle name="Cálculo 2 3 2 2 9 2" xfId="1028"/>
    <cellStyle name="Cálculo 2 3 2 3" xfId="1029"/>
    <cellStyle name="Cálculo 2 3 2 3 10" xfId="1030"/>
    <cellStyle name="Cálculo 2 3 2 3 10 2" xfId="1031"/>
    <cellStyle name="Cálculo 2 3 2 3 11" xfId="1032"/>
    <cellStyle name="Cálculo 2 3 2 3 11 2" xfId="1033"/>
    <cellStyle name="Cálculo 2 3 2 3 12" xfId="1034"/>
    <cellStyle name="Cálculo 2 3 2 3 12 2" xfId="1035"/>
    <cellStyle name="Cálculo 2 3 2 3 13" xfId="1036"/>
    <cellStyle name="Cálculo 2 3 2 3 2" xfId="1037"/>
    <cellStyle name="Cálculo 2 3 2 3 2 10" xfId="1038"/>
    <cellStyle name="Cálculo 2 3 2 3 2 10 2" xfId="1039"/>
    <cellStyle name="Cálculo 2 3 2 3 2 11" xfId="1040"/>
    <cellStyle name="Cálculo 2 3 2 3 2 2" xfId="1041"/>
    <cellStyle name="Cálculo 2 3 2 3 2 2 2" xfId="1042"/>
    <cellStyle name="Cálculo 2 3 2 3 2 3" xfId="1043"/>
    <cellStyle name="Cálculo 2 3 2 3 2 3 2" xfId="1044"/>
    <cellStyle name="Cálculo 2 3 2 3 2 4" xfId="1045"/>
    <cellStyle name="Cálculo 2 3 2 3 2 4 2" xfId="1046"/>
    <cellStyle name="Cálculo 2 3 2 3 2 5" xfId="1047"/>
    <cellStyle name="Cálculo 2 3 2 3 2 5 2" xfId="1048"/>
    <cellStyle name="Cálculo 2 3 2 3 2 6" xfId="1049"/>
    <cellStyle name="Cálculo 2 3 2 3 2 6 2" xfId="1050"/>
    <cellStyle name="Cálculo 2 3 2 3 2 7" xfId="1051"/>
    <cellStyle name="Cálculo 2 3 2 3 2 7 2" xfId="1052"/>
    <cellStyle name="Cálculo 2 3 2 3 2 8" xfId="1053"/>
    <cellStyle name="Cálculo 2 3 2 3 2 8 2" xfId="1054"/>
    <cellStyle name="Cálculo 2 3 2 3 2 9" xfId="1055"/>
    <cellStyle name="Cálculo 2 3 2 3 2 9 2" xfId="1056"/>
    <cellStyle name="Cálculo 2 3 2 3 3" xfId="1057"/>
    <cellStyle name="Cálculo 2 3 2 3 3 10" xfId="1058"/>
    <cellStyle name="Cálculo 2 3 2 3 3 10 2" xfId="1059"/>
    <cellStyle name="Cálculo 2 3 2 3 3 11" xfId="1060"/>
    <cellStyle name="Cálculo 2 3 2 3 3 2" xfId="1061"/>
    <cellStyle name="Cálculo 2 3 2 3 3 2 2" xfId="1062"/>
    <cellStyle name="Cálculo 2 3 2 3 3 3" xfId="1063"/>
    <cellStyle name="Cálculo 2 3 2 3 3 3 2" xfId="1064"/>
    <cellStyle name="Cálculo 2 3 2 3 3 4" xfId="1065"/>
    <cellStyle name="Cálculo 2 3 2 3 3 4 2" xfId="1066"/>
    <cellStyle name="Cálculo 2 3 2 3 3 5" xfId="1067"/>
    <cellStyle name="Cálculo 2 3 2 3 3 5 2" xfId="1068"/>
    <cellStyle name="Cálculo 2 3 2 3 3 6" xfId="1069"/>
    <cellStyle name="Cálculo 2 3 2 3 3 6 2" xfId="1070"/>
    <cellStyle name="Cálculo 2 3 2 3 3 7" xfId="1071"/>
    <cellStyle name="Cálculo 2 3 2 3 3 7 2" xfId="1072"/>
    <cellStyle name="Cálculo 2 3 2 3 3 8" xfId="1073"/>
    <cellStyle name="Cálculo 2 3 2 3 3 8 2" xfId="1074"/>
    <cellStyle name="Cálculo 2 3 2 3 3 9" xfId="1075"/>
    <cellStyle name="Cálculo 2 3 2 3 3 9 2" xfId="1076"/>
    <cellStyle name="Cálculo 2 3 2 3 4" xfId="1077"/>
    <cellStyle name="Cálculo 2 3 2 3 4 2" xfId="1078"/>
    <cellStyle name="Cálculo 2 3 2 3 5" xfId="1079"/>
    <cellStyle name="Cálculo 2 3 2 3 5 2" xfId="1080"/>
    <cellStyle name="Cálculo 2 3 2 3 6" xfId="1081"/>
    <cellStyle name="Cálculo 2 3 2 3 6 2" xfId="1082"/>
    <cellStyle name="Cálculo 2 3 2 3 7" xfId="1083"/>
    <cellStyle name="Cálculo 2 3 2 3 7 2" xfId="1084"/>
    <cellStyle name="Cálculo 2 3 2 3 8" xfId="1085"/>
    <cellStyle name="Cálculo 2 3 2 3 8 2" xfId="1086"/>
    <cellStyle name="Cálculo 2 3 2 3 9" xfId="1087"/>
    <cellStyle name="Cálculo 2 3 2 3 9 2" xfId="1088"/>
    <cellStyle name="Cálculo 2 3 2 4" xfId="1089"/>
    <cellStyle name="Cálculo 2 3 2 4 10" xfId="1090"/>
    <cellStyle name="Cálculo 2 3 2 4 10 2" xfId="1091"/>
    <cellStyle name="Cálculo 2 3 2 4 11" xfId="1092"/>
    <cellStyle name="Cálculo 2 3 2 4 2" xfId="1093"/>
    <cellStyle name="Cálculo 2 3 2 4 2 2" xfId="1094"/>
    <cellStyle name="Cálculo 2 3 2 4 3" xfId="1095"/>
    <cellStyle name="Cálculo 2 3 2 4 3 2" xfId="1096"/>
    <cellStyle name="Cálculo 2 3 2 4 4" xfId="1097"/>
    <cellStyle name="Cálculo 2 3 2 4 4 2" xfId="1098"/>
    <cellStyle name="Cálculo 2 3 2 4 5" xfId="1099"/>
    <cellStyle name="Cálculo 2 3 2 4 5 2" xfId="1100"/>
    <cellStyle name="Cálculo 2 3 2 4 6" xfId="1101"/>
    <cellStyle name="Cálculo 2 3 2 4 6 2" xfId="1102"/>
    <cellStyle name="Cálculo 2 3 2 4 7" xfId="1103"/>
    <cellStyle name="Cálculo 2 3 2 4 7 2" xfId="1104"/>
    <cellStyle name="Cálculo 2 3 2 4 8" xfId="1105"/>
    <cellStyle name="Cálculo 2 3 2 4 8 2" xfId="1106"/>
    <cellStyle name="Cálculo 2 3 2 4 9" xfId="1107"/>
    <cellStyle name="Cálculo 2 3 2 4 9 2" xfId="1108"/>
    <cellStyle name="Cálculo 2 3 2 5" xfId="1109"/>
    <cellStyle name="Cálculo 2 3 2 5 10" xfId="1110"/>
    <cellStyle name="Cálculo 2 3 2 5 10 2" xfId="1111"/>
    <cellStyle name="Cálculo 2 3 2 5 11" xfId="1112"/>
    <cellStyle name="Cálculo 2 3 2 5 2" xfId="1113"/>
    <cellStyle name="Cálculo 2 3 2 5 2 2" xfId="1114"/>
    <cellStyle name="Cálculo 2 3 2 5 3" xfId="1115"/>
    <cellStyle name="Cálculo 2 3 2 5 3 2" xfId="1116"/>
    <cellStyle name="Cálculo 2 3 2 5 4" xfId="1117"/>
    <cellStyle name="Cálculo 2 3 2 5 4 2" xfId="1118"/>
    <cellStyle name="Cálculo 2 3 2 5 5" xfId="1119"/>
    <cellStyle name="Cálculo 2 3 2 5 5 2" xfId="1120"/>
    <cellStyle name="Cálculo 2 3 2 5 6" xfId="1121"/>
    <cellStyle name="Cálculo 2 3 2 5 6 2" xfId="1122"/>
    <cellStyle name="Cálculo 2 3 2 5 7" xfId="1123"/>
    <cellStyle name="Cálculo 2 3 2 5 7 2" xfId="1124"/>
    <cellStyle name="Cálculo 2 3 2 5 8" xfId="1125"/>
    <cellStyle name="Cálculo 2 3 2 5 8 2" xfId="1126"/>
    <cellStyle name="Cálculo 2 3 2 5 9" xfId="1127"/>
    <cellStyle name="Cálculo 2 3 2 5 9 2" xfId="1128"/>
    <cellStyle name="Cálculo 2 3 2 6" xfId="1129"/>
    <cellStyle name="Cálculo 2 3 2 6 2" xfId="1130"/>
    <cellStyle name="Cálculo 2 3 2 7" xfId="1131"/>
    <cellStyle name="Cálculo 2 3 2 7 2" xfId="1132"/>
    <cellStyle name="Cálculo 2 3 2 8" xfId="1133"/>
    <cellStyle name="Cálculo 2 3 2 8 2" xfId="1134"/>
    <cellStyle name="Cálculo 2 3 2 9" xfId="1135"/>
    <cellStyle name="Cálculo 2 3 2 9 2" xfId="1136"/>
    <cellStyle name="Cálculo 2 3 3" xfId="290"/>
    <cellStyle name="Cálculo 2 3 3 10" xfId="1137"/>
    <cellStyle name="Cálculo 2 3 3 10 2" xfId="1138"/>
    <cellStyle name="Cálculo 2 3 3 11" xfId="1139"/>
    <cellStyle name="Cálculo 2 3 3 11 2" xfId="1140"/>
    <cellStyle name="Cálculo 2 3 3 12" xfId="1141"/>
    <cellStyle name="Cálculo 2 3 3 12 2" xfId="1142"/>
    <cellStyle name="Cálculo 2 3 3 13" xfId="1143"/>
    <cellStyle name="Cálculo 2 3 3 13 2" xfId="1144"/>
    <cellStyle name="Cálculo 2 3 3 14" xfId="1145"/>
    <cellStyle name="Cálculo 2 3 3 14 2" xfId="1146"/>
    <cellStyle name="Cálculo 2 3 3 15" xfId="1147"/>
    <cellStyle name="Cálculo 2 3 3 2" xfId="1148"/>
    <cellStyle name="Cálculo 2 3 3 2 10" xfId="1149"/>
    <cellStyle name="Cálculo 2 3 3 2 10 2" xfId="1150"/>
    <cellStyle name="Cálculo 2 3 3 2 11" xfId="1151"/>
    <cellStyle name="Cálculo 2 3 3 2 11 2" xfId="1152"/>
    <cellStyle name="Cálculo 2 3 3 2 12" xfId="1153"/>
    <cellStyle name="Cálculo 2 3 3 2 12 2" xfId="1154"/>
    <cellStyle name="Cálculo 2 3 3 2 13" xfId="1155"/>
    <cellStyle name="Cálculo 2 3 3 2 2" xfId="1156"/>
    <cellStyle name="Cálculo 2 3 3 2 2 10" xfId="1157"/>
    <cellStyle name="Cálculo 2 3 3 2 2 10 2" xfId="1158"/>
    <cellStyle name="Cálculo 2 3 3 2 2 11" xfId="1159"/>
    <cellStyle name="Cálculo 2 3 3 2 2 2" xfId="1160"/>
    <cellStyle name="Cálculo 2 3 3 2 2 2 2" xfId="1161"/>
    <cellStyle name="Cálculo 2 3 3 2 2 3" xfId="1162"/>
    <cellStyle name="Cálculo 2 3 3 2 2 3 2" xfId="1163"/>
    <cellStyle name="Cálculo 2 3 3 2 2 4" xfId="1164"/>
    <cellStyle name="Cálculo 2 3 3 2 2 4 2" xfId="1165"/>
    <cellStyle name="Cálculo 2 3 3 2 2 5" xfId="1166"/>
    <cellStyle name="Cálculo 2 3 3 2 2 5 2" xfId="1167"/>
    <cellStyle name="Cálculo 2 3 3 2 2 6" xfId="1168"/>
    <cellStyle name="Cálculo 2 3 3 2 2 6 2" xfId="1169"/>
    <cellStyle name="Cálculo 2 3 3 2 2 7" xfId="1170"/>
    <cellStyle name="Cálculo 2 3 3 2 2 7 2" xfId="1171"/>
    <cellStyle name="Cálculo 2 3 3 2 2 8" xfId="1172"/>
    <cellStyle name="Cálculo 2 3 3 2 2 8 2" xfId="1173"/>
    <cellStyle name="Cálculo 2 3 3 2 2 9" xfId="1174"/>
    <cellStyle name="Cálculo 2 3 3 2 2 9 2" xfId="1175"/>
    <cellStyle name="Cálculo 2 3 3 2 3" xfId="1176"/>
    <cellStyle name="Cálculo 2 3 3 2 3 10" xfId="1177"/>
    <cellStyle name="Cálculo 2 3 3 2 3 10 2" xfId="1178"/>
    <cellStyle name="Cálculo 2 3 3 2 3 11" xfId="1179"/>
    <cellStyle name="Cálculo 2 3 3 2 3 2" xfId="1180"/>
    <cellStyle name="Cálculo 2 3 3 2 3 2 2" xfId="1181"/>
    <cellStyle name="Cálculo 2 3 3 2 3 3" xfId="1182"/>
    <cellStyle name="Cálculo 2 3 3 2 3 3 2" xfId="1183"/>
    <cellStyle name="Cálculo 2 3 3 2 3 4" xfId="1184"/>
    <cellStyle name="Cálculo 2 3 3 2 3 4 2" xfId="1185"/>
    <cellStyle name="Cálculo 2 3 3 2 3 5" xfId="1186"/>
    <cellStyle name="Cálculo 2 3 3 2 3 5 2" xfId="1187"/>
    <cellStyle name="Cálculo 2 3 3 2 3 6" xfId="1188"/>
    <cellStyle name="Cálculo 2 3 3 2 3 6 2" xfId="1189"/>
    <cellStyle name="Cálculo 2 3 3 2 3 7" xfId="1190"/>
    <cellStyle name="Cálculo 2 3 3 2 3 7 2" xfId="1191"/>
    <cellStyle name="Cálculo 2 3 3 2 3 8" xfId="1192"/>
    <cellStyle name="Cálculo 2 3 3 2 3 8 2" xfId="1193"/>
    <cellStyle name="Cálculo 2 3 3 2 3 9" xfId="1194"/>
    <cellStyle name="Cálculo 2 3 3 2 3 9 2" xfId="1195"/>
    <cellStyle name="Cálculo 2 3 3 2 4" xfId="1196"/>
    <cellStyle name="Cálculo 2 3 3 2 4 2" xfId="1197"/>
    <cellStyle name="Cálculo 2 3 3 2 5" xfId="1198"/>
    <cellStyle name="Cálculo 2 3 3 2 5 2" xfId="1199"/>
    <cellStyle name="Cálculo 2 3 3 2 6" xfId="1200"/>
    <cellStyle name="Cálculo 2 3 3 2 6 2" xfId="1201"/>
    <cellStyle name="Cálculo 2 3 3 2 7" xfId="1202"/>
    <cellStyle name="Cálculo 2 3 3 2 7 2" xfId="1203"/>
    <cellStyle name="Cálculo 2 3 3 2 8" xfId="1204"/>
    <cellStyle name="Cálculo 2 3 3 2 8 2" xfId="1205"/>
    <cellStyle name="Cálculo 2 3 3 2 9" xfId="1206"/>
    <cellStyle name="Cálculo 2 3 3 2 9 2" xfId="1207"/>
    <cellStyle name="Cálculo 2 3 3 3" xfId="1208"/>
    <cellStyle name="Cálculo 2 3 3 3 10" xfId="1209"/>
    <cellStyle name="Cálculo 2 3 3 3 10 2" xfId="1210"/>
    <cellStyle name="Cálculo 2 3 3 3 11" xfId="1211"/>
    <cellStyle name="Cálculo 2 3 3 3 11 2" xfId="1212"/>
    <cellStyle name="Cálculo 2 3 3 3 12" xfId="1213"/>
    <cellStyle name="Cálculo 2 3 3 3 12 2" xfId="1214"/>
    <cellStyle name="Cálculo 2 3 3 3 13" xfId="1215"/>
    <cellStyle name="Cálculo 2 3 3 3 2" xfId="1216"/>
    <cellStyle name="Cálculo 2 3 3 3 2 10" xfId="1217"/>
    <cellStyle name="Cálculo 2 3 3 3 2 10 2" xfId="1218"/>
    <cellStyle name="Cálculo 2 3 3 3 2 11" xfId="1219"/>
    <cellStyle name="Cálculo 2 3 3 3 2 2" xfId="1220"/>
    <cellStyle name="Cálculo 2 3 3 3 2 2 2" xfId="1221"/>
    <cellStyle name="Cálculo 2 3 3 3 2 3" xfId="1222"/>
    <cellStyle name="Cálculo 2 3 3 3 2 3 2" xfId="1223"/>
    <cellStyle name="Cálculo 2 3 3 3 2 4" xfId="1224"/>
    <cellStyle name="Cálculo 2 3 3 3 2 4 2" xfId="1225"/>
    <cellStyle name="Cálculo 2 3 3 3 2 5" xfId="1226"/>
    <cellStyle name="Cálculo 2 3 3 3 2 5 2" xfId="1227"/>
    <cellStyle name="Cálculo 2 3 3 3 2 6" xfId="1228"/>
    <cellStyle name="Cálculo 2 3 3 3 2 6 2" xfId="1229"/>
    <cellStyle name="Cálculo 2 3 3 3 2 7" xfId="1230"/>
    <cellStyle name="Cálculo 2 3 3 3 2 7 2" xfId="1231"/>
    <cellStyle name="Cálculo 2 3 3 3 2 8" xfId="1232"/>
    <cellStyle name="Cálculo 2 3 3 3 2 8 2" xfId="1233"/>
    <cellStyle name="Cálculo 2 3 3 3 2 9" xfId="1234"/>
    <cellStyle name="Cálculo 2 3 3 3 2 9 2" xfId="1235"/>
    <cellStyle name="Cálculo 2 3 3 3 3" xfId="1236"/>
    <cellStyle name="Cálculo 2 3 3 3 3 10" xfId="1237"/>
    <cellStyle name="Cálculo 2 3 3 3 3 10 2" xfId="1238"/>
    <cellStyle name="Cálculo 2 3 3 3 3 11" xfId="1239"/>
    <cellStyle name="Cálculo 2 3 3 3 3 2" xfId="1240"/>
    <cellStyle name="Cálculo 2 3 3 3 3 2 2" xfId="1241"/>
    <cellStyle name="Cálculo 2 3 3 3 3 3" xfId="1242"/>
    <cellStyle name="Cálculo 2 3 3 3 3 3 2" xfId="1243"/>
    <cellStyle name="Cálculo 2 3 3 3 3 4" xfId="1244"/>
    <cellStyle name="Cálculo 2 3 3 3 3 4 2" xfId="1245"/>
    <cellStyle name="Cálculo 2 3 3 3 3 5" xfId="1246"/>
    <cellStyle name="Cálculo 2 3 3 3 3 5 2" xfId="1247"/>
    <cellStyle name="Cálculo 2 3 3 3 3 6" xfId="1248"/>
    <cellStyle name="Cálculo 2 3 3 3 3 6 2" xfId="1249"/>
    <cellStyle name="Cálculo 2 3 3 3 3 7" xfId="1250"/>
    <cellStyle name="Cálculo 2 3 3 3 3 7 2" xfId="1251"/>
    <cellStyle name="Cálculo 2 3 3 3 3 8" xfId="1252"/>
    <cellStyle name="Cálculo 2 3 3 3 3 8 2" xfId="1253"/>
    <cellStyle name="Cálculo 2 3 3 3 3 9" xfId="1254"/>
    <cellStyle name="Cálculo 2 3 3 3 3 9 2" xfId="1255"/>
    <cellStyle name="Cálculo 2 3 3 3 4" xfId="1256"/>
    <cellStyle name="Cálculo 2 3 3 3 4 2" xfId="1257"/>
    <cellStyle name="Cálculo 2 3 3 3 5" xfId="1258"/>
    <cellStyle name="Cálculo 2 3 3 3 5 2" xfId="1259"/>
    <cellStyle name="Cálculo 2 3 3 3 6" xfId="1260"/>
    <cellStyle name="Cálculo 2 3 3 3 6 2" xfId="1261"/>
    <cellStyle name="Cálculo 2 3 3 3 7" xfId="1262"/>
    <cellStyle name="Cálculo 2 3 3 3 7 2" xfId="1263"/>
    <cellStyle name="Cálculo 2 3 3 3 8" xfId="1264"/>
    <cellStyle name="Cálculo 2 3 3 3 8 2" xfId="1265"/>
    <cellStyle name="Cálculo 2 3 3 3 9" xfId="1266"/>
    <cellStyle name="Cálculo 2 3 3 3 9 2" xfId="1267"/>
    <cellStyle name="Cálculo 2 3 3 4" xfId="1268"/>
    <cellStyle name="Cálculo 2 3 3 4 10" xfId="1269"/>
    <cellStyle name="Cálculo 2 3 3 4 10 2" xfId="1270"/>
    <cellStyle name="Cálculo 2 3 3 4 11" xfId="1271"/>
    <cellStyle name="Cálculo 2 3 3 4 2" xfId="1272"/>
    <cellStyle name="Cálculo 2 3 3 4 2 2" xfId="1273"/>
    <cellStyle name="Cálculo 2 3 3 4 3" xfId="1274"/>
    <cellStyle name="Cálculo 2 3 3 4 3 2" xfId="1275"/>
    <cellStyle name="Cálculo 2 3 3 4 4" xfId="1276"/>
    <cellStyle name="Cálculo 2 3 3 4 4 2" xfId="1277"/>
    <cellStyle name="Cálculo 2 3 3 4 5" xfId="1278"/>
    <cellStyle name="Cálculo 2 3 3 4 5 2" xfId="1279"/>
    <cellStyle name="Cálculo 2 3 3 4 6" xfId="1280"/>
    <cellStyle name="Cálculo 2 3 3 4 6 2" xfId="1281"/>
    <cellStyle name="Cálculo 2 3 3 4 7" xfId="1282"/>
    <cellStyle name="Cálculo 2 3 3 4 7 2" xfId="1283"/>
    <cellStyle name="Cálculo 2 3 3 4 8" xfId="1284"/>
    <cellStyle name="Cálculo 2 3 3 4 8 2" xfId="1285"/>
    <cellStyle name="Cálculo 2 3 3 4 9" xfId="1286"/>
    <cellStyle name="Cálculo 2 3 3 4 9 2" xfId="1287"/>
    <cellStyle name="Cálculo 2 3 3 5" xfId="1288"/>
    <cellStyle name="Cálculo 2 3 3 5 10" xfId="1289"/>
    <cellStyle name="Cálculo 2 3 3 5 10 2" xfId="1290"/>
    <cellStyle name="Cálculo 2 3 3 5 11" xfId="1291"/>
    <cellStyle name="Cálculo 2 3 3 5 2" xfId="1292"/>
    <cellStyle name="Cálculo 2 3 3 5 2 2" xfId="1293"/>
    <cellStyle name="Cálculo 2 3 3 5 3" xfId="1294"/>
    <cellStyle name="Cálculo 2 3 3 5 3 2" xfId="1295"/>
    <cellStyle name="Cálculo 2 3 3 5 4" xfId="1296"/>
    <cellStyle name="Cálculo 2 3 3 5 4 2" xfId="1297"/>
    <cellStyle name="Cálculo 2 3 3 5 5" xfId="1298"/>
    <cellStyle name="Cálculo 2 3 3 5 5 2" xfId="1299"/>
    <cellStyle name="Cálculo 2 3 3 5 6" xfId="1300"/>
    <cellStyle name="Cálculo 2 3 3 5 6 2" xfId="1301"/>
    <cellStyle name="Cálculo 2 3 3 5 7" xfId="1302"/>
    <cellStyle name="Cálculo 2 3 3 5 7 2" xfId="1303"/>
    <cellStyle name="Cálculo 2 3 3 5 8" xfId="1304"/>
    <cellStyle name="Cálculo 2 3 3 5 8 2" xfId="1305"/>
    <cellStyle name="Cálculo 2 3 3 5 9" xfId="1306"/>
    <cellStyle name="Cálculo 2 3 3 5 9 2" xfId="1307"/>
    <cellStyle name="Cálculo 2 3 3 6" xfId="1308"/>
    <cellStyle name="Cálculo 2 3 3 6 2" xfId="1309"/>
    <cellStyle name="Cálculo 2 3 3 7" xfId="1310"/>
    <cellStyle name="Cálculo 2 3 3 7 2" xfId="1311"/>
    <cellStyle name="Cálculo 2 3 3 8" xfId="1312"/>
    <cellStyle name="Cálculo 2 3 3 8 2" xfId="1313"/>
    <cellStyle name="Cálculo 2 3 3 9" xfId="1314"/>
    <cellStyle name="Cálculo 2 3 3 9 2" xfId="1315"/>
    <cellStyle name="Cálculo 2 3 4" xfId="1316"/>
    <cellStyle name="Cálculo 2 3 4 10" xfId="1317"/>
    <cellStyle name="Cálculo 2 3 4 10 2" xfId="1318"/>
    <cellStyle name="Cálculo 2 3 4 11" xfId="1319"/>
    <cellStyle name="Cálculo 2 3 4 11 2" xfId="1320"/>
    <cellStyle name="Cálculo 2 3 4 12" xfId="1321"/>
    <cellStyle name="Cálculo 2 3 4 12 2" xfId="1322"/>
    <cellStyle name="Cálculo 2 3 4 13" xfId="1323"/>
    <cellStyle name="Cálculo 2 3 4 2" xfId="1324"/>
    <cellStyle name="Cálculo 2 3 4 2 10" xfId="1325"/>
    <cellStyle name="Cálculo 2 3 4 2 10 2" xfId="1326"/>
    <cellStyle name="Cálculo 2 3 4 2 11" xfId="1327"/>
    <cellStyle name="Cálculo 2 3 4 2 2" xfId="1328"/>
    <cellStyle name="Cálculo 2 3 4 2 2 2" xfId="1329"/>
    <cellStyle name="Cálculo 2 3 4 2 3" xfId="1330"/>
    <cellStyle name="Cálculo 2 3 4 2 3 2" xfId="1331"/>
    <cellStyle name="Cálculo 2 3 4 2 4" xfId="1332"/>
    <cellStyle name="Cálculo 2 3 4 2 4 2" xfId="1333"/>
    <cellStyle name="Cálculo 2 3 4 2 5" xfId="1334"/>
    <cellStyle name="Cálculo 2 3 4 2 5 2" xfId="1335"/>
    <cellStyle name="Cálculo 2 3 4 2 6" xfId="1336"/>
    <cellStyle name="Cálculo 2 3 4 2 6 2" xfId="1337"/>
    <cellStyle name="Cálculo 2 3 4 2 7" xfId="1338"/>
    <cellStyle name="Cálculo 2 3 4 2 7 2" xfId="1339"/>
    <cellStyle name="Cálculo 2 3 4 2 8" xfId="1340"/>
    <cellStyle name="Cálculo 2 3 4 2 8 2" xfId="1341"/>
    <cellStyle name="Cálculo 2 3 4 2 9" xfId="1342"/>
    <cellStyle name="Cálculo 2 3 4 2 9 2" xfId="1343"/>
    <cellStyle name="Cálculo 2 3 4 3" xfId="1344"/>
    <cellStyle name="Cálculo 2 3 4 3 10" xfId="1345"/>
    <cellStyle name="Cálculo 2 3 4 3 10 2" xfId="1346"/>
    <cellStyle name="Cálculo 2 3 4 3 11" xfId="1347"/>
    <cellStyle name="Cálculo 2 3 4 3 2" xfId="1348"/>
    <cellStyle name="Cálculo 2 3 4 3 2 2" xfId="1349"/>
    <cellStyle name="Cálculo 2 3 4 3 3" xfId="1350"/>
    <cellStyle name="Cálculo 2 3 4 3 3 2" xfId="1351"/>
    <cellStyle name="Cálculo 2 3 4 3 4" xfId="1352"/>
    <cellStyle name="Cálculo 2 3 4 3 4 2" xfId="1353"/>
    <cellStyle name="Cálculo 2 3 4 3 5" xfId="1354"/>
    <cellStyle name="Cálculo 2 3 4 3 5 2" xfId="1355"/>
    <cellStyle name="Cálculo 2 3 4 3 6" xfId="1356"/>
    <cellStyle name="Cálculo 2 3 4 3 6 2" xfId="1357"/>
    <cellStyle name="Cálculo 2 3 4 3 7" xfId="1358"/>
    <cellStyle name="Cálculo 2 3 4 3 7 2" xfId="1359"/>
    <cellStyle name="Cálculo 2 3 4 3 8" xfId="1360"/>
    <cellStyle name="Cálculo 2 3 4 3 8 2" xfId="1361"/>
    <cellStyle name="Cálculo 2 3 4 3 9" xfId="1362"/>
    <cellStyle name="Cálculo 2 3 4 3 9 2" xfId="1363"/>
    <cellStyle name="Cálculo 2 3 4 4" xfId="1364"/>
    <cellStyle name="Cálculo 2 3 4 4 2" xfId="1365"/>
    <cellStyle name="Cálculo 2 3 4 5" xfId="1366"/>
    <cellStyle name="Cálculo 2 3 4 5 2" xfId="1367"/>
    <cellStyle name="Cálculo 2 3 4 6" xfId="1368"/>
    <cellStyle name="Cálculo 2 3 4 6 2" xfId="1369"/>
    <cellStyle name="Cálculo 2 3 4 7" xfId="1370"/>
    <cellStyle name="Cálculo 2 3 4 7 2" xfId="1371"/>
    <cellStyle name="Cálculo 2 3 4 8" xfId="1372"/>
    <cellStyle name="Cálculo 2 3 4 8 2" xfId="1373"/>
    <cellStyle name="Cálculo 2 3 4 9" xfId="1374"/>
    <cellStyle name="Cálculo 2 3 4 9 2" xfId="1375"/>
    <cellStyle name="Cálculo 2 3 5" xfId="1376"/>
    <cellStyle name="Cálculo 2 3 5 10" xfId="1377"/>
    <cellStyle name="Cálculo 2 3 5 10 2" xfId="1378"/>
    <cellStyle name="Cálculo 2 3 5 11" xfId="1379"/>
    <cellStyle name="Cálculo 2 3 5 11 2" xfId="1380"/>
    <cellStyle name="Cálculo 2 3 5 12" xfId="1381"/>
    <cellStyle name="Cálculo 2 3 5 12 2" xfId="1382"/>
    <cellStyle name="Cálculo 2 3 5 13" xfId="1383"/>
    <cellStyle name="Cálculo 2 3 5 2" xfId="1384"/>
    <cellStyle name="Cálculo 2 3 5 2 10" xfId="1385"/>
    <cellStyle name="Cálculo 2 3 5 2 10 2" xfId="1386"/>
    <cellStyle name="Cálculo 2 3 5 2 11" xfId="1387"/>
    <cellStyle name="Cálculo 2 3 5 2 2" xfId="1388"/>
    <cellStyle name="Cálculo 2 3 5 2 2 2" xfId="1389"/>
    <cellStyle name="Cálculo 2 3 5 2 3" xfId="1390"/>
    <cellStyle name="Cálculo 2 3 5 2 3 2" xfId="1391"/>
    <cellStyle name="Cálculo 2 3 5 2 4" xfId="1392"/>
    <cellStyle name="Cálculo 2 3 5 2 4 2" xfId="1393"/>
    <cellStyle name="Cálculo 2 3 5 2 5" xfId="1394"/>
    <cellStyle name="Cálculo 2 3 5 2 5 2" xfId="1395"/>
    <cellStyle name="Cálculo 2 3 5 2 6" xfId="1396"/>
    <cellStyle name="Cálculo 2 3 5 2 6 2" xfId="1397"/>
    <cellStyle name="Cálculo 2 3 5 2 7" xfId="1398"/>
    <cellStyle name="Cálculo 2 3 5 2 7 2" xfId="1399"/>
    <cellStyle name="Cálculo 2 3 5 2 8" xfId="1400"/>
    <cellStyle name="Cálculo 2 3 5 2 8 2" xfId="1401"/>
    <cellStyle name="Cálculo 2 3 5 2 9" xfId="1402"/>
    <cellStyle name="Cálculo 2 3 5 2 9 2" xfId="1403"/>
    <cellStyle name="Cálculo 2 3 5 3" xfId="1404"/>
    <cellStyle name="Cálculo 2 3 5 3 10" xfId="1405"/>
    <cellStyle name="Cálculo 2 3 5 3 10 2" xfId="1406"/>
    <cellStyle name="Cálculo 2 3 5 3 11" xfId="1407"/>
    <cellStyle name="Cálculo 2 3 5 3 2" xfId="1408"/>
    <cellStyle name="Cálculo 2 3 5 3 2 2" xfId="1409"/>
    <cellStyle name="Cálculo 2 3 5 3 3" xfId="1410"/>
    <cellStyle name="Cálculo 2 3 5 3 3 2" xfId="1411"/>
    <cellStyle name="Cálculo 2 3 5 3 4" xfId="1412"/>
    <cellStyle name="Cálculo 2 3 5 3 4 2" xfId="1413"/>
    <cellStyle name="Cálculo 2 3 5 3 5" xfId="1414"/>
    <cellStyle name="Cálculo 2 3 5 3 5 2" xfId="1415"/>
    <cellStyle name="Cálculo 2 3 5 3 6" xfId="1416"/>
    <cellStyle name="Cálculo 2 3 5 3 6 2" xfId="1417"/>
    <cellStyle name="Cálculo 2 3 5 3 7" xfId="1418"/>
    <cellStyle name="Cálculo 2 3 5 3 7 2" xfId="1419"/>
    <cellStyle name="Cálculo 2 3 5 3 8" xfId="1420"/>
    <cellStyle name="Cálculo 2 3 5 3 8 2" xfId="1421"/>
    <cellStyle name="Cálculo 2 3 5 3 9" xfId="1422"/>
    <cellStyle name="Cálculo 2 3 5 3 9 2" xfId="1423"/>
    <cellStyle name="Cálculo 2 3 5 4" xfId="1424"/>
    <cellStyle name="Cálculo 2 3 5 4 2" xfId="1425"/>
    <cellStyle name="Cálculo 2 3 5 5" xfId="1426"/>
    <cellStyle name="Cálculo 2 3 5 5 2" xfId="1427"/>
    <cellStyle name="Cálculo 2 3 5 6" xfId="1428"/>
    <cellStyle name="Cálculo 2 3 5 6 2" xfId="1429"/>
    <cellStyle name="Cálculo 2 3 5 7" xfId="1430"/>
    <cellStyle name="Cálculo 2 3 5 7 2" xfId="1431"/>
    <cellStyle name="Cálculo 2 3 5 8" xfId="1432"/>
    <cellStyle name="Cálculo 2 3 5 8 2" xfId="1433"/>
    <cellStyle name="Cálculo 2 3 5 9" xfId="1434"/>
    <cellStyle name="Cálculo 2 3 5 9 2" xfId="1435"/>
    <cellStyle name="Cálculo 2 3 6" xfId="1436"/>
    <cellStyle name="Cálculo 2 3 6 2" xfId="1437"/>
    <cellStyle name="Cálculo 2 3 7" xfId="1438"/>
    <cellStyle name="Cálculo 2 3 7 2" xfId="1439"/>
    <cellStyle name="Cálculo 2 3 8" xfId="1440"/>
    <cellStyle name="Cálculo 2 3 8 2" xfId="1441"/>
    <cellStyle name="Cálculo 2 3 9" xfId="1442"/>
    <cellStyle name="Cálculo 2 3 9 2" xfId="1443"/>
    <cellStyle name="Cálculo 2 4" xfId="284"/>
    <cellStyle name="Cálculo 2 4 10" xfId="1444"/>
    <cellStyle name="Cálculo 2 4 10 2" xfId="1445"/>
    <cellStyle name="Cálculo 2 4 11" xfId="1446"/>
    <cellStyle name="Cálculo 2 4 11 2" xfId="1447"/>
    <cellStyle name="Cálculo 2 4 12" xfId="1448"/>
    <cellStyle name="Cálculo 2 4 12 2" xfId="1449"/>
    <cellStyle name="Cálculo 2 4 13" xfId="1450"/>
    <cellStyle name="Cálculo 2 4 13 2" xfId="1451"/>
    <cellStyle name="Cálculo 2 4 14" xfId="1452"/>
    <cellStyle name="Cálculo 2 4 14 2" xfId="1453"/>
    <cellStyle name="Cálculo 2 4 15" xfId="1454"/>
    <cellStyle name="Cálculo 2 4 16" xfId="1455"/>
    <cellStyle name="Cálculo 2 4 2" xfId="1456"/>
    <cellStyle name="Cálculo 2 4 2 10" xfId="1457"/>
    <cellStyle name="Cálculo 2 4 2 10 2" xfId="1458"/>
    <cellStyle name="Cálculo 2 4 2 11" xfId="1459"/>
    <cellStyle name="Cálculo 2 4 2 11 2" xfId="1460"/>
    <cellStyle name="Cálculo 2 4 2 12" xfId="1461"/>
    <cellStyle name="Cálculo 2 4 2 12 2" xfId="1462"/>
    <cellStyle name="Cálculo 2 4 2 13" xfId="1463"/>
    <cellStyle name="Cálculo 2 4 2 2" xfId="1464"/>
    <cellStyle name="Cálculo 2 4 2 2 10" xfId="1465"/>
    <cellStyle name="Cálculo 2 4 2 2 10 2" xfId="1466"/>
    <cellStyle name="Cálculo 2 4 2 2 11" xfId="1467"/>
    <cellStyle name="Cálculo 2 4 2 2 2" xfId="1468"/>
    <cellStyle name="Cálculo 2 4 2 2 2 2" xfId="1469"/>
    <cellStyle name="Cálculo 2 4 2 2 3" xfId="1470"/>
    <cellStyle name="Cálculo 2 4 2 2 3 2" xfId="1471"/>
    <cellStyle name="Cálculo 2 4 2 2 4" xfId="1472"/>
    <cellStyle name="Cálculo 2 4 2 2 4 2" xfId="1473"/>
    <cellStyle name="Cálculo 2 4 2 2 5" xfId="1474"/>
    <cellStyle name="Cálculo 2 4 2 2 5 2" xfId="1475"/>
    <cellStyle name="Cálculo 2 4 2 2 6" xfId="1476"/>
    <cellStyle name="Cálculo 2 4 2 2 6 2" xfId="1477"/>
    <cellStyle name="Cálculo 2 4 2 2 7" xfId="1478"/>
    <cellStyle name="Cálculo 2 4 2 2 7 2" xfId="1479"/>
    <cellStyle name="Cálculo 2 4 2 2 8" xfId="1480"/>
    <cellStyle name="Cálculo 2 4 2 2 8 2" xfId="1481"/>
    <cellStyle name="Cálculo 2 4 2 2 9" xfId="1482"/>
    <cellStyle name="Cálculo 2 4 2 2 9 2" xfId="1483"/>
    <cellStyle name="Cálculo 2 4 2 3" xfId="1484"/>
    <cellStyle name="Cálculo 2 4 2 3 10" xfId="1485"/>
    <cellStyle name="Cálculo 2 4 2 3 10 2" xfId="1486"/>
    <cellStyle name="Cálculo 2 4 2 3 11" xfId="1487"/>
    <cellStyle name="Cálculo 2 4 2 3 2" xfId="1488"/>
    <cellStyle name="Cálculo 2 4 2 3 2 2" xfId="1489"/>
    <cellStyle name="Cálculo 2 4 2 3 3" xfId="1490"/>
    <cellStyle name="Cálculo 2 4 2 3 3 2" xfId="1491"/>
    <cellStyle name="Cálculo 2 4 2 3 4" xfId="1492"/>
    <cellStyle name="Cálculo 2 4 2 3 4 2" xfId="1493"/>
    <cellStyle name="Cálculo 2 4 2 3 5" xfId="1494"/>
    <cellStyle name="Cálculo 2 4 2 3 5 2" xfId="1495"/>
    <cellStyle name="Cálculo 2 4 2 3 6" xfId="1496"/>
    <cellStyle name="Cálculo 2 4 2 3 6 2" xfId="1497"/>
    <cellStyle name="Cálculo 2 4 2 3 7" xfId="1498"/>
    <cellStyle name="Cálculo 2 4 2 3 7 2" xfId="1499"/>
    <cellStyle name="Cálculo 2 4 2 3 8" xfId="1500"/>
    <cellStyle name="Cálculo 2 4 2 3 8 2" xfId="1501"/>
    <cellStyle name="Cálculo 2 4 2 3 9" xfId="1502"/>
    <cellStyle name="Cálculo 2 4 2 3 9 2" xfId="1503"/>
    <cellStyle name="Cálculo 2 4 2 4" xfId="1504"/>
    <cellStyle name="Cálculo 2 4 2 4 2" xfId="1505"/>
    <cellStyle name="Cálculo 2 4 2 5" xfId="1506"/>
    <cellStyle name="Cálculo 2 4 2 5 2" xfId="1507"/>
    <cellStyle name="Cálculo 2 4 2 6" xfId="1508"/>
    <cellStyle name="Cálculo 2 4 2 6 2" xfId="1509"/>
    <cellStyle name="Cálculo 2 4 2 7" xfId="1510"/>
    <cellStyle name="Cálculo 2 4 2 7 2" xfId="1511"/>
    <cellStyle name="Cálculo 2 4 2 8" xfId="1512"/>
    <cellStyle name="Cálculo 2 4 2 8 2" xfId="1513"/>
    <cellStyle name="Cálculo 2 4 2 9" xfId="1514"/>
    <cellStyle name="Cálculo 2 4 2 9 2" xfId="1515"/>
    <cellStyle name="Cálculo 2 4 3" xfId="1516"/>
    <cellStyle name="Cálculo 2 4 3 10" xfId="1517"/>
    <cellStyle name="Cálculo 2 4 3 10 2" xfId="1518"/>
    <cellStyle name="Cálculo 2 4 3 11" xfId="1519"/>
    <cellStyle name="Cálculo 2 4 3 11 2" xfId="1520"/>
    <cellStyle name="Cálculo 2 4 3 12" xfId="1521"/>
    <cellStyle name="Cálculo 2 4 3 12 2" xfId="1522"/>
    <cellStyle name="Cálculo 2 4 3 13" xfId="1523"/>
    <cellStyle name="Cálculo 2 4 3 2" xfId="1524"/>
    <cellStyle name="Cálculo 2 4 3 2 10" xfId="1525"/>
    <cellStyle name="Cálculo 2 4 3 2 10 2" xfId="1526"/>
    <cellStyle name="Cálculo 2 4 3 2 11" xfId="1527"/>
    <cellStyle name="Cálculo 2 4 3 2 2" xfId="1528"/>
    <cellStyle name="Cálculo 2 4 3 2 2 2" xfId="1529"/>
    <cellStyle name="Cálculo 2 4 3 2 3" xfId="1530"/>
    <cellStyle name="Cálculo 2 4 3 2 3 2" xfId="1531"/>
    <cellStyle name="Cálculo 2 4 3 2 4" xfId="1532"/>
    <cellStyle name="Cálculo 2 4 3 2 4 2" xfId="1533"/>
    <cellStyle name="Cálculo 2 4 3 2 5" xfId="1534"/>
    <cellStyle name="Cálculo 2 4 3 2 5 2" xfId="1535"/>
    <cellStyle name="Cálculo 2 4 3 2 6" xfId="1536"/>
    <cellStyle name="Cálculo 2 4 3 2 6 2" xfId="1537"/>
    <cellStyle name="Cálculo 2 4 3 2 7" xfId="1538"/>
    <cellStyle name="Cálculo 2 4 3 2 7 2" xfId="1539"/>
    <cellStyle name="Cálculo 2 4 3 2 8" xfId="1540"/>
    <cellStyle name="Cálculo 2 4 3 2 8 2" xfId="1541"/>
    <cellStyle name="Cálculo 2 4 3 2 9" xfId="1542"/>
    <cellStyle name="Cálculo 2 4 3 2 9 2" xfId="1543"/>
    <cellStyle name="Cálculo 2 4 3 3" xfId="1544"/>
    <cellStyle name="Cálculo 2 4 3 3 10" xfId="1545"/>
    <cellStyle name="Cálculo 2 4 3 3 10 2" xfId="1546"/>
    <cellStyle name="Cálculo 2 4 3 3 11" xfId="1547"/>
    <cellStyle name="Cálculo 2 4 3 3 2" xfId="1548"/>
    <cellStyle name="Cálculo 2 4 3 3 2 2" xfId="1549"/>
    <cellStyle name="Cálculo 2 4 3 3 3" xfId="1550"/>
    <cellStyle name="Cálculo 2 4 3 3 3 2" xfId="1551"/>
    <cellStyle name="Cálculo 2 4 3 3 4" xfId="1552"/>
    <cellStyle name="Cálculo 2 4 3 3 4 2" xfId="1553"/>
    <cellStyle name="Cálculo 2 4 3 3 5" xfId="1554"/>
    <cellStyle name="Cálculo 2 4 3 3 5 2" xfId="1555"/>
    <cellStyle name="Cálculo 2 4 3 3 6" xfId="1556"/>
    <cellStyle name="Cálculo 2 4 3 3 6 2" xfId="1557"/>
    <cellStyle name="Cálculo 2 4 3 3 7" xfId="1558"/>
    <cellStyle name="Cálculo 2 4 3 3 7 2" xfId="1559"/>
    <cellStyle name="Cálculo 2 4 3 3 8" xfId="1560"/>
    <cellStyle name="Cálculo 2 4 3 3 8 2" xfId="1561"/>
    <cellStyle name="Cálculo 2 4 3 3 9" xfId="1562"/>
    <cellStyle name="Cálculo 2 4 3 3 9 2" xfId="1563"/>
    <cellStyle name="Cálculo 2 4 3 4" xfId="1564"/>
    <cellStyle name="Cálculo 2 4 3 4 2" xfId="1565"/>
    <cellStyle name="Cálculo 2 4 3 5" xfId="1566"/>
    <cellStyle name="Cálculo 2 4 3 5 2" xfId="1567"/>
    <cellStyle name="Cálculo 2 4 3 6" xfId="1568"/>
    <cellStyle name="Cálculo 2 4 3 6 2" xfId="1569"/>
    <cellStyle name="Cálculo 2 4 3 7" xfId="1570"/>
    <cellStyle name="Cálculo 2 4 3 7 2" xfId="1571"/>
    <cellStyle name="Cálculo 2 4 3 8" xfId="1572"/>
    <cellStyle name="Cálculo 2 4 3 8 2" xfId="1573"/>
    <cellStyle name="Cálculo 2 4 3 9" xfId="1574"/>
    <cellStyle name="Cálculo 2 4 3 9 2" xfId="1575"/>
    <cellStyle name="Cálculo 2 4 4" xfId="1576"/>
    <cellStyle name="Cálculo 2 4 4 10" xfId="1577"/>
    <cellStyle name="Cálculo 2 4 4 10 2" xfId="1578"/>
    <cellStyle name="Cálculo 2 4 4 11" xfId="1579"/>
    <cellStyle name="Cálculo 2 4 4 2" xfId="1580"/>
    <cellStyle name="Cálculo 2 4 4 2 2" xfId="1581"/>
    <cellStyle name="Cálculo 2 4 4 3" xfId="1582"/>
    <cellStyle name="Cálculo 2 4 4 3 2" xfId="1583"/>
    <cellStyle name="Cálculo 2 4 4 4" xfId="1584"/>
    <cellStyle name="Cálculo 2 4 4 4 2" xfId="1585"/>
    <cellStyle name="Cálculo 2 4 4 5" xfId="1586"/>
    <cellStyle name="Cálculo 2 4 4 5 2" xfId="1587"/>
    <cellStyle name="Cálculo 2 4 4 6" xfId="1588"/>
    <cellStyle name="Cálculo 2 4 4 6 2" xfId="1589"/>
    <cellStyle name="Cálculo 2 4 4 7" xfId="1590"/>
    <cellStyle name="Cálculo 2 4 4 7 2" xfId="1591"/>
    <cellStyle name="Cálculo 2 4 4 8" xfId="1592"/>
    <cellStyle name="Cálculo 2 4 4 8 2" xfId="1593"/>
    <cellStyle name="Cálculo 2 4 4 9" xfId="1594"/>
    <cellStyle name="Cálculo 2 4 4 9 2" xfId="1595"/>
    <cellStyle name="Cálculo 2 4 5" xfId="1596"/>
    <cellStyle name="Cálculo 2 4 5 10" xfId="1597"/>
    <cellStyle name="Cálculo 2 4 5 10 2" xfId="1598"/>
    <cellStyle name="Cálculo 2 4 5 11" xfId="1599"/>
    <cellStyle name="Cálculo 2 4 5 2" xfId="1600"/>
    <cellStyle name="Cálculo 2 4 5 2 2" xfId="1601"/>
    <cellStyle name="Cálculo 2 4 5 3" xfId="1602"/>
    <cellStyle name="Cálculo 2 4 5 3 2" xfId="1603"/>
    <cellStyle name="Cálculo 2 4 5 4" xfId="1604"/>
    <cellStyle name="Cálculo 2 4 5 4 2" xfId="1605"/>
    <cellStyle name="Cálculo 2 4 5 5" xfId="1606"/>
    <cellStyle name="Cálculo 2 4 5 5 2" xfId="1607"/>
    <cellStyle name="Cálculo 2 4 5 6" xfId="1608"/>
    <cellStyle name="Cálculo 2 4 5 6 2" xfId="1609"/>
    <cellStyle name="Cálculo 2 4 5 7" xfId="1610"/>
    <cellStyle name="Cálculo 2 4 5 7 2" xfId="1611"/>
    <cellStyle name="Cálculo 2 4 5 8" xfId="1612"/>
    <cellStyle name="Cálculo 2 4 5 8 2" xfId="1613"/>
    <cellStyle name="Cálculo 2 4 5 9" xfId="1614"/>
    <cellStyle name="Cálculo 2 4 5 9 2" xfId="1615"/>
    <cellStyle name="Cálculo 2 4 6" xfId="1616"/>
    <cellStyle name="Cálculo 2 4 6 2" xfId="1617"/>
    <cellStyle name="Cálculo 2 4 7" xfId="1618"/>
    <cellStyle name="Cálculo 2 4 7 2" xfId="1619"/>
    <cellStyle name="Cálculo 2 4 8" xfId="1620"/>
    <cellStyle name="Cálculo 2 4 8 2" xfId="1621"/>
    <cellStyle name="Cálculo 2 4 9" xfId="1622"/>
    <cellStyle name="Cálculo 2 4 9 2" xfId="1623"/>
    <cellStyle name="Cálculo 2 5" xfId="291"/>
    <cellStyle name="Cálculo 2 5 10" xfId="1624"/>
    <cellStyle name="Cálculo 2 5 10 2" xfId="1625"/>
    <cellStyle name="Cálculo 2 5 11" xfId="1626"/>
    <cellStyle name="Cálculo 2 5 11 2" xfId="1627"/>
    <cellStyle name="Cálculo 2 5 12" xfId="1628"/>
    <cellStyle name="Cálculo 2 5 12 2" xfId="1629"/>
    <cellStyle name="Cálculo 2 5 13" xfId="1630"/>
    <cellStyle name="Cálculo 2 5 13 2" xfId="1631"/>
    <cellStyle name="Cálculo 2 5 14" xfId="1632"/>
    <cellStyle name="Cálculo 2 5 14 2" xfId="1633"/>
    <cellStyle name="Cálculo 2 5 15" xfId="1634"/>
    <cellStyle name="Cálculo 2 5 2" xfId="1635"/>
    <cellStyle name="Cálculo 2 5 2 10" xfId="1636"/>
    <cellStyle name="Cálculo 2 5 2 10 2" xfId="1637"/>
    <cellStyle name="Cálculo 2 5 2 11" xfId="1638"/>
    <cellStyle name="Cálculo 2 5 2 11 2" xfId="1639"/>
    <cellStyle name="Cálculo 2 5 2 12" xfId="1640"/>
    <cellStyle name="Cálculo 2 5 2 12 2" xfId="1641"/>
    <cellStyle name="Cálculo 2 5 2 13" xfId="1642"/>
    <cellStyle name="Cálculo 2 5 2 2" xfId="1643"/>
    <cellStyle name="Cálculo 2 5 2 2 10" xfId="1644"/>
    <cellStyle name="Cálculo 2 5 2 2 10 2" xfId="1645"/>
    <cellStyle name="Cálculo 2 5 2 2 11" xfId="1646"/>
    <cellStyle name="Cálculo 2 5 2 2 2" xfId="1647"/>
    <cellStyle name="Cálculo 2 5 2 2 2 2" xfId="1648"/>
    <cellStyle name="Cálculo 2 5 2 2 3" xfId="1649"/>
    <cellStyle name="Cálculo 2 5 2 2 3 2" xfId="1650"/>
    <cellStyle name="Cálculo 2 5 2 2 4" xfId="1651"/>
    <cellStyle name="Cálculo 2 5 2 2 4 2" xfId="1652"/>
    <cellStyle name="Cálculo 2 5 2 2 5" xfId="1653"/>
    <cellStyle name="Cálculo 2 5 2 2 5 2" xfId="1654"/>
    <cellStyle name="Cálculo 2 5 2 2 6" xfId="1655"/>
    <cellStyle name="Cálculo 2 5 2 2 6 2" xfId="1656"/>
    <cellStyle name="Cálculo 2 5 2 2 7" xfId="1657"/>
    <cellStyle name="Cálculo 2 5 2 2 7 2" xfId="1658"/>
    <cellStyle name="Cálculo 2 5 2 2 8" xfId="1659"/>
    <cellStyle name="Cálculo 2 5 2 2 8 2" xfId="1660"/>
    <cellStyle name="Cálculo 2 5 2 2 9" xfId="1661"/>
    <cellStyle name="Cálculo 2 5 2 2 9 2" xfId="1662"/>
    <cellStyle name="Cálculo 2 5 2 3" xfId="1663"/>
    <cellStyle name="Cálculo 2 5 2 3 10" xfId="1664"/>
    <cellStyle name="Cálculo 2 5 2 3 10 2" xfId="1665"/>
    <cellStyle name="Cálculo 2 5 2 3 11" xfId="1666"/>
    <cellStyle name="Cálculo 2 5 2 3 2" xfId="1667"/>
    <cellStyle name="Cálculo 2 5 2 3 2 2" xfId="1668"/>
    <cellStyle name="Cálculo 2 5 2 3 3" xfId="1669"/>
    <cellStyle name="Cálculo 2 5 2 3 3 2" xfId="1670"/>
    <cellStyle name="Cálculo 2 5 2 3 4" xfId="1671"/>
    <cellStyle name="Cálculo 2 5 2 3 4 2" xfId="1672"/>
    <cellStyle name="Cálculo 2 5 2 3 5" xfId="1673"/>
    <cellStyle name="Cálculo 2 5 2 3 5 2" xfId="1674"/>
    <cellStyle name="Cálculo 2 5 2 3 6" xfId="1675"/>
    <cellStyle name="Cálculo 2 5 2 3 6 2" xfId="1676"/>
    <cellStyle name="Cálculo 2 5 2 3 7" xfId="1677"/>
    <cellStyle name="Cálculo 2 5 2 3 7 2" xfId="1678"/>
    <cellStyle name="Cálculo 2 5 2 3 8" xfId="1679"/>
    <cellStyle name="Cálculo 2 5 2 3 8 2" xfId="1680"/>
    <cellStyle name="Cálculo 2 5 2 3 9" xfId="1681"/>
    <cellStyle name="Cálculo 2 5 2 3 9 2" xfId="1682"/>
    <cellStyle name="Cálculo 2 5 2 4" xfId="1683"/>
    <cellStyle name="Cálculo 2 5 2 4 2" xfId="1684"/>
    <cellStyle name="Cálculo 2 5 2 5" xfId="1685"/>
    <cellStyle name="Cálculo 2 5 2 5 2" xfId="1686"/>
    <cellStyle name="Cálculo 2 5 2 6" xfId="1687"/>
    <cellStyle name="Cálculo 2 5 2 6 2" xfId="1688"/>
    <cellStyle name="Cálculo 2 5 2 7" xfId="1689"/>
    <cellStyle name="Cálculo 2 5 2 7 2" xfId="1690"/>
    <cellStyle name="Cálculo 2 5 2 8" xfId="1691"/>
    <cellStyle name="Cálculo 2 5 2 8 2" xfId="1692"/>
    <cellStyle name="Cálculo 2 5 2 9" xfId="1693"/>
    <cellStyle name="Cálculo 2 5 2 9 2" xfId="1694"/>
    <cellStyle name="Cálculo 2 5 3" xfId="1695"/>
    <cellStyle name="Cálculo 2 5 3 10" xfId="1696"/>
    <cellStyle name="Cálculo 2 5 3 10 2" xfId="1697"/>
    <cellStyle name="Cálculo 2 5 3 11" xfId="1698"/>
    <cellStyle name="Cálculo 2 5 3 11 2" xfId="1699"/>
    <cellStyle name="Cálculo 2 5 3 12" xfId="1700"/>
    <cellStyle name="Cálculo 2 5 3 12 2" xfId="1701"/>
    <cellStyle name="Cálculo 2 5 3 13" xfId="1702"/>
    <cellStyle name="Cálculo 2 5 3 2" xfId="1703"/>
    <cellStyle name="Cálculo 2 5 3 2 10" xfId="1704"/>
    <cellStyle name="Cálculo 2 5 3 2 10 2" xfId="1705"/>
    <cellStyle name="Cálculo 2 5 3 2 11" xfId="1706"/>
    <cellStyle name="Cálculo 2 5 3 2 2" xfId="1707"/>
    <cellStyle name="Cálculo 2 5 3 2 2 2" xfId="1708"/>
    <cellStyle name="Cálculo 2 5 3 2 3" xfId="1709"/>
    <cellStyle name="Cálculo 2 5 3 2 3 2" xfId="1710"/>
    <cellStyle name="Cálculo 2 5 3 2 4" xfId="1711"/>
    <cellStyle name="Cálculo 2 5 3 2 4 2" xfId="1712"/>
    <cellStyle name="Cálculo 2 5 3 2 5" xfId="1713"/>
    <cellStyle name="Cálculo 2 5 3 2 5 2" xfId="1714"/>
    <cellStyle name="Cálculo 2 5 3 2 6" xfId="1715"/>
    <cellStyle name="Cálculo 2 5 3 2 6 2" xfId="1716"/>
    <cellStyle name="Cálculo 2 5 3 2 7" xfId="1717"/>
    <cellStyle name="Cálculo 2 5 3 2 7 2" xfId="1718"/>
    <cellStyle name="Cálculo 2 5 3 2 8" xfId="1719"/>
    <cellStyle name="Cálculo 2 5 3 2 8 2" xfId="1720"/>
    <cellStyle name="Cálculo 2 5 3 2 9" xfId="1721"/>
    <cellStyle name="Cálculo 2 5 3 2 9 2" xfId="1722"/>
    <cellStyle name="Cálculo 2 5 3 3" xfId="1723"/>
    <cellStyle name="Cálculo 2 5 3 3 10" xfId="1724"/>
    <cellStyle name="Cálculo 2 5 3 3 10 2" xfId="1725"/>
    <cellStyle name="Cálculo 2 5 3 3 11" xfId="1726"/>
    <cellStyle name="Cálculo 2 5 3 3 2" xfId="1727"/>
    <cellStyle name="Cálculo 2 5 3 3 2 2" xfId="1728"/>
    <cellStyle name="Cálculo 2 5 3 3 3" xfId="1729"/>
    <cellStyle name="Cálculo 2 5 3 3 3 2" xfId="1730"/>
    <cellStyle name="Cálculo 2 5 3 3 4" xfId="1731"/>
    <cellStyle name="Cálculo 2 5 3 3 4 2" xfId="1732"/>
    <cellStyle name="Cálculo 2 5 3 3 5" xfId="1733"/>
    <cellStyle name="Cálculo 2 5 3 3 5 2" xfId="1734"/>
    <cellStyle name="Cálculo 2 5 3 3 6" xfId="1735"/>
    <cellStyle name="Cálculo 2 5 3 3 6 2" xfId="1736"/>
    <cellStyle name="Cálculo 2 5 3 3 7" xfId="1737"/>
    <cellStyle name="Cálculo 2 5 3 3 7 2" xfId="1738"/>
    <cellStyle name="Cálculo 2 5 3 3 8" xfId="1739"/>
    <cellStyle name="Cálculo 2 5 3 3 8 2" xfId="1740"/>
    <cellStyle name="Cálculo 2 5 3 3 9" xfId="1741"/>
    <cellStyle name="Cálculo 2 5 3 3 9 2" xfId="1742"/>
    <cellStyle name="Cálculo 2 5 3 4" xfId="1743"/>
    <cellStyle name="Cálculo 2 5 3 4 2" xfId="1744"/>
    <cellStyle name="Cálculo 2 5 3 5" xfId="1745"/>
    <cellStyle name="Cálculo 2 5 3 5 2" xfId="1746"/>
    <cellStyle name="Cálculo 2 5 3 6" xfId="1747"/>
    <cellStyle name="Cálculo 2 5 3 6 2" xfId="1748"/>
    <cellStyle name="Cálculo 2 5 3 7" xfId="1749"/>
    <cellStyle name="Cálculo 2 5 3 7 2" xfId="1750"/>
    <cellStyle name="Cálculo 2 5 3 8" xfId="1751"/>
    <cellStyle name="Cálculo 2 5 3 8 2" xfId="1752"/>
    <cellStyle name="Cálculo 2 5 3 9" xfId="1753"/>
    <cellStyle name="Cálculo 2 5 3 9 2" xfId="1754"/>
    <cellStyle name="Cálculo 2 5 4" xfId="1755"/>
    <cellStyle name="Cálculo 2 5 4 10" xfId="1756"/>
    <cellStyle name="Cálculo 2 5 4 10 2" xfId="1757"/>
    <cellStyle name="Cálculo 2 5 4 11" xfId="1758"/>
    <cellStyle name="Cálculo 2 5 4 2" xfId="1759"/>
    <cellStyle name="Cálculo 2 5 4 2 2" xfId="1760"/>
    <cellStyle name="Cálculo 2 5 4 3" xfId="1761"/>
    <cellStyle name="Cálculo 2 5 4 3 2" xfId="1762"/>
    <cellStyle name="Cálculo 2 5 4 4" xfId="1763"/>
    <cellStyle name="Cálculo 2 5 4 4 2" xfId="1764"/>
    <cellStyle name="Cálculo 2 5 4 5" xfId="1765"/>
    <cellStyle name="Cálculo 2 5 4 5 2" xfId="1766"/>
    <cellStyle name="Cálculo 2 5 4 6" xfId="1767"/>
    <cellStyle name="Cálculo 2 5 4 6 2" xfId="1768"/>
    <cellStyle name="Cálculo 2 5 4 7" xfId="1769"/>
    <cellStyle name="Cálculo 2 5 4 7 2" xfId="1770"/>
    <cellStyle name="Cálculo 2 5 4 8" xfId="1771"/>
    <cellStyle name="Cálculo 2 5 4 8 2" xfId="1772"/>
    <cellStyle name="Cálculo 2 5 4 9" xfId="1773"/>
    <cellStyle name="Cálculo 2 5 4 9 2" xfId="1774"/>
    <cellStyle name="Cálculo 2 5 5" xfId="1775"/>
    <cellStyle name="Cálculo 2 5 5 10" xfId="1776"/>
    <cellStyle name="Cálculo 2 5 5 10 2" xfId="1777"/>
    <cellStyle name="Cálculo 2 5 5 11" xfId="1778"/>
    <cellStyle name="Cálculo 2 5 5 2" xfId="1779"/>
    <cellStyle name="Cálculo 2 5 5 2 2" xfId="1780"/>
    <cellStyle name="Cálculo 2 5 5 3" xfId="1781"/>
    <cellStyle name="Cálculo 2 5 5 3 2" xfId="1782"/>
    <cellStyle name="Cálculo 2 5 5 4" xfId="1783"/>
    <cellStyle name="Cálculo 2 5 5 4 2" xfId="1784"/>
    <cellStyle name="Cálculo 2 5 5 5" xfId="1785"/>
    <cellStyle name="Cálculo 2 5 5 5 2" xfId="1786"/>
    <cellStyle name="Cálculo 2 5 5 6" xfId="1787"/>
    <cellStyle name="Cálculo 2 5 5 6 2" xfId="1788"/>
    <cellStyle name="Cálculo 2 5 5 7" xfId="1789"/>
    <cellStyle name="Cálculo 2 5 5 7 2" xfId="1790"/>
    <cellStyle name="Cálculo 2 5 5 8" xfId="1791"/>
    <cellStyle name="Cálculo 2 5 5 8 2" xfId="1792"/>
    <cellStyle name="Cálculo 2 5 5 9" xfId="1793"/>
    <cellStyle name="Cálculo 2 5 5 9 2" xfId="1794"/>
    <cellStyle name="Cálculo 2 5 6" xfId="1795"/>
    <cellStyle name="Cálculo 2 5 6 2" xfId="1796"/>
    <cellStyle name="Cálculo 2 5 7" xfId="1797"/>
    <cellStyle name="Cálculo 2 5 7 2" xfId="1798"/>
    <cellStyle name="Cálculo 2 5 8" xfId="1799"/>
    <cellStyle name="Cálculo 2 5 8 2" xfId="1800"/>
    <cellStyle name="Cálculo 2 5 9" xfId="1801"/>
    <cellStyle name="Cálculo 2 5 9 2" xfId="1802"/>
    <cellStyle name="Cálculo 2 6" xfId="1803"/>
    <cellStyle name="Cálculo 2 6 10" xfId="1804"/>
    <cellStyle name="Cálculo 2 6 10 2" xfId="1805"/>
    <cellStyle name="Cálculo 2 6 11" xfId="1806"/>
    <cellStyle name="Cálculo 2 6 11 2" xfId="1807"/>
    <cellStyle name="Cálculo 2 6 12" xfId="1808"/>
    <cellStyle name="Cálculo 2 6 12 2" xfId="1809"/>
    <cellStyle name="Cálculo 2 6 13" xfId="1810"/>
    <cellStyle name="Cálculo 2 6 13 2" xfId="1811"/>
    <cellStyle name="Cálculo 2 6 14" xfId="1812"/>
    <cellStyle name="Cálculo 2 6 14 2" xfId="1813"/>
    <cellStyle name="Cálculo 2 6 15" xfId="1814"/>
    <cellStyle name="Cálculo 2 6 2" xfId="1815"/>
    <cellStyle name="Cálculo 2 6 2 10" xfId="1816"/>
    <cellStyle name="Cálculo 2 6 2 10 2" xfId="1817"/>
    <cellStyle name="Cálculo 2 6 2 11" xfId="1818"/>
    <cellStyle name="Cálculo 2 6 2 11 2" xfId="1819"/>
    <cellStyle name="Cálculo 2 6 2 12" xfId="1820"/>
    <cellStyle name="Cálculo 2 6 2 12 2" xfId="1821"/>
    <cellStyle name="Cálculo 2 6 2 13" xfId="1822"/>
    <cellStyle name="Cálculo 2 6 2 2" xfId="1823"/>
    <cellStyle name="Cálculo 2 6 2 2 10" xfId="1824"/>
    <cellStyle name="Cálculo 2 6 2 2 10 2" xfId="1825"/>
    <cellStyle name="Cálculo 2 6 2 2 11" xfId="1826"/>
    <cellStyle name="Cálculo 2 6 2 2 2" xfId="1827"/>
    <cellStyle name="Cálculo 2 6 2 2 2 2" xfId="1828"/>
    <cellStyle name="Cálculo 2 6 2 2 3" xfId="1829"/>
    <cellStyle name="Cálculo 2 6 2 2 3 2" xfId="1830"/>
    <cellStyle name="Cálculo 2 6 2 2 4" xfId="1831"/>
    <cellStyle name="Cálculo 2 6 2 2 4 2" xfId="1832"/>
    <cellStyle name="Cálculo 2 6 2 2 5" xfId="1833"/>
    <cellStyle name="Cálculo 2 6 2 2 5 2" xfId="1834"/>
    <cellStyle name="Cálculo 2 6 2 2 6" xfId="1835"/>
    <cellStyle name="Cálculo 2 6 2 2 6 2" xfId="1836"/>
    <cellStyle name="Cálculo 2 6 2 2 7" xfId="1837"/>
    <cellStyle name="Cálculo 2 6 2 2 7 2" xfId="1838"/>
    <cellStyle name="Cálculo 2 6 2 2 8" xfId="1839"/>
    <cellStyle name="Cálculo 2 6 2 2 8 2" xfId="1840"/>
    <cellStyle name="Cálculo 2 6 2 2 9" xfId="1841"/>
    <cellStyle name="Cálculo 2 6 2 2 9 2" xfId="1842"/>
    <cellStyle name="Cálculo 2 6 2 3" xfId="1843"/>
    <cellStyle name="Cálculo 2 6 2 3 10" xfId="1844"/>
    <cellStyle name="Cálculo 2 6 2 3 10 2" xfId="1845"/>
    <cellStyle name="Cálculo 2 6 2 3 11" xfId="1846"/>
    <cellStyle name="Cálculo 2 6 2 3 2" xfId="1847"/>
    <cellStyle name="Cálculo 2 6 2 3 2 2" xfId="1848"/>
    <cellStyle name="Cálculo 2 6 2 3 3" xfId="1849"/>
    <cellStyle name="Cálculo 2 6 2 3 3 2" xfId="1850"/>
    <cellStyle name="Cálculo 2 6 2 3 4" xfId="1851"/>
    <cellStyle name="Cálculo 2 6 2 3 4 2" xfId="1852"/>
    <cellStyle name="Cálculo 2 6 2 3 5" xfId="1853"/>
    <cellStyle name="Cálculo 2 6 2 3 5 2" xfId="1854"/>
    <cellStyle name="Cálculo 2 6 2 3 6" xfId="1855"/>
    <cellStyle name="Cálculo 2 6 2 3 6 2" xfId="1856"/>
    <cellStyle name="Cálculo 2 6 2 3 7" xfId="1857"/>
    <cellStyle name="Cálculo 2 6 2 3 7 2" xfId="1858"/>
    <cellStyle name="Cálculo 2 6 2 3 8" xfId="1859"/>
    <cellStyle name="Cálculo 2 6 2 3 8 2" xfId="1860"/>
    <cellStyle name="Cálculo 2 6 2 3 9" xfId="1861"/>
    <cellStyle name="Cálculo 2 6 2 3 9 2" xfId="1862"/>
    <cellStyle name="Cálculo 2 6 2 4" xfId="1863"/>
    <cellStyle name="Cálculo 2 6 2 4 2" xfId="1864"/>
    <cellStyle name="Cálculo 2 6 2 5" xfId="1865"/>
    <cellStyle name="Cálculo 2 6 2 5 2" xfId="1866"/>
    <cellStyle name="Cálculo 2 6 2 6" xfId="1867"/>
    <cellStyle name="Cálculo 2 6 2 6 2" xfId="1868"/>
    <cellStyle name="Cálculo 2 6 2 7" xfId="1869"/>
    <cellStyle name="Cálculo 2 6 2 7 2" xfId="1870"/>
    <cellStyle name="Cálculo 2 6 2 8" xfId="1871"/>
    <cellStyle name="Cálculo 2 6 2 8 2" xfId="1872"/>
    <cellStyle name="Cálculo 2 6 2 9" xfId="1873"/>
    <cellStyle name="Cálculo 2 6 2 9 2" xfId="1874"/>
    <cellStyle name="Cálculo 2 6 3" xfId="1875"/>
    <cellStyle name="Cálculo 2 6 3 10" xfId="1876"/>
    <cellStyle name="Cálculo 2 6 3 10 2" xfId="1877"/>
    <cellStyle name="Cálculo 2 6 3 11" xfId="1878"/>
    <cellStyle name="Cálculo 2 6 3 11 2" xfId="1879"/>
    <cellStyle name="Cálculo 2 6 3 12" xfId="1880"/>
    <cellStyle name="Cálculo 2 6 3 12 2" xfId="1881"/>
    <cellStyle name="Cálculo 2 6 3 13" xfId="1882"/>
    <cellStyle name="Cálculo 2 6 3 2" xfId="1883"/>
    <cellStyle name="Cálculo 2 6 3 2 10" xfId="1884"/>
    <cellStyle name="Cálculo 2 6 3 2 10 2" xfId="1885"/>
    <cellStyle name="Cálculo 2 6 3 2 11" xfId="1886"/>
    <cellStyle name="Cálculo 2 6 3 2 2" xfId="1887"/>
    <cellStyle name="Cálculo 2 6 3 2 2 2" xfId="1888"/>
    <cellStyle name="Cálculo 2 6 3 2 3" xfId="1889"/>
    <cellStyle name="Cálculo 2 6 3 2 3 2" xfId="1890"/>
    <cellStyle name="Cálculo 2 6 3 2 4" xfId="1891"/>
    <cellStyle name="Cálculo 2 6 3 2 4 2" xfId="1892"/>
    <cellStyle name="Cálculo 2 6 3 2 5" xfId="1893"/>
    <cellStyle name="Cálculo 2 6 3 2 5 2" xfId="1894"/>
    <cellStyle name="Cálculo 2 6 3 2 6" xfId="1895"/>
    <cellStyle name="Cálculo 2 6 3 2 6 2" xfId="1896"/>
    <cellStyle name="Cálculo 2 6 3 2 7" xfId="1897"/>
    <cellStyle name="Cálculo 2 6 3 2 7 2" xfId="1898"/>
    <cellStyle name="Cálculo 2 6 3 2 8" xfId="1899"/>
    <cellStyle name="Cálculo 2 6 3 2 8 2" xfId="1900"/>
    <cellStyle name="Cálculo 2 6 3 2 9" xfId="1901"/>
    <cellStyle name="Cálculo 2 6 3 2 9 2" xfId="1902"/>
    <cellStyle name="Cálculo 2 6 3 3" xfId="1903"/>
    <cellStyle name="Cálculo 2 6 3 3 10" xfId="1904"/>
    <cellStyle name="Cálculo 2 6 3 3 10 2" xfId="1905"/>
    <cellStyle name="Cálculo 2 6 3 3 11" xfId="1906"/>
    <cellStyle name="Cálculo 2 6 3 3 2" xfId="1907"/>
    <cellStyle name="Cálculo 2 6 3 3 2 2" xfId="1908"/>
    <cellStyle name="Cálculo 2 6 3 3 3" xfId="1909"/>
    <cellStyle name="Cálculo 2 6 3 3 3 2" xfId="1910"/>
    <cellStyle name="Cálculo 2 6 3 3 4" xfId="1911"/>
    <cellStyle name="Cálculo 2 6 3 3 4 2" xfId="1912"/>
    <cellStyle name="Cálculo 2 6 3 3 5" xfId="1913"/>
    <cellStyle name="Cálculo 2 6 3 3 5 2" xfId="1914"/>
    <cellStyle name="Cálculo 2 6 3 3 6" xfId="1915"/>
    <cellStyle name="Cálculo 2 6 3 3 6 2" xfId="1916"/>
    <cellStyle name="Cálculo 2 6 3 3 7" xfId="1917"/>
    <cellStyle name="Cálculo 2 6 3 3 7 2" xfId="1918"/>
    <cellStyle name="Cálculo 2 6 3 3 8" xfId="1919"/>
    <cellStyle name="Cálculo 2 6 3 3 8 2" xfId="1920"/>
    <cellStyle name="Cálculo 2 6 3 3 9" xfId="1921"/>
    <cellStyle name="Cálculo 2 6 3 3 9 2" xfId="1922"/>
    <cellStyle name="Cálculo 2 6 3 4" xfId="1923"/>
    <cellStyle name="Cálculo 2 6 3 4 2" xfId="1924"/>
    <cellStyle name="Cálculo 2 6 3 5" xfId="1925"/>
    <cellStyle name="Cálculo 2 6 3 5 2" xfId="1926"/>
    <cellStyle name="Cálculo 2 6 3 6" xfId="1927"/>
    <cellStyle name="Cálculo 2 6 3 6 2" xfId="1928"/>
    <cellStyle name="Cálculo 2 6 3 7" xfId="1929"/>
    <cellStyle name="Cálculo 2 6 3 7 2" xfId="1930"/>
    <cellStyle name="Cálculo 2 6 3 8" xfId="1931"/>
    <cellStyle name="Cálculo 2 6 3 8 2" xfId="1932"/>
    <cellStyle name="Cálculo 2 6 3 9" xfId="1933"/>
    <cellStyle name="Cálculo 2 6 3 9 2" xfId="1934"/>
    <cellStyle name="Cálculo 2 6 4" xfId="1935"/>
    <cellStyle name="Cálculo 2 6 4 10" xfId="1936"/>
    <cellStyle name="Cálculo 2 6 4 10 2" xfId="1937"/>
    <cellStyle name="Cálculo 2 6 4 11" xfId="1938"/>
    <cellStyle name="Cálculo 2 6 4 2" xfId="1939"/>
    <cellStyle name="Cálculo 2 6 4 2 2" xfId="1940"/>
    <cellStyle name="Cálculo 2 6 4 3" xfId="1941"/>
    <cellStyle name="Cálculo 2 6 4 3 2" xfId="1942"/>
    <cellStyle name="Cálculo 2 6 4 4" xfId="1943"/>
    <cellStyle name="Cálculo 2 6 4 4 2" xfId="1944"/>
    <cellStyle name="Cálculo 2 6 4 5" xfId="1945"/>
    <cellStyle name="Cálculo 2 6 4 5 2" xfId="1946"/>
    <cellStyle name="Cálculo 2 6 4 6" xfId="1947"/>
    <cellStyle name="Cálculo 2 6 4 6 2" xfId="1948"/>
    <cellStyle name="Cálculo 2 6 4 7" xfId="1949"/>
    <cellStyle name="Cálculo 2 6 4 7 2" xfId="1950"/>
    <cellStyle name="Cálculo 2 6 4 8" xfId="1951"/>
    <cellStyle name="Cálculo 2 6 4 8 2" xfId="1952"/>
    <cellStyle name="Cálculo 2 6 4 9" xfId="1953"/>
    <cellStyle name="Cálculo 2 6 4 9 2" xfId="1954"/>
    <cellStyle name="Cálculo 2 6 5" xfId="1955"/>
    <cellStyle name="Cálculo 2 6 5 10" xfId="1956"/>
    <cellStyle name="Cálculo 2 6 5 10 2" xfId="1957"/>
    <cellStyle name="Cálculo 2 6 5 11" xfId="1958"/>
    <cellStyle name="Cálculo 2 6 5 2" xfId="1959"/>
    <cellStyle name="Cálculo 2 6 5 2 2" xfId="1960"/>
    <cellStyle name="Cálculo 2 6 5 3" xfId="1961"/>
    <cellStyle name="Cálculo 2 6 5 3 2" xfId="1962"/>
    <cellStyle name="Cálculo 2 6 5 4" xfId="1963"/>
    <cellStyle name="Cálculo 2 6 5 4 2" xfId="1964"/>
    <cellStyle name="Cálculo 2 6 5 5" xfId="1965"/>
    <cellStyle name="Cálculo 2 6 5 5 2" xfId="1966"/>
    <cellStyle name="Cálculo 2 6 5 6" xfId="1967"/>
    <cellStyle name="Cálculo 2 6 5 6 2" xfId="1968"/>
    <cellStyle name="Cálculo 2 6 5 7" xfId="1969"/>
    <cellStyle name="Cálculo 2 6 5 7 2" xfId="1970"/>
    <cellStyle name="Cálculo 2 6 5 8" xfId="1971"/>
    <cellStyle name="Cálculo 2 6 5 8 2" xfId="1972"/>
    <cellStyle name="Cálculo 2 6 5 9" xfId="1973"/>
    <cellStyle name="Cálculo 2 6 5 9 2" xfId="1974"/>
    <cellStyle name="Cálculo 2 6 6" xfId="1975"/>
    <cellStyle name="Cálculo 2 6 6 2" xfId="1976"/>
    <cellStyle name="Cálculo 2 6 7" xfId="1977"/>
    <cellStyle name="Cálculo 2 6 7 2" xfId="1978"/>
    <cellStyle name="Cálculo 2 6 8" xfId="1979"/>
    <cellStyle name="Cálculo 2 6 8 2" xfId="1980"/>
    <cellStyle name="Cálculo 2 6 9" xfId="1981"/>
    <cellStyle name="Cálculo 2 6 9 2" xfId="1982"/>
    <cellStyle name="Cálculo 2 7" xfId="1983"/>
    <cellStyle name="Cálculo 2 7 10" xfId="1984"/>
    <cellStyle name="Cálculo 2 7 10 2" xfId="1985"/>
    <cellStyle name="Cálculo 2 7 11" xfId="1986"/>
    <cellStyle name="Cálculo 2 7 11 2" xfId="1987"/>
    <cellStyle name="Cálculo 2 7 12" xfId="1988"/>
    <cellStyle name="Cálculo 2 7 12 2" xfId="1989"/>
    <cellStyle name="Cálculo 2 7 13" xfId="1990"/>
    <cellStyle name="Cálculo 2 7 2" xfId="1991"/>
    <cellStyle name="Cálculo 2 7 2 10" xfId="1992"/>
    <cellStyle name="Cálculo 2 7 2 10 2" xfId="1993"/>
    <cellStyle name="Cálculo 2 7 2 11" xfId="1994"/>
    <cellStyle name="Cálculo 2 7 2 2" xfId="1995"/>
    <cellStyle name="Cálculo 2 7 2 2 2" xfId="1996"/>
    <cellStyle name="Cálculo 2 7 2 3" xfId="1997"/>
    <cellStyle name="Cálculo 2 7 2 3 2" xfId="1998"/>
    <cellStyle name="Cálculo 2 7 2 4" xfId="1999"/>
    <cellStyle name="Cálculo 2 7 2 4 2" xfId="2000"/>
    <cellStyle name="Cálculo 2 7 2 5" xfId="2001"/>
    <cellStyle name="Cálculo 2 7 2 5 2" xfId="2002"/>
    <cellStyle name="Cálculo 2 7 2 6" xfId="2003"/>
    <cellStyle name="Cálculo 2 7 2 6 2" xfId="2004"/>
    <cellStyle name="Cálculo 2 7 2 7" xfId="2005"/>
    <cellStyle name="Cálculo 2 7 2 7 2" xfId="2006"/>
    <cellStyle name="Cálculo 2 7 2 8" xfId="2007"/>
    <cellStyle name="Cálculo 2 7 2 8 2" xfId="2008"/>
    <cellStyle name="Cálculo 2 7 2 9" xfId="2009"/>
    <cellStyle name="Cálculo 2 7 2 9 2" xfId="2010"/>
    <cellStyle name="Cálculo 2 7 3" xfId="2011"/>
    <cellStyle name="Cálculo 2 7 3 10" xfId="2012"/>
    <cellStyle name="Cálculo 2 7 3 10 2" xfId="2013"/>
    <cellStyle name="Cálculo 2 7 3 11" xfId="2014"/>
    <cellStyle name="Cálculo 2 7 3 2" xfId="2015"/>
    <cellStyle name="Cálculo 2 7 3 2 2" xfId="2016"/>
    <cellStyle name="Cálculo 2 7 3 3" xfId="2017"/>
    <cellStyle name="Cálculo 2 7 3 3 2" xfId="2018"/>
    <cellStyle name="Cálculo 2 7 3 4" xfId="2019"/>
    <cellStyle name="Cálculo 2 7 3 4 2" xfId="2020"/>
    <cellStyle name="Cálculo 2 7 3 5" xfId="2021"/>
    <cellStyle name="Cálculo 2 7 3 5 2" xfId="2022"/>
    <cellStyle name="Cálculo 2 7 3 6" xfId="2023"/>
    <cellStyle name="Cálculo 2 7 3 6 2" xfId="2024"/>
    <cellStyle name="Cálculo 2 7 3 7" xfId="2025"/>
    <cellStyle name="Cálculo 2 7 3 7 2" xfId="2026"/>
    <cellStyle name="Cálculo 2 7 3 8" xfId="2027"/>
    <cellStyle name="Cálculo 2 7 3 8 2" xfId="2028"/>
    <cellStyle name="Cálculo 2 7 3 9" xfId="2029"/>
    <cellStyle name="Cálculo 2 7 3 9 2" xfId="2030"/>
    <cellStyle name="Cálculo 2 7 4" xfId="2031"/>
    <cellStyle name="Cálculo 2 7 4 2" xfId="2032"/>
    <cellStyle name="Cálculo 2 7 5" xfId="2033"/>
    <cellStyle name="Cálculo 2 7 5 2" xfId="2034"/>
    <cellStyle name="Cálculo 2 7 6" xfId="2035"/>
    <cellStyle name="Cálculo 2 7 6 2" xfId="2036"/>
    <cellStyle name="Cálculo 2 7 7" xfId="2037"/>
    <cellStyle name="Cálculo 2 7 7 2" xfId="2038"/>
    <cellStyle name="Cálculo 2 7 8" xfId="2039"/>
    <cellStyle name="Cálculo 2 7 8 2" xfId="2040"/>
    <cellStyle name="Cálculo 2 7 9" xfId="2041"/>
    <cellStyle name="Cálculo 2 7 9 2" xfId="2042"/>
    <cellStyle name="Cálculo 2 8" xfId="2043"/>
    <cellStyle name="Cálculo 2 8 10" xfId="2044"/>
    <cellStyle name="Cálculo 2 8 10 2" xfId="2045"/>
    <cellStyle name="Cálculo 2 8 11" xfId="2046"/>
    <cellStyle name="Cálculo 2 8 11 2" xfId="2047"/>
    <cellStyle name="Cálculo 2 8 12" xfId="2048"/>
    <cellStyle name="Cálculo 2 8 12 2" xfId="2049"/>
    <cellStyle name="Cálculo 2 8 13" xfId="2050"/>
    <cellStyle name="Cálculo 2 8 2" xfId="2051"/>
    <cellStyle name="Cálculo 2 8 2 10" xfId="2052"/>
    <cellStyle name="Cálculo 2 8 2 10 2" xfId="2053"/>
    <cellStyle name="Cálculo 2 8 2 11" xfId="2054"/>
    <cellStyle name="Cálculo 2 8 2 2" xfId="2055"/>
    <cellStyle name="Cálculo 2 8 2 2 2" xfId="2056"/>
    <cellStyle name="Cálculo 2 8 2 3" xfId="2057"/>
    <cellStyle name="Cálculo 2 8 2 3 2" xfId="2058"/>
    <cellStyle name="Cálculo 2 8 2 4" xfId="2059"/>
    <cellStyle name="Cálculo 2 8 2 4 2" xfId="2060"/>
    <cellStyle name="Cálculo 2 8 2 5" xfId="2061"/>
    <cellStyle name="Cálculo 2 8 2 5 2" xfId="2062"/>
    <cellStyle name="Cálculo 2 8 2 6" xfId="2063"/>
    <cellStyle name="Cálculo 2 8 2 6 2" xfId="2064"/>
    <cellStyle name="Cálculo 2 8 2 7" xfId="2065"/>
    <cellStyle name="Cálculo 2 8 2 7 2" xfId="2066"/>
    <cellStyle name="Cálculo 2 8 2 8" xfId="2067"/>
    <cellStyle name="Cálculo 2 8 2 8 2" xfId="2068"/>
    <cellStyle name="Cálculo 2 8 2 9" xfId="2069"/>
    <cellStyle name="Cálculo 2 8 2 9 2" xfId="2070"/>
    <cellStyle name="Cálculo 2 8 3" xfId="2071"/>
    <cellStyle name="Cálculo 2 8 3 10" xfId="2072"/>
    <cellStyle name="Cálculo 2 8 3 10 2" xfId="2073"/>
    <cellStyle name="Cálculo 2 8 3 11" xfId="2074"/>
    <cellStyle name="Cálculo 2 8 3 2" xfId="2075"/>
    <cellStyle name="Cálculo 2 8 3 2 2" xfId="2076"/>
    <cellStyle name="Cálculo 2 8 3 3" xfId="2077"/>
    <cellStyle name="Cálculo 2 8 3 3 2" xfId="2078"/>
    <cellStyle name="Cálculo 2 8 3 4" xfId="2079"/>
    <cellStyle name="Cálculo 2 8 3 4 2" xfId="2080"/>
    <cellStyle name="Cálculo 2 8 3 5" xfId="2081"/>
    <cellStyle name="Cálculo 2 8 3 5 2" xfId="2082"/>
    <cellStyle name="Cálculo 2 8 3 6" xfId="2083"/>
    <cellStyle name="Cálculo 2 8 3 6 2" xfId="2084"/>
    <cellStyle name="Cálculo 2 8 3 7" xfId="2085"/>
    <cellStyle name="Cálculo 2 8 3 7 2" xfId="2086"/>
    <cellStyle name="Cálculo 2 8 3 8" xfId="2087"/>
    <cellStyle name="Cálculo 2 8 3 8 2" xfId="2088"/>
    <cellStyle name="Cálculo 2 8 3 9" xfId="2089"/>
    <cellStyle name="Cálculo 2 8 3 9 2" xfId="2090"/>
    <cellStyle name="Cálculo 2 8 4" xfId="2091"/>
    <cellStyle name="Cálculo 2 8 4 2" xfId="2092"/>
    <cellStyle name="Cálculo 2 8 5" xfId="2093"/>
    <cellStyle name="Cálculo 2 8 5 2" xfId="2094"/>
    <cellStyle name="Cálculo 2 8 6" xfId="2095"/>
    <cellStyle name="Cálculo 2 8 6 2" xfId="2096"/>
    <cellStyle name="Cálculo 2 8 7" xfId="2097"/>
    <cellStyle name="Cálculo 2 8 7 2" xfId="2098"/>
    <cellStyle name="Cálculo 2 8 8" xfId="2099"/>
    <cellStyle name="Cálculo 2 8 8 2" xfId="2100"/>
    <cellStyle name="Cálculo 2 8 9" xfId="2101"/>
    <cellStyle name="Cálculo 2 8 9 2" xfId="2102"/>
    <cellStyle name="Cálculo 2 9" xfId="2103"/>
    <cellStyle name="Cálculo 2 9 2" xfId="2104"/>
    <cellStyle name="Cálculo 3" xfId="117"/>
    <cellStyle name="Cálculo 3 10" xfId="2105"/>
    <cellStyle name="Cálculo 3 10 2" xfId="2106"/>
    <cellStyle name="Cálculo 3 11" xfId="2107"/>
    <cellStyle name="Cálculo 3 11 2" xfId="2108"/>
    <cellStyle name="Cálculo 3 12" xfId="2109"/>
    <cellStyle name="Cálculo 3 12 2" xfId="2110"/>
    <cellStyle name="Cálculo 3 13" xfId="2111"/>
    <cellStyle name="Cálculo 3 13 2" xfId="2112"/>
    <cellStyle name="Cálculo 3 14" xfId="2113"/>
    <cellStyle name="Cálculo 3 14 2" xfId="2114"/>
    <cellStyle name="Cálculo 3 15" xfId="2115"/>
    <cellStyle name="Cálculo 3 16" xfId="2116"/>
    <cellStyle name="Cálculo 3 17" xfId="2117"/>
    <cellStyle name="Cálculo 3 2" xfId="287"/>
    <cellStyle name="Cálculo 3 2 10" xfId="2118"/>
    <cellStyle name="Cálculo 3 2 10 2" xfId="2119"/>
    <cellStyle name="Cálculo 3 2 11" xfId="2120"/>
    <cellStyle name="Cálculo 3 2 11 2" xfId="2121"/>
    <cellStyle name="Cálculo 3 2 12" xfId="2122"/>
    <cellStyle name="Cálculo 3 2 12 2" xfId="2123"/>
    <cellStyle name="Cálculo 3 2 13" xfId="2124"/>
    <cellStyle name="Cálculo 3 2 13 2" xfId="2125"/>
    <cellStyle name="Cálculo 3 2 14" xfId="2126"/>
    <cellStyle name="Cálculo 3 2 14 2" xfId="2127"/>
    <cellStyle name="Cálculo 3 2 15" xfId="2128"/>
    <cellStyle name="Cálculo 3 2 16" xfId="2129"/>
    <cellStyle name="Cálculo 3 2 2" xfId="2130"/>
    <cellStyle name="Cálculo 3 2 2 10" xfId="2131"/>
    <cellStyle name="Cálculo 3 2 2 10 2" xfId="2132"/>
    <cellStyle name="Cálculo 3 2 2 11" xfId="2133"/>
    <cellStyle name="Cálculo 3 2 2 11 2" xfId="2134"/>
    <cellStyle name="Cálculo 3 2 2 12" xfId="2135"/>
    <cellStyle name="Cálculo 3 2 2 12 2" xfId="2136"/>
    <cellStyle name="Cálculo 3 2 2 13" xfId="2137"/>
    <cellStyle name="Cálculo 3 2 2 2" xfId="2138"/>
    <cellStyle name="Cálculo 3 2 2 2 10" xfId="2139"/>
    <cellStyle name="Cálculo 3 2 2 2 10 2" xfId="2140"/>
    <cellStyle name="Cálculo 3 2 2 2 11" xfId="2141"/>
    <cellStyle name="Cálculo 3 2 2 2 2" xfId="2142"/>
    <cellStyle name="Cálculo 3 2 2 2 2 2" xfId="2143"/>
    <cellStyle name="Cálculo 3 2 2 2 3" xfId="2144"/>
    <cellStyle name="Cálculo 3 2 2 2 3 2" xfId="2145"/>
    <cellStyle name="Cálculo 3 2 2 2 4" xfId="2146"/>
    <cellStyle name="Cálculo 3 2 2 2 4 2" xfId="2147"/>
    <cellStyle name="Cálculo 3 2 2 2 5" xfId="2148"/>
    <cellStyle name="Cálculo 3 2 2 2 5 2" xfId="2149"/>
    <cellStyle name="Cálculo 3 2 2 2 6" xfId="2150"/>
    <cellStyle name="Cálculo 3 2 2 2 6 2" xfId="2151"/>
    <cellStyle name="Cálculo 3 2 2 2 7" xfId="2152"/>
    <cellStyle name="Cálculo 3 2 2 2 7 2" xfId="2153"/>
    <cellStyle name="Cálculo 3 2 2 2 8" xfId="2154"/>
    <cellStyle name="Cálculo 3 2 2 2 8 2" xfId="2155"/>
    <cellStyle name="Cálculo 3 2 2 2 9" xfId="2156"/>
    <cellStyle name="Cálculo 3 2 2 2 9 2" xfId="2157"/>
    <cellStyle name="Cálculo 3 2 2 3" xfId="2158"/>
    <cellStyle name="Cálculo 3 2 2 3 10" xfId="2159"/>
    <cellStyle name="Cálculo 3 2 2 3 10 2" xfId="2160"/>
    <cellStyle name="Cálculo 3 2 2 3 11" xfId="2161"/>
    <cellStyle name="Cálculo 3 2 2 3 2" xfId="2162"/>
    <cellStyle name="Cálculo 3 2 2 3 2 2" xfId="2163"/>
    <cellStyle name="Cálculo 3 2 2 3 3" xfId="2164"/>
    <cellStyle name="Cálculo 3 2 2 3 3 2" xfId="2165"/>
    <cellStyle name="Cálculo 3 2 2 3 4" xfId="2166"/>
    <cellStyle name="Cálculo 3 2 2 3 4 2" xfId="2167"/>
    <cellStyle name="Cálculo 3 2 2 3 5" xfId="2168"/>
    <cellStyle name="Cálculo 3 2 2 3 5 2" xfId="2169"/>
    <cellStyle name="Cálculo 3 2 2 3 6" xfId="2170"/>
    <cellStyle name="Cálculo 3 2 2 3 6 2" xfId="2171"/>
    <cellStyle name="Cálculo 3 2 2 3 7" xfId="2172"/>
    <cellStyle name="Cálculo 3 2 2 3 7 2" xfId="2173"/>
    <cellStyle name="Cálculo 3 2 2 3 8" xfId="2174"/>
    <cellStyle name="Cálculo 3 2 2 3 8 2" xfId="2175"/>
    <cellStyle name="Cálculo 3 2 2 3 9" xfId="2176"/>
    <cellStyle name="Cálculo 3 2 2 3 9 2" xfId="2177"/>
    <cellStyle name="Cálculo 3 2 2 4" xfId="2178"/>
    <cellStyle name="Cálculo 3 2 2 4 2" xfId="2179"/>
    <cellStyle name="Cálculo 3 2 2 5" xfId="2180"/>
    <cellStyle name="Cálculo 3 2 2 5 2" xfId="2181"/>
    <cellStyle name="Cálculo 3 2 2 6" xfId="2182"/>
    <cellStyle name="Cálculo 3 2 2 6 2" xfId="2183"/>
    <cellStyle name="Cálculo 3 2 2 7" xfId="2184"/>
    <cellStyle name="Cálculo 3 2 2 7 2" xfId="2185"/>
    <cellStyle name="Cálculo 3 2 2 8" xfId="2186"/>
    <cellStyle name="Cálculo 3 2 2 8 2" xfId="2187"/>
    <cellStyle name="Cálculo 3 2 2 9" xfId="2188"/>
    <cellStyle name="Cálculo 3 2 2 9 2" xfId="2189"/>
    <cellStyle name="Cálculo 3 2 3" xfId="2190"/>
    <cellStyle name="Cálculo 3 2 3 10" xfId="2191"/>
    <cellStyle name="Cálculo 3 2 3 10 2" xfId="2192"/>
    <cellStyle name="Cálculo 3 2 3 11" xfId="2193"/>
    <cellStyle name="Cálculo 3 2 3 11 2" xfId="2194"/>
    <cellStyle name="Cálculo 3 2 3 12" xfId="2195"/>
    <cellStyle name="Cálculo 3 2 3 12 2" xfId="2196"/>
    <cellStyle name="Cálculo 3 2 3 13" xfId="2197"/>
    <cellStyle name="Cálculo 3 2 3 2" xfId="2198"/>
    <cellStyle name="Cálculo 3 2 3 2 10" xfId="2199"/>
    <cellStyle name="Cálculo 3 2 3 2 10 2" xfId="2200"/>
    <cellStyle name="Cálculo 3 2 3 2 11" xfId="2201"/>
    <cellStyle name="Cálculo 3 2 3 2 2" xfId="2202"/>
    <cellStyle name="Cálculo 3 2 3 2 2 2" xfId="2203"/>
    <cellStyle name="Cálculo 3 2 3 2 3" xfId="2204"/>
    <cellStyle name="Cálculo 3 2 3 2 3 2" xfId="2205"/>
    <cellStyle name="Cálculo 3 2 3 2 4" xfId="2206"/>
    <cellStyle name="Cálculo 3 2 3 2 4 2" xfId="2207"/>
    <cellStyle name="Cálculo 3 2 3 2 5" xfId="2208"/>
    <cellStyle name="Cálculo 3 2 3 2 5 2" xfId="2209"/>
    <cellStyle name="Cálculo 3 2 3 2 6" xfId="2210"/>
    <cellStyle name="Cálculo 3 2 3 2 6 2" xfId="2211"/>
    <cellStyle name="Cálculo 3 2 3 2 7" xfId="2212"/>
    <cellStyle name="Cálculo 3 2 3 2 7 2" xfId="2213"/>
    <cellStyle name="Cálculo 3 2 3 2 8" xfId="2214"/>
    <cellStyle name="Cálculo 3 2 3 2 8 2" xfId="2215"/>
    <cellStyle name="Cálculo 3 2 3 2 9" xfId="2216"/>
    <cellStyle name="Cálculo 3 2 3 2 9 2" xfId="2217"/>
    <cellStyle name="Cálculo 3 2 3 3" xfId="2218"/>
    <cellStyle name="Cálculo 3 2 3 3 10" xfId="2219"/>
    <cellStyle name="Cálculo 3 2 3 3 10 2" xfId="2220"/>
    <cellStyle name="Cálculo 3 2 3 3 11" xfId="2221"/>
    <cellStyle name="Cálculo 3 2 3 3 2" xfId="2222"/>
    <cellStyle name="Cálculo 3 2 3 3 2 2" xfId="2223"/>
    <cellStyle name="Cálculo 3 2 3 3 3" xfId="2224"/>
    <cellStyle name="Cálculo 3 2 3 3 3 2" xfId="2225"/>
    <cellStyle name="Cálculo 3 2 3 3 4" xfId="2226"/>
    <cellStyle name="Cálculo 3 2 3 3 4 2" xfId="2227"/>
    <cellStyle name="Cálculo 3 2 3 3 5" xfId="2228"/>
    <cellStyle name="Cálculo 3 2 3 3 5 2" xfId="2229"/>
    <cellStyle name="Cálculo 3 2 3 3 6" xfId="2230"/>
    <cellStyle name="Cálculo 3 2 3 3 6 2" xfId="2231"/>
    <cellStyle name="Cálculo 3 2 3 3 7" xfId="2232"/>
    <cellStyle name="Cálculo 3 2 3 3 7 2" xfId="2233"/>
    <cellStyle name="Cálculo 3 2 3 3 8" xfId="2234"/>
    <cellStyle name="Cálculo 3 2 3 3 8 2" xfId="2235"/>
    <cellStyle name="Cálculo 3 2 3 3 9" xfId="2236"/>
    <cellStyle name="Cálculo 3 2 3 3 9 2" xfId="2237"/>
    <cellStyle name="Cálculo 3 2 3 4" xfId="2238"/>
    <cellStyle name="Cálculo 3 2 3 4 2" xfId="2239"/>
    <cellStyle name="Cálculo 3 2 3 5" xfId="2240"/>
    <cellStyle name="Cálculo 3 2 3 5 2" xfId="2241"/>
    <cellStyle name="Cálculo 3 2 3 6" xfId="2242"/>
    <cellStyle name="Cálculo 3 2 3 6 2" xfId="2243"/>
    <cellStyle name="Cálculo 3 2 3 7" xfId="2244"/>
    <cellStyle name="Cálculo 3 2 3 7 2" xfId="2245"/>
    <cellStyle name="Cálculo 3 2 3 8" xfId="2246"/>
    <cellStyle name="Cálculo 3 2 3 8 2" xfId="2247"/>
    <cellStyle name="Cálculo 3 2 3 9" xfId="2248"/>
    <cellStyle name="Cálculo 3 2 3 9 2" xfId="2249"/>
    <cellStyle name="Cálculo 3 2 4" xfId="2250"/>
    <cellStyle name="Cálculo 3 2 4 10" xfId="2251"/>
    <cellStyle name="Cálculo 3 2 4 10 2" xfId="2252"/>
    <cellStyle name="Cálculo 3 2 4 11" xfId="2253"/>
    <cellStyle name="Cálculo 3 2 4 2" xfId="2254"/>
    <cellStyle name="Cálculo 3 2 4 2 2" xfId="2255"/>
    <cellStyle name="Cálculo 3 2 4 3" xfId="2256"/>
    <cellStyle name="Cálculo 3 2 4 3 2" xfId="2257"/>
    <cellStyle name="Cálculo 3 2 4 4" xfId="2258"/>
    <cellStyle name="Cálculo 3 2 4 4 2" xfId="2259"/>
    <cellStyle name="Cálculo 3 2 4 5" xfId="2260"/>
    <cellStyle name="Cálculo 3 2 4 5 2" xfId="2261"/>
    <cellStyle name="Cálculo 3 2 4 6" xfId="2262"/>
    <cellStyle name="Cálculo 3 2 4 6 2" xfId="2263"/>
    <cellStyle name="Cálculo 3 2 4 7" xfId="2264"/>
    <cellStyle name="Cálculo 3 2 4 7 2" xfId="2265"/>
    <cellStyle name="Cálculo 3 2 4 8" xfId="2266"/>
    <cellStyle name="Cálculo 3 2 4 8 2" xfId="2267"/>
    <cellStyle name="Cálculo 3 2 4 9" xfId="2268"/>
    <cellStyle name="Cálculo 3 2 4 9 2" xfId="2269"/>
    <cellStyle name="Cálculo 3 2 5" xfId="2270"/>
    <cellStyle name="Cálculo 3 2 5 10" xfId="2271"/>
    <cellStyle name="Cálculo 3 2 5 10 2" xfId="2272"/>
    <cellStyle name="Cálculo 3 2 5 11" xfId="2273"/>
    <cellStyle name="Cálculo 3 2 5 2" xfId="2274"/>
    <cellStyle name="Cálculo 3 2 5 2 2" xfId="2275"/>
    <cellStyle name="Cálculo 3 2 5 3" xfId="2276"/>
    <cellStyle name="Cálculo 3 2 5 3 2" xfId="2277"/>
    <cellStyle name="Cálculo 3 2 5 4" xfId="2278"/>
    <cellStyle name="Cálculo 3 2 5 4 2" xfId="2279"/>
    <cellStyle name="Cálculo 3 2 5 5" xfId="2280"/>
    <cellStyle name="Cálculo 3 2 5 5 2" xfId="2281"/>
    <cellStyle name="Cálculo 3 2 5 6" xfId="2282"/>
    <cellStyle name="Cálculo 3 2 5 6 2" xfId="2283"/>
    <cellStyle name="Cálculo 3 2 5 7" xfId="2284"/>
    <cellStyle name="Cálculo 3 2 5 7 2" xfId="2285"/>
    <cellStyle name="Cálculo 3 2 5 8" xfId="2286"/>
    <cellStyle name="Cálculo 3 2 5 8 2" xfId="2287"/>
    <cellStyle name="Cálculo 3 2 5 9" xfId="2288"/>
    <cellStyle name="Cálculo 3 2 5 9 2" xfId="2289"/>
    <cellStyle name="Cálculo 3 2 6" xfId="2290"/>
    <cellStyle name="Cálculo 3 2 6 2" xfId="2291"/>
    <cellStyle name="Cálculo 3 2 7" xfId="2292"/>
    <cellStyle name="Cálculo 3 2 7 2" xfId="2293"/>
    <cellStyle name="Cálculo 3 2 8" xfId="2294"/>
    <cellStyle name="Cálculo 3 2 8 2" xfId="2295"/>
    <cellStyle name="Cálculo 3 2 9" xfId="2296"/>
    <cellStyle name="Cálculo 3 2 9 2" xfId="2297"/>
    <cellStyle name="Cálculo 3 3" xfId="289"/>
    <cellStyle name="Cálculo 3 3 10" xfId="2298"/>
    <cellStyle name="Cálculo 3 3 10 2" xfId="2299"/>
    <cellStyle name="Cálculo 3 3 11" xfId="2300"/>
    <cellStyle name="Cálculo 3 3 11 2" xfId="2301"/>
    <cellStyle name="Cálculo 3 3 12" xfId="2302"/>
    <cellStyle name="Cálculo 3 3 12 2" xfId="2303"/>
    <cellStyle name="Cálculo 3 3 13" xfId="2304"/>
    <cellStyle name="Cálculo 3 3 13 2" xfId="2305"/>
    <cellStyle name="Cálculo 3 3 14" xfId="2306"/>
    <cellStyle name="Cálculo 3 3 14 2" xfId="2307"/>
    <cellStyle name="Cálculo 3 3 15" xfId="2308"/>
    <cellStyle name="Cálculo 3 3 2" xfId="2309"/>
    <cellStyle name="Cálculo 3 3 2 10" xfId="2310"/>
    <cellStyle name="Cálculo 3 3 2 10 2" xfId="2311"/>
    <cellStyle name="Cálculo 3 3 2 11" xfId="2312"/>
    <cellStyle name="Cálculo 3 3 2 11 2" xfId="2313"/>
    <cellStyle name="Cálculo 3 3 2 12" xfId="2314"/>
    <cellStyle name="Cálculo 3 3 2 12 2" xfId="2315"/>
    <cellStyle name="Cálculo 3 3 2 13" xfId="2316"/>
    <cellStyle name="Cálculo 3 3 2 2" xfId="2317"/>
    <cellStyle name="Cálculo 3 3 2 2 10" xfId="2318"/>
    <cellStyle name="Cálculo 3 3 2 2 10 2" xfId="2319"/>
    <cellStyle name="Cálculo 3 3 2 2 11" xfId="2320"/>
    <cellStyle name="Cálculo 3 3 2 2 2" xfId="2321"/>
    <cellStyle name="Cálculo 3 3 2 2 2 2" xfId="2322"/>
    <cellStyle name="Cálculo 3 3 2 2 3" xfId="2323"/>
    <cellStyle name="Cálculo 3 3 2 2 3 2" xfId="2324"/>
    <cellStyle name="Cálculo 3 3 2 2 4" xfId="2325"/>
    <cellStyle name="Cálculo 3 3 2 2 4 2" xfId="2326"/>
    <cellStyle name="Cálculo 3 3 2 2 5" xfId="2327"/>
    <cellStyle name="Cálculo 3 3 2 2 5 2" xfId="2328"/>
    <cellStyle name="Cálculo 3 3 2 2 6" xfId="2329"/>
    <cellStyle name="Cálculo 3 3 2 2 6 2" xfId="2330"/>
    <cellStyle name="Cálculo 3 3 2 2 7" xfId="2331"/>
    <cellStyle name="Cálculo 3 3 2 2 7 2" xfId="2332"/>
    <cellStyle name="Cálculo 3 3 2 2 8" xfId="2333"/>
    <cellStyle name="Cálculo 3 3 2 2 8 2" xfId="2334"/>
    <cellStyle name="Cálculo 3 3 2 2 9" xfId="2335"/>
    <cellStyle name="Cálculo 3 3 2 2 9 2" xfId="2336"/>
    <cellStyle name="Cálculo 3 3 2 3" xfId="2337"/>
    <cellStyle name="Cálculo 3 3 2 3 10" xfId="2338"/>
    <cellStyle name="Cálculo 3 3 2 3 10 2" xfId="2339"/>
    <cellStyle name="Cálculo 3 3 2 3 11" xfId="2340"/>
    <cellStyle name="Cálculo 3 3 2 3 2" xfId="2341"/>
    <cellStyle name="Cálculo 3 3 2 3 2 2" xfId="2342"/>
    <cellStyle name="Cálculo 3 3 2 3 3" xfId="2343"/>
    <cellStyle name="Cálculo 3 3 2 3 3 2" xfId="2344"/>
    <cellStyle name="Cálculo 3 3 2 3 4" xfId="2345"/>
    <cellStyle name="Cálculo 3 3 2 3 4 2" xfId="2346"/>
    <cellStyle name="Cálculo 3 3 2 3 5" xfId="2347"/>
    <cellStyle name="Cálculo 3 3 2 3 5 2" xfId="2348"/>
    <cellStyle name="Cálculo 3 3 2 3 6" xfId="2349"/>
    <cellStyle name="Cálculo 3 3 2 3 6 2" xfId="2350"/>
    <cellStyle name="Cálculo 3 3 2 3 7" xfId="2351"/>
    <cellStyle name="Cálculo 3 3 2 3 7 2" xfId="2352"/>
    <cellStyle name="Cálculo 3 3 2 3 8" xfId="2353"/>
    <cellStyle name="Cálculo 3 3 2 3 8 2" xfId="2354"/>
    <cellStyle name="Cálculo 3 3 2 3 9" xfId="2355"/>
    <cellStyle name="Cálculo 3 3 2 3 9 2" xfId="2356"/>
    <cellStyle name="Cálculo 3 3 2 4" xfId="2357"/>
    <cellStyle name="Cálculo 3 3 2 4 2" xfId="2358"/>
    <cellStyle name="Cálculo 3 3 2 5" xfId="2359"/>
    <cellStyle name="Cálculo 3 3 2 5 2" xfId="2360"/>
    <cellStyle name="Cálculo 3 3 2 6" xfId="2361"/>
    <cellStyle name="Cálculo 3 3 2 6 2" xfId="2362"/>
    <cellStyle name="Cálculo 3 3 2 7" xfId="2363"/>
    <cellStyle name="Cálculo 3 3 2 7 2" xfId="2364"/>
    <cellStyle name="Cálculo 3 3 2 8" xfId="2365"/>
    <cellStyle name="Cálculo 3 3 2 8 2" xfId="2366"/>
    <cellStyle name="Cálculo 3 3 2 9" xfId="2367"/>
    <cellStyle name="Cálculo 3 3 2 9 2" xfId="2368"/>
    <cellStyle name="Cálculo 3 3 3" xfId="2369"/>
    <cellStyle name="Cálculo 3 3 3 10" xfId="2370"/>
    <cellStyle name="Cálculo 3 3 3 10 2" xfId="2371"/>
    <cellStyle name="Cálculo 3 3 3 11" xfId="2372"/>
    <cellStyle name="Cálculo 3 3 3 11 2" xfId="2373"/>
    <cellStyle name="Cálculo 3 3 3 12" xfId="2374"/>
    <cellStyle name="Cálculo 3 3 3 12 2" xfId="2375"/>
    <cellStyle name="Cálculo 3 3 3 13" xfId="2376"/>
    <cellStyle name="Cálculo 3 3 3 2" xfId="2377"/>
    <cellStyle name="Cálculo 3 3 3 2 10" xfId="2378"/>
    <cellStyle name="Cálculo 3 3 3 2 10 2" xfId="2379"/>
    <cellStyle name="Cálculo 3 3 3 2 11" xfId="2380"/>
    <cellStyle name="Cálculo 3 3 3 2 2" xfId="2381"/>
    <cellStyle name="Cálculo 3 3 3 2 2 2" xfId="2382"/>
    <cellStyle name="Cálculo 3 3 3 2 3" xfId="2383"/>
    <cellStyle name="Cálculo 3 3 3 2 3 2" xfId="2384"/>
    <cellStyle name="Cálculo 3 3 3 2 4" xfId="2385"/>
    <cellStyle name="Cálculo 3 3 3 2 4 2" xfId="2386"/>
    <cellStyle name="Cálculo 3 3 3 2 5" xfId="2387"/>
    <cellStyle name="Cálculo 3 3 3 2 5 2" xfId="2388"/>
    <cellStyle name="Cálculo 3 3 3 2 6" xfId="2389"/>
    <cellStyle name="Cálculo 3 3 3 2 6 2" xfId="2390"/>
    <cellStyle name="Cálculo 3 3 3 2 7" xfId="2391"/>
    <cellStyle name="Cálculo 3 3 3 2 7 2" xfId="2392"/>
    <cellStyle name="Cálculo 3 3 3 2 8" xfId="2393"/>
    <cellStyle name="Cálculo 3 3 3 2 8 2" xfId="2394"/>
    <cellStyle name="Cálculo 3 3 3 2 9" xfId="2395"/>
    <cellStyle name="Cálculo 3 3 3 2 9 2" xfId="2396"/>
    <cellStyle name="Cálculo 3 3 3 3" xfId="2397"/>
    <cellStyle name="Cálculo 3 3 3 3 10" xfId="2398"/>
    <cellStyle name="Cálculo 3 3 3 3 10 2" xfId="2399"/>
    <cellStyle name="Cálculo 3 3 3 3 11" xfId="2400"/>
    <cellStyle name="Cálculo 3 3 3 3 2" xfId="2401"/>
    <cellStyle name="Cálculo 3 3 3 3 2 2" xfId="2402"/>
    <cellStyle name="Cálculo 3 3 3 3 3" xfId="2403"/>
    <cellStyle name="Cálculo 3 3 3 3 3 2" xfId="2404"/>
    <cellStyle name="Cálculo 3 3 3 3 4" xfId="2405"/>
    <cellStyle name="Cálculo 3 3 3 3 4 2" xfId="2406"/>
    <cellStyle name="Cálculo 3 3 3 3 5" xfId="2407"/>
    <cellStyle name="Cálculo 3 3 3 3 5 2" xfId="2408"/>
    <cellStyle name="Cálculo 3 3 3 3 6" xfId="2409"/>
    <cellStyle name="Cálculo 3 3 3 3 6 2" xfId="2410"/>
    <cellStyle name="Cálculo 3 3 3 3 7" xfId="2411"/>
    <cellStyle name="Cálculo 3 3 3 3 7 2" xfId="2412"/>
    <cellStyle name="Cálculo 3 3 3 3 8" xfId="2413"/>
    <cellStyle name="Cálculo 3 3 3 3 8 2" xfId="2414"/>
    <cellStyle name="Cálculo 3 3 3 3 9" xfId="2415"/>
    <cellStyle name="Cálculo 3 3 3 3 9 2" xfId="2416"/>
    <cellStyle name="Cálculo 3 3 3 4" xfId="2417"/>
    <cellStyle name="Cálculo 3 3 3 4 2" xfId="2418"/>
    <cellStyle name="Cálculo 3 3 3 5" xfId="2419"/>
    <cellStyle name="Cálculo 3 3 3 5 2" xfId="2420"/>
    <cellStyle name="Cálculo 3 3 3 6" xfId="2421"/>
    <cellStyle name="Cálculo 3 3 3 6 2" xfId="2422"/>
    <cellStyle name="Cálculo 3 3 3 7" xfId="2423"/>
    <cellStyle name="Cálculo 3 3 3 7 2" xfId="2424"/>
    <cellStyle name="Cálculo 3 3 3 8" xfId="2425"/>
    <cellStyle name="Cálculo 3 3 3 8 2" xfId="2426"/>
    <cellStyle name="Cálculo 3 3 3 9" xfId="2427"/>
    <cellStyle name="Cálculo 3 3 3 9 2" xfId="2428"/>
    <cellStyle name="Cálculo 3 3 4" xfId="2429"/>
    <cellStyle name="Cálculo 3 3 4 10" xfId="2430"/>
    <cellStyle name="Cálculo 3 3 4 10 2" xfId="2431"/>
    <cellStyle name="Cálculo 3 3 4 11" xfId="2432"/>
    <cellStyle name="Cálculo 3 3 4 2" xfId="2433"/>
    <cellStyle name="Cálculo 3 3 4 2 2" xfId="2434"/>
    <cellStyle name="Cálculo 3 3 4 3" xfId="2435"/>
    <cellStyle name="Cálculo 3 3 4 3 2" xfId="2436"/>
    <cellStyle name="Cálculo 3 3 4 4" xfId="2437"/>
    <cellStyle name="Cálculo 3 3 4 4 2" xfId="2438"/>
    <cellStyle name="Cálculo 3 3 4 5" xfId="2439"/>
    <cellStyle name="Cálculo 3 3 4 5 2" xfId="2440"/>
    <cellStyle name="Cálculo 3 3 4 6" xfId="2441"/>
    <cellStyle name="Cálculo 3 3 4 6 2" xfId="2442"/>
    <cellStyle name="Cálculo 3 3 4 7" xfId="2443"/>
    <cellStyle name="Cálculo 3 3 4 7 2" xfId="2444"/>
    <cellStyle name="Cálculo 3 3 4 8" xfId="2445"/>
    <cellStyle name="Cálculo 3 3 4 8 2" xfId="2446"/>
    <cellStyle name="Cálculo 3 3 4 9" xfId="2447"/>
    <cellStyle name="Cálculo 3 3 4 9 2" xfId="2448"/>
    <cellStyle name="Cálculo 3 3 5" xfId="2449"/>
    <cellStyle name="Cálculo 3 3 5 10" xfId="2450"/>
    <cellStyle name="Cálculo 3 3 5 10 2" xfId="2451"/>
    <cellStyle name="Cálculo 3 3 5 11" xfId="2452"/>
    <cellStyle name="Cálculo 3 3 5 2" xfId="2453"/>
    <cellStyle name="Cálculo 3 3 5 2 2" xfId="2454"/>
    <cellStyle name="Cálculo 3 3 5 3" xfId="2455"/>
    <cellStyle name="Cálculo 3 3 5 3 2" xfId="2456"/>
    <cellStyle name="Cálculo 3 3 5 4" xfId="2457"/>
    <cellStyle name="Cálculo 3 3 5 4 2" xfId="2458"/>
    <cellStyle name="Cálculo 3 3 5 5" xfId="2459"/>
    <cellStyle name="Cálculo 3 3 5 5 2" xfId="2460"/>
    <cellStyle name="Cálculo 3 3 5 6" xfId="2461"/>
    <cellStyle name="Cálculo 3 3 5 6 2" xfId="2462"/>
    <cellStyle name="Cálculo 3 3 5 7" xfId="2463"/>
    <cellStyle name="Cálculo 3 3 5 7 2" xfId="2464"/>
    <cellStyle name="Cálculo 3 3 5 8" xfId="2465"/>
    <cellStyle name="Cálculo 3 3 5 8 2" xfId="2466"/>
    <cellStyle name="Cálculo 3 3 5 9" xfId="2467"/>
    <cellStyle name="Cálculo 3 3 5 9 2" xfId="2468"/>
    <cellStyle name="Cálculo 3 3 6" xfId="2469"/>
    <cellStyle name="Cálculo 3 3 6 2" xfId="2470"/>
    <cellStyle name="Cálculo 3 3 7" xfId="2471"/>
    <cellStyle name="Cálculo 3 3 7 2" xfId="2472"/>
    <cellStyle name="Cálculo 3 3 8" xfId="2473"/>
    <cellStyle name="Cálculo 3 3 8 2" xfId="2474"/>
    <cellStyle name="Cálculo 3 3 9" xfId="2475"/>
    <cellStyle name="Cálculo 3 3 9 2" xfId="2476"/>
    <cellStyle name="Cálculo 3 4" xfId="2477"/>
    <cellStyle name="Cálculo 3 4 10" xfId="2478"/>
    <cellStyle name="Cálculo 3 4 10 2" xfId="2479"/>
    <cellStyle name="Cálculo 3 4 11" xfId="2480"/>
    <cellStyle name="Cálculo 3 4 11 2" xfId="2481"/>
    <cellStyle name="Cálculo 3 4 12" xfId="2482"/>
    <cellStyle name="Cálculo 3 4 12 2" xfId="2483"/>
    <cellStyle name="Cálculo 3 4 13" xfId="2484"/>
    <cellStyle name="Cálculo 3 4 2" xfId="2485"/>
    <cellStyle name="Cálculo 3 4 2 10" xfId="2486"/>
    <cellStyle name="Cálculo 3 4 2 10 2" xfId="2487"/>
    <cellStyle name="Cálculo 3 4 2 11" xfId="2488"/>
    <cellStyle name="Cálculo 3 4 2 2" xfId="2489"/>
    <cellStyle name="Cálculo 3 4 2 2 2" xfId="2490"/>
    <cellStyle name="Cálculo 3 4 2 3" xfId="2491"/>
    <cellStyle name="Cálculo 3 4 2 3 2" xfId="2492"/>
    <cellStyle name="Cálculo 3 4 2 4" xfId="2493"/>
    <cellStyle name="Cálculo 3 4 2 4 2" xfId="2494"/>
    <cellStyle name="Cálculo 3 4 2 5" xfId="2495"/>
    <cellStyle name="Cálculo 3 4 2 5 2" xfId="2496"/>
    <cellStyle name="Cálculo 3 4 2 6" xfId="2497"/>
    <cellStyle name="Cálculo 3 4 2 6 2" xfId="2498"/>
    <cellStyle name="Cálculo 3 4 2 7" xfId="2499"/>
    <cellStyle name="Cálculo 3 4 2 7 2" xfId="2500"/>
    <cellStyle name="Cálculo 3 4 2 8" xfId="2501"/>
    <cellStyle name="Cálculo 3 4 2 8 2" xfId="2502"/>
    <cellStyle name="Cálculo 3 4 2 9" xfId="2503"/>
    <cellStyle name="Cálculo 3 4 2 9 2" xfId="2504"/>
    <cellStyle name="Cálculo 3 4 3" xfId="2505"/>
    <cellStyle name="Cálculo 3 4 3 10" xfId="2506"/>
    <cellStyle name="Cálculo 3 4 3 10 2" xfId="2507"/>
    <cellStyle name="Cálculo 3 4 3 11" xfId="2508"/>
    <cellStyle name="Cálculo 3 4 3 2" xfId="2509"/>
    <cellStyle name="Cálculo 3 4 3 2 2" xfId="2510"/>
    <cellStyle name="Cálculo 3 4 3 3" xfId="2511"/>
    <cellStyle name="Cálculo 3 4 3 3 2" xfId="2512"/>
    <cellStyle name="Cálculo 3 4 3 4" xfId="2513"/>
    <cellStyle name="Cálculo 3 4 3 4 2" xfId="2514"/>
    <cellStyle name="Cálculo 3 4 3 5" xfId="2515"/>
    <cellStyle name="Cálculo 3 4 3 5 2" xfId="2516"/>
    <cellStyle name="Cálculo 3 4 3 6" xfId="2517"/>
    <cellStyle name="Cálculo 3 4 3 6 2" xfId="2518"/>
    <cellStyle name="Cálculo 3 4 3 7" xfId="2519"/>
    <cellStyle name="Cálculo 3 4 3 7 2" xfId="2520"/>
    <cellStyle name="Cálculo 3 4 3 8" xfId="2521"/>
    <cellStyle name="Cálculo 3 4 3 8 2" xfId="2522"/>
    <cellStyle name="Cálculo 3 4 3 9" xfId="2523"/>
    <cellStyle name="Cálculo 3 4 3 9 2" xfId="2524"/>
    <cellStyle name="Cálculo 3 4 4" xfId="2525"/>
    <cellStyle name="Cálculo 3 4 4 2" xfId="2526"/>
    <cellStyle name="Cálculo 3 4 5" xfId="2527"/>
    <cellStyle name="Cálculo 3 4 5 2" xfId="2528"/>
    <cellStyle name="Cálculo 3 4 6" xfId="2529"/>
    <cellStyle name="Cálculo 3 4 6 2" xfId="2530"/>
    <cellStyle name="Cálculo 3 4 7" xfId="2531"/>
    <cellStyle name="Cálculo 3 4 7 2" xfId="2532"/>
    <cellStyle name="Cálculo 3 4 8" xfId="2533"/>
    <cellStyle name="Cálculo 3 4 8 2" xfId="2534"/>
    <cellStyle name="Cálculo 3 4 9" xfId="2535"/>
    <cellStyle name="Cálculo 3 4 9 2" xfId="2536"/>
    <cellStyle name="Cálculo 3 5" xfId="2537"/>
    <cellStyle name="Cálculo 3 5 10" xfId="2538"/>
    <cellStyle name="Cálculo 3 5 10 2" xfId="2539"/>
    <cellStyle name="Cálculo 3 5 11" xfId="2540"/>
    <cellStyle name="Cálculo 3 5 11 2" xfId="2541"/>
    <cellStyle name="Cálculo 3 5 12" xfId="2542"/>
    <cellStyle name="Cálculo 3 5 12 2" xfId="2543"/>
    <cellStyle name="Cálculo 3 5 13" xfId="2544"/>
    <cellStyle name="Cálculo 3 5 2" xfId="2545"/>
    <cellStyle name="Cálculo 3 5 2 10" xfId="2546"/>
    <cellStyle name="Cálculo 3 5 2 10 2" xfId="2547"/>
    <cellStyle name="Cálculo 3 5 2 11" xfId="2548"/>
    <cellStyle name="Cálculo 3 5 2 2" xfId="2549"/>
    <cellStyle name="Cálculo 3 5 2 2 2" xfId="2550"/>
    <cellStyle name="Cálculo 3 5 2 3" xfId="2551"/>
    <cellStyle name="Cálculo 3 5 2 3 2" xfId="2552"/>
    <cellStyle name="Cálculo 3 5 2 4" xfId="2553"/>
    <cellStyle name="Cálculo 3 5 2 4 2" xfId="2554"/>
    <cellStyle name="Cálculo 3 5 2 5" xfId="2555"/>
    <cellStyle name="Cálculo 3 5 2 5 2" xfId="2556"/>
    <cellStyle name="Cálculo 3 5 2 6" xfId="2557"/>
    <cellStyle name="Cálculo 3 5 2 6 2" xfId="2558"/>
    <cellStyle name="Cálculo 3 5 2 7" xfId="2559"/>
    <cellStyle name="Cálculo 3 5 2 7 2" xfId="2560"/>
    <cellStyle name="Cálculo 3 5 2 8" xfId="2561"/>
    <cellStyle name="Cálculo 3 5 2 8 2" xfId="2562"/>
    <cellStyle name="Cálculo 3 5 2 9" xfId="2563"/>
    <cellStyle name="Cálculo 3 5 2 9 2" xfId="2564"/>
    <cellStyle name="Cálculo 3 5 3" xfId="2565"/>
    <cellStyle name="Cálculo 3 5 3 10" xfId="2566"/>
    <cellStyle name="Cálculo 3 5 3 10 2" xfId="2567"/>
    <cellStyle name="Cálculo 3 5 3 11" xfId="2568"/>
    <cellStyle name="Cálculo 3 5 3 2" xfId="2569"/>
    <cellStyle name="Cálculo 3 5 3 2 2" xfId="2570"/>
    <cellStyle name="Cálculo 3 5 3 3" xfId="2571"/>
    <cellStyle name="Cálculo 3 5 3 3 2" xfId="2572"/>
    <cellStyle name="Cálculo 3 5 3 4" xfId="2573"/>
    <cellStyle name="Cálculo 3 5 3 4 2" xfId="2574"/>
    <cellStyle name="Cálculo 3 5 3 5" xfId="2575"/>
    <cellStyle name="Cálculo 3 5 3 5 2" xfId="2576"/>
    <cellStyle name="Cálculo 3 5 3 6" xfId="2577"/>
    <cellStyle name="Cálculo 3 5 3 6 2" xfId="2578"/>
    <cellStyle name="Cálculo 3 5 3 7" xfId="2579"/>
    <cellStyle name="Cálculo 3 5 3 7 2" xfId="2580"/>
    <cellStyle name="Cálculo 3 5 3 8" xfId="2581"/>
    <cellStyle name="Cálculo 3 5 3 8 2" xfId="2582"/>
    <cellStyle name="Cálculo 3 5 3 9" xfId="2583"/>
    <cellStyle name="Cálculo 3 5 3 9 2" xfId="2584"/>
    <cellStyle name="Cálculo 3 5 4" xfId="2585"/>
    <cellStyle name="Cálculo 3 5 4 2" xfId="2586"/>
    <cellStyle name="Cálculo 3 5 5" xfId="2587"/>
    <cellStyle name="Cálculo 3 5 5 2" xfId="2588"/>
    <cellStyle name="Cálculo 3 5 6" xfId="2589"/>
    <cellStyle name="Cálculo 3 5 6 2" xfId="2590"/>
    <cellStyle name="Cálculo 3 5 7" xfId="2591"/>
    <cellStyle name="Cálculo 3 5 7 2" xfId="2592"/>
    <cellStyle name="Cálculo 3 5 8" xfId="2593"/>
    <cellStyle name="Cálculo 3 5 8 2" xfId="2594"/>
    <cellStyle name="Cálculo 3 5 9" xfId="2595"/>
    <cellStyle name="Cálculo 3 5 9 2" xfId="2596"/>
    <cellStyle name="Cálculo 3 6" xfId="2597"/>
    <cellStyle name="Cálculo 3 6 2" xfId="2598"/>
    <cellStyle name="Cálculo 3 7" xfId="2599"/>
    <cellStyle name="Cálculo 3 7 2" xfId="2600"/>
    <cellStyle name="Cálculo 3 8" xfId="2601"/>
    <cellStyle name="Cálculo 3 8 2" xfId="2602"/>
    <cellStyle name="Cálculo 3 9" xfId="2603"/>
    <cellStyle name="Cálculo 3 9 2" xfId="2604"/>
    <cellStyle name="Cálculo 4" xfId="113"/>
    <cellStyle name="Cálculo 4 10" xfId="2605"/>
    <cellStyle name="Cálculo 4 10 2" xfId="2606"/>
    <cellStyle name="Cálculo 4 11" xfId="2607"/>
    <cellStyle name="Cálculo 4 11 2" xfId="2608"/>
    <cellStyle name="Cálculo 4 12" xfId="2609"/>
    <cellStyle name="Cálculo 4 12 2" xfId="2610"/>
    <cellStyle name="Cálculo 4 13" xfId="2611"/>
    <cellStyle name="Cálculo 4 13 2" xfId="2612"/>
    <cellStyle name="Cálculo 4 14" xfId="2613"/>
    <cellStyle name="Cálculo 4 14 2" xfId="2614"/>
    <cellStyle name="Cálculo 4 15" xfId="2615"/>
    <cellStyle name="Cálculo 4 15 2" xfId="2616"/>
    <cellStyle name="Cálculo 4 16" xfId="2617"/>
    <cellStyle name="Cálculo 4 17" xfId="2618"/>
    <cellStyle name="Cálculo 4 18" xfId="2619"/>
    <cellStyle name="Cálculo 4 2" xfId="283"/>
    <cellStyle name="Cálculo 4 2 10" xfId="2620"/>
    <cellStyle name="Cálculo 4 2 10 2" xfId="2621"/>
    <cellStyle name="Cálculo 4 2 11" xfId="2622"/>
    <cellStyle name="Cálculo 4 2 11 2" xfId="2623"/>
    <cellStyle name="Cálculo 4 2 12" xfId="2624"/>
    <cellStyle name="Cálculo 4 2 12 2" xfId="2625"/>
    <cellStyle name="Cálculo 4 2 13" xfId="2626"/>
    <cellStyle name="Cálculo 4 2 13 2" xfId="2627"/>
    <cellStyle name="Cálculo 4 2 14" xfId="2628"/>
    <cellStyle name="Cálculo 4 2 14 2" xfId="2629"/>
    <cellStyle name="Cálculo 4 2 15" xfId="2630"/>
    <cellStyle name="Cálculo 4 2 16" xfId="2631"/>
    <cellStyle name="Cálculo 4 2 2" xfId="2632"/>
    <cellStyle name="Cálculo 4 2 2 10" xfId="2633"/>
    <cellStyle name="Cálculo 4 2 2 10 2" xfId="2634"/>
    <cellStyle name="Cálculo 4 2 2 11" xfId="2635"/>
    <cellStyle name="Cálculo 4 2 2 11 2" xfId="2636"/>
    <cellStyle name="Cálculo 4 2 2 12" xfId="2637"/>
    <cellStyle name="Cálculo 4 2 2 12 2" xfId="2638"/>
    <cellStyle name="Cálculo 4 2 2 13" xfId="2639"/>
    <cellStyle name="Cálculo 4 2 2 2" xfId="2640"/>
    <cellStyle name="Cálculo 4 2 2 2 10" xfId="2641"/>
    <cellStyle name="Cálculo 4 2 2 2 10 2" xfId="2642"/>
    <cellStyle name="Cálculo 4 2 2 2 11" xfId="2643"/>
    <cellStyle name="Cálculo 4 2 2 2 2" xfId="2644"/>
    <cellStyle name="Cálculo 4 2 2 2 2 2" xfId="2645"/>
    <cellStyle name="Cálculo 4 2 2 2 3" xfId="2646"/>
    <cellStyle name="Cálculo 4 2 2 2 3 2" xfId="2647"/>
    <cellStyle name="Cálculo 4 2 2 2 4" xfId="2648"/>
    <cellStyle name="Cálculo 4 2 2 2 4 2" xfId="2649"/>
    <cellStyle name="Cálculo 4 2 2 2 5" xfId="2650"/>
    <cellStyle name="Cálculo 4 2 2 2 5 2" xfId="2651"/>
    <cellStyle name="Cálculo 4 2 2 2 6" xfId="2652"/>
    <cellStyle name="Cálculo 4 2 2 2 6 2" xfId="2653"/>
    <cellStyle name="Cálculo 4 2 2 2 7" xfId="2654"/>
    <cellStyle name="Cálculo 4 2 2 2 7 2" xfId="2655"/>
    <cellStyle name="Cálculo 4 2 2 2 8" xfId="2656"/>
    <cellStyle name="Cálculo 4 2 2 2 8 2" xfId="2657"/>
    <cellStyle name="Cálculo 4 2 2 2 9" xfId="2658"/>
    <cellStyle name="Cálculo 4 2 2 2 9 2" xfId="2659"/>
    <cellStyle name="Cálculo 4 2 2 3" xfId="2660"/>
    <cellStyle name="Cálculo 4 2 2 3 10" xfId="2661"/>
    <cellStyle name="Cálculo 4 2 2 3 10 2" xfId="2662"/>
    <cellStyle name="Cálculo 4 2 2 3 11" xfId="2663"/>
    <cellStyle name="Cálculo 4 2 2 3 2" xfId="2664"/>
    <cellStyle name="Cálculo 4 2 2 3 2 2" xfId="2665"/>
    <cellStyle name="Cálculo 4 2 2 3 3" xfId="2666"/>
    <cellStyle name="Cálculo 4 2 2 3 3 2" xfId="2667"/>
    <cellStyle name="Cálculo 4 2 2 3 4" xfId="2668"/>
    <cellStyle name="Cálculo 4 2 2 3 4 2" xfId="2669"/>
    <cellStyle name="Cálculo 4 2 2 3 5" xfId="2670"/>
    <cellStyle name="Cálculo 4 2 2 3 5 2" xfId="2671"/>
    <cellStyle name="Cálculo 4 2 2 3 6" xfId="2672"/>
    <cellStyle name="Cálculo 4 2 2 3 6 2" xfId="2673"/>
    <cellStyle name="Cálculo 4 2 2 3 7" xfId="2674"/>
    <cellStyle name="Cálculo 4 2 2 3 7 2" xfId="2675"/>
    <cellStyle name="Cálculo 4 2 2 3 8" xfId="2676"/>
    <cellStyle name="Cálculo 4 2 2 3 8 2" xfId="2677"/>
    <cellStyle name="Cálculo 4 2 2 3 9" xfId="2678"/>
    <cellStyle name="Cálculo 4 2 2 3 9 2" xfId="2679"/>
    <cellStyle name="Cálculo 4 2 2 4" xfId="2680"/>
    <cellStyle name="Cálculo 4 2 2 4 2" xfId="2681"/>
    <cellStyle name="Cálculo 4 2 2 5" xfId="2682"/>
    <cellStyle name="Cálculo 4 2 2 5 2" xfId="2683"/>
    <cellStyle name="Cálculo 4 2 2 6" xfId="2684"/>
    <cellStyle name="Cálculo 4 2 2 6 2" xfId="2685"/>
    <cellStyle name="Cálculo 4 2 2 7" xfId="2686"/>
    <cellStyle name="Cálculo 4 2 2 7 2" xfId="2687"/>
    <cellStyle name="Cálculo 4 2 2 8" xfId="2688"/>
    <cellStyle name="Cálculo 4 2 2 8 2" xfId="2689"/>
    <cellStyle name="Cálculo 4 2 2 9" xfId="2690"/>
    <cellStyle name="Cálculo 4 2 2 9 2" xfId="2691"/>
    <cellStyle name="Cálculo 4 2 3" xfId="2692"/>
    <cellStyle name="Cálculo 4 2 3 10" xfId="2693"/>
    <cellStyle name="Cálculo 4 2 3 10 2" xfId="2694"/>
    <cellStyle name="Cálculo 4 2 3 11" xfId="2695"/>
    <cellStyle name="Cálculo 4 2 3 11 2" xfId="2696"/>
    <cellStyle name="Cálculo 4 2 3 12" xfId="2697"/>
    <cellStyle name="Cálculo 4 2 3 12 2" xfId="2698"/>
    <cellStyle name="Cálculo 4 2 3 13" xfId="2699"/>
    <cellStyle name="Cálculo 4 2 3 2" xfId="2700"/>
    <cellStyle name="Cálculo 4 2 3 2 10" xfId="2701"/>
    <cellStyle name="Cálculo 4 2 3 2 10 2" xfId="2702"/>
    <cellStyle name="Cálculo 4 2 3 2 11" xfId="2703"/>
    <cellStyle name="Cálculo 4 2 3 2 2" xfId="2704"/>
    <cellStyle name="Cálculo 4 2 3 2 2 2" xfId="2705"/>
    <cellStyle name="Cálculo 4 2 3 2 3" xfId="2706"/>
    <cellStyle name="Cálculo 4 2 3 2 3 2" xfId="2707"/>
    <cellStyle name="Cálculo 4 2 3 2 4" xfId="2708"/>
    <cellStyle name="Cálculo 4 2 3 2 4 2" xfId="2709"/>
    <cellStyle name="Cálculo 4 2 3 2 5" xfId="2710"/>
    <cellStyle name="Cálculo 4 2 3 2 5 2" xfId="2711"/>
    <cellStyle name="Cálculo 4 2 3 2 6" xfId="2712"/>
    <cellStyle name="Cálculo 4 2 3 2 6 2" xfId="2713"/>
    <cellStyle name="Cálculo 4 2 3 2 7" xfId="2714"/>
    <cellStyle name="Cálculo 4 2 3 2 7 2" xfId="2715"/>
    <cellStyle name="Cálculo 4 2 3 2 8" xfId="2716"/>
    <cellStyle name="Cálculo 4 2 3 2 8 2" xfId="2717"/>
    <cellStyle name="Cálculo 4 2 3 2 9" xfId="2718"/>
    <cellStyle name="Cálculo 4 2 3 2 9 2" xfId="2719"/>
    <cellStyle name="Cálculo 4 2 3 3" xfId="2720"/>
    <cellStyle name="Cálculo 4 2 3 3 10" xfId="2721"/>
    <cellStyle name="Cálculo 4 2 3 3 10 2" xfId="2722"/>
    <cellStyle name="Cálculo 4 2 3 3 11" xfId="2723"/>
    <cellStyle name="Cálculo 4 2 3 3 2" xfId="2724"/>
    <cellStyle name="Cálculo 4 2 3 3 2 2" xfId="2725"/>
    <cellStyle name="Cálculo 4 2 3 3 3" xfId="2726"/>
    <cellStyle name="Cálculo 4 2 3 3 3 2" xfId="2727"/>
    <cellStyle name="Cálculo 4 2 3 3 4" xfId="2728"/>
    <cellStyle name="Cálculo 4 2 3 3 4 2" xfId="2729"/>
    <cellStyle name="Cálculo 4 2 3 3 5" xfId="2730"/>
    <cellStyle name="Cálculo 4 2 3 3 5 2" xfId="2731"/>
    <cellStyle name="Cálculo 4 2 3 3 6" xfId="2732"/>
    <cellStyle name="Cálculo 4 2 3 3 6 2" xfId="2733"/>
    <cellStyle name="Cálculo 4 2 3 3 7" xfId="2734"/>
    <cellStyle name="Cálculo 4 2 3 3 7 2" xfId="2735"/>
    <cellStyle name="Cálculo 4 2 3 3 8" xfId="2736"/>
    <cellStyle name="Cálculo 4 2 3 3 8 2" xfId="2737"/>
    <cellStyle name="Cálculo 4 2 3 3 9" xfId="2738"/>
    <cellStyle name="Cálculo 4 2 3 3 9 2" xfId="2739"/>
    <cellStyle name="Cálculo 4 2 3 4" xfId="2740"/>
    <cellStyle name="Cálculo 4 2 3 4 2" xfId="2741"/>
    <cellStyle name="Cálculo 4 2 3 5" xfId="2742"/>
    <cellStyle name="Cálculo 4 2 3 5 2" xfId="2743"/>
    <cellStyle name="Cálculo 4 2 3 6" xfId="2744"/>
    <cellStyle name="Cálculo 4 2 3 6 2" xfId="2745"/>
    <cellStyle name="Cálculo 4 2 3 7" xfId="2746"/>
    <cellStyle name="Cálculo 4 2 3 7 2" xfId="2747"/>
    <cellStyle name="Cálculo 4 2 3 8" xfId="2748"/>
    <cellStyle name="Cálculo 4 2 3 8 2" xfId="2749"/>
    <cellStyle name="Cálculo 4 2 3 9" xfId="2750"/>
    <cellStyle name="Cálculo 4 2 3 9 2" xfId="2751"/>
    <cellStyle name="Cálculo 4 2 4" xfId="2752"/>
    <cellStyle name="Cálculo 4 2 4 10" xfId="2753"/>
    <cellStyle name="Cálculo 4 2 4 10 2" xfId="2754"/>
    <cellStyle name="Cálculo 4 2 4 11" xfId="2755"/>
    <cellStyle name="Cálculo 4 2 4 2" xfId="2756"/>
    <cellStyle name="Cálculo 4 2 4 2 2" xfId="2757"/>
    <cellStyle name="Cálculo 4 2 4 3" xfId="2758"/>
    <cellStyle name="Cálculo 4 2 4 3 2" xfId="2759"/>
    <cellStyle name="Cálculo 4 2 4 4" xfId="2760"/>
    <cellStyle name="Cálculo 4 2 4 4 2" xfId="2761"/>
    <cellStyle name="Cálculo 4 2 4 5" xfId="2762"/>
    <cellStyle name="Cálculo 4 2 4 5 2" xfId="2763"/>
    <cellStyle name="Cálculo 4 2 4 6" xfId="2764"/>
    <cellStyle name="Cálculo 4 2 4 6 2" xfId="2765"/>
    <cellStyle name="Cálculo 4 2 4 7" xfId="2766"/>
    <cellStyle name="Cálculo 4 2 4 7 2" xfId="2767"/>
    <cellStyle name="Cálculo 4 2 4 8" xfId="2768"/>
    <cellStyle name="Cálculo 4 2 4 8 2" xfId="2769"/>
    <cellStyle name="Cálculo 4 2 4 9" xfId="2770"/>
    <cellStyle name="Cálculo 4 2 4 9 2" xfId="2771"/>
    <cellStyle name="Cálculo 4 2 5" xfId="2772"/>
    <cellStyle name="Cálculo 4 2 5 10" xfId="2773"/>
    <cellStyle name="Cálculo 4 2 5 10 2" xfId="2774"/>
    <cellStyle name="Cálculo 4 2 5 11" xfId="2775"/>
    <cellStyle name="Cálculo 4 2 5 2" xfId="2776"/>
    <cellStyle name="Cálculo 4 2 5 2 2" xfId="2777"/>
    <cellStyle name="Cálculo 4 2 5 3" xfId="2778"/>
    <cellStyle name="Cálculo 4 2 5 3 2" xfId="2779"/>
    <cellStyle name="Cálculo 4 2 5 4" xfId="2780"/>
    <cellStyle name="Cálculo 4 2 5 4 2" xfId="2781"/>
    <cellStyle name="Cálculo 4 2 5 5" xfId="2782"/>
    <cellStyle name="Cálculo 4 2 5 5 2" xfId="2783"/>
    <cellStyle name="Cálculo 4 2 5 6" xfId="2784"/>
    <cellStyle name="Cálculo 4 2 5 6 2" xfId="2785"/>
    <cellStyle name="Cálculo 4 2 5 7" xfId="2786"/>
    <cellStyle name="Cálculo 4 2 5 7 2" xfId="2787"/>
    <cellStyle name="Cálculo 4 2 5 8" xfId="2788"/>
    <cellStyle name="Cálculo 4 2 5 8 2" xfId="2789"/>
    <cellStyle name="Cálculo 4 2 5 9" xfId="2790"/>
    <cellStyle name="Cálculo 4 2 5 9 2" xfId="2791"/>
    <cellStyle name="Cálculo 4 2 6" xfId="2792"/>
    <cellStyle name="Cálculo 4 2 6 2" xfId="2793"/>
    <cellStyle name="Cálculo 4 2 7" xfId="2794"/>
    <cellStyle name="Cálculo 4 2 7 2" xfId="2795"/>
    <cellStyle name="Cálculo 4 2 8" xfId="2796"/>
    <cellStyle name="Cálculo 4 2 8 2" xfId="2797"/>
    <cellStyle name="Cálculo 4 2 9" xfId="2798"/>
    <cellStyle name="Cálculo 4 2 9 2" xfId="2799"/>
    <cellStyle name="Cálculo 4 3" xfId="292"/>
    <cellStyle name="Cálculo 4 3 10" xfId="2800"/>
    <cellStyle name="Cálculo 4 3 10 2" xfId="2801"/>
    <cellStyle name="Cálculo 4 3 11" xfId="2802"/>
    <cellStyle name="Cálculo 4 3 11 2" xfId="2803"/>
    <cellStyle name="Cálculo 4 3 12" xfId="2804"/>
    <cellStyle name="Cálculo 4 3 12 2" xfId="2805"/>
    <cellStyle name="Cálculo 4 3 13" xfId="2806"/>
    <cellStyle name="Cálculo 4 3 2" xfId="2807"/>
    <cellStyle name="Cálculo 4 3 2 10" xfId="2808"/>
    <cellStyle name="Cálculo 4 3 2 10 2" xfId="2809"/>
    <cellStyle name="Cálculo 4 3 2 11" xfId="2810"/>
    <cellStyle name="Cálculo 4 3 2 2" xfId="2811"/>
    <cellStyle name="Cálculo 4 3 2 2 2" xfId="2812"/>
    <cellStyle name="Cálculo 4 3 2 3" xfId="2813"/>
    <cellStyle name="Cálculo 4 3 2 3 2" xfId="2814"/>
    <cellStyle name="Cálculo 4 3 2 4" xfId="2815"/>
    <cellStyle name="Cálculo 4 3 2 4 2" xfId="2816"/>
    <cellStyle name="Cálculo 4 3 2 5" xfId="2817"/>
    <cellStyle name="Cálculo 4 3 2 5 2" xfId="2818"/>
    <cellStyle name="Cálculo 4 3 2 6" xfId="2819"/>
    <cellStyle name="Cálculo 4 3 2 6 2" xfId="2820"/>
    <cellStyle name="Cálculo 4 3 2 7" xfId="2821"/>
    <cellStyle name="Cálculo 4 3 2 7 2" xfId="2822"/>
    <cellStyle name="Cálculo 4 3 2 8" xfId="2823"/>
    <cellStyle name="Cálculo 4 3 2 8 2" xfId="2824"/>
    <cellStyle name="Cálculo 4 3 2 9" xfId="2825"/>
    <cellStyle name="Cálculo 4 3 2 9 2" xfId="2826"/>
    <cellStyle name="Cálculo 4 3 3" xfId="2827"/>
    <cellStyle name="Cálculo 4 3 3 10" xfId="2828"/>
    <cellStyle name="Cálculo 4 3 3 10 2" xfId="2829"/>
    <cellStyle name="Cálculo 4 3 3 11" xfId="2830"/>
    <cellStyle name="Cálculo 4 3 3 2" xfId="2831"/>
    <cellStyle name="Cálculo 4 3 3 2 2" xfId="2832"/>
    <cellStyle name="Cálculo 4 3 3 3" xfId="2833"/>
    <cellStyle name="Cálculo 4 3 3 3 2" xfId="2834"/>
    <cellStyle name="Cálculo 4 3 3 4" xfId="2835"/>
    <cellStyle name="Cálculo 4 3 3 4 2" xfId="2836"/>
    <cellStyle name="Cálculo 4 3 3 5" xfId="2837"/>
    <cellStyle name="Cálculo 4 3 3 5 2" xfId="2838"/>
    <cellStyle name="Cálculo 4 3 3 6" xfId="2839"/>
    <cellStyle name="Cálculo 4 3 3 6 2" xfId="2840"/>
    <cellStyle name="Cálculo 4 3 3 7" xfId="2841"/>
    <cellStyle name="Cálculo 4 3 3 7 2" xfId="2842"/>
    <cellStyle name="Cálculo 4 3 3 8" xfId="2843"/>
    <cellStyle name="Cálculo 4 3 3 8 2" xfId="2844"/>
    <cellStyle name="Cálculo 4 3 3 9" xfId="2845"/>
    <cellStyle name="Cálculo 4 3 3 9 2" xfId="2846"/>
    <cellStyle name="Cálculo 4 3 4" xfId="2847"/>
    <cellStyle name="Cálculo 4 3 4 2" xfId="2848"/>
    <cellStyle name="Cálculo 4 3 5" xfId="2849"/>
    <cellStyle name="Cálculo 4 3 5 2" xfId="2850"/>
    <cellStyle name="Cálculo 4 3 6" xfId="2851"/>
    <cellStyle name="Cálculo 4 3 6 2" xfId="2852"/>
    <cellStyle name="Cálculo 4 3 7" xfId="2853"/>
    <cellStyle name="Cálculo 4 3 7 2" xfId="2854"/>
    <cellStyle name="Cálculo 4 3 8" xfId="2855"/>
    <cellStyle name="Cálculo 4 3 8 2" xfId="2856"/>
    <cellStyle name="Cálculo 4 3 9" xfId="2857"/>
    <cellStyle name="Cálculo 4 3 9 2" xfId="2858"/>
    <cellStyle name="Cálculo 4 4" xfId="2859"/>
    <cellStyle name="Cálculo 4 4 10" xfId="2860"/>
    <cellStyle name="Cálculo 4 4 10 2" xfId="2861"/>
    <cellStyle name="Cálculo 4 4 11" xfId="2862"/>
    <cellStyle name="Cálculo 4 4 11 2" xfId="2863"/>
    <cellStyle name="Cálculo 4 4 12" xfId="2864"/>
    <cellStyle name="Cálculo 4 4 12 2" xfId="2865"/>
    <cellStyle name="Cálculo 4 4 13" xfId="2866"/>
    <cellStyle name="Cálculo 4 4 2" xfId="2867"/>
    <cellStyle name="Cálculo 4 4 2 10" xfId="2868"/>
    <cellStyle name="Cálculo 4 4 2 10 2" xfId="2869"/>
    <cellStyle name="Cálculo 4 4 2 11" xfId="2870"/>
    <cellStyle name="Cálculo 4 4 2 2" xfId="2871"/>
    <cellStyle name="Cálculo 4 4 2 2 2" xfId="2872"/>
    <cellStyle name="Cálculo 4 4 2 3" xfId="2873"/>
    <cellStyle name="Cálculo 4 4 2 3 2" xfId="2874"/>
    <cellStyle name="Cálculo 4 4 2 4" xfId="2875"/>
    <cellStyle name="Cálculo 4 4 2 4 2" xfId="2876"/>
    <cellStyle name="Cálculo 4 4 2 5" xfId="2877"/>
    <cellStyle name="Cálculo 4 4 2 5 2" xfId="2878"/>
    <cellStyle name="Cálculo 4 4 2 6" xfId="2879"/>
    <cellStyle name="Cálculo 4 4 2 6 2" xfId="2880"/>
    <cellStyle name="Cálculo 4 4 2 7" xfId="2881"/>
    <cellStyle name="Cálculo 4 4 2 7 2" xfId="2882"/>
    <cellStyle name="Cálculo 4 4 2 8" xfId="2883"/>
    <cellStyle name="Cálculo 4 4 2 8 2" xfId="2884"/>
    <cellStyle name="Cálculo 4 4 2 9" xfId="2885"/>
    <cellStyle name="Cálculo 4 4 2 9 2" xfId="2886"/>
    <cellStyle name="Cálculo 4 4 3" xfId="2887"/>
    <cellStyle name="Cálculo 4 4 3 10" xfId="2888"/>
    <cellStyle name="Cálculo 4 4 3 10 2" xfId="2889"/>
    <cellStyle name="Cálculo 4 4 3 11" xfId="2890"/>
    <cellStyle name="Cálculo 4 4 3 2" xfId="2891"/>
    <cellStyle name="Cálculo 4 4 3 2 2" xfId="2892"/>
    <cellStyle name="Cálculo 4 4 3 3" xfId="2893"/>
    <cellStyle name="Cálculo 4 4 3 3 2" xfId="2894"/>
    <cellStyle name="Cálculo 4 4 3 4" xfId="2895"/>
    <cellStyle name="Cálculo 4 4 3 4 2" xfId="2896"/>
    <cellStyle name="Cálculo 4 4 3 5" xfId="2897"/>
    <cellStyle name="Cálculo 4 4 3 5 2" xfId="2898"/>
    <cellStyle name="Cálculo 4 4 3 6" xfId="2899"/>
    <cellStyle name="Cálculo 4 4 3 6 2" xfId="2900"/>
    <cellStyle name="Cálculo 4 4 3 7" xfId="2901"/>
    <cellStyle name="Cálculo 4 4 3 7 2" xfId="2902"/>
    <cellStyle name="Cálculo 4 4 3 8" xfId="2903"/>
    <cellStyle name="Cálculo 4 4 3 8 2" xfId="2904"/>
    <cellStyle name="Cálculo 4 4 3 9" xfId="2905"/>
    <cellStyle name="Cálculo 4 4 3 9 2" xfId="2906"/>
    <cellStyle name="Cálculo 4 4 4" xfId="2907"/>
    <cellStyle name="Cálculo 4 4 4 2" xfId="2908"/>
    <cellStyle name="Cálculo 4 4 5" xfId="2909"/>
    <cellStyle name="Cálculo 4 4 5 2" xfId="2910"/>
    <cellStyle name="Cálculo 4 4 6" xfId="2911"/>
    <cellStyle name="Cálculo 4 4 6 2" xfId="2912"/>
    <cellStyle name="Cálculo 4 4 7" xfId="2913"/>
    <cellStyle name="Cálculo 4 4 7 2" xfId="2914"/>
    <cellStyle name="Cálculo 4 4 8" xfId="2915"/>
    <cellStyle name="Cálculo 4 4 8 2" xfId="2916"/>
    <cellStyle name="Cálculo 4 4 9" xfId="2917"/>
    <cellStyle name="Cálculo 4 4 9 2" xfId="2918"/>
    <cellStyle name="Cálculo 4 5" xfId="2919"/>
    <cellStyle name="Cálculo 4 5 10" xfId="2920"/>
    <cellStyle name="Cálculo 4 5 10 2" xfId="2921"/>
    <cellStyle name="Cálculo 4 5 11" xfId="2922"/>
    <cellStyle name="Cálculo 4 5 2" xfId="2923"/>
    <cellStyle name="Cálculo 4 5 2 2" xfId="2924"/>
    <cellStyle name="Cálculo 4 5 3" xfId="2925"/>
    <cellStyle name="Cálculo 4 5 3 2" xfId="2926"/>
    <cellStyle name="Cálculo 4 5 4" xfId="2927"/>
    <cellStyle name="Cálculo 4 5 4 2" xfId="2928"/>
    <cellStyle name="Cálculo 4 5 5" xfId="2929"/>
    <cellStyle name="Cálculo 4 5 5 2" xfId="2930"/>
    <cellStyle name="Cálculo 4 5 6" xfId="2931"/>
    <cellStyle name="Cálculo 4 5 6 2" xfId="2932"/>
    <cellStyle name="Cálculo 4 5 7" xfId="2933"/>
    <cellStyle name="Cálculo 4 5 7 2" xfId="2934"/>
    <cellStyle name="Cálculo 4 5 8" xfId="2935"/>
    <cellStyle name="Cálculo 4 5 8 2" xfId="2936"/>
    <cellStyle name="Cálculo 4 5 9" xfId="2937"/>
    <cellStyle name="Cálculo 4 5 9 2" xfId="2938"/>
    <cellStyle name="Cálculo 4 6" xfId="2939"/>
    <cellStyle name="Cálculo 4 6 10" xfId="2940"/>
    <cellStyle name="Cálculo 4 6 10 2" xfId="2941"/>
    <cellStyle name="Cálculo 4 6 11" xfId="2942"/>
    <cellStyle name="Cálculo 4 6 2" xfId="2943"/>
    <cellStyle name="Cálculo 4 6 2 2" xfId="2944"/>
    <cellStyle name="Cálculo 4 6 3" xfId="2945"/>
    <cellStyle name="Cálculo 4 6 3 2" xfId="2946"/>
    <cellStyle name="Cálculo 4 6 4" xfId="2947"/>
    <cellStyle name="Cálculo 4 6 4 2" xfId="2948"/>
    <cellStyle name="Cálculo 4 6 5" xfId="2949"/>
    <cellStyle name="Cálculo 4 6 5 2" xfId="2950"/>
    <cellStyle name="Cálculo 4 6 6" xfId="2951"/>
    <cellStyle name="Cálculo 4 6 6 2" xfId="2952"/>
    <cellStyle name="Cálculo 4 6 7" xfId="2953"/>
    <cellStyle name="Cálculo 4 6 7 2" xfId="2954"/>
    <cellStyle name="Cálculo 4 6 8" xfId="2955"/>
    <cellStyle name="Cálculo 4 6 8 2" xfId="2956"/>
    <cellStyle name="Cálculo 4 6 9" xfId="2957"/>
    <cellStyle name="Cálculo 4 6 9 2" xfId="2958"/>
    <cellStyle name="Cálculo 4 7" xfId="2959"/>
    <cellStyle name="Cálculo 4 7 2" xfId="2960"/>
    <cellStyle name="Cálculo 4 8" xfId="2961"/>
    <cellStyle name="Cálculo 4 8 2" xfId="2962"/>
    <cellStyle name="Cálculo 4 9" xfId="2963"/>
    <cellStyle name="Cálculo 4 9 2" xfId="2964"/>
    <cellStyle name="Cálculo 5" xfId="2965"/>
    <cellStyle name="Cálculo 5 10" xfId="2966"/>
    <cellStyle name="Cálculo 5 10 2" xfId="2967"/>
    <cellStyle name="Cálculo 5 11" xfId="2968"/>
    <cellStyle name="Cálculo 5 11 2" xfId="2969"/>
    <cellStyle name="Cálculo 5 12" xfId="2970"/>
    <cellStyle name="Cálculo 5 12 2" xfId="2971"/>
    <cellStyle name="Cálculo 5 13" xfId="2972"/>
    <cellStyle name="Cálculo 5 2" xfId="2973"/>
    <cellStyle name="Cálculo 5 2 10" xfId="2974"/>
    <cellStyle name="Cálculo 5 2 10 2" xfId="2975"/>
    <cellStyle name="Cálculo 5 2 11" xfId="2976"/>
    <cellStyle name="Cálculo 5 2 2" xfId="2977"/>
    <cellStyle name="Cálculo 5 2 2 2" xfId="2978"/>
    <cellStyle name="Cálculo 5 2 3" xfId="2979"/>
    <cellStyle name="Cálculo 5 2 3 2" xfId="2980"/>
    <cellStyle name="Cálculo 5 2 4" xfId="2981"/>
    <cellStyle name="Cálculo 5 2 4 2" xfId="2982"/>
    <cellStyle name="Cálculo 5 2 5" xfId="2983"/>
    <cellStyle name="Cálculo 5 2 5 2" xfId="2984"/>
    <cellStyle name="Cálculo 5 2 6" xfId="2985"/>
    <cellStyle name="Cálculo 5 2 6 2" xfId="2986"/>
    <cellStyle name="Cálculo 5 2 7" xfId="2987"/>
    <cellStyle name="Cálculo 5 2 7 2" xfId="2988"/>
    <cellStyle name="Cálculo 5 2 8" xfId="2989"/>
    <cellStyle name="Cálculo 5 2 8 2" xfId="2990"/>
    <cellStyle name="Cálculo 5 2 9" xfId="2991"/>
    <cellStyle name="Cálculo 5 2 9 2" xfId="2992"/>
    <cellStyle name="Cálculo 5 3" xfId="2993"/>
    <cellStyle name="Cálculo 5 3 10" xfId="2994"/>
    <cellStyle name="Cálculo 5 3 10 2" xfId="2995"/>
    <cellStyle name="Cálculo 5 3 11" xfId="2996"/>
    <cellStyle name="Cálculo 5 3 2" xfId="2997"/>
    <cellStyle name="Cálculo 5 3 2 2" xfId="2998"/>
    <cellStyle name="Cálculo 5 3 3" xfId="2999"/>
    <cellStyle name="Cálculo 5 3 3 2" xfId="3000"/>
    <cellStyle name="Cálculo 5 3 4" xfId="3001"/>
    <cellStyle name="Cálculo 5 3 4 2" xfId="3002"/>
    <cellStyle name="Cálculo 5 3 5" xfId="3003"/>
    <cellStyle name="Cálculo 5 3 5 2" xfId="3004"/>
    <cellStyle name="Cálculo 5 3 6" xfId="3005"/>
    <cellStyle name="Cálculo 5 3 6 2" xfId="3006"/>
    <cellStyle name="Cálculo 5 3 7" xfId="3007"/>
    <cellStyle name="Cálculo 5 3 7 2" xfId="3008"/>
    <cellStyle name="Cálculo 5 3 8" xfId="3009"/>
    <cellStyle name="Cálculo 5 3 8 2" xfId="3010"/>
    <cellStyle name="Cálculo 5 3 9" xfId="3011"/>
    <cellStyle name="Cálculo 5 3 9 2" xfId="3012"/>
    <cellStyle name="Cálculo 5 4" xfId="3013"/>
    <cellStyle name="Cálculo 5 4 2" xfId="3014"/>
    <cellStyle name="Cálculo 5 5" xfId="3015"/>
    <cellStyle name="Cálculo 5 5 2" xfId="3016"/>
    <cellStyle name="Cálculo 5 6" xfId="3017"/>
    <cellStyle name="Cálculo 5 6 2" xfId="3018"/>
    <cellStyle name="Cálculo 5 7" xfId="3019"/>
    <cellStyle name="Cálculo 5 7 2" xfId="3020"/>
    <cellStyle name="Cálculo 5 8" xfId="3021"/>
    <cellStyle name="Cálculo 5 8 2" xfId="3022"/>
    <cellStyle name="Cálculo 5 9" xfId="3023"/>
    <cellStyle name="Cálculo 5 9 2" xfId="3024"/>
    <cellStyle name="Cálculo 6" xfId="3025"/>
    <cellStyle name="Cálculo 6 10" xfId="3026"/>
    <cellStyle name="Cálculo 6 10 2" xfId="3027"/>
    <cellStyle name="Cálculo 6 11" xfId="3028"/>
    <cellStyle name="Cálculo 6 11 2" xfId="3029"/>
    <cellStyle name="Cálculo 6 12" xfId="3030"/>
    <cellStyle name="Cálculo 6 12 2" xfId="3031"/>
    <cellStyle name="Cálculo 6 13" xfId="3032"/>
    <cellStyle name="Cálculo 6 2" xfId="3033"/>
    <cellStyle name="Cálculo 6 2 10" xfId="3034"/>
    <cellStyle name="Cálculo 6 2 10 2" xfId="3035"/>
    <cellStyle name="Cálculo 6 2 11" xfId="3036"/>
    <cellStyle name="Cálculo 6 2 2" xfId="3037"/>
    <cellStyle name="Cálculo 6 2 2 2" xfId="3038"/>
    <cellStyle name="Cálculo 6 2 3" xfId="3039"/>
    <cellStyle name="Cálculo 6 2 3 2" xfId="3040"/>
    <cellStyle name="Cálculo 6 2 4" xfId="3041"/>
    <cellStyle name="Cálculo 6 2 4 2" xfId="3042"/>
    <cellStyle name="Cálculo 6 2 5" xfId="3043"/>
    <cellStyle name="Cálculo 6 2 5 2" xfId="3044"/>
    <cellStyle name="Cálculo 6 2 6" xfId="3045"/>
    <cellStyle name="Cálculo 6 2 6 2" xfId="3046"/>
    <cellStyle name="Cálculo 6 2 7" xfId="3047"/>
    <cellStyle name="Cálculo 6 2 7 2" xfId="3048"/>
    <cellStyle name="Cálculo 6 2 8" xfId="3049"/>
    <cellStyle name="Cálculo 6 2 8 2" xfId="3050"/>
    <cellStyle name="Cálculo 6 2 9" xfId="3051"/>
    <cellStyle name="Cálculo 6 2 9 2" xfId="3052"/>
    <cellStyle name="Cálculo 6 3" xfId="3053"/>
    <cellStyle name="Cálculo 6 3 10" xfId="3054"/>
    <cellStyle name="Cálculo 6 3 10 2" xfId="3055"/>
    <cellStyle name="Cálculo 6 3 11" xfId="3056"/>
    <cellStyle name="Cálculo 6 3 2" xfId="3057"/>
    <cellStyle name="Cálculo 6 3 2 2" xfId="3058"/>
    <cellStyle name="Cálculo 6 3 3" xfId="3059"/>
    <cellStyle name="Cálculo 6 3 3 2" xfId="3060"/>
    <cellStyle name="Cálculo 6 3 4" xfId="3061"/>
    <cellStyle name="Cálculo 6 3 4 2" xfId="3062"/>
    <cellStyle name="Cálculo 6 3 5" xfId="3063"/>
    <cellStyle name="Cálculo 6 3 5 2" xfId="3064"/>
    <cellStyle name="Cálculo 6 3 6" xfId="3065"/>
    <cellStyle name="Cálculo 6 3 6 2" xfId="3066"/>
    <cellStyle name="Cálculo 6 3 7" xfId="3067"/>
    <cellStyle name="Cálculo 6 3 7 2" xfId="3068"/>
    <cellStyle name="Cálculo 6 3 8" xfId="3069"/>
    <cellStyle name="Cálculo 6 3 8 2" xfId="3070"/>
    <cellStyle name="Cálculo 6 3 9" xfId="3071"/>
    <cellStyle name="Cálculo 6 3 9 2" xfId="3072"/>
    <cellStyle name="Cálculo 6 4" xfId="3073"/>
    <cellStyle name="Cálculo 6 4 2" xfId="3074"/>
    <cellStyle name="Cálculo 6 5" xfId="3075"/>
    <cellStyle name="Cálculo 6 5 2" xfId="3076"/>
    <cellStyle name="Cálculo 6 6" xfId="3077"/>
    <cellStyle name="Cálculo 6 6 2" xfId="3078"/>
    <cellStyle name="Cálculo 6 7" xfId="3079"/>
    <cellStyle name="Cálculo 6 7 2" xfId="3080"/>
    <cellStyle name="Cálculo 6 8" xfId="3081"/>
    <cellStyle name="Cálculo 6 8 2" xfId="3082"/>
    <cellStyle name="Cálculo 6 9" xfId="3083"/>
    <cellStyle name="Cálculo 6 9 2" xfId="3084"/>
    <cellStyle name="Cálculo 7" xfId="3085"/>
    <cellStyle name="Cálculo 7 10" xfId="3086"/>
    <cellStyle name="Cálculo 7 10 2" xfId="3087"/>
    <cellStyle name="Cálculo 7 11" xfId="3088"/>
    <cellStyle name="Cálculo 7 11 2" xfId="3089"/>
    <cellStyle name="Cálculo 7 12" xfId="3090"/>
    <cellStyle name="Cálculo 7 12 2" xfId="3091"/>
    <cellStyle name="Cálculo 7 13" xfId="3092"/>
    <cellStyle name="Cálculo 7 2" xfId="3093"/>
    <cellStyle name="Cálculo 7 2 10" xfId="3094"/>
    <cellStyle name="Cálculo 7 2 10 2" xfId="3095"/>
    <cellStyle name="Cálculo 7 2 11" xfId="3096"/>
    <cellStyle name="Cálculo 7 2 2" xfId="3097"/>
    <cellStyle name="Cálculo 7 2 2 2" xfId="3098"/>
    <cellStyle name="Cálculo 7 2 3" xfId="3099"/>
    <cellStyle name="Cálculo 7 2 3 2" xfId="3100"/>
    <cellStyle name="Cálculo 7 2 4" xfId="3101"/>
    <cellStyle name="Cálculo 7 2 4 2" xfId="3102"/>
    <cellStyle name="Cálculo 7 2 5" xfId="3103"/>
    <cellStyle name="Cálculo 7 2 5 2" xfId="3104"/>
    <cellStyle name="Cálculo 7 2 6" xfId="3105"/>
    <cellStyle name="Cálculo 7 2 6 2" xfId="3106"/>
    <cellStyle name="Cálculo 7 2 7" xfId="3107"/>
    <cellStyle name="Cálculo 7 2 7 2" xfId="3108"/>
    <cellStyle name="Cálculo 7 2 8" xfId="3109"/>
    <cellStyle name="Cálculo 7 2 8 2" xfId="3110"/>
    <cellStyle name="Cálculo 7 2 9" xfId="3111"/>
    <cellStyle name="Cálculo 7 2 9 2" xfId="3112"/>
    <cellStyle name="Cálculo 7 3" xfId="3113"/>
    <cellStyle name="Cálculo 7 3 10" xfId="3114"/>
    <cellStyle name="Cálculo 7 3 10 2" xfId="3115"/>
    <cellStyle name="Cálculo 7 3 11" xfId="3116"/>
    <cellStyle name="Cálculo 7 3 2" xfId="3117"/>
    <cellStyle name="Cálculo 7 3 2 2" xfId="3118"/>
    <cellStyle name="Cálculo 7 3 3" xfId="3119"/>
    <cellStyle name="Cálculo 7 3 3 2" xfId="3120"/>
    <cellStyle name="Cálculo 7 3 4" xfId="3121"/>
    <cellStyle name="Cálculo 7 3 4 2" xfId="3122"/>
    <cellStyle name="Cálculo 7 3 5" xfId="3123"/>
    <cellStyle name="Cálculo 7 3 5 2" xfId="3124"/>
    <cellStyle name="Cálculo 7 3 6" xfId="3125"/>
    <cellStyle name="Cálculo 7 3 6 2" xfId="3126"/>
    <cellStyle name="Cálculo 7 3 7" xfId="3127"/>
    <cellStyle name="Cálculo 7 3 7 2" xfId="3128"/>
    <cellStyle name="Cálculo 7 3 8" xfId="3129"/>
    <cellStyle name="Cálculo 7 3 8 2" xfId="3130"/>
    <cellStyle name="Cálculo 7 3 9" xfId="3131"/>
    <cellStyle name="Cálculo 7 3 9 2" xfId="3132"/>
    <cellStyle name="Cálculo 7 4" xfId="3133"/>
    <cellStyle name="Cálculo 7 4 2" xfId="3134"/>
    <cellStyle name="Cálculo 7 5" xfId="3135"/>
    <cellStyle name="Cálculo 7 5 2" xfId="3136"/>
    <cellStyle name="Cálculo 7 6" xfId="3137"/>
    <cellStyle name="Cálculo 7 6 2" xfId="3138"/>
    <cellStyle name="Cálculo 7 7" xfId="3139"/>
    <cellStyle name="Cálculo 7 7 2" xfId="3140"/>
    <cellStyle name="Cálculo 7 8" xfId="3141"/>
    <cellStyle name="Cálculo 7 8 2" xfId="3142"/>
    <cellStyle name="Cálculo 7 9" xfId="3143"/>
    <cellStyle name="Cálculo 7 9 2" xfId="3144"/>
    <cellStyle name="Cálculo 8" xfId="3145"/>
    <cellStyle name="Cálculo 9" xfId="41759"/>
    <cellStyle name="Celda de comprobación 2" xfId="119"/>
    <cellStyle name="Celda de comprobación 2 2" xfId="120"/>
    <cellStyle name="Celda de comprobación 2 3" xfId="121"/>
    <cellStyle name="Celda de comprobación 2 4" xfId="3146"/>
    <cellStyle name="Celda de comprobación 3" xfId="122"/>
    <cellStyle name="Celda de comprobación 4" xfId="118"/>
    <cellStyle name="Celda de comprobación 5" xfId="3147"/>
    <cellStyle name="Celda de comprobación 6" xfId="3148"/>
    <cellStyle name="Celda de comprobación 7" xfId="3149"/>
    <cellStyle name="Celda de comprobación 8" xfId="41760"/>
    <cellStyle name="Celda vinculada 2" xfId="124"/>
    <cellStyle name="Celda vinculada 2 2" xfId="125"/>
    <cellStyle name="Celda vinculada 2 3" xfId="126"/>
    <cellStyle name="Celda vinculada 2 4" xfId="3150"/>
    <cellStyle name="Celda vinculada 3" xfId="127"/>
    <cellStyle name="Celda vinculada 4" xfId="123"/>
    <cellStyle name="Celda vinculada 5" xfId="3151"/>
    <cellStyle name="Celda vinculada 6" xfId="3152"/>
    <cellStyle name="Celda vinculada 7" xfId="3153"/>
    <cellStyle name="Celda vinculada 8" xfId="41761"/>
    <cellStyle name="Encabezado 4 2" xfId="129"/>
    <cellStyle name="Encabezado 4 2 2" xfId="130"/>
    <cellStyle name="Encabezado 4 2 3" xfId="131"/>
    <cellStyle name="Encabezado 4 2 4" xfId="3154"/>
    <cellStyle name="Encabezado 4 3" xfId="132"/>
    <cellStyle name="Encabezado 4 4" xfId="128"/>
    <cellStyle name="Encabezado 4 5" xfId="3155"/>
    <cellStyle name="Encabezado 4 6" xfId="3156"/>
    <cellStyle name="Encabezado 4 7" xfId="3157"/>
    <cellStyle name="Encabezado 4 8" xfId="41762"/>
    <cellStyle name="Énfasis1 2" xfId="134"/>
    <cellStyle name="Énfasis1 2 2" xfId="135"/>
    <cellStyle name="Énfasis1 2 3" xfId="136"/>
    <cellStyle name="Énfasis1 2 4" xfId="3158"/>
    <cellStyle name="Énfasis1 3" xfId="137"/>
    <cellStyle name="Énfasis1 4" xfId="133"/>
    <cellStyle name="Énfasis1 5" xfId="3159"/>
    <cellStyle name="Énfasis1 6" xfId="3160"/>
    <cellStyle name="Énfasis1 7" xfId="3161"/>
    <cellStyle name="Énfasis1 8" xfId="41763"/>
    <cellStyle name="Énfasis2 2" xfId="139"/>
    <cellStyle name="Énfasis2 2 2" xfId="140"/>
    <cellStyle name="Énfasis2 2 3" xfId="141"/>
    <cellStyle name="Énfasis2 2 4" xfId="3162"/>
    <cellStyle name="Énfasis2 3" xfId="142"/>
    <cellStyle name="Énfasis2 4" xfId="138"/>
    <cellStyle name="Énfasis2 5" xfId="3163"/>
    <cellStyle name="Énfasis2 6" xfId="3164"/>
    <cellStyle name="Énfasis2 7" xfId="3165"/>
    <cellStyle name="Énfasis2 8" xfId="41764"/>
    <cellStyle name="Énfasis3 2" xfId="144"/>
    <cellStyle name="Énfasis3 2 2" xfId="145"/>
    <cellStyle name="Énfasis3 2 3" xfId="146"/>
    <cellStyle name="Énfasis3 2 4" xfId="3166"/>
    <cellStyle name="Énfasis3 3" xfId="147"/>
    <cellStyle name="Énfasis3 4" xfId="143"/>
    <cellStyle name="Énfasis3 5" xfId="3167"/>
    <cellStyle name="Énfasis3 6" xfId="3168"/>
    <cellStyle name="Énfasis3 7" xfId="3169"/>
    <cellStyle name="Énfasis3 8" xfId="41765"/>
    <cellStyle name="Énfasis4 2" xfId="149"/>
    <cellStyle name="Énfasis4 2 2" xfId="150"/>
    <cellStyle name="Énfasis4 2 3" xfId="151"/>
    <cellStyle name="Énfasis4 2 4" xfId="3170"/>
    <cellStyle name="Énfasis4 3" xfId="152"/>
    <cellStyle name="Énfasis4 4" xfId="148"/>
    <cellStyle name="Énfasis4 5" xfId="3171"/>
    <cellStyle name="Énfasis4 6" xfId="3172"/>
    <cellStyle name="Énfasis4 7" xfId="3173"/>
    <cellStyle name="Énfasis4 8" xfId="41766"/>
    <cellStyle name="Énfasis5 2" xfId="154"/>
    <cellStyle name="Énfasis5 2 2" xfId="155"/>
    <cellStyle name="Énfasis5 2 3" xfId="156"/>
    <cellStyle name="Énfasis5 2 4" xfId="3174"/>
    <cellStyle name="Énfasis5 3" xfId="157"/>
    <cellStyle name="Énfasis5 4" xfId="153"/>
    <cellStyle name="Énfasis5 5" xfId="3175"/>
    <cellStyle name="Énfasis5 6" xfId="3176"/>
    <cellStyle name="Énfasis5 7" xfId="3177"/>
    <cellStyle name="Énfasis5 8" xfId="41767"/>
    <cellStyle name="Énfasis6 2" xfId="159"/>
    <cellStyle name="Énfasis6 2 2" xfId="160"/>
    <cellStyle name="Énfasis6 2 3" xfId="161"/>
    <cellStyle name="Énfasis6 2 4" xfId="3178"/>
    <cellStyle name="Énfasis6 3" xfId="162"/>
    <cellStyle name="Énfasis6 4" xfId="158"/>
    <cellStyle name="Énfasis6 5" xfId="3179"/>
    <cellStyle name="Énfasis6 6" xfId="3180"/>
    <cellStyle name="Énfasis6 7" xfId="3181"/>
    <cellStyle name="Énfasis6 8" xfId="41768"/>
    <cellStyle name="Entrada 2" xfId="164"/>
    <cellStyle name="Entrada 2 10" xfId="3182"/>
    <cellStyle name="Entrada 2 10 2" xfId="3183"/>
    <cellStyle name="Entrada 2 11" xfId="3184"/>
    <cellStyle name="Entrada 2 11 2" xfId="3185"/>
    <cellStyle name="Entrada 2 12" xfId="3186"/>
    <cellStyle name="Entrada 2 12 2" xfId="3187"/>
    <cellStyle name="Entrada 2 13" xfId="3188"/>
    <cellStyle name="Entrada 2 13 2" xfId="3189"/>
    <cellStyle name="Entrada 2 14" xfId="3190"/>
    <cellStyle name="Entrada 2 14 2" xfId="3191"/>
    <cellStyle name="Entrada 2 15" xfId="3192"/>
    <cellStyle name="Entrada 2 15 2" xfId="3193"/>
    <cellStyle name="Entrada 2 16" xfId="3194"/>
    <cellStyle name="Entrada 2 16 2" xfId="3195"/>
    <cellStyle name="Entrada 2 17" xfId="3196"/>
    <cellStyle name="Entrada 2 17 2" xfId="3197"/>
    <cellStyle name="Entrada 2 18" xfId="3198"/>
    <cellStyle name="Entrada 2 18 2" xfId="3199"/>
    <cellStyle name="Entrada 2 19" xfId="3200"/>
    <cellStyle name="Entrada 2 2" xfId="165"/>
    <cellStyle name="Entrada 2 2 10" xfId="3201"/>
    <cellStyle name="Entrada 2 2 10 2" xfId="3202"/>
    <cellStyle name="Entrada 2 2 11" xfId="3203"/>
    <cellStyle name="Entrada 2 2 11 2" xfId="3204"/>
    <cellStyle name="Entrada 2 2 12" xfId="3205"/>
    <cellStyle name="Entrada 2 2 12 2" xfId="3206"/>
    <cellStyle name="Entrada 2 2 13" xfId="3207"/>
    <cellStyle name="Entrada 2 2 13 2" xfId="3208"/>
    <cellStyle name="Entrada 2 2 14" xfId="3209"/>
    <cellStyle name="Entrada 2 2 14 2" xfId="3210"/>
    <cellStyle name="Entrada 2 2 15" xfId="3211"/>
    <cellStyle name="Entrada 2 2 15 2" xfId="3212"/>
    <cellStyle name="Entrada 2 2 16" xfId="3213"/>
    <cellStyle name="Entrada 2 2 17" xfId="3214"/>
    <cellStyle name="Entrada 2 2 18" xfId="3215"/>
    <cellStyle name="Entrada 2 2 2" xfId="295"/>
    <cellStyle name="Entrada 2 2 2 10" xfId="3216"/>
    <cellStyle name="Entrada 2 2 2 10 2" xfId="3217"/>
    <cellStyle name="Entrada 2 2 2 11" xfId="3218"/>
    <cellStyle name="Entrada 2 2 2 11 2" xfId="3219"/>
    <cellStyle name="Entrada 2 2 2 12" xfId="3220"/>
    <cellStyle name="Entrada 2 2 2 12 2" xfId="3221"/>
    <cellStyle name="Entrada 2 2 2 13" xfId="3222"/>
    <cellStyle name="Entrada 2 2 2 13 2" xfId="3223"/>
    <cellStyle name="Entrada 2 2 2 14" xfId="3224"/>
    <cellStyle name="Entrada 2 2 2 14 2" xfId="3225"/>
    <cellStyle name="Entrada 2 2 2 15" xfId="3226"/>
    <cellStyle name="Entrada 2 2 2 16" xfId="3227"/>
    <cellStyle name="Entrada 2 2 2 2" xfId="3228"/>
    <cellStyle name="Entrada 2 2 2 2 10" xfId="3229"/>
    <cellStyle name="Entrada 2 2 2 2 10 2" xfId="3230"/>
    <cellStyle name="Entrada 2 2 2 2 11" xfId="3231"/>
    <cellStyle name="Entrada 2 2 2 2 11 2" xfId="3232"/>
    <cellStyle name="Entrada 2 2 2 2 12" xfId="3233"/>
    <cellStyle name="Entrada 2 2 2 2 12 2" xfId="3234"/>
    <cellStyle name="Entrada 2 2 2 2 13" xfId="3235"/>
    <cellStyle name="Entrada 2 2 2 2 2" xfId="3236"/>
    <cellStyle name="Entrada 2 2 2 2 2 10" xfId="3237"/>
    <cellStyle name="Entrada 2 2 2 2 2 10 2" xfId="3238"/>
    <cellStyle name="Entrada 2 2 2 2 2 11" xfId="3239"/>
    <cellStyle name="Entrada 2 2 2 2 2 2" xfId="3240"/>
    <cellStyle name="Entrada 2 2 2 2 2 2 2" xfId="3241"/>
    <cellStyle name="Entrada 2 2 2 2 2 3" xfId="3242"/>
    <cellStyle name="Entrada 2 2 2 2 2 3 2" xfId="3243"/>
    <cellStyle name="Entrada 2 2 2 2 2 4" xfId="3244"/>
    <cellStyle name="Entrada 2 2 2 2 2 4 2" xfId="3245"/>
    <cellStyle name="Entrada 2 2 2 2 2 5" xfId="3246"/>
    <cellStyle name="Entrada 2 2 2 2 2 5 2" xfId="3247"/>
    <cellStyle name="Entrada 2 2 2 2 2 6" xfId="3248"/>
    <cellStyle name="Entrada 2 2 2 2 2 6 2" xfId="3249"/>
    <cellStyle name="Entrada 2 2 2 2 2 7" xfId="3250"/>
    <cellStyle name="Entrada 2 2 2 2 2 7 2" xfId="3251"/>
    <cellStyle name="Entrada 2 2 2 2 2 8" xfId="3252"/>
    <cellStyle name="Entrada 2 2 2 2 2 8 2" xfId="3253"/>
    <cellStyle name="Entrada 2 2 2 2 2 9" xfId="3254"/>
    <cellStyle name="Entrada 2 2 2 2 2 9 2" xfId="3255"/>
    <cellStyle name="Entrada 2 2 2 2 3" xfId="3256"/>
    <cellStyle name="Entrada 2 2 2 2 3 10" xfId="3257"/>
    <cellStyle name="Entrada 2 2 2 2 3 10 2" xfId="3258"/>
    <cellStyle name="Entrada 2 2 2 2 3 11" xfId="3259"/>
    <cellStyle name="Entrada 2 2 2 2 3 2" xfId="3260"/>
    <cellStyle name="Entrada 2 2 2 2 3 2 2" xfId="3261"/>
    <cellStyle name="Entrada 2 2 2 2 3 3" xfId="3262"/>
    <cellStyle name="Entrada 2 2 2 2 3 3 2" xfId="3263"/>
    <cellStyle name="Entrada 2 2 2 2 3 4" xfId="3264"/>
    <cellStyle name="Entrada 2 2 2 2 3 4 2" xfId="3265"/>
    <cellStyle name="Entrada 2 2 2 2 3 5" xfId="3266"/>
    <cellStyle name="Entrada 2 2 2 2 3 5 2" xfId="3267"/>
    <cellStyle name="Entrada 2 2 2 2 3 6" xfId="3268"/>
    <cellStyle name="Entrada 2 2 2 2 3 6 2" xfId="3269"/>
    <cellStyle name="Entrada 2 2 2 2 3 7" xfId="3270"/>
    <cellStyle name="Entrada 2 2 2 2 3 7 2" xfId="3271"/>
    <cellStyle name="Entrada 2 2 2 2 3 8" xfId="3272"/>
    <cellStyle name="Entrada 2 2 2 2 3 8 2" xfId="3273"/>
    <cellStyle name="Entrada 2 2 2 2 3 9" xfId="3274"/>
    <cellStyle name="Entrada 2 2 2 2 3 9 2" xfId="3275"/>
    <cellStyle name="Entrada 2 2 2 2 4" xfId="3276"/>
    <cellStyle name="Entrada 2 2 2 2 4 2" xfId="3277"/>
    <cellStyle name="Entrada 2 2 2 2 5" xfId="3278"/>
    <cellStyle name="Entrada 2 2 2 2 5 2" xfId="3279"/>
    <cellStyle name="Entrada 2 2 2 2 6" xfId="3280"/>
    <cellStyle name="Entrada 2 2 2 2 6 2" xfId="3281"/>
    <cellStyle name="Entrada 2 2 2 2 7" xfId="3282"/>
    <cellStyle name="Entrada 2 2 2 2 7 2" xfId="3283"/>
    <cellStyle name="Entrada 2 2 2 2 8" xfId="3284"/>
    <cellStyle name="Entrada 2 2 2 2 8 2" xfId="3285"/>
    <cellStyle name="Entrada 2 2 2 2 9" xfId="3286"/>
    <cellStyle name="Entrada 2 2 2 2 9 2" xfId="3287"/>
    <cellStyle name="Entrada 2 2 2 3" xfId="3288"/>
    <cellStyle name="Entrada 2 2 2 3 10" xfId="3289"/>
    <cellStyle name="Entrada 2 2 2 3 10 2" xfId="3290"/>
    <cellStyle name="Entrada 2 2 2 3 11" xfId="3291"/>
    <cellStyle name="Entrada 2 2 2 3 11 2" xfId="3292"/>
    <cellStyle name="Entrada 2 2 2 3 12" xfId="3293"/>
    <cellStyle name="Entrada 2 2 2 3 12 2" xfId="3294"/>
    <cellStyle name="Entrada 2 2 2 3 13" xfId="3295"/>
    <cellStyle name="Entrada 2 2 2 3 2" xfId="3296"/>
    <cellStyle name="Entrada 2 2 2 3 2 10" xfId="3297"/>
    <cellStyle name="Entrada 2 2 2 3 2 10 2" xfId="3298"/>
    <cellStyle name="Entrada 2 2 2 3 2 11" xfId="3299"/>
    <cellStyle name="Entrada 2 2 2 3 2 2" xfId="3300"/>
    <cellStyle name="Entrada 2 2 2 3 2 2 2" xfId="3301"/>
    <cellStyle name="Entrada 2 2 2 3 2 3" xfId="3302"/>
    <cellStyle name="Entrada 2 2 2 3 2 3 2" xfId="3303"/>
    <cellStyle name="Entrada 2 2 2 3 2 4" xfId="3304"/>
    <cellStyle name="Entrada 2 2 2 3 2 4 2" xfId="3305"/>
    <cellStyle name="Entrada 2 2 2 3 2 5" xfId="3306"/>
    <cellStyle name="Entrada 2 2 2 3 2 5 2" xfId="3307"/>
    <cellStyle name="Entrada 2 2 2 3 2 6" xfId="3308"/>
    <cellStyle name="Entrada 2 2 2 3 2 6 2" xfId="3309"/>
    <cellStyle name="Entrada 2 2 2 3 2 7" xfId="3310"/>
    <cellStyle name="Entrada 2 2 2 3 2 7 2" xfId="3311"/>
    <cellStyle name="Entrada 2 2 2 3 2 8" xfId="3312"/>
    <cellStyle name="Entrada 2 2 2 3 2 8 2" xfId="3313"/>
    <cellStyle name="Entrada 2 2 2 3 2 9" xfId="3314"/>
    <cellStyle name="Entrada 2 2 2 3 2 9 2" xfId="3315"/>
    <cellStyle name="Entrada 2 2 2 3 3" xfId="3316"/>
    <cellStyle name="Entrada 2 2 2 3 3 10" xfId="3317"/>
    <cellStyle name="Entrada 2 2 2 3 3 10 2" xfId="3318"/>
    <cellStyle name="Entrada 2 2 2 3 3 11" xfId="3319"/>
    <cellStyle name="Entrada 2 2 2 3 3 2" xfId="3320"/>
    <cellStyle name="Entrada 2 2 2 3 3 2 2" xfId="3321"/>
    <cellStyle name="Entrada 2 2 2 3 3 3" xfId="3322"/>
    <cellStyle name="Entrada 2 2 2 3 3 3 2" xfId="3323"/>
    <cellStyle name="Entrada 2 2 2 3 3 4" xfId="3324"/>
    <cellStyle name="Entrada 2 2 2 3 3 4 2" xfId="3325"/>
    <cellStyle name="Entrada 2 2 2 3 3 5" xfId="3326"/>
    <cellStyle name="Entrada 2 2 2 3 3 5 2" xfId="3327"/>
    <cellStyle name="Entrada 2 2 2 3 3 6" xfId="3328"/>
    <cellStyle name="Entrada 2 2 2 3 3 6 2" xfId="3329"/>
    <cellStyle name="Entrada 2 2 2 3 3 7" xfId="3330"/>
    <cellStyle name="Entrada 2 2 2 3 3 7 2" xfId="3331"/>
    <cellStyle name="Entrada 2 2 2 3 3 8" xfId="3332"/>
    <cellStyle name="Entrada 2 2 2 3 3 8 2" xfId="3333"/>
    <cellStyle name="Entrada 2 2 2 3 3 9" xfId="3334"/>
    <cellStyle name="Entrada 2 2 2 3 3 9 2" xfId="3335"/>
    <cellStyle name="Entrada 2 2 2 3 4" xfId="3336"/>
    <cellStyle name="Entrada 2 2 2 3 4 2" xfId="3337"/>
    <cellStyle name="Entrada 2 2 2 3 5" xfId="3338"/>
    <cellStyle name="Entrada 2 2 2 3 5 2" xfId="3339"/>
    <cellStyle name="Entrada 2 2 2 3 6" xfId="3340"/>
    <cellStyle name="Entrada 2 2 2 3 6 2" xfId="3341"/>
    <cellStyle name="Entrada 2 2 2 3 7" xfId="3342"/>
    <cellStyle name="Entrada 2 2 2 3 7 2" xfId="3343"/>
    <cellStyle name="Entrada 2 2 2 3 8" xfId="3344"/>
    <cellStyle name="Entrada 2 2 2 3 8 2" xfId="3345"/>
    <cellStyle name="Entrada 2 2 2 3 9" xfId="3346"/>
    <cellStyle name="Entrada 2 2 2 3 9 2" xfId="3347"/>
    <cellStyle name="Entrada 2 2 2 4" xfId="3348"/>
    <cellStyle name="Entrada 2 2 2 4 10" xfId="3349"/>
    <cellStyle name="Entrada 2 2 2 4 10 2" xfId="3350"/>
    <cellStyle name="Entrada 2 2 2 4 11" xfId="3351"/>
    <cellStyle name="Entrada 2 2 2 4 2" xfId="3352"/>
    <cellStyle name="Entrada 2 2 2 4 2 2" xfId="3353"/>
    <cellStyle name="Entrada 2 2 2 4 3" xfId="3354"/>
    <cellStyle name="Entrada 2 2 2 4 3 2" xfId="3355"/>
    <cellStyle name="Entrada 2 2 2 4 4" xfId="3356"/>
    <cellStyle name="Entrada 2 2 2 4 4 2" xfId="3357"/>
    <cellStyle name="Entrada 2 2 2 4 5" xfId="3358"/>
    <cellStyle name="Entrada 2 2 2 4 5 2" xfId="3359"/>
    <cellStyle name="Entrada 2 2 2 4 6" xfId="3360"/>
    <cellStyle name="Entrada 2 2 2 4 6 2" xfId="3361"/>
    <cellStyle name="Entrada 2 2 2 4 7" xfId="3362"/>
    <cellStyle name="Entrada 2 2 2 4 7 2" xfId="3363"/>
    <cellStyle name="Entrada 2 2 2 4 8" xfId="3364"/>
    <cellStyle name="Entrada 2 2 2 4 8 2" xfId="3365"/>
    <cellStyle name="Entrada 2 2 2 4 9" xfId="3366"/>
    <cellStyle name="Entrada 2 2 2 4 9 2" xfId="3367"/>
    <cellStyle name="Entrada 2 2 2 5" xfId="3368"/>
    <cellStyle name="Entrada 2 2 2 5 10" xfId="3369"/>
    <cellStyle name="Entrada 2 2 2 5 10 2" xfId="3370"/>
    <cellStyle name="Entrada 2 2 2 5 11" xfId="3371"/>
    <cellStyle name="Entrada 2 2 2 5 2" xfId="3372"/>
    <cellStyle name="Entrada 2 2 2 5 2 2" xfId="3373"/>
    <cellStyle name="Entrada 2 2 2 5 3" xfId="3374"/>
    <cellStyle name="Entrada 2 2 2 5 3 2" xfId="3375"/>
    <cellStyle name="Entrada 2 2 2 5 4" xfId="3376"/>
    <cellStyle name="Entrada 2 2 2 5 4 2" xfId="3377"/>
    <cellStyle name="Entrada 2 2 2 5 5" xfId="3378"/>
    <cellStyle name="Entrada 2 2 2 5 5 2" xfId="3379"/>
    <cellStyle name="Entrada 2 2 2 5 6" xfId="3380"/>
    <cellStyle name="Entrada 2 2 2 5 6 2" xfId="3381"/>
    <cellStyle name="Entrada 2 2 2 5 7" xfId="3382"/>
    <cellStyle name="Entrada 2 2 2 5 7 2" xfId="3383"/>
    <cellStyle name="Entrada 2 2 2 5 8" xfId="3384"/>
    <cellStyle name="Entrada 2 2 2 5 8 2" xfId="3385"/>
    <cellStyle name="Entrada 2 2 2 5 9" xfId="3386"/>
    <cellStyle name="Entrada 2 2 2 5 9 2" xfId="3387"/>
    <cellStyle name="Entrada 2 2 2 6" xfId="3388"/>
    <cellStyle name="Entrada 2 2 2 6 2" xfId="3389"/>
    <cellStyle name="Entrada 2 2 2 7" xfId="3390"/>
    <cellStyle name="Entrada 2 2 2 7 2" xfId="3391"/>
    <cellStyle name="Entrada 2 2 2 8" xfId="3392"/>
    <cellStyle name="Entrada 2 2 2 8 2" xfId="3393"/>
    <cellStyle name="Entrada 2 2 2 9" xfId="3394"/>
    <cellStyle name="Entrada 2 2 2 9 2" xfId="3395"/>
    <cellStyle name="Entrada 2 2 3" xfId="278"/>
    <cellStyle name="Entrada 2 2 3 10" xfId="3396"/>
    <cellStyle name="Entrada 2 2 3 10 2" xfId="3397"/>
    <cellStyle name="Entrada 2 2 3 11" xfId="3398"/>
    <cellStyle name="Entrada 2 2 3 11 2" xfId="3399"/>
    <cellStyle name="Entrada 2 2 3 12" xfId="3400"/>
    <cellStyle name="Entrada 2 2 3 12 2" xfId="3401"/>
    <cellStyle name="Entrada 2 2 3 13" xfId="3402"/>
    <cellStyle name="Entrada 2 2 3 13 2" xfId="3403"/>
    <cellStyle name="Entrada 2 2 3 14" xfId="3404"/>
    <cellStyle name="Entrada 2 2 3 14 2" xfId="3405"/>
    <cellStyle name="Entrada 2 2 3 15" xfId="3406"/>
    <cellStyle name="Entrada 2 2 3 2" xfId="3407"/>
    <cellStyle name="Entrada 2 2 3 2 10" xfId="3408"/>
    <cellStyle name="Entrada 2 2 3 2 10 2" xfId="3409"/>
    <cellStyle name="Entrada 2 2 3 2 11" xfId="3410"/>
    <cellStyle name="Entrada 2 2 3 2 11 2" xfId="3411"/>
    <cellStyle name="Entrada 2 2 3 2 12" xfId="3412"/>
    <cellStyle name="Entrada 2 2 3 2 12 2" xfId="3413"/>
    <cellStyle name="Entrada 2 2 3 2 13" xfId="3414"/>
    <cellStyle name="Entrada 2 2 3 2 2" xfId="3415"/>
    <cellStyle name="Entrada 2 2 3 2 2 10" xfId="3416"/>
    <cellStyle name="Entrada 2 2 3 2 2 10 2" xfId="3417"/>
    <cellStyle name="Entrada 2 2 3 2 2 11" xfId="3418"/>
    <cellStyle name="Entrada 2 2 3 2 2 2" xfId="3419"/>
    <cellStyle name="Entrada 2 2 3 2 2 2 2" xfId="3420"/>
    <cellStyle name="Entrada 2 2 3 2 2 3" xfId="3421"/>
    <cellStyle name="Entrada 2 2 3 2 2 3 2" xfId="3422"/>
    <cellStyle name="Entrada 2 2 3 2 2 4" xfId="3423"/>
    <cellStyle name="Entrada 2 2 3 2 2 4 2" xfId="3424"/>
    <cellStyle name="Entrada 2 2 3 2 2 5" xfId="3425"/>
    <cellStyle name="Entrada 2 2 3 2 2 5 2" xfId="3426"/>
    <cellStyle name="Entrada 2 2 3 2 2 6" xfId="3427"/>
    <cellStyle name="Entrada 2 2 3 2 2 6 2" xfId="3428"/>
    <cellStyle name="Entrada 2 2 3 2 2 7" xfId="3429"/>
    <cellStyle name="Entrada 2 2 3 2 2 7 2" xfId="3430"/>
    <cellStyle name="Entrada 2 2 3 2 2 8" xfId="3431"/>
    <cellStyle name="Entrada 2 2 3 2 2 8 2" xfId="3432"/>
    <cellStyle name="Entrada 2 2 3 2 2 9" xfId="3433"/>
    <cellStyle name="Entrada 2 2 3 2 2 9 2" xfId="3434"/>
    <cellStyle name="Entrada 2 2 3 2 3" xfId="3435"/>
    <cellStyle name="Entrada 2 2 3 2 3 10" xfId="3436"/>
    <cellStyle name="Entrada 2 2 3 2 3 10 2" xfId="3437"/>
    <cellStyle name="Entrada 2 2 3 2 3 11" xfId="3438"/>
    <cellStyle name="Entrada 2 2 3 2 3 2" xfId="3439"/>
    <cellStyle name="Entrada 2 2 3 2 3 2 2" xfId="3440"/>
    <cellStyle name="Entrada 2 2 3 2 3 3" xfId="3441"/>
    <cellStyle name="Entrada 2 2 3 2 3 3 2" xfId="3442"/>
    <cellStyle name="Entrada 2 2 3 2 3 4" xfId="3443"/>
    <cellStyle name="Entrada 2 2 3 2 3 4 2" xfId="3444"/>
    <cellStyle name="Entrada 2 2 3 2 3 5" xfId="3445"/>
    <cellStyle name="Entrada 2 2 3 2 3 5 2" xfId="3446"/>
    <cellStyle name="Entrada 2 2 3 2 3 6" xfId="3447"/>
    <cellStyle name="Entrada 2 2 3 2 3 6 2" xfId="3448"/>
    <cellStyle name="Entrada 2 2 3 2 3 7" xfId="3449"/>
    <cellStyle name="Entrada 2 2 3 2 3 7 2" xfId="3450"/>
    <cellStyle name="Entrada 2 2 3 2 3 8" xfId="3451"/>
    <cellStyle name="Entrada 2 2 3 2 3 8 2" xfId="3452"/>
    <cellStyle name="Entrada 2 2 3 2 3 9" xfId="3453"/>
    <cellStyle name="Entrada 2 2 3 2 3 9 2" xfId="3454"/>
    <cellStyle name="Entrada 2 2 3 2 4" xfId="3455"/>
    <cellStyle name="Entrada 2 2 3 2 4 2" xfId="3456"/>
    <cellStyle name="Entrada 2 2 3 2 5" xfId="3457"/>
    <cellStyle name="Entrada 2 2 3 2 5 2" xfId="3458"/>
    <cellStyle name="Entrada 2 2 3 2 6" xfId="3459"/>
    <cellStyle name="Entrada 2 2 3 2 6 2" xfId="3460"/>
    <cellStyle name="Entrada 2 2 3 2 7" xfId="3461"/>
    <cellStyle name="Entrada 2 2 3 2 7 2" xfId="3462"/>
    <cellStyle name="Entrada 2 2 3 2 8" xfId="3463"/>
    <cellStyle name="Entrada 2 2 3 2 8 2" xfId="3464"/>
    <cellStyle name="Entrada 2 2 3 2 9" xfId="3465"/>
    <cellStyle name="Entrada 2 2 3 2 9 2" xfId="3466"/>
    <cellStyle name="Entrada 2 2 3 3" xfId="3467"/>
    <cellStyle name="Entrada 2 2 3 3 10" xfId="3468"/>
    <cellStyle name="Entrada 2 2 3 3 10 2" xfId="3469"/>
    <cellStyle name="Entrada 2 2 3 3 11" xfId="3470"/>
    <cellStyle name="Entrada 2 2 3 3 11 2" xfId="3471"/>
    <cellStyle name="Entrada 2 2 3 3 12" xfId="3472"/>
    <cellStyle name="Entrada 2 2 3 3 12 2" xfId="3473"/>
    <cellStyle name="Entrada 2 2 3 3 13" xfId="3474"/>
    <cellStyle name="Entrada 2 2 3 3 2" xfId="3475"/>
    <cellStyle name="Entrada 2 2 3 3 2 10" xfId="3476"/>
    <cellStyle name="Entrada 2 2 3 3 2 10 2" xfId="3477"/>
    <cellStyle name="Entrada 2 2 3 3 2 11" xfId="3478"/>
    <cellStyle name="Entrada 2 2 3 3 2 2" xfId="3479"/>
    <cellStyle name="Entrada 2 2 3 3 2 2 2" xfId="3480"/>
    <cellStyle name="Entrada 2 2 3 3 2 3" xfId="3481"/>
    <cellStyle name="Entrada 2 2 3 3 2 3 2" xfId="3482"/>
    <cellStyle name="Entrada 2 2 3 3 2 4" xfId="3483"/>
    <cellStyle name="Entrada 2 2 3 3 2 4 2" xfId="3484"/>
    <cellStyle name="Entrada 2 2 3 3 2 5" xfId="3485"/>
    <cellStyle name="Entrada 2 2 3 3 2 5 2" xfId="3486"/>
    <cellStyle name="Entrada 2 2 3 3 2 6" xfId="3487"/>
    <cellStyle name="Entrada 2 2 3 3 2 6 2" xfId="3488"/>
    <cellStyle name="Entrada 2 2 3 3 2 7" xfId="3489"/>
    <cellStyle name="Entrada 2 2 3 3 2 7 2" xfId="3490"/>
    <cellStyle name="Entrada 2 2 3 3 2 8" xfId="3491"/>
    <cellStyle name="Entrada 2 2 3 3 2 8 2" xfId="3492"/>
    <cellStyle name="Entrada 2 2 3 3 2 9" xfId="3493"/>
    <cellStyle name="Entrada 2 2 3 3 2 9 2" xfId="3494"/>
    <cellStyle name="Entrada 2 2 3 3 3" xfId="3495"/>
    <cellStyle name="Entrada 2 2 3 3 3 10" xfId="3496"/>
    <cellStyle name="Entrada 2 2 3 3 3 10 2" xfId="3497"/>
    <cellStyle name="Entrada 2 2 3 3 3 11" xfId="3498"/>
    <cellStyle name="Entrada 2 2 3 3 3 2" xfId="3499"/>
    <cellStyle name="Entrada 2 2 3 3 3 2 2" xfId="3500"/>
    <cellStyle name="Entrada 2 2 3 3 3 3" xfId="3501"/>
    <cellStyle name="Entrada 2 2 3 3 3 3 2" xfId="3502"/>
    <cellStyle name="Entrada 2 2 3 3 3 4" xfId="3503"/>
    <cellStyle name="Entrada 2 2 3 3 3 4 2" xfId="3504"/>
    <cellStyle name="Entrada 2 2 3 3 3 5" xfId="3505"/>
    <cellStyle name="Entrada 2 2 3 3 3 5 2" xfId="3506"/>
    <cellStyle name="Entrada 2 2 3 3 3 6" xfId="3507"/>
    <cellStyle name="Entrada 2 2 3 3 3 6 2" xfId="3508"/>
    <cellStyle name="Entrada 2 2 3 3 3 7" xfId="3509"/>
    <cellStyle name="Entrada 2 2 3 3 3 7 2" xfId="3510"/>
    <cellStyle name="Entrada 2 2 3 3 3 8" xfId="3511"/>
    <cellStyle name="Entrada 2 2 3 3 3 8 2" xfId="3512"/>
    <cellStyle name="Entrada 2 2 3 3 3 9" xfId="3513"/>
    <cellStyle name="Entrada 2 2 3 3 3 9 2" xfId="3514"/>
    <cellStyle name="Entrada 2 2 3 3 4" xfId="3515"/>
    <cellStyle name="Entrada 2 2 3 3 4 2" xfId="3516"/>
    <cellStyle name="Entrada 2 2 3 3 5" xfId="3517"/>
    <cellStyle name="Entrada 2 2 3 3 5 2" xfId="3518"/>
    <cellStyle name="Entrada 2 2 3 3 6" xfId="3519"/>
    <cellStyle name="Entrada 2 2 3 3 6 2" xfId="3520"/>
    <cellStyle name="Entrada 2 2 3 3 7" xfId="3521"/>
    <cellStyle name="Entrada 2 2 3 3 7 2" xfId="3522"/>
    <cellStyle name="Entrada 2 2 3 3 8" xfId="3523"/>
    <cellStyle name="Entrada 2 2 3 3 8 2" xfId="3524"/>
    <cellStyle name="Entrada 2 2 3 3 9" xfId="3525"/>
    <cellStyle name="Entrada 2 2 3 3 9 2" xfId="3526"/>
    <cellStyle name="Entrada 2 2 3 4" xfId="3527"/>
    <cellStyle name="Entrada 2 2 3 4 10" xfId="3528"/>
    <cellStyle name="Entrada 2 2 3 4 10 2" xfId="3529"/>
    <cellStyle name="Entrada 2 2 3 4 11" xfId="3530"/>
    <cellStyle name="Entrada 2 2 3 4 2" xfId="3531"/>
    <cellStyle name="Entrada 2 2 3 4 2 2" xfId="3532"/>
    <cellStyle name="Entrada 2 2 3 4 3" xfId="3533"/>
    <cellStyle name="Entrada 2 2 3 4 3 2" xfId="3534"/>
    <cellStyle name="Entrada 2 2 3 4 4" xfId="3535"/>
    <cellStyle name="Entrada 2 2 3 4 4 2" xfId="3536"/>
    <cellStyle name="Entrada 2 2 3 4 5" xfId="3537"/>
    <cellStyle name="Entrada 2 2 3 4 5 2" xfId="3538"/>
    <cellStyle name="Entrada 2 2 3 4 6" xfId="3539"/>
    <cellStyle name="Entrada 2 2 3 4 6 2" xfId="3540"/>
    <cellStyle name="Entrada 2 2 3 4 7" xfId="3541"/>
    <cellStyle name="Entrada 2 2 3 4 7 2" xfId="3542"/>
    <cellStyle name="Entrada 2 2 3 4 8" xfId="3543"/>
    <cellStyle name="Entrada 2 2 3 4 8 2" xfId="3544"/>
    <cellStyle name="Entrada 2 2 3 4 9" xfId="3545"/>
    <cellStyle name="Entrada 2 2 3 4 9 2" xfId="3546"/>
    <cellStyle name="Entrada 2 2 3 5" xfId="3547"/>
    <cellStyle name="Entrada 2 2 3 5 10" xfId="3548"/>
    <cellStyle name="Entrada 2 2 3 5 10 2" xfId="3549"/>
    <cellStyle name="Entrada 2 2 3 5 11" xfId="3550"/>
    <cellStyle name="Entrada 2 2 3 5 2" xfId="3551"/>
    <cellStyle name="Entrada 2 2 3 5 2 2" xfId="3552"/>
    <cellStyle name="Entrada 2 2 3 5 3" xfId="3553"/>
    <cellStyle name="Entrada 2 2 3 5 3 2" xfId="3554"/>
    <cellStyle name="Entrada 2 2 3 5 4" xfId="3555"/>
    <cellStyle name="Entrada 2 2 3 5 4 2" xfId="3556"/>
    <cellStyle name="Entrada 2 2 3 5 5" xfId="3557"/>
    <cellStyle name="Entrada 2 2 3 5 5 2" xfId="3558"/>
    <cellStyle name="Entrada 2 2 3 5 6" xfId="3559"/>
    <cellStyle name="Entrada 2 2 3 5 6 2" xfId="3560"/>
    <cellStyle name="Entrada 2 2 3 5 7" xfId="3561"/>
    <cellStyle name="Entrada 2 2 3 5 7 2" xfId="3562"/>
    <cellStyle name="Entrada 2 2 3 5 8" xfId="3563"/>
    <cellStyle name="Entrada 2 2 3 5 8 2" xfId="3564"/>
    <cellStyle name="Entrada 2 2 3 5 9" xfId="3565"/>
    <cellStyle name="Entrada 2 2 3 5 9 2" xfId="3566"/>
    <cellStyle name="Entrada 2 2 3 6" xfId="3567"/>
    <cellStyle name="Entrada 2 2 3 6 2" xfId="3568"/>
    <cellStyle name="Entrada 2 2 3 7" xfId="3569"/>
    <cellStyle name="Entrada 2 2 3 7 2" xfId="3570"/>
    <cellStyle name="Entrada 2 2 3 8" xfId="3571"/>
    <cellStyle name="Entrada 2 2 3 8 2" xfId="3572"/>
    <cellStyle name="Entrada 2 2 3 9" xfId="3573"/>
    <cellStyle name="Entrada 2 2 3 9 2" xfId="3574"/>
    <cellStyle name="Entrada 2 2 4" xfId="3575"/>
    <cellStyle name="Entrada 2 2 4 10" xfId="3576"/>
    <cellStyle name="Entrada 2 2 4 10 2" xfId="3577"/>
    <cellStyle name="Entrada 2 2 4 11" xfId="3578"/>
    <cellStyle name="Entrada 2 2 4 11 2" xfId="3579"/>
    <cellStyle name="Entrada 2 2 4 12" xfId="3580"/>
    <cellStyle name="Entrada 2 2 4 12 2" xfId="3581"/>
    <cellStyle name="Entrada 2 2 4 13" xfId="3582"/>
    <cellStyle name="Entrada 2 2 4 2" xfId="3583"/>
    <cellStyle name="Entrada 2 2 4 2 10" xfId="3584"/>
    <cellStyle name="Entrada 2 2 4 2 10 2" xfId="3585"/>
    <cellStyle name="Entrada 2 2 4 2 11" xfId="3586"/>
    <cellStyle name="Entrada 2 2 4 2 2" xfId="3587"/>
    <cellStyle name="Entrada 2 2 4 2 2 2" xfId="3588"/>
    <cellStyle name="Entrada 2 2 4 2 3" xfId="3589"/>
    <cellStyle name="Entrada 2 2 4 2 3 2" xfId="3590"/>
    <cellStyle name="Entrada 2 2 4 2 4" xfId="3591"/>
    <cellStyle name="Entrada 2 2 4 2 4 2" xfId="3592"/>
    <cellStyle name="Entrada 2 2 4 2 5" xfId="3593"/>
    <cellStyle name="Entrada 2 2 4 2 5 2" xfId="3594"/>
    <cellStyle name="Entrada 2 2 4 2 6" xfId="3595"/>
    <cellStyle name="Entrada 2 2 4 2 6 2" xfId="3596"/>
    <cellStyle name="Entrada 2 2 4 2 7" xfId="3597"/>
    <cellStyle name="Entrada 2 2 4 2 7 2" xfId="3598"/>
    <cellStyle name="Entrada 2 2 4 2 8" xfId="3599"/>
    <cellStyle name="Entrada 2 2 4 2 8 2" xfId="3600"/>
    <cellStyle name="Entrada 2 2 4 2 9" xfId="3601"/>
    <cellStyle name="Entrada 2 2 4 2 9 2" xfId="3602"/>
    <cellStyle name="Entrada 2 2 4 3" xfId="3603"/>
    <cellStyle name="Entrada 2 2 4 3 10" xfId="3604"/>
    <cellStyle name="Entrada 2 2 4 3 10 2" xfId="3605"/>
    <cellStyle name="Entrada 2 2 4 3 11" xfId="3606"/>
    <cellStyle name="Entrada 2 2 4 3 2" xfId="3607"/>
    <cellStyle name="Entrada 2 2 4 3 2 2" xfId="3608"/>
    <cellStyle name="Entrada 2 2 4 3 3" xfId="3609"/>
    <cellStyle name="Entrada 2 2 4 3 3 2" xfId="3610"/>
    <cellStyle name="Entrada 2 2 4 3 4" xfId="3611"/>
    <cellStyle name="Entrada 2 2 4 3 4 2" xfId="3612"/>
    <cellStyle name="Entrada 2 2 4 3 5" xfId="3613"/>
    <cellStyle name="Entrada 2 2 4 3 5 2" xfId="3614"/>
    <cellStyle name="Entrada 2 2 4 3 6" xfId="3615"/>
    <cellStyle name="Entrada 2 2 4 3 6 2" xfId="3616"/>
    <cellStyle name="Entrada 2 2 4 3 7" xfId="3617"/>
    <cellStyle name="Entrada 2 2 4 3 7 2" xfId="3618"/>
    <cellStyle name="Entrada 2 2 4 3 8" xfId="3619"/>
    <cellStyle name="Entrada 2 2 4 3 8 2" xfId="3620"/>
    <cellStyle name="Entrada 2 2 4 3 9" xfId="3621"/>
    <cellStyle name="Entrada 2 2 4 3 9 2" xfId="3622"/>
    <cellStyle name="Entrada 2 2 4 4" xfId="3623"/>
    <cellStyle name="Entrada 2 2 4 4 2" xfId="3624"/>
    <cellStyle name="Entrada 2 2 4 5" xfId="3625"/>
    <cellStyle name="Entrada 2 2 4 5 2" xfId="3626"/>
    <cellStyle name="Entrada 2 2 4 6" xfId="3627"/>
    <cellStyle name="Entrada 2 2 4 6 2" xfId="3628"/>
    <cellStyle name="Entrada 2 2 4 7" xfId="3629"/>
    <cellStyle name="Entrada 2 2 4 7 2" xfId="3630"/>
    <cellStyle name="Entrada 2 2 4 8" xfId="3631"/>
    <cellStyle name="Entrada 2 2 4 8 2" xfId="3632"/>
    <cellStyle name="Entrada 2 2 4 9" xfId="3633"/>
    <cellStyle name="Entrada 2 2 4 9 2" xfId="3634"/>
    <cellStyle name="Entrada 2 2 5" xfId="3635"/>
    <cellStyle name="Entrada 2 2 5 10" xfId="3636"/>
    <cellStyle name="Entrada 2 2 5 10 2" xfId="3637"/>
    <cellStyle name="Entrada 2 2 5 11" xfId="3638"/>
    <cellStyle name="Entrada 2 2 5 11 2" xfId="3639"/>
    <cellStyle name="Entrada 2 2 5 12" xfId="3640"/>
    <cellStyle name="Entrada 2 2 5 12 2" xfId="3641"/>
    <cellStyle name="Entrada 2 2 5 13" xfId="3642"/>
    <cellStyle name="Entrada 2 2 5 2" xfId="3643"/>
    <cellStyle name="Entrada 2 2 5 2 10" xfId="3644"/>
    <cellStyle name="Entrada 2 2 5 2 10 2" xfId="3645"/>
    <cellStyle name="Entrada 2 2 5 2 11" xfId="3646"/>
    <cellStyle name="Entrada 2 2 5 2 2" xfId="3647"/>
    <cellStyle name="Entrada 2 2 5 2 2 2" xfId="3648"/>
    <cellStyle name="Entrada 2 2 5 2 3" xfId="3649"/>
    <cellStyle name="Entrada 2 2 5 2 3 2" xfId="3650"/>
    <cellStyle name="Entrada 2 2 5 2 4" xfId="3651"/>
    <cellStyle name="Entrada 2 2 5 2 4 2" xfId="3652"/>
    <cellStyle name="Entrada 2 2 5 2 5" xfId="3653"/>
    <cellStyle name="Entrada 2 2 5 2 5 2" xfId="3654"/>
    <cellStyle name="Entrada 2 2 5 2 6" xfId="3655"/>
    <cellStyle name="Entrada 2 2 5 2 6 2" xfId="3656"/>
    <cellStyle name="Entrada 2 2 5 2 7" xfId="3657"/>
    <cellStyle name="Entrada 2 2 5 2 7 2" xfId="3658"/>
    <cellStyle name="Entrada 2 2 5 2 8" xfId="3659"/>
    <cellStyle name="Entrada 2 2 5 2 8 2" xfId="3660"/>
    <cellStyle name="Entrada 2 2 5 2 9" xfId="3661"/>
    <cellStyle name="Entrada 2 2 5 2 9 2" xfId="3662"/>
    <cellStyle name="Entrada 2 2 5 3" xfId="3663"/>
    <cellStyle name="Entrada 2 2 5 3 10" xfId="3664"/>
    <cellStyle name="Entrada 2 2 5 3 10 2" xfId="3665"/>
    <cellStyle name="Entrada 2 2 5 3 11" xfId="3666"/>
    <cellStyle name="Entrada 2 2 5 3 2" xfId="3667"/>
    <cellStyle name="Entrada 2 2 5 3 2 2" xfId="3668"/>
    <cellStyle name="Entrada 2 2 5 3 3" xfId="3669"/>
    <cellStyle name="Entrada 2 2 5 3 3 2" xfId="3670"/>
    <cellStyle name="Entrada 2 2 5 3 4" xfId="3671"/>
    <cellStyle name="Entrada 2 2 5 3 4 2" xfId="3672"/>
    <cellStyle name="Entrada 2 2 5 3 5" xfId="3673"/>
    <cellStyle name="Entrada 2 2 5 3 5 2" xfId="3674"/>
    <cellStyle name="Entrada 2 2 5 3 6" xfId="3675"/>
    <cellStyle name="Entrada 2 2 5 3 6 2" xfId="3676"/>
    <cellStyle name="Entrada 2 2 5 3 7" xfId="3677"/>
    <cellStyle name="Entrada 2 2 5 3 7 2" xfId="3678"/>
    <cellStyle name="Entrada 2 2 5 3 8" xfId="3679"/>
    <cellStyle name="Entrada 2 2 5 3 8 2" xfId="3680"/>
    <cellStyle name="Entrada 2 2 5 3 9" xfId="3681"/>
    <cellStyle name="Entrada 2 2 5 3 9 2" xfId="3682"/>
    <cellStyle name="Entrada 2 2 5 4" xfId="3683"/>
    <cellStyle name="Entrada 2 2 5 4 2" xfId="3684"/>
    <cellStyle name="Entrada 2 2 5 5" xfId="3685"/>
    <cellStyle name="Entrada 2 2 5 5 2" xfId="3686"/>
    <cellStyle name="Entrada 2 2 5 6" xfId="3687"/>
    <cellStyle name="Entrada 2 2 5 6 2" xfId="3688"/>
    <cellStyle name="Entrada 2 2 5 7" xfId="3689"/>
    <cellStyle name="Entrada 2 2 5 7 2" xfId="3690"/>
    <cellStyle name="Entrada 2 2 5 8" xfId="3691"/>
    <cellStyle name="Entrada 2 2 5 8 2" xfId="3692"/>
    <cellStyle name="Entrada 2 2 5 9" xfId="3693"/>
    <cellStyle name="Entrada 2 2 5 9 2" xfId="3694"/>
    <cellStyle name="Entrada 2 2 6" xfId="3695"/>
    <cellStyle name="Entrada 2 2 6 2" xfId="3696"/>
    <cellStyle name="Entrada 2 2 7" xfId="3697"/>
    <cellStyle name="Entrada 2 2 7 2" xfId="3698"/>
    <cellStyle name="Entrada 2 2 8" xfId="3699"/>
    <cellStyle name="Entrada 2 2 8 2" xfId="3700"/>
    <cellStyle name="Entrada 2 2 9" xfId="3701"/>
    <cellStyle name="Entrada 2 2 9 2" xfId="3702"/>
    <cellStyle name="Entrada 2 20" xfId="3703"/>
    <cellStyle name="Entrada 2 21" xfId="3704"/>
    <cellStyle name="Entrada 2 3" xfId="166"/>
    <cellStyle name="Entrada 2 3 10" xfId="3705"/>
    <cellStyle name="Entrada 2 3 10 2" xfId="3706"/>
    <cellStyle name="Entrada 2 3 11" xfId="3707"/>
    <cellStyle name="Entrada 2 3 11 2" xfId="3708"/>
    <cellStyle name="Entrada 2 3 12" xfId="3709"/>
    <cellStyle name="Entrada 2 3 12 2" xfId="3710"/>
    <cellStyle name="Entrada 2 3 13" xfId="3711"/>
    <cellStyle name="Entrada 2 3 13 2" xfId="3712"/>
    <cellStyle name="Entrada 2 3 14" xfId="3713"/>
    <cellStyle name="Entrada 2 3 14 2" xfId="3714"/>
    <cellStyle name="Entrada 2 3 15" xfId="3715"/>
    <cellStyle name="Entrada 2 3 16" xfId="3716"/>
    <cellStyle name="Entrada 2 3 17" xfId="3717"/>
    <cellStyle name="Entrada 2 3 2" xfId="296"/>
    <cellStyle name="Entrada 2 3 2 10" xfId="3718"/>
    <cellStyle name="Entrada 2 3 2 10 2" xfId="3719"/>
    <cellStyle name="Entrada 2 3 2 11" xfId="3720"/>
    <cellStyle name="Entrada 2 3 2 11 2" xfId="3721"/>
    <cellStyle name="Entrada 2 3 2 12" xfId="3722"/>
    <cellStyle name="Entrada 2 3 2 12 2" xfId="3723"/>
    <cellStyle name="Entrada 2 3 2 13" xfId="3724"/>
    <cellStyle name="Entrada 2 3 2 13 2" xfId="3725"/>
    <cellStyle name="Entrada 2 3 2 14" xfId="3726"/>
    <cellStyle name="Entrada 2 3 2 14 2" xfId="3727"/>
    <cellStyle name="Entrada 2 3 2 15" xfId="3728"/>
    <cellStyle name="Entrada 2 3 2 16" xfId="3729"/>
    <cellStyle name="Entrada 2 3 2 2" xfId="3730"/>
    <cellStyle name="Entrada 2 3 2 2 10" xfId="3731"/>
    <cellStyle name="Entrada 2 3 2 2 10 2" xfId="3732"/>
    <cellStyle name="Entrada 2 3 2 2 11" xfId="3733"/>
    <cellStyle name="Entrada 2 3 2 2 11 2" xfId="3734"/>
    <cellStyle name="Entrada 2 3 2 2 12" xfId="3735"/>
    <cellStyle name="Entrada 2 3 2 2 12 2" xfId="3736"/>
    <cellStyle name="Entrada 2 3 2 2 13" xfId="3737"/>
    <cellStyle name="Entrada 2 3 2 2 2" xfId="3738"/>
    <cellStyle name="Entrada 2 3 2 2 2 10" xfId="3739"/>
    <cellStyle name="Entrada 2 3 2 2 2 10 2" xfId="3740"/>
    <cellStyle name="Entrada 2 3 2 2 2 11" xfId="3741"/>
    <cellStyle name="Entrada 2 3 2 2 2 2" xfId="3742"/>
    <cellStyle name="Entrada 2 3 2 2 2 2 2" xfId="3743"/>
    <cellStyle name="Entrada 2 3 2 2 2 3" xfId="3744"/>
    <cellStyle name="Entrada 2 3 2 2 2 3 2" xfId="3745"/>
    <cellStyle name="Entrada 2 3 2 2 2 4" xfId="3746"/>
    <cellStyle name="Entrada 2 3 2 2 2 4 2" xfId="3747"/>
    <cellStyle name="Entrada 2 3 2 2 2 5" xfId="3748"/>
    <cellStyle name="Entrada 2 3 2 2 2 5 2" xfId="3749"/>
    <cellStyle name="Entrada 2 3 2 2 2 6" xfId="3750"/>
    <cellStyle name="Entrada 2 3 2 2 2 6 2" xfId="3751"/>
    <cellStyle name="Entrada 2 3 2 2 2 7" xfId="3752"/>
    <cellStyle name="Entrada 2 3 2 2 2 7 2" xfId="3753"/>
    <cellStyle name="Entrada 2 3 2 2 2 8" xfId="3754"/>
    <cellStyle name="Entrada 2 3 2 2 2 8 2" xfId="3755"/>
    <cellStyle name="Entrada 2 3 2 2 2 9" xfId="3756"/>
    <cellStyle name="Entrada 2 3 2 2 2 9 2" xfId="3757"/>
    <cellStyle name="Entrada 2 3 2 2 3" xfId="3758"/>
    <cellStyle name="Entrada 2 3 2 2 3 10" xfId="3759"/>
    <cellStyle name="Entrada 2 3 2 2 3 10 2" xfId="3760"/>
    <cellStyle name="Entrada 2 3 2 2 3 11" xfId="3761"/>
    <cellStyle name="Entrada 2 3 2 2 3 2" xfId="3762"/>
    <cellStyle name="Entrada 2 3 2 2 3 2 2" xfId="3763"/>
    <cellStyle name="Entrada 2 3 2 2 3 3" xfId="3764"/>
    <cellStyle name="Entrada 2 3 2 2 3 3 2" xfId="3765"/>
    <cellStyle name="Entrada 2 3 2 2 3 4" xfId="3766"/>
    <cellStyle name="Entrada 2 3 2 2 3 4 2" xfId="3767"/>
    <cellStyle name="Entrada 2 3 2 2 3 5" xfId="3768"/>
    <cellStyle name="Entrada 2 3 2 2 3 5 2" xfId="3769"/>
    <cellStyle name="Entrada 2 3 2 2 3 6" xfId="3770"/>
    <cellStyle name="Entrada 2 3 2 2 3 6 2" xfId="3771"/>
    <cellStyle name="Entrada 2 3 2 2 3 7" xfId="3772"/>
    <cellStyle name="Entrada 2 3 2 2 3 7 2" xfId="3773"/>
    <cellStyle name="Entrada 2 3 2 2 3 8" xfId="3774"/>
    <cellStyle name="Entrada 2 3 2 2 3 8 2" xfId="3775"/>
    <cellStyle name="Entrada 2 3 2 2 3 9" xfId="3776"/>
    <cellStyle name="Entrada 2 3 2 2 3 9 2" xfId="3777"/>
    <cellStyle name="Entrada 2 3 2 2 4" xfId="3778"/>
    <cellStyle name="Entrada 2 3 2 2 4 2" xfId="3779"/>
    <cellStyle name="Entrada 2 3 2 2 5" xfId="3780"/>
    <cellStyle name="Entrada 2 3 2 2 5 2" xfId="3781"/>
    <cellStyle name="Entrada 2 3 2 2 6" xfId="3782"/>
    <cellStyle name="Entrada 2 3 2 2 6 2" xfId="3783"/>
    <cellStyle name="Entrada 2 3 2 2 7" xfId="3784"/>
    <cellStyle name="Entrada 2 3 2 2 7 2" xfId="3785"/>
    <cellStyle name="Entrada 2 3 2 2 8" xfId="3786"/>
    <cellStyle name="Entrada 2 3 2 2 8 2" xfId="3787"/>
    <cellStyle name="Entrada 2 3 2 2 9" xfId="3788"/>
    <cellStyle name="Entrada 2 3 2 2 9 2" xfId="3789"/>
    <cellStyle name="Entrada 2 3 2 3" xfId="3790"/>
    <cellStyle name="Entrada 2 3 2 3 10" xfId="3791"/>
    <cellStyle name="Entrada 2 3 2 3 10 2" xfId="3792"/>
    <cellStyle name="Entrada 2 3 2 3 11" xfId="3793"/>
    <cellStyle name="Entrada 2 3 2 3 11 2" xfId="3794"/>
    <cellStyle name="Entrada 2 3 2 3 12" xfId="3795"/>
    <cellStyle name="Entrada 2 3 2 3 12 2" xfId="3796"/>
    <cellStyle name="Entrada 2 3 2 3 13" xfId="3797"/>
    <cellStyle name="Entrada 2 3 2 3 2" xfId="3798"/>
    <cellStyle name="Entrada 2 3 2 3 2 10" xfId="3799"/>
    <cellStyle name="Entrada 2 3 2 3 2 10 2" xfId="3800"/>
    <cellStyle name="Entrada 2 3 2 3 2 11" xfId="3801"/>
    <cellStyle name="Entrada 2 3 2 3 2 2" xfId="3802"/>
    <cellStyle name="Entrada 2 3 2 3 2 2 2" xfId="3803"/>
    <cellStyle name="Entrada 2 3 2 3 2 3" xfId="3804"/>
    <cellStyle name="Entrada 2 3 2 3 2 3 2" xfId="3805"/>
    <cellStyle name="Entrada 2 3 2 3 2 4" xfId="3806"/>
    <cellStyle name="Entrada 2 3 2 3 2 4 2" xfId="3807"/>
    <cellStyle name="Entrada 2 3 2 3 2 5" xfId="3808"/>
    <cellStyle name="Entrada 2 3 2 3 2 5 2" xfId="3809"/>
    <cellStyle name="Entrada 2 3 2 3 2 6" xfId="3810"/>
    <cellStyle name="Entrada 2 3 2 3 2 6 2" xfId="3811"/>
    <cellStyle name="Entrada 2 3 2 3 2 7" xfId="3812"/>
    <cellStyle name="Entrada 2 3 2 3 2 7 2" xfId="3813"/>
    <cellStyle name="Entrada 2 3 2 3 2 8" xfId="3814"/>
    <cellStyle name="Entrada 2 3 2 3 2 8 2" xfId="3815"/>
    <cellStyle name="Entrada 2 3 2 3 2 9" xfId="3816"/>
    <cellStyle name="Entrada 2 3 2 3 2 9 2" xfId="3817"/>
    <cellStyle name="Entrada 2 3 2 3 3" xfId="3818"/>
    <cellStyle name="Entrada 2 3 2 3 3 10" xfId="3819"/>
    <cellStyle name="Entrada 2 3 2 3 3 10 2" xfId="3820"/>
    <cellStyle name="Entrada 2 3 2 3 3 11" xfId="3821"/>
    <cellStyle name="Entrada 2 3 2 3 3 2" xfId="3822"/>
    <cellStyle name="Entrada 2 3 2 3 3 2 2" xfId="3823"/>
    <cellStyle name="Entrada 2 3 2 3 3 3" xfId="3824"/>
    <cellStyle name="Entrada 2 3 2 3 3 3 2" xfId="3825"/>
    <cellStyle name="Entrada 2 3 2 3 3 4" xfId="3826"/>
    <cellStyle name="Entrada 2 3 2 3 3 4 2" xfId="3827"/>
    <cellStyle name="Entrada 2 3 2 3 3 5" xfId="3828"/>
    <cellStyle name="Entrada 2 3 2 3 3 5 2" xfId="3829"/>
    <cellStyle name="Entrada 2 3 2 3 3 6" xfId="3830"/>
    <cellStyle name="Entrada 2 3 2 3 3 6 2" xfId="3831"/>
    <cellStyle name="Entrada 2 3 2 3 3 7" xfId="3832"/>
    <cellStyle name="Entrada 2 3 2 3 3 7 2" xfId="3833"/>
    <cellStyle name="Entrada 2 3 2 3 3 8" xfId="3834"/>
    <cellStyle name="Entrada 2 3 2 3 3 8 2" xfId="3835"/>
    <cellStyle name="Entrada 2 3 2 3 3 9" xfId="3836"/>
    <cellStyle name="Entrada 2 3 2 3 3 9 2" xfId="3837"/>
    <cellStyle name="Entrada 2 3 2 3 4" xfId="3838"/>
    <cellStyle name="Entrada 2 3 2 3 4 2" xfId="3839"/>
    <cellStyle name="Entrada 2 3 2 3 5" xfId="3840"/>
    <cellStyle name="Entrada 2 3 2 3 5 2" xfId="3841"/>
    <cellStyle name="Entrada 2 3 2 3 6" xfId="3842"/>
    <cellStyle name="Entrada 2 3 2 3 6 2" xfId="3843"/>
    <cellStyle name="Entrada 2 3 2 3 7" xfId="3844"/>
    <cellStyle name="Entrada 2 3 2 3 7 2" xfId="3845"/>
    <cellStyle name="Entrada 2 3 2 3 8" xfId="3846"/>
    <cellStyle name="Entrada 2 3 2 3 8 2" xfId="3847"/>
    <cellStyle name="Entrada 2 3 2 3 9" xfId="3848"/>
    <cellStyle name="Entrada 2 3 2 3 9 2" xfId="3849"/>
    <cellStyle name="Entrada 2 3 2 4" xfId="3850"/>
    <cellStyle name="Entrada 2 3 2 4 10" xfId="3851"/>
    <cellStyle name="Entrada 2 3 2 4 10 2" xfId="3852"/>
    <cellStyle name="Entrada 2 3 2 4 11" xfId="3853"/>
    <cellStyle name="Entrada 2 3 2 4 2" xfId="3854"/>
    <cellStyle name="Entrada 2 3 2 4 2 2" xfId="3855"/>
    <cellStyle name="Entrada 2 3 2 4 3" xfId="3856"/>
    <cellStyle name="Entrada 2 3 2 4 3 2" xfId="3857"/>
    <cellStyle name="Entrada 2 3 2 4 4" xfId="3858"/>
    <cellStyle name="Entrada 2 3 2 4 4 2" xfId="3859"/>
    <cellStyle name="Entrada 2 3 2 4 5" xfId="3860"/>
    <cellStyle name="Entrada 2 3 2 4 5 2" xfId="3861"/>
    <cellStyle name="Entrada 2 3 2 4 6" xfId="3862"/>
    <cellStyle name="Entrada 2 3 2 4 6 2" xfId="3863"/>
    <cellStyle name="Entrada 2 3 2 4 7" xfId="3864"/>
    <cellStyle name="Entrada 2 3 2 4 7 2" xfId="3865"/>
    <cellStyle name="Entrada 2 3 2 4 8" xfId="3866"/>
    <cellStyle name="Entrada 2 3 2 4 8 2" xfId="3867"/>
    <cellStyle name="Entrada 2 3 2 4 9" xfId="3868"/>
    <cellStyle name="Entrada 2 3 2 4 9 2" xfId="3869"/>
    <cellStyle name="Entrada 2 3 2 5" xfId="3870"/>
    <cellStyle name="Entrada 2 3 2 5 10" xfId="3871"/>
    <cellStyle name="Entrada 2 3 2 5 10 2" xfId="3872"/>
    <cellStyle name="Entrada 2 3 2 5 11" xfId="3873"/>
    <cellStyle name="Entrada 2 3 2 5 2" xfId="3874"/>
    <cellStyle name="Entrada 2 3 2 5 2 2" xfId="3875"/>
    <cellStyle name="Entrada 2 3 2 5 3" xfId="3876"/>
    <cellStyle name="Entrada 2 3 2 5 3 2" xfId="3877"/>
    <cellStyle name="Entrada 2 3 2 5 4" xfId="3878"/>
    <cellStyle name="Entrada 2 3 2 5 4 2" xfId="3879"/>
    <cellStyle name="Entrada 2 3 2 5 5" xfId="3880"/>
    <cellStyle name="Entrada 2 3 2 5 5 2" xfId="3881"/>
    <cellStyle name="Entrada 2 3 2 5 6" xfId="3882"/>
    <cellStyle name="Entrada 2 3 2 5 6 2" xfId="3883"/>
    <cellStyle name="Entrada 2 3 2 5 7" xfId="3884"/>
    <cellStyle name="Entrada 2 3 2 5 7 2" xfId="3885"/>
    <cellStyle name="Entrada 2 3 2 5 8" xfId="3886"/>
    <cellStyle name="Entrada 2 3 2 5 8 2" xfId="3887"/>
    <cellStyle name="Entrada 2 3 2 5 9" xfId="3888"/>
    <cellStyle name="Entrada 2 3 2 5 9 2" xfId="3889"/>
    <cellStyle name="Entrada 2 3 2 6" xfId="3890"/>
    <cellStyle name="Entrada 2 3 2 6 2" xfId="3891"/>
    <cellStyle name="Entrada 2 3 2 7" xfId="3892"/>
    <cellStyle name="Entrada 2 3 2 7 2" xfId="3893"/>
    <cellStyle name="Entrada 2 3 2 8" xfId="3894"/>
    <cellStyle name="Entrada 2 3 2 8 2" xfId="3895"/>
    <cellStyle name="Entrada 2 3 2 9" xfId="3896"/>
    <cellStyle name="Entrada 2 3 2 9 2" xfId="3897"/>
    <cellStyle name="Entrada 2 3 3" xfId="280"/>
    <cellStyle name="Entrada 2 3 3 10" xfId="3898"/>
    <cellStyle name="Entrada 2 3 3 10 2" xfId="3899"/>
    <cellStyle name="Entrada 2 3 3 11" xfId="3900"/>
    <cellStyle name="Entrada 2 3 3 11 2" xfId="3901"/>
    <cellStyle name="Entrada 2 3 3 12" xfId="3902"/>
    <cellStyle name="Entrada 2 3 3 12 2" xfId="3903"/>
    <cellStyle name="Entrada 2 3 3 13" xfId="3904"/>
    <cellStyle name="Entrada 2 3 3 13 2" xfId="3905"/>
    <cellStyle name="Entrada 2 3 3 14" xfId="3906"/>
    <cellStyle name="Entrada 2 3 3 14 2" xfId="3907"/>
    <cellStyle name="Entrada 2 3 3 15" xfId="3908"/>
    <cellStyle name="Entrada 2 3 3 2" xfId="3909"/>
    <cellStyle name="Entrada 2 3 3 2 10" xfId="3910"/>
    <cellStyle name="Entrada 2 3 3 2 10 2" xfId="3911"/>
    <cellStyle name="Entrada 2 3 3 2 11" xfId="3912"/>
    <cellStyle name="Entrada 2 3 3 2 11 2" xfId="3913"/>
    <cellStyle name="Entrada 2 3 3 2 12" xfId="3914"/>
    <cellStyle name="Entrada 2 3 3 2 12 2" xfId="3915"/>
    <cellStyle name="Entrada 2 3 3 2 13" xfId="3916"/>
    <cellStyle name="Entrada 2 3 3 2 2" xfId="3917"/>
    <cellStyle name="Entrada 2 3 3 2 2 10" xfId="3918"/>
    <cellStyle name="Entrada 2 3 3 2 2 10 2" xfId="3919"/>
    <cellStyle name="Entrada 2 3 3 2 2 11" xfId="3920"/>
    <cellStyle name="Entrada 2 3 3 2 2 2" xfId="3921"/>
    <cellStyle name="Entrada 2 3 3 2 2 2 2" xfId="3922"/>
    <cellStyle name="Entrada 2 3 3 2 2 3" xfId="3923"/>
    <cellStyle name="Entrada 2 3 3 2 2 3 2" xfId="3924"/>
    <cellStyle name="Entrada 2 3 3 2 2 4" xfId="3925"/>
    <cellStyle name="Entrada 2 3 3 2 2 4 2" xfId="3926"/>
    <cellStyle name="Entrada 2 3 3 2 2 5" xfId="3927"/>
    <cellStyle name="Entrada 2 3 3 2 2 5 2" xfId="3928"/>
    <cellStyle name="Entrada 2 3 3 2 2 6" xfId="3929"/>
    <cellStyle name="Entrada 2 3 3 2 2 6 2" xfId="3930"/>
    <cellStyle name="Entrada 2 3 3 2 2 7" xfId="3931"/>
    <cellStyle name="Entrada 2 3 3 2 2 7 2" xfId="3932"/>
    <cellStyle name="Entrada 2 3 3 2 2 8" xfId="3933"/>
    <cellStyle name="Entrada 2 3 3 2 2 8 2" xfId="3934"/>
    <cellStyle name="Entrada 2 3 3 2 2 9" xfId="3935"/>
    <cellStyle name="Entrada 2 3 3 2 2 9 2" xfId="3936"/>
    <cellStyle name="Entrada 2 3 3 2 3" xfId="3937"/>
    <cellStyle name="Entrada 2 3 3 2 3 10" xfId="3938"/>
    <cellStyle name="Entrada 2 3 3 2 3 10 2" xfId="3939"/>
    <cellStyle name="Entrada 2 3 3 2 3 11" xfId="3940"/>
    <cellStyle name="Entrada 2 3 3 2 3 2" xfId="3941"/>
    <cellStyle name="Entrada 2 3 3 2 3 2 2" xfId="3942"/>
    <cellStyle name="Entrada 2 3 3 2 3 3" xfId="3943"/>
    <cellStyle name="Entrada 2 3 3 2 3 3 2" xfId="3944"/>
    <cellStyle name="Entrada 2 3 3 2 3 4" xfId="3945"/>
    <cellStyle name="Entrada 2 3 3 2 3 4 2" xfId="3946"/>
    <cellStyle name="Entrada 2 3 3 2 3 5" xfId="3947"/>
    <cellStyle name="Entrada 2 3 3 2 3 5 2" xfId="3948"/>
    <cellStyle name="Entrada 2 3 3 2 3 6" xfId="3949"/>
    <cellStyle name="Entrada 2 3 3 2 3 6 2" xfId="3950"/>
    <cellStyle name="Entrada 2 3 3 2 3 7" xfId="3951"/>
    <cellStyle name="Entrada 2 3 3 2 3 7 2" xfId="3952"/>
    <cellStyle name="Entrada 2 3 3 2 3 8" xfId="3953"/>
    <cellStyle name="Entrada 2 3 3 2 3 8 2" xfId="3954"/>
    <cellStyle name="Entrada 2 3 3 2 3 9" xfId="3955"/>
    <cellStyle name="Entrada 2 3 3 2 3 9 2" xfId="3956"/>
    <cellStyle name="Entrada 2 3 3 2 4" xfId="3957"/>
    <cellStyle name="Entrada 2 3 3 2 4 2" xfId="3958"/>
    <cellStyle name="Entrada 2 3 3 2 5" xfId="3959"/>
    <cellStyle name="Entrada 2 3 3 2 5 2" xfId="3960"/>
    <cellStyle name="Entrada 2 3 3 2 6" xfId="3961"/>
    <cellStyle name="Entrada 2 3 3 2 6 2" xfId="3962"/>
    <cellStyle name="Entrada 2 3 3 2 7" xfId="3963"/>
    <cellStyle name="Entrada 2 3 3 2 7 2" xfId="3964"/>
    <cellStyle name="Entrada 2 3 3 2 8" xfId="3965"/>
    <cellStyle name="Entrada 2 3 3 2 8 2" xfId="3966"/>
    <cellStyle name="Entrada 2 3 3 2 9" xfId="3967"/>
    <cellStyle name="Entrada 2 3 3 2 9 2" xfId="3968"/>
    <cellStyle name="Entrada 2 3 3 3" xfId="3969"/>
    <cellStyle name="Entrada 2 3 3 3 10" xfId="3970"/>
    <cellStyle name="Entrada 2 3 3 3 10 2" xfId="3971"/>
    <cellStyle name="Entrada 2 3 3 3 11" xfId="3972"/>
    <cellStyle name="Entrada 2 3 3 3 11 2" xfId="3973"/>
    <cellStyle name="Entrada 2 3 3 3 12" xfId="3974"/>
    <cellStyle name="Entrada 2 3 3 3 12 2" xfId="3975"/>
    <cellStyle name="Entrada 2 3 3 3 13" xfId="3976"/>
    <cellStyle name="Entrada 2 3 3 3 2" xfId="3977"/>
    <cellStyle name="Entrada 2 3 3 3 2 10" xfId="3978"/>
    <cellStyle name="Entrada 2 3 3 3 2 10 2" xfId="3979"/>
    <cellStyle name="Entrada 2 3 3 3 2 11" xfId="3980"/>
    <cellStyle name="Entrada 2 3 3 3 2 2" xfId="3981"/>
    <cellStyle name="Entrada 2 3 3 3 2 2 2" xfId="3982"/>
    <cellStyle name="Entrada 2 3 3 3 2 3" xfId="3983"/>
    <cellStyle name="Entrada 2 3 3 3 2 3 2" xfId="3984"/>
    <cellStyle name="Entrada 2 3 3 3 2 4" xfId="3985"/>
    <cellStyle name="Entrada 2 3 3 3 2 4 2" xfId="3986"/>
    <cellStyle name="Entrada 2 3 3 3 2 5" xfId="3987"/>
    <cellStyle name="Entrada 2 3 3 3 2 5 2" xfId="3988"/>
    <cellStyle name="Entrada 2 3 3 3 2 6" xfId="3989"/>
    <cellStyle name="Entrada 2 3 3 3 2 6 2" xfId="3990"/>
    <cellStyle name="Entrada 2 3 3 3 2 7" xfId="3991"/>
    <cellStyle name="Entrada 2 3 3 3 2 7 2" xfId="3992"/>
    <cellStyle name="Entrada 2 3 3 3 2 8" xfId="3993"/>
    <cellStyle name="Entrada 2 3 3 3 2 8 2" xfId="3994"/>
    <cellStyle name="Entrada 2 3 3 3 2 9" xfId="3995"/>
    <cellStyle name="Entrada 2 3 3 3 2 9 2" xfId="3996"/>
    <cellStyle name="Entrada 2 3 3 3 3" xfId="3997"/>
    <cellStyle name="Entrada 2 3 3 3 3 10" xfId="3998"/>
    <cellStyle name="Entrada 2 3 3 3 3 10 2" xfId="3999"/>
    <cellStyle name="Entrada 2 3 3 3 3 11" xfId="4000"/>
    <cellStyle name="Entrada 2 3 3 3 3 2" xfId="4001"/>
    <cellStyle name="Entrada 2 3 3 3 3 2 2" xfId="4002"/>
    <cellStyle name="Entrada 2 3 3 3 3 3" xfId="4003"/>
    <cellStyle name="Entrada 2 3 3 3 3 3 2" xfId="4004"/>
    <cellStyle name="Entrada 2 3 3 3 3 4" xfId="4005"/>
    <cellStyle name="Entrada 2 3 3 3 3 4 2" xfId="4006"/>
    <cellStyle name="Entrada 2 3 3 3 3 5" xfId="4007"/>
    <cellStyle name="Entrada 2 3 3 3 3 5 2" xfId="4008"/>
    <cellStyle name="Entrada 2 3 3 3 3 6" xfId="4009"/>
    <cellStyle name="Entrada 2 3 3 3 3 6 2" xfId="4010"/>
    <cellStyle name="Entrada 2 3 3 3 3 7" xfId="4011"/>
    <cellStyle name="Entrada 2 3 3 3 3 7 2" xfId="4012"/>
    <cellStyle name="Entrada 2 3 3 3 3 8" xfId="4013"/>
    <cellStyle name="Entrada 2 3 3 3 3 8 2" xfId="4014"/>
    <cellStyle name="Entrada 2 3 3 3 3 9" xfId="4015"/>
    <cellStyle name="Entrada 2 3 3 3 3 9 2" xfId="4016"/>
    <cellStyle name="Entrada 2 3 3 3 4" xfId="4017"/>
    <cellStyle name="Entrada 2 3 3 3 4 2" xfId="4018"/>
    <cellStyle name="Entrada 2 3 3 3 5" xfId="4019"/>
    <cellStyle name="Entrada 2 3 3 3 5 2" xfId="4020"/>
    <cellStyle name="Entrada 2 3 3 3 6" xfId="4021"/>
    <cellStyle name="Entrada 2 3 3 3 6 2" xfId="4022"/>
    <cellStyle name="Entrada 2 3 3 3 7" xfId="4023"/>
    <cellStyle name="Entrada 2 3 3 3 7 2" xfId="4024"/>
    <cellStyle name="Entrada 2 3 3 3 8" xfId="4025"/>
    <cellStyle name="Entrada 2 3 3 3 8 2" xfId="4026"/>
    <cellStyle name="Entrada 2 3 3 3 9" xfId="4027"/>
    <cellStyle name="Entrada 2 3 3 3 9 2" xfId="4028"/>
    <cellStyle name="Entrada 2 3 3 4" xfId="4029"/>
    <cellStyle name="Entrada 2 3 3 4 10" xfId="4030"/>
    <cellStyle name="Entrada 2 3 3 4 10 2" xfId="4031"/>
    <cellStyle name="Entrada 2 3 3 4 11" xfId="4032"/>
    <cellStyle name="Entrada 2 3 3 4 2" xfId="4033"/>
    <cellStyle name="Entrada 2 3 3 4 2 2" xfId="4034"/>
    <cellStyle name="Entrada 2 3 3 4 3" xfId="4035"/>
    <cellStyle name="Entrada 2 3 3 4 3 2" xfId="4036"/>
    <cellStyle name="Entrada 2 3 3 4 4" xfId="4037"/>
    <cellStyle name="Entrada 2 3 3 4 4 2" xfId="4038"/>
    <cellStyle name="Entrada 2 3 3 4 5" xfId="4039"/>
    <cellStyle name="Entrada 2 3 3 4 5 2" xfId="4040"/>
    <cellStyle name="Entrada 2 3 3 4 6" xfId="4041"/>
    <cellStyle name="Entrada 2 3 3 4 6 2" xfId="4042"/>
    <cellStyle name="Entrada 2 3 3 4 7" xfId="4043"/>
    <cellStyle name="Entrada 2 3 3 4 7 2" xfId="4044"/>
    <cellStyle name="Entrada 2 3 3 4 8" xfId="4045"/>
    <cellStyle name="Entrada 2 3 3 4 8 2" xfId="4046"/>
    <cellStyle name="Entrada 2 3 3 4 9" xfId="4047"/>
    <cellStyle name="Entrada 2 3 3 4 9 2" xfId="4048"/>
    <cellStyle name="Entrada 2 3 3 5" xfId="4049"/>
    <cellStyle name="Entrada 2 3 3 5 10" xfId="4050"/>
    <cellStyle name="Entrada 2 3 3 5 10 2" xfId="4051"/>
    <cellStyle name="Entrada 2 3 3 5 11" xfId="4052"/>
    <cellStyle name="Entrada 2 3 3 5 2" xfId="4053"/>
    <cellStyle name="Entrada 2 3 3 5 2 2" xfId="4054"/>
    <cellStyle name="Entrada 2 3 3 5 3" xfId="4055"/>
    <cellStyle name="Entrada 2 3 3 5 3 2" xfId="4056"/>
    <cellStyle name="Entrada 2 3 3 5 4" xfId="4057"/>
    <cellStyle name="Entrada 2 3 3 5 4 2" xfId="4058"/>
    <cellStyle name="Entrada 2 3 3 5 5" xfId="4059"/>
    <cellStyle name="Entrada 2 3 3 5 5 2" xfId="4060"/>
    <cellStyle name="Entrada 2 3 3 5 6" xfId="4061"/>
    <cellStyle name="Entrada 2 3 3 5 6 2" xfId="4062"/>
    <cellStyle name="Entrada 2 3 3 5 7" xfId="4063"/>
    <cellStyle name="Entrada 2 3 3 5 7 2" xfId="4064"/>
    <cellStyle name="Entrada 2 3 3 5 8" xfId="4065"/>
    <cellStyle name="Entrada 2 3 3 5 8 2" xfId="4066"/>
    <cellStyle name="Entrada 2 3 3 5 9" xfId="4067"/>
    <cellStyle name="Entrada 2 3 3 5 9 2" xfId="4068"/>
    <cellStyle name="Entrada 2 3 3 6" xfId="4069"/>
    <cellStyle name="Entrada 2 3 3 6 2" xfId="4070"/>
    <cellStyle name="Entrada 2 3 3 7" xfId="4071"/>
    <cellStyle name="Entrada 2 3 3 7 2" xfId="4072"/>
    <cellStyle name="Entrada 2 3 3 8" xfId="4073"/>
    <cellStyle name="Entrada 2 3 3 8 2" xfId="4074"/>
    <cellStyle name="Entrada 2 3 3 9" xfId="4075"/>
    <cellStyle name="Entrada 2 3 3 9 2" xfId="4076"/>
    <cellStyle name="Entrada 2 3 4" xfId="4077"/>
    <cellStyle name="Entrada 2 3 4 10" xfId="4078"/>
    <cellStyle name="Entrada 2 3 4 10 2" xfId="4079"/>
    <cellStyle name="Entrada 2 3 4 11" xfId="4080"/>
    <cellStyle name="Entrada 2 3 4 11 2" xfId="4081"/>
    <cellStyle name="Entrada 2 3 4 12" xfId="4082"/>
    <cellStyle name="Entrada 2 3 4 12 2" xfId="4083"/>
    <cellStyle name="Entrada 2 3 4 13" xfId="4084"/>
    <cellStyle name="Entrada 2 3 4 2" xfId="4085"/>
    <cellStyle name="Entrada 2 3 4 2 10" xfId="4086"/>
    <cellStyle name="Entrada 2 3 4 2 10 2" xfId="4087"/>
    <cellStyle name="Entrada 2 3 4 2 11" xfId="4088"/>
    <cellStyle name="Entrada 2 3 4 2 2" xfId="4089"/>
    <cellStyle name="Entrada 2 3 4 2 2 2" xfId="4090"/>
    <cellStyle name="Entrada 2 3 4 2 3" xfId="4091"/>
    <cellStyle name="Entrada 2 3 4 2 3 2" xfId="4092"/>
    <cellStyle name="Entrada 2 3 4 2 4" xfId="4093"/>
    <cellStyle name="Entrada 2 3 4 2 4 2" xfId="4094"/>
    <cellStyle name="Entrada 2 3 4 2 5" xfId="4095"/>
    <cellStyle name="Entrada 2 3 4 2 5 2" xfId="4096"/>
    <cellStyle name="Entrada 2 3 4 2 6" xfId="4097"/>
    <cellStyle name="Entrada 2 3 4 2 6 2" xfId="4098"/>
    <cellStyle name="Entrada 2 3 4 2 7" xfId="4099"/>
    <cellStyle name="Entrada 2 3 4 2 7 2" xfId="4100"/>
    <cellStyle name="Entrada 2 3 4 2 8" xfId="4101"/>
    <cellStyle name="Entrada 2 3 4 2 8 2" xfId="4102"/>
    <cellStyle name="Entrada 2 3 4 2 9" xfId="4103"/>
    <cellStyle name="Entrada 2 3 4 2 9 2" xfId="4104"/>
    <cellStyle name="Entrada 2 3 4 3" xfId="4105"/>
    <cellStyle name="Entrada 2 3 4 3 10" xfId="4106"/>
    <cellStyle name="Entrada 2 3 4 3 10 2" xfId="4107"/>
    <cellStyle name="Entrada 2 3 4 3 11" xfId="4108"/>
    <cellStyle name="Entrada 2 3 4 3 2" xfId="4109"/>
    <cellStyle name="Entrada 2 3 4 3 2 2" xfId="4110"/>
    <cellStyle name="Entrada 2 3 4 3 3" xfId="4111"/>
    <cellStyle name="Entrada 2 3 4 3 3 2" xfId="4112"/>
    <cellStyle name="Entrada 2 3 4 3 4" xfId="4113"/>
    <cellStyle name="Entrada 2 3 4 3 4 2" xfId="4114"/>
    <cellStyle name="Entrada 2 3 4 3 5" xfId="4115"/>
    <cellStyle name="Entrada 2 3 4 3 5 2" xfId="4116"/>
    <cellStyle name="Entrada 2 3 4 3 6" xfId="4117"/>
    <cellStyle name="Entrada 2 3 4 3 6 2" xfId="4118"/>
    <cellStyle name="Entrada 2 3 4 3 7" xfId="4119"/>
    <cellStyle name="Entrada 2 3 4 3 7 2" xfId="4120"/>
    <cellStyle name="Entrada 2 3 4 3 8" xfId="4121"/>
    <cellStyle name="Entrada 2 3 4 3 8 2" xfId="4122"/>
    <cellStyle name="Entrada 2 3 4 3 9" xfId="4123"/>
    <cellStyle name="Entrada 2 3 4 3 9 2" xfId="4124"/>
    <cellStyle name="Entrada 2 3 4 4" xfId="4125"/>
    <cellStyle name="Entrada 2 3 4 4 2" xfId="4126"/>
    <cellStyle name="Entrada 2 3 4 5" xfId="4127"/>
    <cellStyle name="Entrada 2 3 4 5 2" xfId="4128"/>
    <cellStyle name="Entrada 2 3 4 6" xfId="4129"/>
    <cellStyle name="Entrada 2 3 4 6 2" xfId="4130"/>
    <cellStyle name="Entrada 2 3 4 7" xfId="4131"/>
    <cellStyle name="Entrada 2 3 4 7 2" xfId="4132"/>
    <cellStyle name="Entrada 2 3 4 8" xfId="4133"/>
    <cellStyle name="Entrada 2 3 4 8 2" xfId="4134"/>
    <cellStyle name="Entrada 2 3 4 9" xfId="4135"/>
    <cellStyle name="Entrada 2 3 4 9 2" xfId="4136"/>
    <cellStyle name="Entrada 2 3 5" xfId="4137"/>
    <cellStyle name="Entrada 2 3 5 10" xfId="4138"/>
    <cellStyle name="Entrada 2 3 5 10 2" xfId="4139"/>
    <cellStyle name="Entrada 2 3 5 11" xfId="4140"/>
    <cellStyle name="Entrada 2 3 5 11 2" xfId="4141"/>
    <cellStyle name="Entrada 2 3 5 12" xfId="4142"/>
    <cellStyle name="Entrada 2 3 5 12 2" xfId="4143"/>
    <cellStyle name="Entrada 2 3 5 13" xfId="4144"/>
    <cellStyle name="Entrada 2 3 5 2" xfId="4145"/>
    <cellStyle name="Entrada 2 3 5 2 10" xfId="4146"/>
    <cellStyle name="Entrada 2 3 5 2 10 2" xfId="4147"/>
    <cellStyle name="Entrada 2 3 5 2 11" xfId="4148"/>
    <cellStyle name="Entrada 2 3 5 2 2" xfId="4149"/>
    <cellStyle name="Entrada 2 3 5 2 2 2" xfId="4150"/>
    <cellStyle name="Entrada 2 3 5 2 3" xfId="4151"/>
    <cellStyle name="Entrada 2 3 5 2 3 2" xfId="4152"/>
    <cellStyle name="Entrada 2 3 5 2 4" xfId="4153"/>
    <cellStyle name="Entrada 2 3 5 2 4 2" xfId="4154"/>
    <cellStyle name="Entrada 2 3 5 2 5" xfId="4155"/>
    <cellStyle name="Entrada 2 3 5 2 5 2" xfId="4156"/>
    <cellStyle name="Entrada 2 3 5 2 6" xfId="4157"/>
    <cellStyle name="Entrada 2 3 5 2 6 2" xfId="4158"/>
    <cellStyle name="Entrada 2 3 5 2 7" xfId="4159"/>
    <cellStyle name="Entrada 2 3 5 2 7 2" xfId="4160"/>
    <cellStyle name="Entrada 2 3 5 2 8" xfId="4161"/>
    <cellStyle name="Entrada 2 3 5 2 8 2" xfId="4162"/>
    <cellStyle name="Entrada 2 3 5 2 9" xfId="4163"/>
    <cellStyle name="Entrada 2 3 5 2 9 2" xfId="4164"/>
    <cellStyle name="Entrada 2 3 5 3" xfId="4165"/>
    <cellStyle name="Entrada 2 3 5 3 10" xfId="4166"/>
    <cellStyle name="Entrada 2 3 5 3 10 2" xfId="4167"/>
    <cellStyle name="Entrada 2 3 5 3 11" xfId="4168"/>
    <cellStyle name="Entrada 2 3 5 3 2" xfId="4169"/>
    <cellStyle name="Entrada 2 3 5 3 2 2" xfId="4170"/>
    <cellStyle name="Entrada 2 3 5 3 3" xfId="4171"/>
    <cellStyle name="Entrada 2 3 5 3 3 2" xfId="4172"/>
    <cellStyle name="Entrada 2 3 5 3 4" xfId="4173"/>
    <cellStyle name="Entrada 2 3 5 3 4 2" xfId="4174"/>
    <cellStyle name="Entrada 2 3 5 3 5" xfId="4175"/>
    <cellStyle name="Entrada 2 3 5 3 5 2" xfId="4176"/>
    <cellStyle name="Entrada 2 3 5 3 6" xfId="4177"/>
    <cellStyle name="Entrada 2 3 5 3 6 2" xfId="4178"/>
    <cellStyle name="Entrada 2 3 5 3 7" xfId="4179"/>
    <cellStyle name="Entrada 2 3 5 3 7 2" xfId="4180"/>
    <cellStyle name="Entrada 2 3 5 3 8" xfId="4181"/>
    <cellStyle name="Entrada 2 3 5 3 8 2" xfId="4182"/>
    <cellStyle name="Entrada 2 3 5 3 9" xfId="4183"/>
    <cellStyle name="Entrada 2 3 5 3 9 2" xfId="4184"/>
    <cellStyle name="Entrada 2 3 5 4" xfId="4185"/>
    <cellStyle name="Entrada 2 3 5 4 2" xfId="4186"/>
    <cellStyle name="Entrada 2 3 5 5" xfId="4187"/>
    <cellStyle name="Entrada 2 3 5 5 2" xfId="4188"/>
    <cellStyle name="Entrada 2 3 5 6" xfId="4189"/>
    <cellStyle name="Entrada 2 3 5 6 2" xfId="4190"/>
    <cellStyle name="Entrada 2 3 5 7" xfId="4191"/>
    <cellStyle name="Entrada 2 3 5 7 2" xfId="4192"/>
    <cellStyle name="Entrada 2 3 5 8" xfId="4193"/>
    <cellStyle name="Entrada 2 3 5 8 2" xfId="4194"/>
    <cellStyle name="Entrada 2 3 5 9" xfId="4195"/>
    <cellStyle name="Entrada 2 3 5 9 2" xfId="4196"/>
    <cellStyle name="Entrada 2 3 6" xfId="4197"/>
    <cellStyle name="Entrada 2 3 6 2" xfId="4198"/>
    <cellStyle name="Entrada 2 3 7" xfId="4199"/>
    <cellStyle name="Entrada 2 3 7 2" xfId="4200"/>
    <cellStyle name="Entrada 2 3 8" xfId="4201"/>
    <cellStyle name="Entrada 2 3 8 2" xfId="4202"/>
    <cellStyle name="Entrada 2 3 9" xfId="4203"/>
    <cellStyle name="Entrada 2 3 9 2" xfId="4204"/>
    <cellStyle name="Entrada 2 4" xfId="294"/>
    <cellStyle name="Entrada 2 4 10" xfId="4205"/>
    <cellStyle name="Entrada 2 4 10 2" xfId="4206"/>
    <cellStyle name="Entrada 2 4 11" xfId="4207"/>
    <cellStyle name="Entrada 2 4 11 2" xfId="4208"/>
    <cellStyle name="Entrada 2 4 12" xfId="4209"/>
    <cellStyle name="Entrada 2 4 12 2" xfId="4210"/>
    <cellStyle name="Entrada 2 4 13" xfId="4211"/>
    <cellStyle name="Entrada 2 4 13 2" xfId="4212"/>
    <cellStyle name="Entrada 2 4 14" xfId="4213"/>
    <cellStyle name="Entrada 2 4 14 2" xfId="4214"/>
    <cellStyle name="Entrada 2 4 15" xfId="4215"/>
    <cellStyle name="Entrada 2 4 16" xfId="4216"/>
    <cellStyle name="Entrada 2 4 2" xfId="4217"/>
    <cellStyle name="Entrada 2 4 2 10" xfId="4218"/>
    <cellStyle name="Entrada 2 4 2 10 2" xfId="4219"/>
    <cellStyle name="Entrada 2 4 2 11" xfId="4220"/>
    <cellStyle name="Entrada 2 4 2 11 2" xfId="4221"/>
    <cellStyle name="Entrada 2 4 2 12" xfId="4222"/>
    <cellStyle name="Entrada 2 4 2 12 2" xfId="4223"/>
    <cellStyle name="Entrada 2 4 2 13" xfId="4224"/>
    <cellStyle name="Entrada 2 4 2 2" xfId="4225"/>
    <cellStyle name="Entrada 2 4 2 2 10" xfId="4226"/>
    <cellStyle name="Entrada 2 4 2 2 10 2" xfId="4227"/>
    <cellStyle name="Entrada 2 4 2 2 11" xfId="4228"/>
    <cellStyle name="Entrada 2 4 2 2 2" xfId="4229"/>
    <cellStyle name="Entrada 2 4 2 2 2 2" xfId="4230"/>
    <cellStyle name="Entrada 2 4 2 2 3" xfId="4231"/>
    <cellStyle name="Entrada 2 4 2 2 3 2" xfId="4232"/>
    <cellStyle name="Entrada 2 4 2 2 4" xfId="4233"/>
    <cellStyle name="Entrada 2 4 2 2 4 2" xfId="4234"/>
    <cellStyle name="Entrada 2 4 2 2 5" xfId="4235"/>
    <cellStyle name="Entrada 2 4 2 2 5 2" xfId="4236"/>
    <cellStyle name="Entrada 2 4 2 2 6" xfId="4237"/>
    <cellStyle name="Entrada 2 4 2 2 6 2" xfId="4238"/>
    <cellStyle name="Entrada 2 4 2 2 7" xfId="4239"/>
    <cellStyle name="Entrada 2 4 2 2 7 2" xfId="4240"/>
    <cellStyle name="Entrada 2 4 2 2 8" xfId="4241"/>
    <cellStyle name="Entrada 2 4 2 2 8 2" xfId="4242"/>
    <cellStyle name="Entrada 2 4 2 2 9" xfId="4243"/>
    <cellStyle name="Entrada 2 4 2 2 9 2" xfId="4244"/>
    <cellStyle name="Entrada 2 4 2 3" xfId="4245"/>
    <cellStyle name="Entrada 2 4 2 3 10" xfId="4246"/>
    <cellStyle name="Entrada 2 4 2 3 10 2" xfId="4247"/>
    <cellStyle name="Entrada 2 4 2 3 11" xfId="4248"/>
    <cellStyle name="Entrada 2 4 2 3 2" xfId="4249"/>
    <cellStyle name="Entrada 2 4 2 3 2 2" xfId="4250"/>
    <cellStyle name="Entrada 2 4 2 3 3" xfId="4251"/>
    <cellStyle name="Entrada 2 4 2 3 3 2" xfId="4252"/>
    <cellStyle name="Entrada 2 4 2 3 4" xfId="4253"/>
    <cellStyle name="Entrada 2 4 2 3 4 2" xfId="4254"/>
    <cellStyle name="Entrada 2 4 2 3 5" xfId="4255"/>
    <cellStyle name="Entrada 2 4 2 3 5 2" xfId="4256"/>
    <cellStyle name="Entrada 2 4 2 3 6" xfId="4257"/>
    <cellStyle name="Entrada 2 4 2 3 6 2" xfId="4258"/>
    <cellStyle name="Entrada 2 4 2 3 7" xfId="4259"/>
    <cellStyle name="Entrada 2 4 2 3 7 2" xfId="4260"/>
    <cellStyle name="Entrada 2 4 2 3 8" xfId="4261"/>
    <cellStyle name="Entrada 2 4 2 3 8 2" xfId="4262"/>
    <cellStyle name="Entrada 2 4 2 3 9" xfId="4263"/>
    <cellStyle name="Entrada 2 4 2 3 9 2" xfId="4264"/>
    <cellStyle name="Entrada 2 4 2 4" xfId="4265"/>
    <cellStyle name="Entrada 2 4 2 4 2" xfId="4266"/>
    <cellStyle name="Entrada 2 4 2 5" xfId="4267"/>
    <cellStyle name="Entrada 2 4 2 5 2" xfId="4268"/>
    <cellStyle name="Entrada 2 4 2 6" xfId="4269"/>
    <cellStyle name="Entrada 2 4 2 6 2" xfId="4270"/>
    <cellStyle name="Entrada 2 4 2 7" xfId="4271"/>
    <cellStyle name="Entrada 2 4 2 7 2" xfId="4272"/>
    <cellStyle name="Entrada 2 4 2 8" xfId="4273"/>
    <cellStyle name="Entrada 2 4 2 8 2" xfId="4274"/>
    <cellStyle name="Entrada 2 4 2 9" xfId="4275"/>
    <cellStyle name="Entrada 2 4 2 9 2" xfId="4276"/>
    <cellStyle name="Entrada 2 4 3" xfId="4277"/>
    <cellStyle name="Entrada 2 4 3 10" xfId="4278"/>
    <cellStyle name="Entrada 2 4 3 10 2" xfId="4279"/>
    <cellStyle name="Entrada 2 4 3 11" xfId="4280"/>
    <cellStyle name="Entrada 2 4 3 11 2" xfId="4281"/>
    <cellStyle name="Entrada 2 4 3 12" xfId="4282"/>
    <cellStyle name="Entrada 2 4 3 12 2" xfId="4283"/>
    <cellStyle name="Entrada 2 4 3 13" xfId="4284"/>
    <cellStyle name="Entrada 2 4 3 2" xfId="4285"/>
    <cellStyle name="Entrada 2 4 3 2 10" xfId="4286"/>
    <cellStyle name="Entrada 2 4 3 2 10 2" xfId="4287"/>
    <cellStyle name="Entrada 2 4 3 2 11" xfId="4288"/>
    <cellStyle name="Entrada 2 4 3 2 2" xfId="4289"/>
    <cellStyle name="Entrada 2 4 3 2 2 2" xfId="4290"/>
    <cellStyle name="Entrada 2 4 3 2 3" xfId="4291"/>
    <cellStyle name="Entrada 2 4 3 2 3 2" xfId="4292"/>
    <cellStyle name="Entrada 2 4 3 2 4" xfId="4293"/>
    <cellStyle name="Entrada 2 4 3 2 4 2" xfId="4294"/>
    <cellStyle name="Entrada 2 4 3 2 5" xfId="4295"/>
    <cellStyle name="Entrada 2 4 3 2 5 2" xfId="4296"/>
    <cellStyle name="Entrada 2 4 3 2 6" xfId="4297"/>
    <cellStyle name="Entrada 2 4 3 2 6 2" xfId="4298"/>
    <cellStyle name="Entrada 2 4 3 2 7" xfId="4299"/>
    <cellStyle name="Entrada 2 4 3 2 7 2" xfId="4300"/>
    <cellStyle name="Entrada 2 4 3 2 8" xfId="4301"/>
    <cellStyle name="Entrada 2 4 3 2 8 2" xfId="4302"/>
    <cellStyle name="Entrada 2 4 3 2 9" xfId="4303"/>
    <cellStyle name="Entrada 2 4 3 2 9 2" xfId="4304"/>
    <cellStyle name="Entrada 2 4 3 3" xfId="4305"/>
    <cellStyle name="Entrada 2 4 3 3 10" xfId="4306"/>
    <cellStyle name="Entrada 2 4 3 3 10 2" xfId="4307"/>
    <cellStyle name="Entrada 2 4 3 3 11" xfId="4308"/>
    <cellStyle name="Entrada 2 4 3 3 2" xfId="4309"/>
    <cellStyle name="Entrada 2 4 3 3 2 2" xfId="4310"/>
    <cellStyle name="Entrada 2 4 3 3 3" xfId="4311"/>
    <cellStyle name="Entrada 2 4 3 3 3 2" xfId="4312"/>
    <cellStyle name="Entrada 2 4 3 3 4" xfId="4313"/>
    <cellStyle name="Entrada 2 4 3 3 4 2" xfId="4314"/>
    <cellStyle name="Entrada 2 4 3 3 5" xfId="4315"/>
    <cellStyle name="Entrada 2 4 3 3 5 2" xfId="4316"/>
    <cellStyle name="Entrada 2 4 3 3 6" xfId="4317"/>
    <cellStyle name="Entrada 2 4 3 3 6 2" xfId="4318"/>
    <cellStyle name="Entrada 2 4 3 3 7" xfId="4319"/>
    <cellStyle name="Entrada 2 4 3 3 7 2" xfId="4320"/>
    <cellStyle name="Entrada 2 4 3 3 8" xfId="4321"/>
    <cellStyle name="Entrada 2 4 3 3 8 2" xfId="4322"/>
    <cellStyle name="Entrada 2 4 3 3 9" xfId="4323"/>
    <cellStyle name="Entrada 2 4 3 3 9 2" xfId="4324"/>
    <cellStyle name="Entrada 2 4 3 4" xfId="4325"/>
    <cellStyle name="Entrada 2 4 3 4 2" xfId="4326"/>
    <cellStyle name="Entrada 2 4 3 5" xfId="4327"/>
    <cellStyle name="Entrada 2 4 3 5 2" xfId="4328"/>
    <cellStyle name="Entrada 2 4 3 6" xfId="4329"/>
    <cellStyle name="Entrada 2 4 3 6 2" xfId="4330"/>
    <cellStyle name="Entrada 2 4 3 7" xfId="4331"/>
    <cellStyle name="Entrada 2 4 3 7 2" xfId="4332"/>
    <cellStyle name="Entrada 2 4 3 8" xfId="4333"/>
    <cellStyle name="Entrada 2 4 3 8 2" xfId="4334"/>
    <cellStyle name="Entrada 2 4 3 9" xfId="4335"/>
    <cellStyle name="Entrada 2 4 3 9 2" xfId="4336"/>
    <cellStyle name="Entrada 2 4 4" xfId="4337"/>
    <cellStyle name="Entrada 2 4 4 10" xfId="4338"/>
    <cellStyle name="Entrada 2 4 4 10 2" xfId="4339"/>
    <cellStyle name="Entrada 2 4 4 11" xfId="4340"/>
    <cellStyle name="Entrada 2 4 4 2" xfId="4341"/>
    <cellStyle name="Entrada 2 4 4 2 2" xfId="4342"/>
    <cellStyle name="Entrada 2 4 4 3" xfId="4343"/>
    <cellStyle name="Entrada 2 4 4 3 2" xfId="4344"/>
    <cellStyle name="Entrada 2 4 4 4" xfId="4345"/>
    <cellStyle name="Entrada 2 4 4 4 2" xfId="4346"/>
    <cellStyle name="Entrada 2 4 4 5" xfId="4347"/>
    <cellStyle name="Entrada 2 4 4 5 2" xfId="4348"/>
    <cellStyle name="Entrada 2 4 4 6" xfId="4349"/>
    <cellStyle name="Entrada 2 4 4 6 2" xfId="4350"/>
    <cellStyle name="Entrada 2 4 4 7" xfId="4351"/>
    <cellStyle name="Entrada 2 4 4 7 2" xfId="4352"/>
    <cellStyle name="Entrada 2 4 4 8" xfId="4353"/>
    <cellStyle name="Entrada 2 4 4 8 2" xfId="4354"/>
    <cellStyle name="Entrada 2 4 4 9" xfId="4355"/>
    <cellStyle name="Entrada 2 4 4 9 2" xfId="4356"/>
    <cellStyle name="Entrada 2 4 5" xfId="4357"/>
    <cellStyle name="Entrada 2 4 5 10" xfId="4358"/>
    <cellStyle name="Entrada 2 4 5 10 2" xfId="4359"/>
    <cellStyle name="Entrada 2 4 5 11" xfId="4360"/>
    <cellStyle name="Entrada 2 4 5 2" xfId="4361"/>
    <cellStyle name="Entrada 2 4 5 2 2" xfId="4362"/>
    <cellStyle name="Entrada 2 4 5 3" xfId="4363"/>
    <cellStyle name="Entrada 2 4 5 3 2" xfId="4364"/>
    <cellStyle name="Entrada 2 4 5 4" xfId="4365"/>
    <cellStyle name="Entrada 2 4 5 4 2" xfId="4366"/>
    <cellStyle name="Entrada 2 4 5 5" xfId="4367"/>
    <cellStyle name="Entrada 2 4 5 5 2" xfId="4368"/>
    <cellStyle name="Entrada 2 4 5 6" xfId="4369"/>
    <cellStyle name="Entrada 2 4 5 6 2" xfId="4370"/>
    <cellStyle name="Entrada 2 4 5 7" xfId="4371"/>
    <cellStyle name="Entrada 2 4 5 7 2" xfId="4372"/>
    <cellStyle name="Entrada 2 4 5 8" xfId="4373"/>
    <cellStyle name="Entrada 2 4 5 8 2" xfId="4374"/>
    <cellStyle name="Entrada 2 4 5 9" xfId="4375"/>
    <cellStyle name="Entrada 2 4 5 9 2" xfId="4376"/>
    <cellStyle name="Entrada 2 4 6" xfId="4377"/>
    <cellStyle name="Entrada 2 4 6 2" xfId="4378"/>
    <cellStyle name="Entrada 2 4 7" xfId="4379"/>
    <cellStyle name="Entrada 2 4 7 2" xfId="4380"/>
    <cellStyle name="Entrada 2 4 8" xfId="4381"/>
    <cellStyle name="Entrada 2 4 8 2" xfId="4382"/>
    <cellStyle name="Entrada 2 4 9" xfId="4383"/>
    <cellStyle name="Entrada 2 4 9 2" xfId="4384"/>
    <cellStyle name="Entrada 2 5" xfId="281"/>
    <cellStyle name="Entrada 2 5 10" xfId="4385"/>
    <cellStyle name="Entrada 2 5 10 2" xfId="4386"/>
    <cellStyle name="Entrada 2 5 11" xfId="4387"/>
    <cellStyle name="Entrada 2 5 11 2" xfId="4388"/>
    <cellStyle name="Entrada 2 5 12" xfId="4389"/>
    <cellStyle name="Entrada 2 5 12 2" xfId="4390"/>
    <cellStyle name="Entrada 2 5 13" xfId="4391"/>
    <cellStyle name="Entrada 2 5 13 2" xfId="4392"/>
    <cellStyle name="Entrada 2 5 14" xfId="4393"/>
    <cellStyle name="Entrada 2 5 14 2" xfId="4394"/>
    <cellStyle name="Entrada 2 5 15" xfId="4395"/>
    <cellStyle name="Entrada 2 5 2" xfId="4396"/>
    <cellStyle name="Entrada 2 5 2 10" xfId="4397"/>
    <cellStyle name="Entrada 2 5 2 10 2" xfId="4398"/>
    <cellStyle name="Entrada 2 5 2 11" xfId="4399"/>
    <cellStyle name="Entrada 2 5 2 11 2" xfId="4400"/>
    <cellStyle name="Entrada 2 5 2 12" xfId="4401"/>
    <cellStyle name="Entrada 2 5 2 12 2" xfId="4402"/>
    <cellStyle name="Entrada 2 5 2 13" xfId="4403"/>
    <cellStyle name="Entrada 2 5 2 2" xfId="4404"/>
    <cellStyle name="Entrada 2 5 2 2 10" xfId="4405"/>
    <cellStyle name="Entrada 2 5 2 2 10 2" xfId="4406"/>
    <cellStyle name="Entrada 2 5 2 2 11" xfId="4407"/>
    <cellStyle name="Entrada 2 5 2 2 2" xfId="4408"/>
    <cellStyle name="Entrada 2 5 2 2 2 2" xfId="4409"/>
    <cellStyle name="Entrada 2 5 2 2 3" xfId="4410"/>
    <cellStyle name="Entrada 2 5 2 2 3 2" xfId="4411"/>
    <cellStyle name="Entrada 2 5 2 2 4" xfId="4412"/>
    <cellStyle name="Entrada 2 5 2 2 4 2" xfId="4413"/>
    <cellStyle name="Entrada 2 5 2 2 5" xfId="4414"/>
    <cellStyle name="Entrada 2 5 2 2 5 2" xfId="4415"/>
    <cellStyle name="Entrada 2 5 2 2 6" xfId="4416"/>
    <cellStyle name="Entrada 2 5 2 2 6 2" xfId="4417"/>
    <cellStyle name="Entrada 2 5 2 2 7" xfId="4418"/>
    <cellStyle name="Entrada 2 5 2 2 7 2" xfId="4419"/>
    <cellStyle name="Entrada 2 5 2 2 8" xfId="4420"/>
    <cellStyle name="Entrada 2 5 2 2 8 2" xfId="4421"/>
    <cellStyle name="Entrada 2 5 2 2 9" xfId="4422"/>
    <cellStyle name="Entrada 2 5 2 2 9 2" xfId="4423"/>
    <cellStyle name="Entrada 2 5 2 3" xfId="4424"/>
    <cellStyle name="Entrada 2 5 2 3 10" xfId="4425"/>
    <cellStyle name="Entrada 2 5 2 3 10 2" xfId="4426"/>
    <cellStyle name="Entrada 2 5 2 3 11" xfId="4427"/>
    <cellStyle name="Entrada 2 5 2 3 2" xfId="4428"/>
    <cellStyle name="Entrada 2 5 2 3 2 2" xfId="4429"/>
    <cellStyle name="Entrada 2 5 2 3 3" xfId="4430"/>
    <cellStyle name="Entrada 2 5 2 3 3 2" xfId="4431"/>
    <cellStyle name="Entrada 2 5 2 3 4" xfId="4432"/>
    <cellStyle name="Entrada 2 5 2 3 4 2" xfId="4433"/>
    <cellStyle name="Entrada 2 5 2 3 5" xfId="4434"/>
    <cellStyle name="Entrada 2 5 2 3 5 2" xfId="4435"/>
    <cellStyle name="Entrada 2 5 2 3 6" xfId="4436"/>
    <cellStyle name="Entrada 2 5 2 3 6 2" xfId="4437"/>
    <cellStyle name="Entrada 2 5 2 3 7" xfId="4438"/>
    <cellStyle name="Entrada 2 5 2 3 7 2" xfId="4439"/>
    <cellStyle name="Entrada 2 5 2 3 8" xfId="4440"/>
    <cellStyle name="Entrada 2 5 2 3 8 2" xfId="4441"/>
    <cellStyle name="Entrada 2 5 2 3 9" xfId="4442"/>
    <cellStyle name="Entrada 2 5 2 3 9 2" xfId="4443"/>
    <cellStyle name="Entrada 2 5 2 4" xfId="4444"/>
    <cellStyle name="Entrada 2 5 2 4 2" xfId="4445"/>
    <cellStyle name="Entrada 2 5 2 5" xfId="4446"/>
    <cellStyle name="Entrada 2 5 2 5 2" xfId="4447"/>
    <cellStyle name="Entrada 2 5 2 6" xfId="4448"/>
    <cellStyle name="Entrada 2 5 2 6 2" xfId="4449"/>
    <cellStyle name="Entrada 2 5 2 7" xfId="4450"/>
    <cellStyle name="Entrada 2 5 2 7 2" xfId="4451"/>
    <cellStyle name="Entrada 2 5 2 8" xfId="4452"/>
    <cellStyle name="Entrada 2 5 2 8 2" xfId="4453"/>
    <cellStyle name="Entrada 2 5 2 9" xfId="4454"/>
    <cellStyle name="Entrada 2 5 2 9 2" xfId="4455"/>
    <cellStyle name="Entrada 2 5 3" xfId="4456"/>
    <cellStyle name="Entrada 2 5 3 10" xfId="4457"/>
    <cellStyle name="Entrada 2 5 3 10 2" xfId="4458"/>
    <cellStyle name="Entrada 2 5 3 11" xfId="4459"/>
    <cellStyle name="Entrada 2 5 3 11 2" xfId="4460"/>
    <cellStyle name="Entrada 2 5 3 12" xfId="4461"/>
    <cellStyle name="Entrada 2 5 3 12 2" xfId="4462"/>
    <cellStyle name="Entrada 2 5 3 13" xfId="4463"/>
    <cellStyle name="Entrada 2 5 3 2" xfId="4464"/>
    <cellStyle name="Entrada 2 5 3 2 10" xfId="4465"/>
    <cellStyle name="Entrada 2 5 3 2 10 2" xfId="4466"/>
    <cellStyle name="Entrada 2 5 3 2 11" xfId="4467"/>
    <cellStyle name="Entrada 2 5 3 2 2" xfId="4468"/>
    <cellStyle name="Entrada 2 5 3 2 2 2" xfId="4469"/>
    <cellStyle name="Entrada 2 5 3 2 3" xfId="4470"/>
    <cellStyle name="Entrada 2 5 3 2 3 2" xfId="4471"/>
    <cellStyle name="Entrada 2 5 3 2 4" xfId="4472"/>
    <cellStyle name="Entrada 2 5 3 2 4 2" xfId="4473"/>
    <cellStyle name="Entrada 2 5 3 2 5" xfId="4474"/>
    <cellStyle name="Entrada 2 5 3 2 5 2" xfId="4475"/>
    <cellStyle name="Entrada 2 5 3 2 6" xfId="4476"/>
    <cellStyle name="Entrada 2 5 3 2 6 2" xfId="4477"/>
    <cellStyle name="Entrada 2 5 3 2 7" xfId="4478"/>
    <cellStyle name="Entrada 2 5 3 2 7 2" xfId="4479"/>
    <cellStyle name="Entrada 2 5 3 2 8" xfId="4480"/>
    <cellStyle name="Entrada 2 5 3 2 8 2" xfId="4481"/>
    <cellStyle name="Entrada 2 5 3 2 9" xfId="4482"/>
    <cellStyle name="Entrada 2 5 3 2 9 2" xfId="4483"/>
    <cellStyle name="Entrada 2 5 3 3" xfId="4484"/>
    <cellStyle name="Entrada 2 5 3 3 10" xfId="4485"/>
    <cellStyle name="Entrada 2 5 3 3 10 2" xfId="4486"/>
    <cellStyle name="Entrada 2 5 3 3 11" xfId="4487"/>
    <cellStyle name="Entrada 2 5 3 3 2" xfId="4488"/>
    <cellStyle name="Entrada 2 5 3 3 2 2" xfId="4489"/>
    <cellStyle name="Entrada 2 5 3 3 3" xfId="4490"/>
    <cellStyle name="Entrada 2 5 3 3 3 2" xfId="4491"/>
    <cellStyle name="Entrada 2 5 3 3 4" xfId="4492"/>
    <cellStyle name="Entrada 2 5 3 3 4 2" xfId="4493"/>
    <cellStyle name="Entrada 2 5 3 3 5" xfId="4494"/>
    <cellStyle name="Entrada 2 5 3 3 5 2" xfId="4495"/>
    <cellStyle name="Entrada 2 5 3 3 6" xfId="4496"/>
    <cellStyle name="Entrada 2 5 3 3 6 2" xfId="4497"/>
    <cellStyle name="Entrada 2 5 3 3 7" xfId="4498"/>
    <cellStyle name="Entrada 2 5 3 3 7 2" xfId="4499"/>
    <cellStyle name="Entrada 2 5 3 3 8" xfId="4500"/>
    <cellStyle name="Entrada 2 5 3 3 8 2" xfId="4501"/>
    <cellStyle name="Entrada 2 5 3 3 9" xfId="4502"/>
    <cellStyle name="Entrada 2 5 3 3 9 2" xfId="4503"/>
    <cellStyle name="Entrada 2 5 3 4" xfId="4504"/>
    <cellStyle name="Entrada 2 5 3 4 2" xfId="4505"/>
    <cellStyle name="Entrada 2 5 3 5" xfId="4506"/>
    <cellStyle name="Entrada 2 5 3 5 2" xfId="4507"/>
    <cellStyle name="Entrada 2 5 3 6" xfId="4508"/>
    <cellStyle name="Entrada 2 5 3 6 2" xfId="4509"/>
    <cellStyle name="Entrada 2 5 3 7" xfId="4510"/>
    <cellStyle name="Entrada 2 5 3 7 2" xfId="4511"/>
    <cellStyle name="Entrada 2 5 3 8" xfId="4512"/>
    <cellStyle name="Entrada 2 5 3 8 2" xfId="4513"/>
    <cellStyle name="Entrada 2 5 3 9" xfId="4514"/>
    <cellStyle name="Entrada 2 5 3 9 2" xfId="4515"/>
    <cellStyle name="Entrada 2 5 4" xfId="4516"/>
    <cellStyle name="Entrada 2 5 4 10" xfId="4517"/>
    <cellStyle name="Entrada 2 5 4 10 2" xfId="4518"/>
    <cellStyle name="Entrada 2 5 4 11" xfId="4519"/>
    <cellStyle name="Entrada 2 5 4 2" xfId="4520"/>
    <cellStyle name="Entrada 2 5 4 2 2" xfId="4521"/>
    <cellStyle name="Entrada 2 5 4 3" xfId="4522"/>
    <cellStyle name="Entrada 2 5 4 3 2" xfId="4523"/>
    <cellStyle name="Entrada 2 5 4 4" xfId="4524"/>
    <cellStyle name="Entrada 2 5 4 4 2" xfId="4525"/>
    <cellStyle name="Entrada 2 5 4 5" xfId="4526"/>
    <cellStyle name="Entrada 2 5 4 5 2" xfId="4527"/>
    <cellStyle name="Entrada 2 5 4 6" xfId="4528"/>
    <cellStyle name="Entrada 2 5 4 6 2" xfId="4529"/>
    <cellStyle name="Entrada 2 5 4 7" xfId="4530"/>
    <cellStyle name="Entrada 2 5 4 7 2" xfId="4531"/>
    <cellStyle name="Entrada 2 5 4 8" xfId="4532"/>
    <cellStyle name="Entrada 2 5 4 8 2" xfId="4533"/>
    <cellStyle name="Entrada 2 5 4 9" xfId="4534"/>
    <cellStyle name="Entrada 2 5 4 9 2" xfId="4535"/>
    <cellStyle name="Entrada 2 5 5" xfId="4536"/>
    <cellStyle name="Entrada 2 5 5 10" xfId="4537"/>
    <cellStyle name="Entrada 2 5 5 10 2" xfId="4538"/>
    <cellStyle name="Entrada 2 5 5 11" xfId="4539"/>
    <cellStyle name="Entrada 2 5 5 2" xfId="4540"/>
    <cellStyle name="Entrada 2 5 5 2 2" xfId="4541"/>
    <cellStyle name="Entrada 2 5 5 3" xfId="4542"/>
    <cellStyle name="Entrada 2 5 5 3 2" xfId="4543"/>
    <cellStyle name="Entrada 2 5 5 4" xfId="4544"/>
    <cellStyle name="Entrada 2 5 5 4 2" xfId="4545"/>
    <cellStyle name="Entrada 2 5 5 5" xfId="4546"/>
    <cellStyle name="Entrada 2 5 5 5 2" xfId="4547"/>
    <cellStyle name="Entrada 2 5 5 6" xfId="4548"/>
    <cellStyle name="Entrada 2 5 5 6 2" xfId="4549"/>
    <cellStyle name="Entrada 2 5 5 7" xfId="4550"/>
    <cellStyle name="Entrada 2 5 5 7 2" xfId="4551"/>
    <cellStyle name="Entrada 2 5 5 8" xfId="4552"/>
    <cellStyle name="Entrada 2 5 5 8 2" xfId="4553"/>
    <cellStyle name="Entrada 2 5 5 9" xfId="4554"/>
    <cellStyle name="Entrada 2 5 5 9 2" xfId="4555"/>
    <cellStyle name="Entrada 2 5 6" xfId="4556"/>
    <cellStyle name="Entrada 2 5 6 2" xfId="4557"/>
    <cellStyle name="Entrada 2 5 7" xfId="4558"/>
    <cellStyle name="Entrada 2 5 7 2" xfId="4559"/>
    <cellStyle name="Entrada 2 5 8" xfId="4560"/>
    <cellStyle name="Entrada 2 5 8 2" xfId="4561"/>
    <cellStyle name="Entrada 2 5 9" xfId="4562"/>
    <cellStyle name="Entrada 2 5 9 2" xfId="4563"/>
    <cellStyle name="Entrada 2 6" xfId="4564"/>
    <cellStyle name="Entrada 2 6 10" xfId="4565"/>
    <cellStyle name="Entrada 2 6 10 2" xfId="4566"/>
    <cellStyle name="Entrada 2 6 11" xfId="4567"/>
    <cellStyle name="Entrada 2 6 11 2" xfId="4568"/>
    <cellStyle name="Entrada 2 6 12" xfId="4569"/>
    <cellStyle name="Entrada 2 6 12 2" xfId="4570"/>
    <cellStyle name="Entrada 2 6 13" xfId="4571"/>
    <cellStyle name="Entrada 2 6 13 2" xfId="4572"/>
    <cellStyle name="Entrada 2 6 14" xfId="4573"/>
    <cellStyle name="Entrada 2 6 14 2" xfId="4574"/>
    <cellStyle name="Entrada 2 6 15" xfId="4575"/>
    <cellStyle name="Entrada 2 6 2" xfId="4576"/>
    <cellStyle name="Entrada 2 6 2 10" xfId="4577"/>
    <cellStyle name="Entrada 2 6 2 10 2" xfId="4578"/>
    <cellStyle name="Entrada 2 6 2 11" xfId="4579"/>
    <cellStyle name="Entrada 2 6 2 11 2" xfId="4580"/>
    <cellStyle name="Entrada 2 6 2 12" xfId="4581"/>
    <cellStyle name="Entrada 2 6 2 12 2" xfId="4582"/>
    <cellStyle name="Entrada 2 6 2 13" xfId="4583"/>
    <cellStyle name="Entrada 2 6 2 2" xfId="4584"/>
    <cellStyle name="Entrada 2 6 2 2 10" xfId="4585"/>
    <cellStyle name="Entrada 2 6 2 2 10 2" xfId="4586"/>
    <cellStyle name="Entrada 2 6 2 2 11" xfId="4587"/>
    <cellStyle name="Entrada 2 6 2 2 2" xfId="4588"/>
    <cellStyle name="Entrada 2 6 2 2 2 2" xfId="4589"/>
    <cellStyle name="Entrada 2 6 2 2 3" xfId="4590"/>
    <cellStyle name="Entrada 2 6 2 2 3 2" xfId="4591"/>
    <cellStyle name="Entrada 2 6 2 2 4" xfId="4592"/>
    <cellStyle name="Entrada 2 6 2 2 4 2" xfId="4593"/>
    <cellStyle name="Entrada 2 6 2 2 5" xfId="4594"/>
    <cellStyle name="Entrada 2 6 2 2 5 2" xfId="4595"/>
    <cellStyle name="Entrada 2 6 2 2 6" xfId="4596"/>
    <cellStyle name="Entrada 2 6 2 2 6 2" xfId="4597"/>
    <cellStyle name="Entrada 2 6 2 2 7" xfId="4598"/>
    <cellStyle name="Entrada 2 6 2 2 7 2" xfId="4599"/>
    <cellStyle name="Entrada 2 6 2 2 8" xfId="4600"/>
    <cellStyle name="Entrada 2 6 2 2 8 2" xfId="4601"/>
    <cellStyle name="Entrada 2 6 2 2 9" xfId="4602"/>
    <cellStyle name="Entrada 2 6 2 2 9 2" xfId="4603"/>
    <cellStyle name="Entrada 2 6 2 3" xfId="4604"/>
    <cellStyle name="Entrada 2 6 2 3 10" xfId="4605"/>
    <cellStyle name="Entrada 2 6 2 3 10 2" xfId="4606"/>
    <cellStyle name="Entrada 2 6 2 3 11" xfId="4607"/>
    <cellStyle name="Entrada 2 6 2 3 2" xfId="4608"/>
    <cellStyle name="Entrada 2 6 2 3 2 2" xfId="4609"/>
    <cellStyle name="Entrada 2 6 2 3 3" xfId="4610"/>
    <cellStyle name="Entrada 2 6 2 3 3 2" xfId="4611"/>
    <cellStyle name="Entrada 2 6 2 3 4" xfId="4612"/>
    <cellStyle name="Entrada 2 6 2 3 4 2" xfId="4613"/>
    <cellStyle name="Entrada 2 6 2 3 5" xfId="4614"/>
    <cellStyle name="Entrada 2 6 2 3 5 2" xfId="4615"/>
    <cellStyle name="Entrada 2 6 2 3 6" xfId="4616"/>
    <cellStyle name="Entrada 2 6 2 3 6 2" xfId="4617"/>
    <cellStyle name="Entrada 2 6 2 3 7" xfId="4618"/>
    <cellStyle name="Entrada 2 6 2 3 7 2" xfId="4619"/>
    <cellStyle name="Entrada 2 6 2 3 8" xfId="4620"/>
    <cellStyle name="Entrada 2 6 2 3 8 2" xfId="4621"/>
    <cellStyle name="Entrada 2 6 2 3 9" xfId="4622"/>
    <cellStyle name="Entrada 2 6 2 3 9 2" xfId="4623"/>
    <cellStyle name="Entrada 2 6 2 4" xfId="4624"/>
    <cellStyle name="Entrada 2 6 2 4 2" xfId="4625"/>
    <cellStyle name="Entrada 2 6 2 5" xfId="4626"/>
    <cellStyle name="Entrada 2 6 2 5 2" xfId="4627"/>
    <cellStyle name="Entrada 2 6 2 6" xfId="4628"/>
    <cellStyle name="Entrada 2 6 2 6 2" xfId="4629"/>
    <cellStyle name="Entrada 2 6 2 7" xfId="4630"/>
    <cellStyle name="Entrada 2 6 2 7 2" xfId="4631"/>
    <cellStyle name="Entrada 2 6 2 8" xfId="4632"/>
    <cellStyle name="Entrada 2 6 2 8 2" xfId="4633"/>
    <cellStyle name="Entrada 2 6 2 9" xfId="4634"/>
    <cellStyle name="Entrada 2 6 2 9 2" xfId="4635"/>
    <cellStyle name="Entrada 2 6 3" xfId="4636"/>
    <cellStyle name="Entrada 2 6 3 10" xfId="4637"/>
    <cellStyle name="Entrada 2 6 3 10 2" xfId="4638"/>
    <cellStyle name="Entrada 2 6 3 11" xfId="4639"/>
    <cellStyle name="Entrada 2 6 3 11 2" xfId="4640"/>
    <cellStyle name="Entrada 2 6 3 12" xfId="4641"/>
    <cellStyle name="Entrada 2 6 3 12 2" xfId="4642"/>
    <cellStyle name="Entrada 2 6 3 13" xfId="4643"/>
    <cellStyle name="Entrada 2 6 3 2" xfId="4644"/>
    <cellStyle name="Entrada 2 6 3 2 10" xfId="4645"/>
    <cellStyle name="Entrada 2 6 3 2 10 2" xfId="4646"/>
    <cellStyle name="Entrada 2 6 3 2 11" xfId="4647"/>
    <cellStyle name="Entrada 2 6 3 2 2" xfId="4648"/>
    <cellStyle name="Entrada 2 6 3 2 2 2" xfId="4649"/>
    <cellStyle name="Entrada 2 6 3 2 3" xfId="4650"/>
    <cellStyle name="Entrada 2 6 3 2 3 2" xfId="4651"/>
    <cellStyle name="Entrada 2 6 3 2 4" xfId="4652"/>
    <cellStyle name="Entrada 2 6 3 2 4 2" xfId="4653"/>
    <cellStyle name="Entrada 2 6 3 2 5" xfId="4654"/>
    <cellStyle name="Entrada 2 6 3 2 5 2" xfId="4655"/>
    <cellStyle name="Entrada 2 6 3 2 6" xfId="4656"/>
    <cellStyle name="Entrada 2 6 3 2 6 2" xfId="4657"/>
    <cellStyle name="Entrada 2 6 3 2 7" xfId="4658"/>
    <cellStyle name="Entrada 2 6 3 2 7 2" xfId="4659"/>
    <cellStyle name="Entrada 2 6 3 2 8" xfId="4660"/>
    <cellStyle name="Entrada 2 6 3 2 8 2" xfId="4661"/>
    <cellStyle name="Entrada 2 6 3 2 9" xfId="4662"/>
    <cellStyle name="Entrada 2 6 3 2 9 2" xfId="4663"/>
    <cellStyle name="Entrada 2 6 3 3" xfId="4664"/>
    <cellStyle name="Entrada 2 6 3 3 10" xfId="4665"/>
    <cellStyle name="Entrada 2 6 3 3 10 2" xfId="4666"/>
    <cellStyle name="Entrada 2 6 3 3 11" xfId="4667"/>
    <cellStyle name="Entrada 2 6 3 3 2" xfId="4668"/>
    <cellStyle name="Entrada 2 6 3 3 2 2" xfId="4669"/>
    <cellStyle name="Entrada 2 6 3 3 3" xfId="4670"/>
    <cellStyle name="Entrada 2 6 3 3 3 2" xfId="4671"/>
    <cellStyle name="Entrada 2 6 3 3 4" xfId="4672"/>
    <cellStyle name="Entrada 2 6 3 3 4 2" xfId="4673"/>
    <cellStyle name="Entrada 2 6 3 3 5" xfId="4674"/>
    <cellStyle name="Entrada 2 6 3 3 5 2" xfId="4675"/>
    <cellStyle name="Entrada 2 6 3 3 6" xfId="4676"/>
    <cellStyle name="Entrada 2 6 3 3 6 2" xfId="4677"/>
    <cellStyle name="Entrada 2 6 3 3 7" xfId="4678"/>
    <cellStyle name="Entrada 2 6 3 3 7 2" xfId="4679"/>
    <cellStyle name="Entrada 2 6 3 3 8" xfId="4680"/>
    <cellStyle name="Entrada 2 6 3 3 8 2" xfId="4681"/>
    <cellStyle name="Entrada 2 6 3 3 9" xfId="4682"/>
    <cellStyle name="Entrada 2 6 3 3 9 2" xfId="4683"/>
    <cellStyle name="Entrada 2 6 3 4" xfId="4684"/>
    <cellStyle name="Entrada 2 6 3 4 2" xfId="4685"/>
    <cellStyle name="Entrada 2 6 3 5" xfId="4686"/>
    <cellStyle name="Entrada 2 6 3 5 2" xfId="4687"/>
    <cellStyle name="Entrada 2 6 3 6" xfId="4688"/>
    <cellStyle name="Entrada 2 6 3 6 2" xfId="4689"/>
    <cellStyle name="Entrada 2 6 3 7" xfId="4690"/>
    <cellStyle name="Entrada 2 6 3 7 2" xfId="4691"/>
    <cellStyle name="Entrada 2 6 3 8" xfId="4692"/>
    <cellStyle name="Entrada 2 6 3 8 2" xfId="4693"/>
    <cellStyle name="Entrada 2 6 3 9" xfId="4694"/>
    <cellStyle name="Entrada 2 6 3 9 2" xfId="4695"/>
    <cellStyle name="Entrada 2 6 4" xfId="4696"/>
    <cellStyle name="Entrada 2 6 4 10" xfId="4697"/>
    <cellStyle name="Entrada 2 6 4 10 2" xfId="4698"/>
    <cellStyle name="Entrada 2 6 4 11" xfId="4699"/>
    <cellStyle name="Entrada 2 6 4 2" xfId="4700"/>
    <cellStyle name="Entrada 2 6 4 2 2" xfId="4701"/>
    <cellStyle name="Entrada 2 6 4 3" xfId="4702"/>
    <cellStyle name="Entrada 2 6 4 3 2" xfId="4703"/>
    <cellStyle name="Entrada 2 6 4 4" xfId="4704"/>
    <cellStyle name="Entrada 2 6 4 4 2" xfId="4705"/>
    <cellStyle name="Entrada 2 6 4 5" xfId="4706"/>
    <cellStyle name="Entrada 2 6 4 5 2" xfId="4707"/>
    <cellStyle name="Entrada 2 6 4 6" xfId="4708"/>
    <cellStyle name="Entrada 2 6 4 6 2" xfId="4709"/>
    <cellStyle name="Entrada 2 6 4 7" xfId="4710"/>
    <cellStyle name="Entrada 2 6 4 7 2" xfId="4711"/>
    <cellStyle name="Entrada 2 6 4 8" xfId="4712"/>
    <cellStyle name="Entrada 2 6 4 8 2" xfId="4713"/>
    <cellStyle name="Entrada 2 6 4 9" xfId="4714"/>
    <cellStyle name="Entrada 2 6 4 9 2" xfId="4715"/>
    <cellStyle name="Entrada 2 6 5" xfId="4716"/>
    <cellStyle name="Entrada 2 6 5 10" xfId="4717"/>
    <cellStyle name="Entrada 2 6 5 10 2" xfId="4718"/>
    <cellStyle name="Entrada 2 6 5 11" xfId="4719"/>
    <cellStyle name="Entrada 2 6 5 2" xfId="4720"/>
    <cellStyle name="Entrada 2 6 5 2 2" xfId="4721"/>
    <cellStyle name="Entrada 2 6 5 3" xfId="4722"/>
    <cellStyle name="Entrada 2 6 5 3 2" xfId="4723"/>
    <cellStyle name="Entrada 2 6 5 4" xfId="4724"/>
    <cellStyle name="Entrada 2 6 5 4 2" xfId="4725"/>
    <cellStyle name="Entrada 2 6 5 5" xfId="4726"/>
    <cellStyle name="Entrada 2 6 5 5 2" xfId="4727"/>
    <cellStyle name="Entrada 2 6 5 6" xfId="4728"/>
    <cellStyle name="Entrada 2 6 5 6 2" xfId="4729"/>
    <cellStyle name="Entrada 2 6 5 7" xfId="4730"/>
    <cellStyle name="Entrada 2 6 5 7 2" xfId="4731"/>
    <cellStyle name="Entrada 2 6 5 8" xfId="4732"/>
    <cellStyle name="Entrada 2 6 5 8 2" xfId="4733"/>
    <cellStyle name="Entrada 2 6 5 9" xfId="4734"/>
    <cellStyle name="Entrada 2 6 5 9 2" xfId="4735"/>
    <cellStyle name="Entrada 2 6 6" xfId="4736"/>
    <cellStyle name="Entrada 2 6 6 2" xfId="4737"/>
    <cellStyle name="Entrada 2 6 7" xfId="4738"/>
    <cellStyle name="Entrada 2 6 7 2" xfId="4739"/>
    <cellStyle name="Entrada 2 6 8" xfId="4740"/>
    <cellStyle name="Entrada 2 6 8 2" xfId="4741"/>
    <cellStyle name="Entrada 2 6 9" xfId="4742"/>
    <cellStyle name="Entrada 2 6 9 2" xfId="4743"/>
    <cellStyle name="Entrada 2 7" xfId="4744"/>
    <cellStyle name="Entrada 2 7 10" xfId="4745"/>
    <cellStyle name="Entrada 2 7 10 2" xfId="4746"/>
    <cellStyle name="Entrada 2 7 11" xfId="4747"/>
    <cellStyle name="Entrada 2 7 11 2" xfId="4748"/>
    <cellStyle name="Entrada 2 7 12" xfId="4749"/>
    <cellStyle name="Entrada 2 7 12 2" xfId="4750"/>
    <cellStyle name="Entrada 2 7 13" xfId="4751"/>
    <cellStyle name="Entrada 2 7 2" xfId="4752"/>
    <cellStyle name="Entrada 2 7 2 10" xfId="4753"/>
    <cellStyle name="Entrada 2 7 2 10 2" xfId="4754"/>
    <cellStyle name="Entrada 2 7 2 11" xfId="4755"/>
    <cellStyle name="Entrada 2 7 2 2" xfId="4756"/>
    <cellStyle name="Entrada 2 7 2 2 2" xfId="4757"/>
    <cellStyle name="Entrada 2 7 2 3" xfId="4758"/>
    <cellStyle name="Entrada 2 7 2 3 2" xfId="4759"/>
    <cellStyle name="Entrada 2 7 2 4" xfId="4760"/>
    <cellStyle name="Entrada 2 7 2 4 2" xfId="4761"/>
    <cellStyle name="Entrada 2 7 2 5" xfId="4762"/>
    <cellStyle name="Entrada 2 7 2 5 2" xfId="4763"/>
    <cellStyle name="Entrada 2 7 2 6" xfId="4764"/>
    <cellStyle name="Entrada 2 7 2 6 2" xfId="4765"/>
    <cellStyle name="Entrada 2 7 2 7" xfId="4766"/>
    <cellStyle name="Entrada 2 7 2 7 2" xfId="4767"/>
    <cellStyle name="Entrada 2 7 2 8" xfId="4768"/>
    <cellStyle name="Entrada 2 7 2 8 2" xfId="4769"/>
    <cellStyle name="Entrada 2 7 2 9" xfId="4770"/>
    <cellStyle name="Entrada 2 7 2 9 2" xfId="4771"/>
    <cellStyle name="Entrada 2 7 3" xfId="4772"/>
    <cellStyle name="Entrada 2 7 3 10" xfId="4773"/>
    <cellStyle name="Entrada 2 7 3 10 2" xfId="4774"/>
    <cellStyle name="Entrada 2 7 3 11" xfId="4775"/>
    <cellStyle name="Entrada 2 7 3 2" xfId="4776"/>
    <cellStyle name="Entrada 2 7 3 2 2" xfId="4777"/>
    <cellStyle name="Entrada 2 7 3 3" xfId="4778"/>
    <cellStyle name="Entrada 2 7 3 3 2" xfId="4779"/>
    <cellStyle name="Entrada 2 7 3 4" xfId="4780"/>
    <cellStyle name="Entrada 2 7 3 4 2" xfId="4781"/>
    <cellStyle name="Entrada 2 7 3 5" xfId="4782"/>
    <cellStyle name="Entrada 2 7 3 5 2" xfId="4783"/>
    <cellStyle name="Entrada 2 7 3 6" xfId="4784"/>
    <cellStyle name="Entrada 2 7 3 6 2" xfId="4785"/>
    <cellStyle name="Entrada 2 7 3 7" xfId="4786"/>
    <cellStyle name="Entrada 2 7 3 7 2" xfId="4787"/>
    <cellStyle name="Entrada 2 7 3 8" xfId="4788"/>
    <cellStyle name="Entrada 2 7 3 8 2" xfId="4789"/>
    <cellStyle name="Entrada 2 7 3 9" xfId="4790"/>
    <cellStyle name="Entrada 2 7 3 9 2" xfId="4791"/>
    <cellStyle name="Entrada 2 7 4" xfId="4792"/>
    <cellStyle name="Entrada 2 7 4 2" xfId="4793"/>
    <cellStyle name="Entrada 2 7 5" xfId="4794"/>
    <cellStyle name="Entrada 2 7 5 2" xfId="4795"/>
    <cellStyle name="Entrada 2 7 6" xfId="4796"/>
    <cellStyle name="Entrada 2 7 6 2" xfId="4797"/>
    <cellStyle name="Entrada 2 7 7" xfId="4798"/>
    <cellStyle name="Entrada 2 7 7 2" xfId="4799"/>
    <cellStyle name="Entrada 2 7 8" xfId="4800"/>
    <cellStyle name="Entrada 2 7 8 2" xfId="4801"/>
    <cellStyle name="Entrada 2 7 9" xfId="4802"/>
    <cellStyle name="Entrada 2 7 9 2" xfId="4803"/>
    <cellStyle name="Entrada 2 8" xfId="4804"/>
    <cellStyle name="Entrada 2 8 10" xfId="4805"/>
    <cellStyle name="Entrada 2 8 10 2" xfId="4806"/>
    <cellStyle name="Entrada 2 8 11" xfId="4807"/>
    <cellStyle name="Entrada 2 8 11 2" xfId="4808"/>
    <cellStyle name="Entrada 2 8 12" xfId="4809"/>
    <cellStyle name="Entrada 2 8 12 2" xfId="4810"/>
    <cellStyle name="Entrada 2 8 13" xfId="4811"/>
    <cellStyle name="Entrada 2 8 2" xfId="4812"/>
    <cellStyle name="Entrada 2 8 2 10" xfId="4813"/>
    <cellStyle name="Entrada 2 8 2 10 2" xfId="4814"/>
    <cellStyle name="Entrada 2 8 2 11" xfId="4815"/>
    <cellStyle name="Entrada 2 8 2 2" xfId="4816"/>
    <cellStyle name="Entrada 2 8 2 2 2" xfId="4817"/>
    <cellStyle name="Entrada 2 8 2 3" xfId="4818"/>
    <cellStyle name="Entrada 2 8 2 3 2" xfId="4819"/>
    <cellStyle name="Entrada 2 8 2 4" xfId="4820"/>
    <cellStyle name="Entrada 2 8 2 4 2" xfId="4821"/>
    <cellStyle name="Entrada 2 8 2 5" xfId="4822"/>
    <cellStyle name="Entrada 2 8 2 5 2" xfId="4823"/>
    <cellStyle name="Entrada 2 8 2 6" xfId="4824"/>
    <cellStyle name="Entrada 2 8 2 6 2" xfId="4825"/>
    <cellStyle name="Entrada 2 8 2 7" xfId="4826"/>
    <cellStyle name="Entrada 2 8 2 7 2" xfId="4827"/>
    <cellStyle name="Entrada 2 8 2 8" xfId="4828"/>
    <cellStyle name="Entrada 2 8 2 8 2" xfId="4829"/>
    <cellStyle name="Entrada 2 8 2 9" xfId="4830"/>
    <cellStyle name="Entrada 2 8 2 9 2" xfId="4831"/>
    <cellStyle name="Entrada 2 8 3" xfId="4832"/>
    <cellStyle name="Entrada 2 8 3 10" xfId="4833"/>
    <cellStyle name="Entrada 2 8 3 10 2" xfId="4834"/>
    <cellStyle name="Entrada 2 8 3 11" xfId="4835"/>
    <cellStyle name="Entrada 2 8 3 2" xfId="4836"/>
    <cellStyle name="Entrada 2 8 3 2 2" xfId="4837"/>
    <cellStyle name="Entrada 2 8 3 3" xfId="4838"/>
    <cellStyle name="Entrada 2 8 3 3 2" xfId="4839"/>
    <cellStyle name="Entrada 2 8 3 4" xfId="4840"/>
    <cellStyle name="Entrada 2 8 3 4 2" xfId="4841"/>
    <cellStyle name="Entrada 2 8 3 5" xfId="4842"/>
    <cellStyle name="Entrada 2 8 3 5 2" xfId="4843"/>
    <cellStyle name="Entrada 2 8 3 6" xfId="4844"/>
    <cellStyle name="Entrada 2 8 3 6 2" xfId="4845"/>
    <cellStyle name="Entrada 2 8 3 7" xfId="4846"/>
    <cellStyle name="Entrada 2 8 3 7 2" xfId="4847"/>
    <cellStyle name="Entrada 2 8 3 8" xfId="4848"/>
    <cellStyle name="Entrada 2 8 3 8 2" xfId="4849"/>
    <cellStyle name="Entrada 2 8 3 9" xfId="4850"/>
    <cellStyle name="Entrada 2 8 3 9 2" xfId="4851"/>
    <cellStyle name="Entrada 2 8 4" xfId="4852"/>
    <cellStyle name="Entrada 2 8 4 2" xfId="4853"/>
    <cellStyle name="Entrada 2 8 5" xfId="4854"/>
    <cellStyle name="Entrada 2 8 5 2" xfId="4855"/>
    <cellStyle name="Entrada 2 8 6" xfId="4856"/>
    <cellStyle name="Entrada 2 8 6 2" xfId="4857"/>
    <cellStyle name="Entrada 2 8 7" xfId="4858"/>
    <cellStyle name="Entrada 2 8 7 2" xfId="4859"/>
    <cellStyle name="Entrada 2 8 8" xfId="4860"/>
    <cellStyle name="Entrada 2 8 8 2" xfId="4861"/>
    <cellStyle name="Entrada 2 8 9" xfId="4862"/>
    <cellStyle name="Entrada 2 8 9 2" xfId="4863"/>
    <cellStyle name="Entrada 2 9" xfId="4864"/>
    <cellStyle name="Entrada 2 9 2" xfId="4865"/>
    <cellStyle name="Entrada 3" xfId="167"/>
    <cellStyle name="Entrada 3 10" xfId="4866"/>
    <cellStyle name="Entrada 3 10 2" xfId="4867"/>
    <cellStyle name="Entrada 3 11" xfId="4868"/>
    <cellStyle name="Entrada 3 11 2" xfId="4869"/>
    <cellStyle name="Entrada 3 12" xfId="4870"/>
    <cellStyle name="Entrada 3 12 2" xfId="4871"/>
    <cellStyle name="Entrada 3 13" xfId="4872"/>
    <cellStyle name="Entrada 3 13 2" xfId="4873"/>
    <cellStyle name="Entrada 3 14" xfId="4874"/>
    <cellStyle name="Entrada 3 14 2" xfId="4875"/>
    <cellStyle name="Entrada 3 15" xfId="4876"/>
    <cellStyle name="Entrada 3 16" xfId="4877"/>
    <cellStyle name="Entrada 3 17" xfId="4878"/>
    <cellStyle name="Entrada 3 2" xfId="297"/>
    <cellStyle name="Entrada 3 2 10" xfId="4879"/>
    <cellStyle name="Entrada 3 2 10 2" xfId="4880"/>
    <cellStyle name="Entrada 3 2 11" xfId="4881"/>
    <cellStyle name="Entrada 3 2 11 2" xfId="4882"/>
    <cellStyle name="Entrada 3 2 12" xfId="4883"/>
    <cellStyle name="Entrada 3 2 12 2" xfId="4884"/>
    <cellStyle name="Entrada 3 2 13" xfId="4885"/>
    <cellStyle name="Entrada 3 2 13 2" xfId="4886"/>
    <cellStyle name="Entrada 3 2 14" xfId="4887"/>
    <cellStyle name="Entrada 3 2 14 2" xfId="4888"/>
    <cellStyle name="Entrada 3 2 15" xfId="4889"/>
    <cellStyle name="Entrada 3 2 16" xfId="4890"/>
    <cellStyle name="Entrada 3 2 2" xfId="4891"/>
    <cellStyle name="Entrada 3 2 2 10" xfId="4892"/>
    <cellStyle name="Entrada 3 2 2 10 2" xfId="4893"/>
    <cellStyle name="Entrada 3 2 2 11" xfId="4894"/>
    <cellStyle name="Entrada 3 2 2 11 2" xfId="4895"/>
    <cellStyle name="Entrada 3 2 2 12" xfId="4896"/>
    <cellStyle name="Entrada 3 2 2 12 2" xfId="4897"/>
    <cellStyle name="Entrada 3 2 2 13" xfId="4898"/>
    <cellStyle name="Entrada 3 2 2 2" xfId="4899"/>
    <cellStyle name="Entrada 3 2 2 2 10" xfId="4900"/>
    <cellStyle name="Entrada 3 2 2 2 10 2" xfId="4901"/>
    <cellStyle name="Entrada 3 2 2 2 11" xfId="4902"/>
    <cellStyle name="Entrada 3 2 2 2 2" xfId="4903"/>
    <cellStyle name="Entrada 3 2 2 2 2 2" xfId="4904"/>
    <cellStyle name="Entrada 3 2 2 2 3" xfId="4905"/>
    <cellStyle name="Entrada 3 2 2 2 3 2" xfId="4906"/>
    <cellStyle name="Entrada 3 2 2 2 4" xfId="4907"/>
    <cellStyle name="Entrada 3 2 2 2 4 2" xfId="4908"/>
    <cellStyle name="Entrada 3 2 2 2 5" xfId="4909"/>
    <cellStyle name="Entrada 3 2 2 2 5 2" xfId="4910"/>
    <cellStyle name="Entrada 3 2 2 2 6" xfId="4911"/>
    <cellStyle name="Entrada 3 2 2 2 6 2" xfId="4912"/>
    <cellStyle name="Entrada 3 2 2 2 7" xfId="4913"/>
    <cellStyle name="Entrada 3 2 2 2 7 2" xfId="4914"/>
    <cellStyle name="Entrada 3 2 2 2 8" xfId="4915"/>
    <cellStyle name="Entrada 3 2 2 2 8 2" xfId="4916"/>
    <cellStyle name="Entrada 3 2 2 2 9" xfId="4917"/>
    <cellStyle name="Entrada 3 2 2 2 9 2" xfId="4918"/>
    <cellStyle name="Entrada 3 2 2 3" xfId="4919"/>
    <cellStyle name="Entrada 3 2 2 3 10" xfId="4920"/>
    <cellStyle name="Entrada 3 2 2 3 10 2" xfId="4921"/>
    <cellStyle name="Entrada 3 2 2 3 11" xfId="4922"/>
    <cellStyle name="Entrada 3 2 2 3 2" xfId="4923"/>
    <cellStyle name="Entrada 3 2 2 3 2 2" xfId="4924"/>
    <cellStyle name="Entrada 3 2 2 3 3" xfId="4925"/>
    <cellStyle name="Entrada 3 2 2 3 3 2" xfId="4926"/>
    <cellStyle name="Entrada 3 2 2 3 4" xfId="4927"/>
    <cellStyle name="Entrada 3 2 2 3 4 2" xfId="4928"/>
    <cellStyle name="Entrada 3 2 2 3 5" xfId="4929"/>
    <cellStyle name="Entrada 3 2 2 3 5 2" xfId="4930"/>
    <cellStyle name="Entrada 3 2 2 3 6" xfId="4931"/>
    <cellStyle name="Entrada 3 2 2 3 6 2" xfId="4932"/>
    <cellStyle name="Entrada 3 2 2 3 7" xfId="4933"/>
    <cellStyle name="Entrada 3 2 2 3 7 2" xfId="4934"/>
    <cellStyle name="Entrada 3 2 2 3 8" xfId="4935"/>
    <cellStyle name="Entrada 3 2 2 3 8 2" xfId="4936"/>
    <cellStyle name="Entrada 3 2 2 3 9" xfId="4937"/>
    <cellStyle name="Entrada 3 2 2 3 9 2" xfId="4938"/>
    <cellStyle name="Entrada 3 2 2 4" xfId="4939"/>
    <cellStyle name="Entrada 3 2 2 4 2" xfId="4940"/>
    <cellStyle name="Entrada 3 2 2 5" xfId="4941"/>
    <cellStyle name="Entrada 3 2 2 5 2" xfId="4942"/>
    <cellStyle name="Entrada 3 2 2 6" xfId="4943"/>
    <cellStyle name="Entrada 3 2 2 6 2" xfId="4944"/>
    <cellStyle name="Entrada 3 2 2 7" xfId="4945"/>
    <cellStyle name="Entrada 3 2 2 7 2" xfId="4946"/>
    <cellStyle name="Entrada 3 2 2 8" xfId="4947"/>
    <cellStyle name="Entrada 3 2 2 8 2" xfId="4948"/>
    <cellStyle name="Entrada 3 2 2 9" xfId="4949"/>
    <cellStyle name="Entrada 3 2 2 9 2" xfId="4950"/>
    <cellStyle name="Entrada 3 2 3" xfId="4951"/>
    <cellStyle name="Entrada 3 2 3 10" xfId="4952"/>
    <cellStyle name="Entrada 3 2 3 10 2" xfId="4953"/>
    <cellStyle name="Entrada 3 2 3 11" xfId="4954"/>
    <cellStyle name="Entrada 3 2 3 11 2" xfId="4955"/>
    <cellStyle name="Entrada 3 2 3 12" xfId="4956"/>
    <cellStyle name="Entrada 3 2 3 12 2" xfId="4957"/>
    <cellStyle name="Entrada 3 2 3 13" xfId="4958"/>
    <cellStyle name="Entrada 3 2 3 2" xfId="4959"/>
    <cellStyle name="Entrada 3 2 3 2 10" xfId="4960"/>
    <cellStyle name="Entrada 3 2 3 2 10 2" xfId="4961"/>
    <cellStyle name="Entrada 3 2 3 2 11" xfId="4962"/>
    <cellStyle name="Entrada 3 2 3 2 2" xfId="4963"/>
    <cellStyle name="Entrada 3 2 3 2 2 2" xfId="4964"/>
    <cellStyle name="Entrada 3 2 3 2 3" xfId="4965"/>
    <cellStyle name="Entrada 3 2 3 2 3 2" xfId="4966"/>
    <cellStyle name="Entrada 3 2 3 2 4" xfId="4967"/>
    <cellStyle name="Entrada 3 2 3 2 4 2" xfId="4968"/>
    <cellStyle name="Entrada 3 2 3 2 5" xfId="4969"/>
    <cellStyle name="Entrada 3 2 3 2 5 2" xfId="4970"/>
    <cellStyle name="Entrada 3 2 3 2 6" xfId="4971"/>
    <cellStyle name="Entrada 3 2 3 2 6 2" xfId="4972"/>
    <cellStyle name="Entrada 3 2 3 2 7" xfId="4973"/>
    <cellStyle name="Entrada 3 2 3 2 7 2" xfId="4974"/>
    <cellStyle name="Entrada 3 2 3 2 8" xfId="4975"/>
    <cellStyle name="Entrada 3 2 3 2 8 2" xfId="4976"/>
    <cellStyle name="Entrada 3 2 3 2 9" xfId="4977"/>
    <cellStyle name="Entrada 3 2 3 2 9 2" xfId="4978"/>
    <cellStyle name="Entrada 3 2 3 3" xfId="4979"/>
    <cellStyle name="Entrada 3 2 3 3 10" xfId="4980"/>
    <cellStyle name="Entrada 3 2 3 3 10 2" xfId="4981"/>
    <cellStyle name="Entrada 3 2 3 3 11" xfId="4982"/>
    <cellStyle name="Entrada 3 2 3 3 2" xfId="4983"/>
    <cellStyle name="Entrada 3 2 3 3 2 2" xfId="4984"/>
    <cellStyle name="Entrada 3 2 3 3 3" xfId="4985"/>
    <cellStyle name="Entrada 3 2 3 3 3 2" xfId="4986"/>
    <cellStyle name="Entrada 3 2 3 3 4" xfId="4987"/>
    <cellStyle name="Entrada 3 2 3 3 4 2" xfId="4988"/>
    <cellStyle name="Entrada 3 2 3 3 5" xfId="4989"/>
    <cellStyle name="Entrada 3 2 3 3 5 2" xfId="4990"/>
    <cellStyle name="Entrada 3 2 3 3 6" xfId="4991"/>
    <cellStyle name="Entrada 3 2 3 3 6 2" xfId="4992"/>
    <cellStyle name="Entrada 3 2 3 3 7" xfId="4993"/>
    <cellStyle name="Entrada 3 2 3 3 7 2" xfId="4994"/>
    <cellStyle name="Entrada 3 2 3 3 8" xfId="4995"/>
    <cellStyle name="Entrada 3 2 3 3 8 2" xfId="4996"/>
    <cellStyle name="Entrada 3 2 3 3 9" xfId="4997"/>
    <cellStyle name="Entrada 3 2 3 3 9 2" xfId="4998"/>
    <cellStyle name="Entrada 3 2 3 4" xfId="4999"/>
    <cellStyle name="Entrada 3 2 3 4 2" xfId="5000"/>
    <cellStyle name="Entrada 3 2 3 5" xfId="5001"/>
    <cellStyle name="Entrada 3 2 3 5 2" xfId="5002"/>
    <cellStyle name="Entrada 3 2 3 6" xfId="5003"/>
    <cellStyle name="Entrada 3 2 3 6 2" xfId="5004"/>
    <cellStyle name="Entrada 3 2 3 7" xfId="5005"/>
    <cellStyle name="Entrada 3 2 3 7 2" xfId="5006"/>
    <cellStyle name="Entrada 3 2 3 8" xfId="5007"/>
    <cellStyle name="Entrada 3 2 3 8 2" xfId="5008"/>
    <cellStyle name="Entrada 3 2 3 9" xfId="5009"/>
    <cellStyle name="Entrada 3 2 3 9 2" xfId="5010"/>
    <cellStyle name="Entrada 3 2 4" xfId="5011"/>
    <cellStyle name="Entrada 3 2 4 10" xfId="5012"/>
    <cellStyle name="Entrada 3 2 4 10 2" xfId="5013"/>
    <cellStyle name="Entrada 3 2 4 11" xfId="5014"/>
    <cellStyle name="Entrada 3 2 4 2" xfId="5015"/>
    <cellStyle name="Entrada 3 2 4 2 2" xfId="5016"/>
    <cellStyle name="Entrada 3 2 4 3" xfId="5017"/>
    <cellStyle name="Entrada 3 2 4 3 2" xfId="5018"/>
    <cellStyle name="Entrada 3 2 4 4" xfId="5019"/>
    <cellStyle name="Entrada 3 2 4 4 2" xfId="5020"/>
    <cellStyle name="Entrada 3 2 4 5" xfId="5021"/>
    <cellStyle name="Entrada 3 2 4 5 2" xfId="5022"/>
    <cellStyle name="Entrada 3 2 4 6" xfId="5023"/>
    <cellStyle name="Entrada 3 2 4 6 2" xfId="5024"/>
    <cellStyle name="Entrada 3 2 4 7" xfId="5025"/>
    <cellStyle name="Entrada 3 2 4 7 2" xfId="5026"/>
    <cellStyle name="Entrada 3 2 4 8" xfId="5027"/>
    <cellStyle name="Entrada 3 2 4 8 2" xfId="5028"/>
    <cellStyle name="Entrada 3 2 4 9" xfId="5029"/>
    <cellStyle name="Entrada 3 2 4 9 2" xfId="5030"/>
    <cellStyle name="Entrada 3 2 5" xfId="5031"/>
    <cellStyle name="Entrada 3 2 5 10" xfId="5032"/>
    <cellStyle name="Entrada 3 2 5 10 2" xfId="5033"/>
    <cellStyle name="Entrada 3 2 5 11" xfId="5034"/>
    <cellStyle name="Entrada 3 2 5 2" xfId="5035"/>
    <cellStyle name="Entrada 3 2 5 2 2" xfId="5036"/>
    <cellStyle name="Entrada 3 2 5 3" xfId="5037"/>
    <cellStyle name="Entrada 3 2 5 3 2" xfId="5038"/>
    <cellStyle name="Entrada 3 2 5 4" xfId="5039"/>
    <cellStyle name="Entrada 3 2 5 4 2" xfId="5040"/>
    <cellStyle name="Entrada 3 2 5 5" xfId="5041"/>
    <cellStyle name="Entrada 3 2 5 5 2" xfId="5042"/>
    <cellStyle name="Entrada 3 2 5 6" xfId="5043"/>
    <cellStyle name="Entrada 3 2 5 6 2" xfId="5044"/>
    <cellStyle name="Entrada 3 2 5 7" xfId="5045"/>
    <cellStyle name="Entrada 3 2 5 7 2" xfId="5046"/>
    <cellStyle name="Entrada 3 2 5 8" xfId="5047"/>
    <cellStyle name="Entrada 3 2 5 8 2" xfId="5048"/>
    <cellStyle name="Entrada 3 2 5 9" xfId="5049"/>
    <cellStyle name="Entrada 3 2 5 9 2" xfId="5050"/>
    <cellStyle name="Entrada 3 2 6" xfId="5051"/>
    <cellStyle name="Entrada 3 2 6 2" xfId="5052"/>
    <cellStyle name="Entrada 3 2 7" xfId="5053"/>
    <cellStyle name="Entrada 3 2 7 2" xfId="5054"/>
    <cellStyle name="Entrada 3 2 8" xfId="5055"/>
    <cellStyle name="Entrada 3 2 8 2" xfId="5056"/>
    <cellStyle name="Entrada 3 2 9" xfId="5057"/>
    <cellStyle name="Entrada 3 2 9 2" xfId="5058"/>
    <cellStyle name="Entrada 3 3" xfId="279"/>
    <cellStyle name="Entrada 3 3 10" xfId="5059"/>
    <cellStyle name="Entrada 3 3 10 2" xfId="5060"/>
    <cellStyle name="Entrada 3 3 11" xfId="5061"/>
    <cellStyle name="Entrada 3 3 11 2" xfId="5062"/>
    <cellStyle name="Entrada 3 3 12" xfId="5063"/>
    <cellStyle name="Entrada 3 3 12 2" xfId="5064"/>
    <cellStyle name="Entrada 3 3 13" xfId="5065"/>
    <cellStyle name="Entrada 3 3 13 2" xfId="5066"/>
    <cellStyle name="Entrada 3 3 14" xfId="5067"/>
    <cellStyle name="Entrada 3 3 14 2" xfId="5068"/>
    <cellStyle name="Entrada 3 3 15" xfId="5069"/>
    <cellStyle name="Entrada 3 3 2" xfId="5070"/>
    <cellStyle name="Entrada 3 3 2 10" xfId="5071"/>
    <cellStyle name="Entrada 3 3 2 10 2" xfId="5072"/>
    <cellStyle name="Entrada 3 3 2 11" xfId="5073"/>
    <cellStyle name="Entrada 3 3 2 11 2" xfId="5074"/>
    <cellStyle name="Entrada 3 3 2 12" xfId="5075"/>
    <cellStyle name="Entrada 3 3 2 12 2" xfId="5076"/>
    <cellStyle name="Entrada 3 3 2 13" xfId="5077"/>
    <cellStyle name="Entrada 3 3 2 2" xfId="5078"/>
    <cellStyle name="Entrada 3 3 2 2 10" xfId="5079"/>
    <cellStyle name="Entrada 3 3 2 2 10 2" xfId="5080"/>
    <cellStyle name="Entrada 3 3 2 2 11" xfId="5081"/>
    <cellStyle name="Entrada 3 3 2 2 2" xfId="5082"/>
    <cellStyle name="Entrada 3 3 2 2 2 2" xfId="5083"/>
    <cellStyle name="Entrada 3 3 2 2 3" xfId="5084"/>
    <cellStyle name="Entrada 3 3 2 2 3 2" xfId="5085"/>
    <cellStyle name="Entrada 3 3 2 2 4" xfId="5086"/>
    <cellStyle name="Entrada 3 3 2 2 4 2" xfId="5087"/>
    <cellStyle name="Entrada 3 3 2 2 5" xfId="5088"/>
    <cellStyle name="Entrada 3 3 2 2 5 2" xfId="5089"/>
    <cellStyle name="Entrada 3 3 2 2 6" xfId="5090"/>
    <cellStyle name="Entrada 3 3 2 2 6 2" xfId="5091"/>
    <cellStyle name="Entrada 3 3 2 2 7" xfId="5092"/>
    <cellStyle name="Entrada 3 3 2 2 7 2" xfId="5093"/>
    <cellStyle name="Entrada 3 3 2 2 8" xfId="5094"/>
    <cellStyle name="Entrada 3 3 2 2 8 2" xfId="5095"/>
    <cellStyle name="Entrada 3 3 2 2 9" xfId="5096"/>
    <cellStyle name="Entrada 3 3 2 2 9 2" xfId="5097"/>
    <cellStyle name="Entrada 3 3 2 3" xfId="5098"/>
    <cellStyle name="Entrada 3 3 2 3 10" xfId="5099"/>
    <cellStyle name="Entrada 3 3 2 3 10 2" xfId="5100"/>
    <cellStyle name="Entrada 3 3 2 3 11" xfId="5101"/>
    <cellStyle name="Entrada 3 3 2 3 2" xfId="5102"/>
    <cellStyle name="Entrada 3 3 2 3 2 2" xfId="5103"/>
    <cellStyle name="Entrada 3 3 2 3 3" xfId="5104"/>
    <cellStyle name="Entrada 3 3 2 3 3 2" xfId="5105"/>
    <cellStyle name="Entrada 3 3 2 3 4" xfId="5106"/>
    <cellStyle name="Entrada 3 3 2 3 4 2" xfId="5107"/>
    <cellStyle name="Entrada 3 3 2 3 5" xfId="5108"/>
    <cellStyle name="Entrada 3 3 2 3 5 2" xfId="5109"/>
    <cellStyle name="Entrada 3 3 2 3 6" xfId="5110"/>
    <cellStyle name="Entrada 3 3 2 3 6 2" xfId="5111"/>
    <cellStyle name="Entrada 3 3 2 3 7" xfId="5112"/>
    <cellStyle name="Entrada 3 3 2 3 7 2" xfId="5113"/>
    <cellStyle name="Entrada 3 3 2 3 8" xfId="5114"/>
    <cellStyle name="Entrada 3 3 2 3 8 2" xfId="5115"/>
    <cellStyle name="Entrada 3 3 2 3 9" xfId="5116"/>
    <cellStyle name="Entrada 3 3 2 3 9 2" xfId="5117"/>
    <cellStyle name="Entrada 3 3 2 4" xfId="5118"/>
    <cellStyle name="Entrada 3 3 2 4 2" xfId="5119"/>
    <cellStyle name="Entrada 3 3 2 5" xfId="5120"/>
    <cellStyle name="Entrada 3 3 2 5 2" xfId="5121"/>
    <cellStyle name="Entrada 3 3 2 6" xfId="5122"/>
    <cellStyle name="Entrada 3 3 2 6 2" xfId="5123"/>
    <cellStyle name="Entrada 3 3 2 7" xfId="5124"/>
    <cellStyle name="Entrada 3 3 2 7 2" xfId="5125"/>
    <cellStyle name="Entrada 3 3 2 8" xfId="5126"/>
    <cellStyle name="Entrada 3 3 2 8 2" xfId="5127"/>
    <cellStyle name="Entrada 3 3 2 9" xfId="5128"/>
    <cellStyle name="Entrada 3 3 2 9 2" xfId="5129"/>
    <cellStyle name="Entrada 3 3 3" xfId="5130"/>
    <cellStyle name="Entrada 3 3 3 10" xfId="5131"/>
    <cellStyle name="Entrada 3 3 3 10 2" xfId="5132"/>
    <cellStyle name="Entrada 3 3 3 11" xfId="5133"/>
    <cellStyle name="Entrada 3 3 3 11 2" xfId="5134"/>
    <cellStyle name="Entrada 3 3 3 12" xfId="5135"/>
    <cellStyle name="Entrada 3 3 3 12 2" xfId="5136"/>
    <cellStyle name="Entrada 3 3 3 13" xfId="5137"/>
    <cellStyle name="Entrada 3 3 3 2" xfId="5138"/>
    <cellStyle name="Entrada 3 3 3 2 10" xfId="5139"/>
    <cellStyle name="Entrada 3 3 3 2 10 2" xfId="5140"/>
    <cellStyle name="Entrada 3 3 3 2 11" xfId="5141"/>
    <cellStyle name="Entrada 3 3 3 2 2" xfId="5142"/>
    <cellStyle name="Entrada 3 3 3 2 2 2" xfId="5143"/>
    <cellStyle name="Entrada 3 3 3 2 3" xfId="5144"/>
    <cellStyle name="Entrada 3 3 3 2 3 2" xfId="5145"/>
    <cellStyle name="Entrada 3 3 3 2 4" xfId="5146"/>
    <cellStyle name="Entrada 3 3 3 2 4 2" xfId="5147"/>
    <cellStyle name="Entrada 3 3 3 2 5" xfId="5148"/>
    <cellStyle name="Entrada 3 3 3 2 5 2" xfId="5149"/>
    <cellStyle name="Entrada 3 3 3 2 6" xfId="5150"/>
    <cellStyle name="Entrada 3 3 3 2 6 2" xfId="5151"/>
    <cellStyle name="Entrada 3 3 3 2 7" xfId="5152"/>
    <cellStyle name="Entrada 3 3 3 2 7 2" xfId="5153"/>
    <cellStyle name="Entrada 3 3 3 2 8" xfId="5154"/>
    <cellStyle name="Entrada 3 3 3 2 8 2" xfId="5155"/>
    <cellStyle name="Entrada 3 3 3 2 9" xfId="5156"/>
    <cellStyle name="Entrada 3 3 3 2 9 2" xfId="5157"/>
    <cellStyle name="Entrada 3 3 3 3" xfId="5158"/>
    <cellStyle name="Entrada 3 3 3 3 10" xfId="5159"/>
    <cellStyle name="Entrada 3 3 3 3 10 2" xfId="5160"/>
    <cellStyle name="Entrada 3 3 3 3 11" xfId="5161"/>
    <cellStyle name="Entrada 3 3 3 3 2" xfId="5162"/>
    <cellStyle name="Entrada 3 3 3 3 2 2" xfId="5163"/>
    <cellStyle name="Entrada 3 3 3 3 3" xfId="5164"/>
    <cellStyle name="Entrada 3 3 3 3 3 2" xfId="5165"/>
    <cellStyle name="Entrada 3 3 3 3 4" xfId="5166"/>
    <cellStyle name="Entrada 3 3 3 3 4 2" xfId="5167"/>
    <cellStyle name="Entrada 3 3 3 3 5" xfId="5168"/>
    <cellStyle name="Entrada 3 3 3 3 5 2" xfId="5169"/>
    <cellStyle name="Entrada 3 3 3 3 6" xfId="5170"/>
    <cellStyle name="Entrada 3 3 3 3 6 2" xfId="5171"/>
    <cellStyle name="Entrada 3 3 3 3 7" xfId="5172"/>
    <cellStyle name="Entrada 3 3 3 3 7 2" xfId="5173"/>
    <cellStyle name="Entrada 3 3 3 3 8" xfId="5174"/>
    <cellStyle name="Entrada 3 3 3 3 8 2" xfId="5175"/>
    <cellStyle name="Entrada 3 3 3 3 9" xfId="5176"/>
    <cellStyle name="Entrada 3 3 3 3 9 2" xfId="5177"/>
    <cellStyle name="Entrada 3 3 3 4" xfId="5178"/>
    <cellStyle name="Entrada 3 3 3 4 2" xfId="5179"/>
    <cellStyle name="Entrada 3 3 3 5" xfId="5180"/>
    <cellStyle name="Entrada 3 3 3 5 2" xfId="5181"/>
    <cellStyle name="Entrada 3 3 3 6" xfId="5182"/>
    <cellStyle name="Entrada 3 3 3 6 2" xfId="5183"/>
    <cellStyle name="Entrada 3 3 3 7" xfId="5184"/>
    <cellStyle name="Entrada 3 3 3 7 2" xfId="5185"/>
    <cellStyle name="Entrada 3 3 3 8" xfId="5186"/>
    <cellStyle name="Entrada 3 3 3 8 2" xfId="5187"/>
    <cellStyle name="Entrada 3 3 3 9" xfId="5188"/>
    <cellStyle name="Entrada 3 3 3 9 2" xfId="5189"/>
    <cellStyle name="Entrada 3 3 4" xfId="5190"/>
    <cellStyle name="Entrada 3 3 4 10" xfId="5191"/>
    <cellStyle name="Entrada 3 3 4 10 2" xfId="5192"/>
    <cellStyle name="Entrada 3 3 4 11" xfId="5193"/>
    <cellStyle name="Entrada 3 3 4 2" xfId="5194"/>
    <cellStyle name="Entrada 3 3 4 2 2" xfId="5195"/>
    <cellStyle name="Entrada 3 3 4 3" xfId="5196"/>
    <cellStyle name="Entrada 3 3 4 3 2" xfId="5197"/>
    <cellStyle name="Entrada 3 3 4 4" xfId="5198"/>
    <cellStyle name="Entrada 3 3 4 4 2" xfId="5199"/>
    <cellStyle name="Entrada 3 3 4 5" xfId="5200"/>
    <cellStyle name="Entrada 3 3 4 5 2" xfId="5201"/>
    <cellStyle name="Entrada 3 3 4 6" xfId="5202"/>
    <cellStyle name="Entrada 3 3 4 6 2" xfId="5203"/>
    <cellStyle name="Entrada 3 3 4 7" xfId="5204"/>
    <cellStyle name="Entrada 3 3 4 7 2" xfId="5205"/>
    <cellStyle name="Entrada 3 3 4 8" xfId="5206"/>
    <cellStyle name="Entrada 3 3 4 8 2" xfId="5207"/>
    <cellStyle name="Entrada 3 3 4 9" xfId="5208"/>
    <cellStyle name="Entrada 3 3 4 9 2" xfId="5209"/>
    <cellStyle name="Entrada 3 3 5" xfId="5210"/>
    <cellStyle name="Entrada 3 3 5 10" xfId="5211"/>
    <cellStyle name="Entrada 3 3 5 10 2" xfId="5212"/>
    <cellStyle name="Entrada 3 3 5 11" xfId="5213"/>
    <cellStyle name="Entrada 3 3 5 2" xfId="5214"/>
    <cellStyle name="Entrada 3 3 5 2 2" xfId="5215"/>
    <cellStyle name="Entrada 3 3 5 3" xfId="5216"/>
    <cellStyle name="Entrada 3 3 5 3 2" xfId="5217"/>
    <cellStyle name="Entrada 3 3 5 4" xfId="5218"/>
    <cellStyle name="Entrada 3 3 5 4 2" xfId="5219"/>
    <cellStyle name="Entrada 3 3 5 5" xfId="5220"/>
    <cellStyle name="Entrada 3 3 5 5 2" xfId="5221"/>
    <cellStyle name="Entrada 3 3 5 6" xfId="5222"/>
    <cellStyle name="Entrada 3 3 5 6 2" xfId="5223"/>
    <cellStyle name="Entrada 3 3 5 7" xfId="5224"/>
    <cellStyle name="Entrada 3 3 5 7 2" xfId="5225"/>
    <cellStyle name="Entrada 3 3 5 8" xfId="5226"/>
    <cellStyle name="Entrada 3 3 5 8 2" xfId="5227"/>
    <cellStyle name="Entrada 3 3 5 9" xfId="5228"/>
    <cellStyle name="Entrada 3 3 5 9 2" xfId="5229"/>
    <cellStyle name="Entrada 3 3 6" xfId="5230"/>
    <cellStyle name="Entrada 3 3 6 2" xfId="5231"/>
    <cellStyle name="Entrada 3 3 7" xfId="5232"/>
    <cellStyle name="Entrada 3 3 7 2" xfId="5233"/>
    <cellStyle name="Entrada 3 3 8" xfId="5234"/>
    <cellStyle name="Entrada 3 3 8 2" xfId="5235"/>
    <cellStyle name="Entrada 3 3 9" xfId="5236"/>
    <cellStyle name="Entrada 3 3 9 2" xfId="5237"/>
    <cellStyle name="Entrada 3 4" xfId="5238"/>
    <cellStyle name="Entrada 3 4 10" xfId="5239"/>
    <cellStyle name="Entrada 3 4 10 2" xfId="5240"/>
    <cellStyle name="Entrada 3 4 11" xfId="5241"/>
    <cellStyle name="Entrada 3 4 11 2" xfId="5242"/>
    <cellStyle name="Entrada 3 4 12" xfId="5243"/>
    <cellStyle name="Entrada 3 4 12 2" xfId="5244"/>
    <cellStyle name="Entrada 3 4 13" xfId="5245"/>
    <cellStyle name="Entrada 3 4 2" xfId="5246"/>
    <cellStyle name="Entrada 3 4 2 10" xfId="5247"/>
    <cellStyle name="Entrada 3 4 2 10 2" xfId="5248"/>
    <cellStyle name="Entrada 3 4 2 11" xfId="5249"/>
    <cellStyle name="Entrada 3 4 2 2" xfId="5250"/>
    <cellStyle name="Entrada 3 4 2 2 2" xfId="5251"/>
    <cellStyle name="Entrada 3 4 2 3" xfId="5252"/>
    <cellStyle name="Entrada 3 4 2 3 2" xfId="5253"/>
    <cellStyle name="Entrada 3 4 2 4" xfId="5254"/>
    <cellStyle name="Entrada 3 4 2 4 2" xfId="5255"/>
    <cellStyle name="Entrada 3 4 2 5" xfId="5256"/>
    <cellStyle name="Entrada 3 4 2 5 2" xfId="5257"/>
    <cellStyle name="Entrada 3 4 2 6" xfId="5258"/>
    <cellStyle name="Entrada 3 4 2 6 2" xfId="5259"/>
    <cellStyle name="Entrada 3 4 2 7" xfId="5260"/>
    <cellStyle name="Entrada 3 4 2 7 2" xfId="5261"/>
    <cellStyle name="Entrada 3 4 2 8" xfId="5262"/>
    <cellStyle name="Entrada 3 4 2 8 2" xfId="5263"/>
    <cellStyle name="Entrada 3 4 2 9" xfId="5264"/>
    <cellStyle name="Entrada 3 4 2 9 2" xfId="5265"/>
    <cellStyle name="Entrada 3 4 3" xfId="5266"/>
    <cellStyle name="Entrada 3 4 3 10" xfId="5267"/>
    <cellStyle name="Entrada 3 4 3 10 2" xfId="5268"/>
    <cellStyle name="Entrada 3 4 3 11" xfId="5269"/>
    <cellStyle name="Entrada 3 4 3 2" xfId="5270"/>
    <cellStyle name="Entrada 3 4 3 2 2" xfId="5271"/>
    <cellStyle name="Entrada 3 4 3 3" xfId="5272"/>
    <cellStyle name="Entrada 3 4 3 3 2" xfId="5273"/>
    <cellStyle name="Entrada 3 4 3 4" xfId="5274"/>
    <cellStyle name="Entrada 3 4 3 4 2" xfId="5275"/>
    <cellStyle name="Entrada 3 4 3 5" xfId="5276"/>
    <cellStyle name="Entrada 3 4 3 5 2" xfId="5277"/>
    <cellStyle name="Entrada 3 4 3 6" xfId="5278"/>
    <cellStyle name="Entrada 3 4 3 6 2" xfId="5279"/>
    <cellStyle name="Entrada 3 4 3 7" xfId="5280"/>
    <cellStyle name="Entrada 3 4 3 7 2" xfId="5281"/>
    <cellStyle name="Entrada 3 4 3 8" xfId="5282"/>
    <cellStyle name="Entrada 3 4 3 8 2" xfId="5283"/>
    <cellStyle name="Entrada 3 4 3 9" xfId="5284"/>
    <cellStyle name="Entrada 3 4 3 9 2" xfId="5285"/>
    <cellStyle name="Entrada 3 4 4" xfId="5286"/>
    <cellStyle name="Entrada 3 4 4 2" xfId="5287"/>
    <cellStyle name="Entrada 3 4 5" xfId="5288"/>
    <cellStyle name="Entrada 3 4 5 2" xfId="5289"/>
    <cellStyle name="Entrada 3 4 6" xfId="5290"/>
    <cellStyle name="Entrada 3 4 6 2" xfId="5291"/>
    <cellStyle name="Entrada 3 4 7" xfId="5292"/>
    <cellStyle name="Entrada 3 4 7 2" xfId="5293"/>
    <cellStyle name="Entrada 3 4 8" xfId="5294"/>
    <cellStyle name="Entrada 3 4 8 2" xfId="5295"/>
    <cellStyle name="Entrada 3 4 9" xfId="5296"/>
    <cellStyle name="Entrada 3 4 9 2" xfId="5297"/>
    <cellStyle name="Entrada 3 5" xfId="5298"/>
    <cellStyle name="Entrada 3 5 10" xfId="5299"/>
    <cellStyle name="Entrada 3 5 10 2" xfId="5300"/>
    <cellStyle name="Entrada 3 5 11" xfId="5301"/>
    <cellStyle name="Entrada 3 5 11 2" xfId="5302"/>
    <cellStyle name="Entrada 3 5 12" xfId="5303"/>
    <cellStyle name="Entrada 3 5 12 2" xfId="5304"/>
    <cellStyle name="Entrada 3 5 13" xfId="5305"/>
    <cellStyle name="Entrada 3 5 2" xfId="5306"/>
    <cellStyle name="Entrada 3 5 2 10" xfId="5307"/>
    <cellStyle name="Entrada 3 5 2 10 2" xfId="5308"/>
    <cellStyle name="Entrada 3 5 2 11" xfId="5309"/>
    <cellStyle name="Entrada 3 5 2 2" xfId="5310"/>
    <cellStyle name="Entrada 3 5 2 2 2" xfId="5311"/>
    <cellStyle name="Entrada 3 5 2 3" xfId="5312"/>
    <cellStyle name="Entrada 3 5 2 3 2" xfId="5313"/>
    <cellStyle name="Entrada 3 5 2 4" xfId="5314"/>
    <cellStyle name="Entrada 3 5 2 4 2" xfId="5315"/>
    <cellStyle name="Entrada 3 5 2 5" xfId="5316"/>
    <cellStyle name="Entrada 3 5 2 5 2" xfId="5317"/>
    <cellStyle name="Entrada 3 5 2 6" xfId="5318"/>
    <cellStyle name="Entrada 3 5 2 6 2" xfId="5319"/>
    <cellStyle name="Entrada 3 5 2 7" xfId="5320"/>
    <cellStyle name="Entrada 3 5 2 7 2" xfId="5321"/>
    <cellStyle name="Entrada 3 5 2 8" xfId="5322"/>
    <cellStyle name="Entrada 3 5 2 8 2" xfId="5323"/>
    <cellStyle name="Entrada 3 5 2 9" xfId="5324"/>
    <cellStyle name="Entrada 3 5 2 9 2" xfId="5325"/>
    <cellStyle name="Entrada 3 5 3" xfId="5326"/>
    <cellStyle name="Entrada 3 5 3 10" xfId="5327"/>
    <cellStyle name="Entrada 3 5 3 10 2" xfId="5328"/>
    <cellStyle name="Entrada 3 5 3 11" xfId="5329"/>
    <cellStyle name="Entrada 3 5 3 2" xfId="5330"/>
    <cellStyle name="Entrada 3 5 3 2 2" xfId="5331"/>
    <cellStyle name="Entrada 3 5 3 3" xfId="5332"/>
    <cellStyle name="Entrada 3 5 3 3 2" xfId="5333"/>
    <cellStyle name="Entrada 3 5 3 4" xfId="5334"/>
    <cellStyle name="Entrada 3 5 3 4 2" xfId="5335"/>
    <cellStyle name="Entrada 3 5 3 5" xfId="5336"/>
    <cellStyle name="Entrada 3 5 3 5 2" xfId="5337"/>
    <cellStyle name="Entrada 3 5 3 6" xfId="5338"/>
    <cellStyle name="Entrada 3 5 3 6 2" xfId="5339"/>
    <cellStyle name="Entrada 3 5 3 7" xfId="5340"/>
    <cellStyle name="Entrada 3 5 3 7 2" xfId="5341"/>
    <cellStyle name="Entrada 3 5 3 8" xfId="5342"/>
    <cellStyle name="Entrada 3 5 3 8 2" xfId="5343"/>
    <cellStyle name="Entrada 3 5 3 9" xfId="5344"/>
    <cellStyle name="Entrada 3 5 3 9 2" xfId="5345"/>
    <cellStyle name="Entrada 3 5 4" xfId="5346"/>
    <cellStyle name="Entrada 3 5 4 2" xfId="5347"/>
    <cellStyle name="Entrada 3 5 5" xfId="5348"/>
    <cellStyle name="Entrada 3 5 5 2" xfId="5349"/>
    <cellStyle name="Entrada 3 5 6" xfId="5350"/>
    <cellStyle name="Entrada 3 5 6 2" xfId="5351"/>
    <cellStyle name="Entrada 3 5 7" xfId="5352"/>
    <cellStyle name="Entrada 3 5 7 2" xfId="5353"/>
    <cellStyle name="Entrada 3 5 8" xfId="5354"/>
    <cellStyle name="Entrada 3 5 8 2" xfId="5355"/>
    <cellStyle name="Entrada 3 5 9" xfId="5356"/>
    <cellStyle name="Entrada 3 5 9 2" xfId="5357"/>
    <cellStyle name="Entrada 3 6" xfId="5358"/>
    <cellStyle name="Entrada 3 6 2" xfId="5359"/>
    <cellStyle name="Entrada 3 7" xfId="5360"/>
    <cellStyle name="Entrada 3 7 2" xfId="5361"/>
    <cellStyle name="Entrada 3 8" xfId="5362"/>
    <cellStyle name="Entrada 3 8 2" xfId="5363"/>
    <cellStyle name="Entrada 3 9" xfId="5364"/>
    <cellStyle name="Entrada 3 9 2" xfId="5365"/>
    <cellStyle name="Entrada 4" xfId="163"/>
    <cellStyle name="Entrada 4 10" xfId="5366"/>
    <cellStyle name="Entrada 4 10 2" xfId="5367"/>
    <cellStyle name="Entrada 4 11" xfId="5368"/>
    <cellStyle name="Entrada 4 11 2" xfId="5369"/>
    <cellStyle name="Entrada 4 12" xfId="5370"/>
    <cellStyle name="Entrada 4 12 2" xfId="5371"/>
    <cellStyle name="Entrada 4 13" xfId="5372"/>
    <cellStyle name="Entrada 4 13 2" xfId="5373"/>
    <cellStyle name="Entrada 4 14" xfId="5374"/>
    <cellStyle name="Entrada 4 14 2" xfId="5375"/>
    <cellStyle name="Entrada 4 15" xfId="5376"/>
    <cellStyle name="Entrada 4 15 2" xfId="5377"/>
    <cellStyle name="Entrada 4 16" xfId="5378"/>
    <cellStyle name="Entrada 4 17" xfId="5379"/>
    <cellStyle name="Entrada 4 18" xfId="5380"/>
    <cellStyle name="Entrada 4 2" xfId="293"/>
    <cellStyle name="Entrada 4 2 10" xfId="5381"/>
    <cellStyle name="Entrada 4 2 10 2" xfId="5382"/>
    <cellStyle name="Entrada 4 2 11" xfId="5383"/>
    <cellStyle name="Entrada 4 2 11 2" xfId="5384"/>
    <cellStyle name="Entrada 4 2 12" xfId="5385"/>
    <cellStyle name="Entrada 4 2 12 2" xfId="5386"/>
    <cellStyle name="Entrada 4 2 13" xfId="5387"/>
    <cellStyle name="Entrada 4 2 13 2" xfId="5388"/>
    <cellStyle name="Entrada 4 2 14" xfId="5389"/>
    <cellStyle name="Entrada 4 2 14 2" xfId="5390"/>
    <cellStyle name="Entrada 4 2 15" xfId="5391"/>
    <cellStyle name="Entrada 4 2 16" xfId="5392"/>
    <cellStyle name="Entrada 4 2 2" xfId="5393"/>
    <cellStyle name="Entrada 4 2 2 10" xfId="5394"/>
    <cellStyle name="Entrada 4 2 2 10 2" xfId="5395"/>
    <cellStyle name="Entrada 4 2 2 11" xfId="5396"/>
    <cellStyle name="Entrada 4 2 2 11 2" xfId="5397"/>
    <cellStyle name="Entrada 4 2 2 12" xfId="5398"/>
    <cellStyle name="Entrada 4 2 2 12 2" xfId="5399"/>
    <cellStyle name="Entrada 4 2 2 13" xfId="5400"/>
    <cellStyle name="Entrada 4 2 2 2" xfId="5401"/>
    <cellStyle name="Entrada 4 2 2 2 10" xfId="5402"/>
    <cellStyle name="Entrada 4 2 2 2 10 2" xfId="5403"/>
    <cellStyle name="Entrada 4 2 2 2 11" xfId="5404"/>
    <cellStyle name="Entrada 4 2 2 2 2" xfId="5405"/>
    <cellStyle name="Entrada 4 2 2 2 2 2" xfId="5406"/>
    <cellStyle name="Entrada 4 2 2 2 3" xfId="5407"/>
    <cellStyle name="Entrada 4 2 2 2 3 2" xfId="5408"/>
    <cellStyle name="Entrada 4 2 2 2 4" xfId="5409"/>
    <cellStyle name="Entrada 4 2 2 2 4 2" xfId="5410"/>
    <cellStyle name="Entrada 4 2 2 2 5" xfId="5411"/>
    <cellStyle name="Entrada 4 2 2 2 5 2" xfId="5412"/>
    <cellStyle name="Entrada 4 2 2 2 6" xfId="5413"/>
    <cellStyle name="Entrada 4 2 2 2 6 2" xfId="5414"/>
    <cellStyle name="Entrada 4 2 2 2 7" xfId="5415"/>
    <cellStyle name="Entrada 4 2 2 2 7 2" xfId="5416"/>
    <cellStyle name="Entrada 4 2 2 2 8" xfId="5417"/>
    <cellStyle name="Entrada 4 2 2 2 8 2" xfId="5418"/>
    <cellStyle name="Entrada 4 2 2 2 9" xfId="5419"/>
    <cellStyle name="Entrada 4 2 2 2 9 2" xfId="5420"/>
    <cellStyle name="Entrada 4 2 2 3" xfId="5421"/>
    <cellStyle name="Entrada 4 2 2 3 10" xfId="5422"/>
    <cellStyle name="Entrada 4 2 2 3 10 2" xfId="5423"/>
    <cellStyle name="Entrada 4 2 2 3 11" xfId="5424"/>
    <cellStyle name="Entrada 4 2 2 3 2" xfId="5425"/>
    <cellStyle name="Entrada 4 2 2 3 2 2" xfId="5426"/>
    <cellStyle name="Entrada 4 2 2 3 3" xfId="5427"/>
    <cellStyle name="Entrada 4 2 2 3 3 2" xfId="5428"/>
    <cellStyle name="Entrada 4 2 2 3 4" xfId="5429"/>
    <cellStyle name="Entrada 4 2 2 3 4 2" xfId="5430"/>
    <cellStyle name="Entrada 4 2 2 3 5" xfId="5431"/>
    <cellStyle name="Entrada 4 2 2 3 5 2" xfId="5432"/>
    <cellStyle name="Entrada 4 2 2 3 6" xfId="5433"/>
    <cellStyle name="Entrada 4 2 2 3 6 2" xfId="5434"/>
    <cellStyle name="Entrada 4 2 2 3 7" xfId="5435"/>
    <cellStyle name="Entrada 4 2 2 3 7 2" xfId="5436"/>
    <cellStyle name="Entrada 4 2 2 3 8" xfId="5437"/>
    <cellStyle name="Entrada 4 2 2 3 8 2" xfId="5438"/>
    <cellStyle name="Entrada 4 2 2 3 9" xfId="5439"/>
    <cellStyle name="Entrada 4 2 2 3 9 2" xfId="5440"/>
    <cellStyle name="Entrada 4 2 2 4" xfId="5441"/>
    <cellStyle name="Entrada 4 2 2 4 2" xfId="5442"/>
    <cellStyle name="Entrada 4 2 2 5" xfId="5443"/>
    <cellStyle name="Entrada 4 2 2 5 2" xfId="5444"/>
    <cellStyle name="Entrada 4 2 2 6" xfId="5445"/>
    <cellStyle name="Entrada 4 2 2 6 2" xfId="5446"/>
    <cellStyle name="Entrada 4 2 2 7" xfId="5447"/>
    <cellStyle name="Entrada 4 2 2 7 2" xfId="5448"/>
    <cellStyle name="Entrada 4 2 2 8" xfId="5449"/>
    <cellStyle name="Entrada 4 2 2 8 2" xfId="5450"/>
    <cellStyle name="Entrada 4 2 2 9" xfId="5451"/>
    <cellStyle name="Entrada 4 2 2 9 2" xfId="5452"/>
    <cellStyle name="Entrada 4 2 3" xfId="5453"/>
    <cellStyle name="Entrada 4 2 3 10" xfId="5454"/>
    <cellStyle name="Entrada 4 2 3 10 2" xfId="5455"/>
    <cellStyle name="Entrada 4 2 3 11" xfId="5456"/>
    <cellStyle name="Entrada 4 2 3 11 2" xfId="5457"/>
    <cellStyle name="Entrada 4 2 3 12" xfId="5458"/>
    <cellStyle name="Entrada 4 2 3 12 2" xfId="5459"/>
    <cellStyle name="Entrada 4 2 3 13" xfId="5460"/>
    <cellStyle name="Entrada 4 2 3 2" xfId="5461"/>
    <cellStyle name="Entrada 4 2 3 2 10" xfId="5462"/>
    <cellStyle name="Entrada 4 2 3 2 10 2" xfId="5463"/>
    <cellStyle name="Entrada 4 2 3 2 11" xfId="5464"/>
    <cellStyle name="Entrada 4 2 3 2 2" xfId="5465"/>
    <cellStyle name="Entrada 4 2 3 2 2 2" xfId="5466"/>
    <cellStyle name="Entrada 4 2 3 2 3" xfId="5467"/>
    <cellStyle name="Entrada 4 2 3 2 3 2" xfId="5468"/>
    <cellStyle name="Entrada 4 2 3 2 4" xfId="5469"/>
    <cellStyle name="Entrada 4 2 3 2 4 2" xfId="5470"/>
    <cellStyle name="Entrada 4 2 3 2 5" xfId="5471"/>
    <cellStyle name="Entrada 4 2 3 2 5 2" xfId="5472"/>
    <cellStyle name="Entrada 4 2 3 2 6" xfId="5473"/>
    <cellStyle name="Entrada 4 2 3 2 6 2" xfId="5474"/>
    <cellStyle name="Entrada 4 2 3 2 7" xfId="5475"/>
    <cellStyle name="Entrada 4 2 3 2 7 2" xfId="5476"/>
    <cellStyle name="Entrada 4 2 3 2 8" xfId="5477"/>
    <cellStyle name="Entrada 4 2 3 2 8 2" xfId="5478"/>
    <cellStyle name="Entrada 4 2 3 2 9" xfId="5479"/>
    <cellStyle name="Entrada 4 2 3 2 9 2" xfId="5480"/>
    <cellStyle name="Entrada 4 2 3 3" xfId="5481"/>
    <cellStyle name="Entrada 4 2 3 3 10" xfId="5482"/>
    <cellStyle name="Entrada 4 2 3 3 10 2" xfId="5483"/>
    <cellStyle name="Entrada 4 2 3 3 11" xfId="5484"/>
    <cellStyle name="Entrada 4 2 3 3 2" xfId="5485"/>
    <cellStyle name="Entrada 4 2 3 3 2 2" xfId="5486"/>
    <cellStyle name="Entrada 4 2 3 3 3" xfId="5487"/>
    <cellStyle name="Entrada 4 2 3 3 3 2" xfId="5488"/>
    <cellStyle name="Entrada 4 2 3 3 4" xfId="5489"/>
    <cellStyle name="Entrada 4 2 3 3 4 2" xfId="5490"/>
    <cellStyle name="Entrada 4 2 3 3 5" xfId="5491"/>
    <cellStyle name="Entrada 4 2 3 3 5 2" xfId="5492"/>
    <cellStyle name="Entrada 4 2 3 3 6" xfId="5493"/>
    <cellStyle name="Entrada 4 2 3 3 6 2" xfId="5494"/>
    <cellStyle name="Entrada 4 2 3 3 7" xfId="5495"/>
    <cellStyle name="Entrada 4 2 3 3 7 2" xfId="5496"/>
    <cellStyle name="Entrada 4 2 3 3 8" xfId="5497"/>
    <cellStyle name="Entrada 4 2 3 3 8 2" xfId="5498"/>
    <cellStyle name="Entrada 4 2 3 3 9" xfId="5499"/>
    <cellStyle name="Entrada 4 2 3 3 9 2" xfId="5500"/>
    <cellStyle name="Entrada 4 2 3 4" xfId="5501"/>
    <cellStyle name="Entrada 4 2 3 4 2" xfId="5502"/>
    <cellStyle name="Entrada 4 2 3 5" xfId="5503"/>
    <cellStyle name="Entrada 4 2 3 5 2" xfId="5504"/>
    <cellStyle name="Entrada 4 2 3 6" xfId="5505"/>
    <cellStyle name="Entrada 4 2 3 6 2" xfId="5506"/>
    <cellStyle name="Entrada 4 2 3 7" xfId="5507"/>
    <cellStyle name="Entrada 4 2 3 7 2" xfId="5508"/>
    <cellStyle name="Entrada 4 2 3 8" xfId="5509"/>
    <cellStyle name="Entrada 4 2 3 8 2" xfId="5510"/>
    <cellStyle name="Entrada 4 2 3 9" xfId="5511"/>
    <cellStyle name="Entrada 4 2 3 9 2" xfId="5512"/>
    <cellStyle name="Entrada 4 2 4" xfId="5513"/>
    <cellStyle name="Entrada 4 2 4 10" xfId="5514"/>
    <cellStyle name="Entrada 4 2 4 10 2" xfId="5515"/>
    <cellStyle name="Entrada 4 2 4 11" xfId="5516"/>
    <cellStyle name="Entrada 4 2 4 2" xfId="5517"/>
    <cellStyle name="Entrada 4 2 4 2 2" xfId="5518"/>
    <cellStyle name="Entrada 4 2 4 3" xfId="5519"/>
    <cellStyle name="Entrada 4 2 4 3 2" xfId="5520"/>
    <cellStyle name="Entrada 4 2 4 4" xfId="5521"/>
    <cellStyle name="Entrada 4 2 4 4 2" xfId="5522"/>
    <cellStyle name="Entrada 4 2 4 5" xfId="5523"/>
    <cellStyle name="Entrada 4 2 4 5 2" xfId="5524"/>
    <cellStyle name="Entrada 4 2 4 6" xfId="5525"/>
    <cellStyle name="Entrada 4 2 4 6 2" xfId="5526"/>
    <cellStyle name="Entrada 4 2 4 7" xfId="5527"/>
    <cellStyle name="Entrada 4 2 4 7 2" xfId="5528"/>
    <cellStyle name="Entrada 4 2 4 8" xfId="5529"/>
    <cellStyle name="Entrada 4 2 4 8 2" xfId="5530"/>
    <cellStyle name="Entrada 4 2 4 9" xfId="5531"/>
    <cellStyle name="Entrada 4 2 4 9 2" xfId="5532"/>
    <cellStyle name="Entrada 4 2 5" xfId="5533"/>
    <cellStyle name="Entrada 4 2 5 10" xfId="5534"/>
    <cellStyle name="Entrada 4 2 5 10 2" xfId="5535"/>
    <cellStyle name="Entrada 4 2 5 11" xfId="5536"/>
    <cellStyle name="Entrada 4 2 5 2" xfId="5537"/>
    <cellStyle name="Entrada 4 2 5 2 2" xfId="5538"/>
    <cellStyle name="Entrada 4 2 5 3" xfId="5539"/>
    <cellStyle name="Entrada 4 2 5 3 2" xfId="5540"/>
    <cellStyle name="Entrada 4 2 5 4" xfId="5541"/>
    <cellStyle name="Entrada 4 2 5 4 2" xfId="5542"/>
    <cellStyle name="Entrada 4 2 5 5" xfId="5543"/>
    <cellStyle name="Entrada 4 2 5 5 2" xfId="5544"/>
    <cellStyle name="Entrada 4 2 5 6" xfId="5545"/>
    <cellStyle name="Entrada 4 2 5 6 2" xfId="5546"/>
    <cellStyle name="Entrada 4 2 5 7" xfId="5547"/>
    <cellStyle name="Entrada 4 2 5 7 2" xfId="5548"/>
    <cellStyle name="Entrada 4 2 5 8" xfId="5549"/>
    <cellStyle name="Entrada 4 2 5 8 2" xfId="5550"/>
    <cellStyle name="Entrada 4 2 5 9" xfId="5551"/>
    <cellStyle name="Entrada 4 2 5 9 2" xfId="5552"/>
    <cellStyle name="Entrada 4 2 6" xfId="5553"/>
    <cellStyle name="Entrada 4 2 6 2" xfId="5554"/>
    <cellStyle name="Entrada 4 2 7" xfId="5555"/>
    <cellStyle name="Entrada 4 2 7 2" xfId="5556"/>
    <cellStyle name="Entrada 4 2 8" xfId="5557"/>
    <cellStyle name="Entrada 4 2 8 2" xfId="5558"/>
    <cellStyle name="Entrada 4 2 9" xfId="5559"/>
    <cellStyle name="Entrada 4 2 9 2" xfId="5560"/>
    <cellStyle name="Entrada 4 3" xfId="282"/>
    <cellStyle name="Entrada 4 3 10" xfId="5561"/>
    <cellStyle name="Entrada 4 3 10 2" xfId="5562"/>
    <cellStyle name="Entrada 4 3 11" xfId="5563"/>
    <cellStyle name="Entrada 4 3 11 2" xfId="5564"/>
    <cellStyle name="Entrada 4 3 12" xfId="5565"/>
    <cellStyle name="Entrada 4 3 12 2" xfId="5566"/>
    <cellStyle name="Entrada 4 3 13" xfId="5567"/>
    <cellStyle name="Entrada 4 3 2" xfId="5568"/>
    <cellStyle name="Entrada 4 3 2 10" xfId="5569"/>
    <cellStyle name="Entrada 4 3 2 10 2" xfId="5570"/>
    <cellStyle name="Entrada 4 3 2 11" xfId="5571"/>
    <cellStyle name="Entrada 4 3 2 2" xfId="5572"/>
    <cellStyle name="Entrada 4 3 2 2 2" xfId="5573"/>
    <cellStyle name="Entrada 4 3 2 3" xfId="5574"/>
    <cellStyle name="Entrada 4 3 2 3 2" xfId="5575"/>
    <cellStyle name="Entrada 4 3 2 4" xfId="5576"/>
    <cellStyle name="Entrada 4 3 2 4 2" xfId="5577"/>
    <cellStyle name="Entrada 4 3 2 5" xfId="5578"/>
    <cellStyle name="Entrada 4 3 2 5 2" xfId="5579"/>
    <cellStyle name="Entrada 4 3 2 6" xfId="5580"/>
    <cellStyle name="Entrada 4 3 2 6 2" xfId="5581"/>
    <cellStyle name="Entrada 4 3 2 7" xfId="5582"/>
    <cellStyle name="Entrada 4 3 2 7 2" xfId="5583"/>
    <cellStyle name="Entrada 4 3 2 8" xfId="5584"/>
    <cellStyle name="Entrada 4 3 2 8 2" xfId="5585"/>
    <cellStyle name="Entrada 4 3 2 9" xfId="5586"/>
    <cellStyle name="Entrada 4 3 2 9 2" xfId="5587"/>
    <cellStyle name="Entrada 4 3 3" xfId="5588"/>
    <cellStyle name="Entrada 4 3 3 10" xfId="5589"/>
    <cellStyle name="Entrada 4 3 3 10 2" xfId="5590"/>
    <cellStyle name="Entrada 4 3 3 11" xfId="5591"/>
    <cellStyle name="Entrada 4 3 3 2" xfId="5592"/>
    <cellStyle name="Entrada 4 3 3 2 2" xfId="5593"/>
    <cellStyle name="Entrada 4 3 3 3" xfId="5594"/>
    <cellStyle name="Entrada 4 3 3 3 2" xfId="5595"/>
    <cellStyle name="Entrada 4 3 3 4" xfId="5596"/>
    <cellStyle name="Entrada 4 3 3 4 2" xfId="5597"/>
    <cellStyle name="Entrada 4 3 3 5" xfId="5598"/>
    <cellStyle name="Entrada 4 3 3 5 2" xfId="5599"/>
    <cellStyle name="Entrada 4 3 3 6" xfId="5600"/>
    <cellStyle name="Entrada 4 3 3 6 2" xfId="5601"/>
    <cellStyle name="Entrada 4 3 3 7" xfId="5602"/>
    <cellStyle name="Entrada 4 3 3 7 2" xfId="5603"/>
    <cellStyle name="Entrada 4 3 3 8" xfId="5604"/>
    <cellStyle name="Entrada 4 3 3 8 2" xfId="5605"/>
    <cellStyle name="Entrada 4 3 3 9" xfId="5606"/>
    <cellStyle name="Entrada 4 3 3 9 2" xfId="5607"/>
    <cellStyle name="Entrada 4 3 4" xfId="5608"/>
    <cellStyle name="Entrada 4 3 4 2" xfId="5609"/>
    <cellStyle name="Entrada 4 3 5" xfId="5610"/>
    <cellStyle name="Entrada 4 3 5 2" xfId="5611"/>
    <cellStyle name="Entrada 4 3 6" xfId="5612"/>
    <cellStyle name="Entrada 4 3 6 2" xfId="5613"/>
    <cellStyle name="Entrada 4 3 7" xfId="5614"/>
    <cellStyle name="Entrada 4 3 7 2" xfId="5615"/>
    <cellStyle name="Entrada 4 3 8" xfId="5616"/>
    <cellStyle name="Entrada 4 3 8 2" xfId="5617"/>
    <cellStyle name="Entrada 4 3 9" xfId="5618"/>
    <cellStyle name="Entrada 4 3 9 2" xfId="5619"/>
    <cellStyle name="Entrada 4 4" xfId="5620"/>
    <cellStyle name="Entrada 4 4 10" xfId="5621"/>
    <cellStyle name="Entrada 4 4 10 2" xfId="5622"/>
    <cellStyle name="Entrada 4 4 11" xfId="5623"/>
    <cellStyle name="Entrada 4 4 11 2" xfId="5624"/>
    <cellStyle name="Entrada 4 4 12" xfId="5625"/>
    <cellStyle name="Entrada 4 4 12 2" xfId="5626"/>
    <cellStyle name="Entrada 4 4 13" xfId="5627"/>
    <cellStyle name="Entrada 4 4 2" xfId="5628"/>
    <cellStyle name="Entrada 4 4 2 10" xfId="5629"/>
    <cellStyle name="Entrada 4 4 2 10 2" xfId="5630"/>
    <cellStyle name="Entrada 4 4 2 11" xfId="5631"/>
    <cellStyle name="Entrada 4 4 2 2" xfId="5632"/>
    <cellStyle name="Entrada 4 4 2 2 2" xfId="5633"/>
    <cellStyle name="Entrada 4 4 2 3" xfId="5634"/>
    <cellStyle name="Entrada 4 4 2 3 2" xfId="5635"/>
    <cellStyle name="Entrada 4 4 2 4" xfId="5636"/>
    <cellStyle name="Entrada 4 4 2 4 2" xfId="5637"/>
    <cellStyle name="Entrada 4 4 2 5" xfId="5638"/>
    <cellStyle name="Entrada 4 4 2 5 2" xfId="5639"/>
    <cellStyle name="Entrada 4 4 2 6" xfId="5640"/>
    <cellStyle name="Entrada 4 4 2 6 2" xfId="5641"/>
    <cellStyle name="Entrada 4 4 2 7" xfId="5642"/>
    <cellStyle name="Entrada 4 4 2 7 2" xfId="5643"/>
    <cellStyle name="Entrada 4 4 2 8" xfId="5644"/>
    <cellStyle name="Entrada 4 4 2 8 2" xfId="5645"/>
    <cellStyle name="Entrada 4 4 2 9" xfId="5646"/>
    <cellStyle name="Entrada 4 4 2 9 2" xfId="5647"/>
    <cellStyle name="Entrada 4 4 3" xfId="5648"/>
    <cellStyle name="Entrada 4 4 3 10" xfId="5649"/>
    <cellStyle name="Entrada 4 4 3 10 2" xfId="5650"/>
    <cellStyle name="Entrada 4 4 3 11" xfId="5651"/>
    <cellStyle name="Entrada 4 4 3 2" xfId="5652"/>
    <cellStyle name="Entrada 4 4 3 2 2" xfId="5653"/>
    <cellStyle name="Entrada 4 4 3 3" xfId="5654"/>
    <cellStyle name="Entrada 4 4 3 3 2" xfId="5655"/>
    <cellStyle name="Entrada 4 4 3 4" xfId="5656"/>
    <cellStyle name="Entrada 4 4 3 4 2" xfId="5657"/>
    <cellStyle name="Entrada 4 4 3 5" xfId="5658"/>
    <cellStyle name="Entrada 4 4 3 5 2" xfId="5659"/>
    <cellStyle name="Entrada 4 4 3 6" xfId="5660"/>
    <cellStyle name="Entrada 4 4 3 6 2" xfId="5661"/>
    <cellStyle name="Entrada 4 4 3 7" xfId="5662"/>
    <cellStyle name="Entrada 4 4 3 7 2" xfId="5663"/>
    <cellStyle name="Entrada 4 4 3 8" xfId="5664"/>
    <cellStyle name="Entrada 4 4 3 8 2" xfId="5665"/>
    <cellStyle name="Entrada 4 4 3 9" xfId="5666"/>
    <cellStyle name="Entrada 4 4 3 9 2" xfId="5667"/>
    <cellStyle name="Entrada 4 4 4" xfId="5668"/>
    <cellStyle name="Entrada 4 4 4 2" xfId="5669"/>
    <cellStyle name="Entrada 4 4 5" xfId="5670"/>
    <cellStyle name="Entrada 4 4 5 2" xfId="5671"/>
    <cellStyle name="Entrada 4 4 6" xfId="5672"/>
    <cellStyle name="Entrada 4 4 6 2" xfId="5673"/>
    <cellStyle name="Entrada 4 4 7" xfId="5674"/>
    <cellStyle name="Entrada 4 4 7 2" xfId="5675"/>
    <cellStyle name="Entrada 4 4 8" xfId="5676"/>
    <cellStyle name="Entrada 4 4 8 2" xfId="5677"/>
    <cellStyle name="Entrada 4 4 9" xfId="5678"/>
    <cellStyle name="Entrada 4 4 9 2" xfId="5679"/>
    <cellStyle name="Entrada 4 5" xfId="5680"/>
    <cellStyle name="Entrada 4 5 10" xfId="5681"/>
    <cellStyle name="Entrada 4 5 10 2" xfId="5682"/>
    <cellStyle name="Entrada 4 5 11" xfId="5683"/>
    <cellStyle name="Entrada 4 5 2" xfId="5684"/>
    <cellStyle name="Entrada 4 5 2 2" xfId="5685"/>
    <cellStyle name="Entrada 4 5 3" xfId="5686"/>
    <cellStyle name="Entrada 4 5 3 2" xfId="5687"/>
    <cellStyle name="Entrada 4 5 4" xfId="5688"/>
    <cellStyle name="Entrada 4 5 4 2" xfId="5689"/>
    <cellStyle name="Entrada 4 5 5" xfId="5690"/>
    <cellStyle name="Entrada 4 5 5 2" xfId="5691"/>
    <cellStyle name="Entrada 4 5 6" xfId="5692"/>
    <cellStyle name="Entrada 4 5 6 2" xfId="5693"/>
    <cellStyle name="Entrada 4 5 7" xfId="5694"/>
    <cellStyle name="Entrada 4 5 7 2" xfId="5695"/>
    <cellStyle name="Entrada 4 5 8" xfId="5696"/>
    <cellStyle name="Entrada 4 5 8 2" xfId="5697"/>
    <cellStyle name="Entrada 4 5 9" xfId="5698"/>
    <cellStyle name="Entrada 4 5 9 2" xfId="5699"/>
    <cellStyle name="Entrada 4 6" xfId="5700"/>
    <cellStyle name="Entrada 4 6 10" xfId="5701"/>
    <cellStyle name="Entrada 4 6 10 2" xfId="5702"/>
    <cellStyle name="Entrada 4 6 11" xfId="5703"/>
    <cellStyle name="Entrada 4 6 2" xfId="5704"/>
    <cellStyle name="Entrada 4 6 2 2" xfId="5705"/>
    <cellStyle name="Entrada 4 6 3" xfId="5706"/>
    <cellStyle name="Entrada 4 6 3 2" xfId="5707"/>
    <cellStyle name="Entrada 4 6 4" xfId="5708"/>
    <cellStyle name="Entrada 4 6 4 2" xfId="5709"/>
    <cellStyle name="Entrada 4 6 5" xfId="5710"/>
    <cellStyle name="Entrada 4 6 5 2" xfId="5711"/>
    <cellStyle name="Entrada 4 6 6" xfId="5712"/>
    <cellStyle name="Entrada 4 6 6 2" xfId="5713"/>
    <cellStyle name="Entrada 4 6 7" xfId="5714"/>
    <cellStyle name="Entrada 4 6 7 2" xfId="5715"/>
    <cellStyle name="Entrada 4 6 8" xfId="5716"/>
    <cellStyle name="Entrada 4 6 8 2" xfId="5717"/>
    <cellStyle name="Entrada 4 6 9" xfId="5718"/>
    <cellStyle name="Entrada 4 6 9 2" xfId="5719"/>
    <cellStyle name="Entrada 4 7" xfId="5720"/>
    <cellStyle name="Entrada 4 7 2" xfId="5721"/>
    <cellStyle name="Entrada 4 8" xfId="5722"/>
    <cellStyle name="Entrada 4 8 2" xfId="5723"/>
    <cellStyle name="Entrada 4 9" xfId="5724"/>
    <cellStyle name="Entrada 4 9 2" xfId="5725"/>
    <cellStyle name="Entrada 5" xfId="5726"/>
    <cellStyle name="Entrada 5 10" xfId="5727"/>
    <cellStyle name="Entrada 5 10 2" xfId="5728"/>
    <cellStyle name="Entrada 5 11" xfId="5729"/>
    <cellStyle name="Entrada 5 11 2" xfId="5730"/>
    <cellStyle name="Entrada 5 12" xfId="5731"/>
    <cellStyle name="Entrada 5 12 2" xfId="5732"/>
    <cellStyle name="Entrada 5 13" xfId="5733"/>
    <cellStyle name="Entrada 5 2" xfId="5734"/>
    <cellStyle name="Entrada 5 2 10" xfId="5735"/>
    <cellStyle name="Entrada 5 2 10 2" xfId="5736"/>
    <cellStyle name="Entrada 5 2 11" xfId="5737"/>
    <cellStyle name="Entrada 5 2 2" xfId="5738"/>
    <cellStyle name="Entrada 5 2 2 2" xfId="5739"/>
    <cellStyle name="Entrada 5 2 3" xfId="5740"/>
    <cellStyle name="Entrada 5 2 3 2" xfId="5741"/>
    <cellStyle name="Entrada 5 2 4" xfId="5742"/>
    <cellStyle name="Entrada 5 2 4 2" xfId="5743"/>
    <cellStyle name="Entrada 5 2 5" xfId="5744"/>
    <cellStyle name="Entrada 5 2 5 2" xfId="5745"/>
    <cellStyle name="Entrada 5 2 6" xfId="5746"/>
    <cellStyle name="Entrada 5 2 6 2" xfId="5747"/>
    <cellStyle name="Entrada 5 2 7" xfId="5748"/>
    <cellStyle name="Entrada 5 2 7 2" xfId="5749"/>
    <cellStyle name="Entrada 5 2 8" xfId="5750"/>
    <cellStyle name="Entrada 5 2 8 2" xfId="5751"/>
    <cellStyle name="Entrada 5 2 9" xfId="5752"/>
    <cellStyle name="Entrada 5 2 9 2" xfId="5753"/>
    <cellStyle name="Entrada 5 3" xfId="5754"/>
    <cellStyle name="Entrada 5 3 10" xfId="5755"/>
    <cellStyle name="Entrada 5 3 10 2" xfId="5756"/>
    <cellStyle name="Entrada 5 3 11" xfId="5757"/>
    <cellStyle name="Entrada 5 3 2" xfId="5758"/>
    <cellStyle name="Entrada 5 3 2 2" xfId="5759"/>
    <cellStyle name="Entrada 5 3 3" xfId="5760"/>
    <cellStyle name="Entrada 5 3 3 2" xfId="5761"/>
    <cellStyle name="Entrada 5 3 4" xfId="5762"/>
    <cellStyle name="Entrada 5 3 4 2" xfId="5763"/>
    <cellStyle name="Entrada 5 3 5" xfId="5764"/>
    <cellStyle name="Entrada 5 3 5 2" xfId="5765"/>
    <cellStyle name="Entrada 5 3 6" xfId="5766"/>
    <cellStyle name="Entrada 5 3 6 2" xfId="5767"/>
    <cellStyle name="Entrada 5 3 7" xfId="5768"/>
    <cellStyle name="Entrada 5 3 7 2" xfId="5769"/>
    <cellStyle name="Entrada 5 3 8" xfId="5770"/>
    <cellStyle name="Entrada 5 3 8 2" xfId="5771"/>
    <cellStyle name="Entrada 5 3 9" xfId="5772"/>
    <cellStyle name="Entrada 5 3 9 2" xfId="5773"/>
    <cellStyle name="Entrada 5 4" xfId="5774"/>
    <cellStyle name="Entrada 5 4 2" xfId="5775"/>
    <cellStyle name="Entrada 5 5" xfId="5776"/>
    <cellStyle name="Entrada 5 5 2" xfId="5777"/>
    <cellStyle name="Entrada 5 6" xfId="5778"/>
    <cellStyle name="Entrada 5 6 2" xfId="5779"/>
    <cellStyle name="Entrada 5 7" xfId="5780"/>
    <cellStyle name="Entrada 5 7 2" xfId="5781"/>
    <cellStyle name="Entrada 5 8" xfId="5782"/>
    <cellStyle name="Entrada 5 8 2" xfId="5783"/>
    <cellStyle name="Entrada 5 9" xfId="5784"/>
    <cellStyle name="Entrada 5 9 2" xfId="5785"/>
    <cellStyle name="Entrada 6" xfId="5786"/>
    <cellStyle name="Entrada 6 10" xfId="5787"/>
    <cellStyle name="Entrada 6 10 2" xfId="5788"/>
    <cellStyle name="Entrada 6 11" xfId="5789"/>
    <cellStyle name="Entrada 6 11 2" xfId="5790"/>
    <cellStyle name="Entrada 6 12" xfId="5791"/>
    <cellStyle name="Entrada 6 12 2" xfId="5792"/>
    <cellStyle name="Entrada 6 13" xfId="5793"/>
    <cellStyle name="Entrada 6 2" xfId="5794"/>
    <cellStyle name="Entrada 6 2 10" xfId="5795"/>
    <cellStyle name="Entrada 6 2 10 2" xfId="5796"/>
    <cellStyle name="Entrada 6 2 11" xfId="5797"/>
    <cellStyle name="Entrada 6 2 2" xfId="5798"/>
    <cellStyle name="Entrada 6 2 2 2" xfId="5799"/>
    <cellStyle name="Entrada 6 2 3" xfId="5800"/>
    <cellStyle name="Entrada 6 2 3 2" xfId="5801"/>
    <cellStyle name="Entrada 6 2 4" xfId="5802"/>
    <cellStyle name="Entrada 6 2 4 2" xfId="5803"/>
    <cellStyle name="Entrada 6 2 5" xfId="5804"/>
    <cellStyle name="Entrada 6 2 5 2" xfId="5805"/>
    <cellStyle name="Entrada 6 2 6" xfId="5806"/>
    <cellStyle name="Entrada 6 2 6 2" xfId="5807"/>
    <cellStyle name="Entrada 6 2 7" xfId="5808"/>
    <cellStyle name="Entrada 6 2 7 2" xfId="5809"/>
    <cellStyle name="Entrada 6 2 8" xfId="5810"/>
    <cellStyle name="Entrada 6 2 8 2" xfId="5811"/>
    <cellStyle name="Entrada 6 2 9" xfId="5812"/>
    <cellStyle name="Entrada 6 2 9 2" xfId="5813"/>
    <cellStyle name="Entrada 6 3" xfId="5814"/>
    <cellStyle name="Entrada 6 3 10" xfId="5815"/>
    <cellStyle name="Entrada 6 3 10 2" xfId="5816"/>
    <cellStyle name="Entrada 6 3 11" xfId="5817"/>
    <cellStyle name="Entrada 6 3 2" xfId="5818"/>
    <cellStyle name="Entrada 6 3 2 2" xfId="5819"/>
    <cellStyle name="Entrada 6 3 3" xfId="5820"/>
    <cellStyle name="Entrada 6 3 3 2" xfId="5821"/>
    <cellStyle name="Entrada 6 3 4" xfId="5822"/>
    <cellStyle name="Entrada 6 3 4 2" xfId="5823"/>
    <cellStyle name="Entrada 6 3 5" xfId="5824"/>
    <cellStyle name="Entrada 6 3 5 2" xfId="5825"/>
    <cellStyle name="Entrada 6 3 6" xfId="5826"/>
    <cellStyle name="Entrada 6 3 6 2" xfId="5827"/>
    <cellStyle name="Entrada 6 3 7" xfId="5828"/>
    <cellStyle name="Entrada 6 3 7 2" xfId="5829"/>
    <cellStyle name="Entrada 6 3 8" xfId="5830"/>
    <cellStyle name="Entrada 6 3 8 2" xfId="5831"/>
    <cellStyle name="Entrada 6 3 9" xfId="5832"/>
    <cellStyle name="Entrada 6 3 9 2" xfId="5833"/>
    <cellStyle name="Entrada 6 4" xfId="5834"/>
    <cellStyle name="Entrada 6 4 2" xfId="5835"/>
    <cellStyle name="Entrada 6 5" xfId="5836"/>
    <cellStyle name="Entrada 6 5 2" xfId="5837"/>
    <cellStyle name="Entrada 6 6" xfId="5838"/>
    <cellStyle name="Entrada 6 6 2" xfId="5839"/>
    <cellStyle name="Entrada 6 7" xfId="5840"/>
    <cellStyle name="Entrada 6 7 2" xfId="5841"/>
    <cellStyle name="Entrada 6 8" xfId="5842"/>
    <cellStyle name="Entrada 6 8 2" xfId="5843"/>
    <cellStyle name="Entrada 6 9" xfId="5844"/>
    <cellStyle name="Entrada 6 9 2" xfId="5845"/>
    <cellStyle name="Entrada 7" xfId="5846"/>
    <cellStyle name="Entrada 7 10" xfId="5847"/>
    <cellStyle name="Entrada 7 10 2" xfId="5848"/>
    <cellStyle name="Entrada 7 11" xfId="5849"/>
    <cellStyle name="Entrada 7 11 2" xfId="5850"/>
    <cellStyle name="Entrada 7 12" xfId="5851"/>
    <cellStyle name="Entrada 7 12 2" xfId="5852"/>
    <cellStyle name="Entrada 7 13" xfId="5853"/>
    <cellStyle name="Entrada 7 2" xfId="5854"/>
    <cellStyle name="Entrada 7 2 10" xfId="5855"/>
    <cellStyle name="Entrada 7 2 10 2" xfId="5856"/>
    <cellStyle name="Entrada 7 2 11" xfId="5857"/>
    <cellStyle name="Entrada 7 2 2" xfId="5858"/>
    <cellStyle name="Entrada 7 2 2 2" xfId="5859"/>
    <cellStyle name="Entrada 7 2 3" xfId="5860"/>
    <cellStyle name="Entrada 7 2 3 2" xfId="5861"/>
    <cellStyle name="Entrada 7 2 4" xfId="5862"/>
    <cellStyle name="Entrada 7 2 4 2" xfId="5863"/>
    <cellStyle name="Entrada 7 2 5" xfId="5864"/>
    <cellStyle name="Entrada 7 2 5 2" xfId="5865"/>
    <cellStyle name="Entrada 7 2 6" xfId="5866"/>
    <cellStyle name="Entrada 7 2 6 2" xfId="5867"/>
    <cellStyle name="Entrada 7 2 7" xfId="5868"/>
    <cellStyle name="Entrada 7 2 7 2" xfId="5869"/>
    <cellStyle name="Entrada 7 2 8" xfId="5870"/>
    <cellStyle name="Entrada 7 2 8 2" xfId="5871"/>
    <cellStyle name="Entrada 7 2 9" xfId="5872"/>
    <cellStyle name="Entrada 7 2 9 2" xfId="5873"/>
    <cellStyle name="Entrada 7 3" xfId="5874"/>
    <cellStyle name="Entrada 7 3 10" xfId="5875"/>
    <cellStyle name="Entrada 7 3 10 2" xfId="5876"/>
    <cellStyle name="Entrada 7 3 11" xfId="5877"/>
    <cellStyle name="Entrada 7 3 2" xfId="5878"/>
    <cellStyle name="Entrada 7 3 2 2" xfId="5879"/>
    <cellStyle name="Entrada 7 3 3" xfId="5880"/>
    <cellStyle name="Entrada 7 3 3 2" xfId="5881"/>
    <cellStyle name="Entrada 7 3 4" xfId="5882"/>
    <cellStyle name="Entrada 7 3 4 2" xfId="5883"/>
    <cellStyle name="Entrada 7 3 5" xfId="5884"/>
    <cellStyle name="Entrada 7 3 5 2" xfId="5885"/>
    <cellStyle name="Entrada 7 3 6" xfId="5886"/>
    <cellStyle name="Entrada 7 3 6 2" xfId="5887"/>
    <cellStyle name="Entrada 7 3 7" xfId="5888"/>
    <cellStyle name="Entrada 7 3 7 2" xfId="5889"/>
    <cellStyle name="Entrada 7 3 8" xfId="5890"/>
    <cellStyle name="Entrada 7 3 8 2" xfId="5891"/>
    <cellStyle name="Entrada 7 3 9" xfId="5892"/>
    <cellStyle name="Entrada 7 3 9 2" xfId="5893"/>
    <cellStyle name="Entrada 7 4" xfId="5894"/>
    <cellStyle name="Entrada 7 4 2" xfId="5895"/>
    <cellStyle name="Entrada 7 5" xfId="5896"/>
    <cellStyle name="Entrada 7 5 2" xfId="5897"/>
    <cellStyle name="Entrada 7 6" xfId="5898"/>
    <cellStyle name="Entrada 7 6 2" xfId="5899"/>
    <cellStyle name="Entrada 7 7" xfId="5900"/>
    <cellStyle name="Entrada 7 7 2" xfId="5901"/>
    <cellStyle name="Entrada 7 8" xfId="5902"/>
    <cellStyle name="Entrada 7 8 2" xfId="5903"/>
    <cellStyle name="Entrada 7 9" xfId="5904"/>
    <cellStyle name="Entrada 7 9 2" xfId="5905"/>
    <cellStyle name="Entrada 8" xfId="5906"/>
    <cellStyle name="Entrada 9" xfId="41769"/>
    <cellStyle name="Estilo 1" xfId="41770"/>
    <cellStyle name="Excel Built-in Normal" xfId="168"/>
    <cellStyle name="Hipervínculo 2" xfId="41771"/>
    <cellStyle name="Hipervínculo 2 2" xfId="41772"/>
    <cellStyle name="Hipervínculo 3" xfId="41773"/>
    <cellStyle name="Hipervínculo 3 2" xfId="41774"/>
    <cellStyle name="Incorrecto 2" xfId="170"/>
    <cellStyle name="Incorrecto 2 2" xfId="171"/>
    <cellStyle name="Incorrecto 2 3" xfId="172"/>
    <cellStyle name="Incorrecto 2 4" xfId="5907"/>
    <cellStyle name="Incorrecto 3" xfId="173"/>
    <cellStyle name="Incorrecto 4" xfId="169"/>
    <cellStyle name="Incorrecto 5" xfId="5908"/>
    <cellStyle name="Incorrecto 6" xfId="5909"/>
    <cellStyle name="Incorrecto 7" xfId="5910"/>
    <cellStyle name="Incorrecto 8" xfId="41775"/>
    <cellStyle name="Millares" xfId="8" builtinId="3"/>
    <cellStyle name="Millares 10" xfId="5911"/>
    <cellStyle name="Millares 11" xfId="5912"/>
    <cellStyle name="Millares 12" xfId="5913"/>
    <cellStyle name="Millares 13" xfId="5914"/>
    <cellStyle name="Millares 14" xfId="5915"/>
    <cellStyle name="Millares 15" xfId="5916"/>
    <cellStyle name="Millares 16" xfId="41776"/>
    <cellStyle name="Millares 2" xfId="175"/>
    <cellStyle name="Millares 2 2" xfId="176"/>
    <cellStyle name="Millares 2 2 10" xfId="5917"/>
    <cellStyle name="Millares 2 2 11" xfId="5918"/>
    <cellStyle name="Millares 2 2 12" xfId="5919"/>
    <cellStyle name="Millares 2 2 13" xfId="5920"/>
    <cellStyle name="Millares 2 2 14" xfId="5921"/>
    <cellStyle name="Millares 2 2 2" xfId="5922"/>
    <cellStyle name="Millares 2 2 3" xfId="5923"/>
    <cellStyle name="Millares 2 2 4" xfId="5924"/>
    <cellStyle name="Millares 2 2 5" xfId="5925"/>
    <cellStyle name="Millares 2 2 6" xfId="5926"/>
    <cellStyle name="Millares 2 2 7" xfId="5927"/>
    <cellStyle name="Millares 2 2 8" xfId="5928"/>
    <cellStyle name="Millares 2 2 9" xfId="5929"/>
    <cellStyle name="Millares 2 3" xfId="177"/>
    <cellStyle name="Millares 2 3 10" xfId="5930"/>
    <cellStyle name="Millares 2 3 11" xfId="5931"/>
    <cellStyle name="Millares 2 3 12" xfId="5932"/>
    <cellStyle name="Millares 2 3 13" xfId="5933"/>
    <cellStyle name="Millares 2 3 14" xfId="5934"/>
    <cellStyle name="Millares 2 3 2" xfId="5935"/>
    <cellStyle name="Millares 2 3 3" xfId="5936"/>
    <cellStyle name="Millares 2 3 4" xfId="5937"/>
    <cellStyle name="Millares 2 3 5" xfId="5938"/>
    <cellStyle name="Millares 2 3 6" xfId="5939"/>
    <cellStyle name="Millares 2 3 7" xfId="5940"/>
    <cellStyle name="Millares 2 3 8" xfId="5941"/>
    <cellStyle name="Millares 2 3 9" xfId="5942"/>
    <cellStyle name="Millares 2 4" xfId="5943"/>
    <cellStyle name="Millares 2 5" xfId="5944"/>
    <cellStyle name="Millares 2 6" xfId="5945"/>
    <cellStyle name="Millares 2 7" xfId="5946"/>
    <cellStyle name="Millares 2 8" xfId="344"/>
    <cellStyle name="Millares 3" xfId="174"/>
    <cellStyle name="Millares 4" xfId="5947"/>
    <cellStyle name="Millares 4 10" xfId="5948"/>
    <cellStyle name="Millares 4 10 2" xfId="5949"/>
    <cellStyle name="Millares 4 11" xfId="5950"/>
    <cellStyle name="Millares 4 11 2" xfId="5951"/>
    <cellStyle name="Millares 4 12" xfId="5952"/>
    <cellStyle name="Millares 4 12 2" xfId="5953"/>
    <cellStyle name="Millares 4 13" xfId="5954"/>
    <cellStyle name="Millares 4 2" xfId="5955"/>
    <cellStyle name="Millares 4 2 10" xfId="5956"/>
    <cellStyle name="Millares 4 2 10 2" xfId="5957"/>
    <cellStyle name="Millares 4 2 11" xfId="5958"/>
    <cellStyle name="Millares 4 2 11 2" xfId="5959"/>
    <cellStyle name="Millares 4 2 12" xfId="5960"/>
    <cellStyle name="Millares 4 2 2" xfId="5961"/>
    <cellStyle name="Millares 4 2 2 10" xfId="5962"/>
    <cellStyle name="Millares 4 2 2 10 2" xfId="5963"/>
    <cellStyle name="Millares 4 2 2 11" xfId="5964"/>
    <cellStyle name="Millares 4 2 2 2" xfId="5965"/>
    <cellStyle name="Millares 4 2 2 2 2" xfId="5966"/>
    <cellStyle name="Millares 4 2 2 3" xfId="5967"/>
    <cellStyle name="Millares 4 2 2 3 2" xfId="5968"/>
    <cellStyle name="Millares 4 2 2 4" xfId="5969"/>
    <cellStyle name="Millares 4 2 2 4 2" xfId="5970"/>
    <cellStyle name="Millares 4 2 2 5" xfId="5971"/>
    <cellStyle name="Millares 4 2 2 5 2" xfId="5972"/>
    <cellStyle name="Millares 4 2 2 6" xfId="5973"/>
    <cellStyle name="Millares 4 2 2 6 2" xfId="5974"/>
    <cellStyle name="Millares 4 2 2 7" xfId="5975"/>
    <cellStyle name="Millares 4 2 2 7 2" xfId="5976"/>
    <cellStyle name="Millares 4 2 2 8" xfId="5977"/>
    <cellStyle name="Millares 4 2 2 8 2" xfId="5978"/>
    <cellStyle name="Millares 4 2 2 9" xfId="5979"/>
    <cellStyle name="Millares 4 2 2 9 2" xfId="5980"/>
    <cellStyle name="Millares 4 2 3" xfId="5981"/>
    <cellStyle name="Millares 4 2 3 2" xfId="5982"/>
    <cellStyle name="Millares 4 2 4" xfId="5983"/>
    <cellStyle name="Millares 4 2 4 2" xfId="5984"/>
    <cellStyle name="Millares 4 2 5" xfId="5985"/>
    <cellStyle name="Millares 4 2 5 2" xfId="5986"/>
    <cellStyle name="Millares 4 2 6" xfId="5987"/>
    <cellStyle name="Millares 4 2 6 2" xfId="5988"/>
    <cellStyle name="Millares 4 2 7" xfId="5989"/>
    <cellStyle name="Millares 4 2 7 2" xfId="5990"/>
    <cellStyle name="Millares 4 2 8" xfId="5991"/>
    <cellStyle name="Millares 4 2 8 2" xfId="5992"/>
    <cellStyle name="Millares 4 2 9" xfId="5993"/>
    <cellStyle name="Millares 4 2 9 2" xfId="5994"/>
    <cellStyle name="Millares 4 3" xfId="5995"/>
    <cellStyle name="Millares 4 3 10" xfId="5996"/>
    <cellStyle name="Millares 4 3 10 2" xfId="5997"/>
    <cellStyle name="Millares 4 3 11" xfId="5998"/>
    <cellStyle name="Millares 4 3 2" xfId="5999"/>
    <cellStyle name="Millares 4 3 2 2" xfId="6000"/>
    <cellStyle name="Millares 4 3 3" xfId="6001"/>
    <cellStyle name="Millares 4 3 3 2" xfId="6002"/>
    <cellStyle name="Millares 4 3 4" xfId="6003"/>
    <cellStyle name="Millares 4 3 4 2" xfId="6004"/>
    <cellStyle name="Millares 4 3 5" xfId="6005"/>
    <cellStyle name="Millares 4 3 5 2" xfId="6006"/>
    <cellStyle name="Millares 4 3 6" xfId="6007"/>
    <cellStyle name="Millares 4 3 6 2" xfId="6008"/>
    <cellStyle name="Millares 4 3 7" xfId="6009"/>
    <cellStyle name="Millares 4 3 7 2" xfId="6010"/>
    <cellStyle name="Millares 4 3 8" xfId="6011"/>
    <cellStyle name="Millares 4 3 8 2" xfId="6012"/>
    <cellStyle name="Millares 4 3 9" xfId="6013"/>
    <cellStyle name="Millares 4 3 9 2" xfId="6014"/>
    <cellStyle name="Millares 4 4" xfId="6015"/>
    <cellStyle name="Millares 4 4 2" xfId="6016"/>
    <cellStyle name="Millares 4 5" xfId="6017"/>
    <cellStyle name="Millares 4 5 2" xfId="6018"/>
    <cellStyle name="Millares 4 6" xfId="6019"/>
    <cellStyle name="Millares 4 6 2" xfId="6020"/>
    <cellStyle name="Millares 4 7" xfId="6021"/>
    <cellStyle name="Millares 4 7 2" xfId="6022"/>
    <cellStyle name="Millares 4 8" xfId="6023"/>
    <cellStyle name="Millares 4 8 2" xfId="6024"/>
    <cellStyle name="Millares 4 9" xfId="6025"/>
    <cellStyle name="Millares 4 9 2" xfId="6026"/>
    <cellStyle name="Millares 5" xfId="6027"/>
    <cellStyle name="Millares 5 10" xfId="6028"/>
    <cellStyle name="Millares 5 10 2" xfId="6029"/>
    <cellStyle name="Millares 5 11" xfId="6030"/>
    <cellStyle name="Millares 5 11 2" xfId="6031"/>
    <cellStyle name="Millares 5 12" xfId="6032"/>
    <cellStyle name="Millares 5 12 2" xfId="6033"/>
    <cellStyle name="Millares 5 13" xfId="6034"/>
    <cellStyle name="Millares 5 2" xfId="6035"/>
    <cellStyle name="Millares 5 2 10" xfId="6036"/>
    <cellStyle name="Millares 5 2 10 2" xfId="6037"/>
    <cellStyle name="Millares 5 2 11" xfId="6038"/>
    <cellStyle name="Millares 5 2 11 2" xfId="6039"/>
    <cellStyle name="Millares 5 2 12" xfId="6040"/>
    <cellStyle name="Millares 5 2 2" xfId="6041"/>
    <cellStyle name="Millares 5 2 2 10" xfId="6042"/>
    <cellStyle name="Millares 5 2 2 10 2" xfId="6043"/>
    <cellStyle name="Millares 5 2 2 11" xfId="6044"/>
    <cellStyle name="Millares 5 2 2 2" xfId="6045"/>
    <cellStyle name="Millares 5 2 2 2 2" xfId="6046"/>
    <cellStyle name="Millares 5 2 2 3" xfId="6047"/>
    <cellStyle name="Millares 5 2 2 3 2" xfId="6048"/>
    <cellStyle name="Millares 5 2 2 4" xfId="6049"/>
    <cellStyle name="Millares 5 2 2 4 2" xfId="6050"/>
    <cellStyle name="Millares 5 2 2 5" xfId="6051"/>
    <cellStyle name="Millares 5 2 2 5 2" xfId="6052"/>
    <cellStyle name="Millares 5 2 2 6" xfId="6053"/>
    <cellStyle name="Millares 5 2 2 6 2" xfId="6054"/>
    <cellStyle name="Millares 5 2 2 7" xfId="6055"/>
    <cellStyle name="Millares 5 2 2 7 2" xfId="6056"/>
    <cellStyle name="Millares 5 2 2 8" xfId="6057"/>
    <cellStyle name="Millares 5 2 2 8 2" xfId="6058"/>
    <cellStyle name="Millares 5 2 2 9" xfId="6059"/>
    <cellStyle name="Millares 5 2 2 9 2" xfId="6060"/>
    <cellStyle name="Millares 5 2 3" xfId="6061"/>
    <cellStyle name="Millares 5 2 3 2" xfId="6062"/>
    <cellStyle name="Millares 5 2 4" xfId="6063"/>
    <cellStyle name="Millares 5 2 4 2" xfId="6064"/>
    <cellStyle name="Millares 5 2 5" xfId="6065"/>
    <cellStyle name="Millares 5 2 5 2" xfId="6066"/>
    <cellStyle name="Millares 5 2 6" xfId="6067"/>
    <cellStyle name="Millares 5 2 6 2" xfId="6068"/>
    <cellStyle name="Millares 5 2 7" xfId="6069"/>
    <cellStyle name="Millares 5 2 7 2" xfId="6070"/>
    <cellStyle name="Millares 5 2 8" xfId="6071"/>
    <cellStyle name="Millares 5 2 8 2" xfId="6072"/>
    <cellStyle name="Millares 5 2 9" xfId="6073"/>
    <cellStyle name="Millares 5 2 9 2" xfId="6074"/>
    <cellStyle name="Millares 5 3" xfId="6075"/>
    <cellStyle name="Millares 5 3 10" xfId="6076"/>
    <cellStyle name="Millares 5 3 10 2" xfId="6077"/>
    <cellStyle name="Millares 5 3 11" xfId="6078"/>
    <cellStyle name="Millares 5 3 2" xfId="6079"/>
    <cellStyle name="Millares 5 3 2 2" xfId="6080"/>
    <cellStyle name="Millares 5 3 3" xfId="6081"/>
    <cellStyle name="Millares 5 3 3 2" xfId="6082"/>
    <cellStyle name="Millares 5 3 4" xfId="6083"/>
    <cellStyle name="Millares 5 3 4 2" xfId="6084"/>
    <cellStyle name="Millares 5 3 5" xfId="6085"/>
    <cellStyle name="Millares 5 3 5 2" xfId="6086"/>
    <cellStyle name="Millares 5 3 6" xfId="6087"/>
    <cellStyle name="Millares 5 3 6 2" xfId="6088"/>
    <cellStyle name="Millares 5 3 7" xfId="6089"/>
    <cellStyle name="Millares 5 3 7 2" xfId="6090"/>
    <cellStyle name="Millares 5 3 8" xfId="6091"/>
    <cellStyle name="Millares 5 3 8 2" xfId="6092"/>
    <cellStyle name="Millares 5 3 9" xfId="6093"/>
    <cellStyle name="Millares 5 3 9 2" xfId="6094"/>
    <cellStyle name="Millares 5 4" xfId="6095"/>
    <cellStyle name="Millares 5 4 2" xfId="6096"/>
    <cellStyle name="Millares 5 5" xfId="6097"/>
    <cellStyle name="Millares 5 5 2" xfId="6098"/>
    <cellStyle name="Millares 5 6" xfId="6099"/>
    <cellStyle name="Millares 5 6 2" xfId="6100"/>
    <cellStyle name="Millares 5 7" xfId="6101"/>
    <cellStyle name="Millares 5 7 2" xfId="6102"/>
    <cellStyle name="Millares 5 8" xfId="6103"/>
    <cellStyle name="Millares 5 8 2" xfId="6104"/>
    <cellStyle name="Millares 5 9" xfId="6105"/>
    <cellStyle name="Millares 5 9 2" xfId="6106"/>
    <cellStyle name="Millares 6" xfId="6107"/>
    <cellStyle name="Millares 6 10" xfId="6108"/>
    <cellStyle name="Millares 6 10 2" xfId="6109"/>
    <cellStyle name="Millares 6 11" xfId="6110"/>
    <cellStyle name="Millares 6 11 2" xfId="6111"/>
    <cellStyle name="Millares 6 12" xfId="6112"/>
    <cellStyle name="Millares 6 12 2" xfId="6113"/>
    <cellStyle name="Millares 6 13" xfId="6114"/>
    <cellStyle name="Millares 6 2" xfId="6115"/>
    <cellStyle name="Millares 6 2 10" xfId="6116"/>
    <cellStyle name="Millares 6 2 10 2" xfId="6117"/>
    <cellStyle name="Millares 6 2 11" xfId="6118"/>
    <cellStyle name="Millares 6 2 11 2" xfId="6119"/>
    <cellStyle name="Millares 6 2 12" xfId="6120"/>
    <cellStyle name="Millares 6 2 2" xfId="6121"/>
    <cellStyle name="Millares 6 2 2 10" xfId="6122"/>
    <cellStyle name="Millares 6 2 2 10 2" xfId="6123"/>
    <cellStyle name="Millares 6 2 2 11" xfId="6124"/>
    <cellStyle name="Millares 6 2 2 2" xfId="6125"/>
    <cellStyle name="Millares 6 2 2 2 2" xfId="6126"/>
    <cellStyle name="Millares 6 2 2 3" xfId="6127"/>
    <cellStyle name="Millares 6 2 2 3 2" xfId="6128"/>
    <cellStyle name="Millares 6 2 2 4" xfId="6129"/>
    <cellStyle name="Millares 6 2 2 4 2" xfId="6130"/>
    <cellStyle name="Millares 6 2 2 5" xfId="6131"/>
    <cellStyle name="Millares 6 2 2 5 2" xfId="6132"/>
    <cellStyle name="Millares 6 2 2 6" xfId="6133"/>
    <cellStyle name="Millares 6 2 2 6 2" xfId="6134"/>
    <cellStyle name="Millares 6 2 2 7" xfId="6135"/>
    <cellStyle name="Millares 6 2 2 7 2" xfId="6136"/>
    <cellStyle name="Millares 6 2 2 8" xfId="6137"/>
    <cellStyle name="Millares 6 2 2 8 2" xfId="6138"/>
    <cellStyle name="Millares 6 2 2 9" xfId="6139"/>
    <cellStyle name="Millares 6 2 2 9 2" xfId="6140"/>
    <cellStyle name="Millares 6 2 3" xfId="6141"/>
    <cellStyle name="Millares 6 2 3 2" xfId="6142"/>
    <cellStyle name="Millares 6 2 4" xfId="6143"/>
    <cellStyle name="Millares 6 2 4 2" xfId="6144"/>
    <cellStyle name="Millares 6 2 5" xfId="6145"/>
    <cellStyle name="Millares 6 2 5 2" xfId="6146"/>
    <cellStyle name="Millares 6 2 6" xfId="6147"/>
    <cellStyle name="Millares 6 2 6 2" xfId="6148"/>
    <cellStyle name="Millares 6 2 7" xfId="6149"/>
    <cellStyle name="Millares 6 2 7 2" xfId="6150"/>
    <cellStyle name="Millares 6 2 8" xfId="6151"/>
    <cellStyle name="Millares 6 2 8 2" xfId="6152"/>
    <cellStyle name="Millares 6 2 9" xfId="6153"/>
    <cellStyle name="Millares 6 2 9 2" xfId="6154"/>
    <cellStyle name="Millares 6 3" xfId="6155"/>
    <cellStyle name="Millares 6 3 10" xfId="6156"/>
    <cellStyle name="Millares 6 3 10 2" xfId="6157"/>
    <cellStyle name="Millares 6 3 11" xfId="6158"/>
    <cellStyle name="Millares 6 3 2" xfId="6159"/>
    <cellStyle name="Millares 6 3 2 2" xfId="6160"/>
    <cellStyle name="Millares 6 3 3" xfId="6161"/>
    <cellStyle name="Millares 6 3 3 2" xfId="6162"/>
    <cellStyle name="Millares 6 3 4" xfId="6163"/>
    <cellStyle name="Millares 6 3 4 2" xfId="6164"/>
    <cellStyle name="Millares 6 3 5" xfId="6165"/>
    <cellStyle name="Millares 6 3 5 2" xfId="6166"/>
    <cellStyle name="Millares 6 3 6" xfId="6167"/>
    <cellStyle name="Millares 6 3 6 2" xfId="6168"/>
    <cellStyle name="Millares 6 3 7" xfId="6169"/>
    <cellStyle name="Millares 6 3 7 2" xfId="6170"/>
    <cellStyle name="Millares 6 3 8" xfId="6171"/>
    <cellStyle name="Millares 6 3 8 2" xfId="6172"/>
    <cellStyle name="Millares 6 3 9" xfId="6173"/>
    <cellStyle name="Millares 6 3 9 2" xfId="6174"/>
    <cellStyle name="Millares 6 4" xfId="6175"/>
    <cellStyle name="Millares 6 4 2" xfId="6176"/>
    <cellStyle name="Millares 6 5" xfId="6177"/>
    <cellStyle name="Millares 6 5 2" xfId="6178"/>
    <cellStyle name="Millares 6 6" xfId="6179"/>
    <cellStyle name="Millares 6 6 2" xfId="6180"/>
    <cellStyle name="Millares 6 7" xfId="6181"/>
    <cellStyle name="Millares 6 7 2" xfId="6182"/>
    <cellStyle name="Millares 6 8" xfId="6183"/>
    <cellStyle name="Millares 6 8 2" xfId="6184"/>
    <cellStyle name="Millares 6 9" xfId="6185"/>
    <cellStyle name="Millares 6 9 2" xfId="6186"/>
    <cellStyle name="Millares 7" xfId="6187"/>
    <cellStyle name="Millares 7 10" xfId="6188"/>
    <cellStyle name="Millares 7 11" xfId="6189"/>
    <cellStyle name="Millares 7 12" xfId="6190"/>
    <cellStyle name="Millares 7 2" xfId="6191"/>
    <cellStyle name="Millares 7 3" xfId="6192"/>
    <cellStyle name="Millares 7 4" xfId="6193"/>
    <cellStyle name="Millares 7 5" xfId="6194"/>
    <cellStyle name="Millares 7 6" xfId="6195"/>
    <cellStyle name="Millares 7 7" xfId="6196"/>
    <cellStyle name="Millares 7 8" xfId="6197"/>
    <cellStyle name="Millares 7 9" xfId="6198"/>
    <cellStyle name="Millares 8" xfId="6199"/>
    <cellStyle name="Millares 9" xfId="6200"/>
    <cellStyle name="Moneda 2" xfId="178"/>
    <cellStyle name="Moneda 2 2" xfId="6201"/>
    <cellStyle name="Moneda 2 3" xfId="6202"/>
    <cellStyle name="Moneda 3" xfId="6203"/>
    <cellStyle name="Moneda 4" xfId="6204"/>
    <cellStyle name="Moneda 5" xfId="6205"/>
    <cellStyle name="Moneda 6" xfId="6206"/>
    <cellStyle name="Moneda 7" xfId="6207"/>
    <cellStyle name="Moneda 8" xfId="41777"/>
    <cellStyle name="Neutral 2" xfId="180"/>
    <cellStyle name="Neutral 2 2" xfId="181"/>
    <cellStyle name="Neutral 2 3" xfId="182"/>
    <cellStyle name="Neutral 2 4" xfId="6208"/>
    <cellStyle name="Neutral 3" xfId="183"/>
    <cellStyle name="Neutral 4" xfId="179"/>
    <cellStyle name="Neutral 5" xfId="6209"/>
    <cellStyle name="Neutral 6" xfId="6210"/>
    <cellStyle name="Neutral 7" xfId="6211"/>
    <cellStyle name="Neutral 8" xfId="41778"/>
    <cellStyle name="Normal" xfId="0" builtinId="0"/>
    <cellStyle name="Normal 10" xfId="6212"/>
    <cellStyle name="Normal 10 10" xfId="6213"/>
    <cellStyle name="Normal 10 10 2" xfId="6214"/>
    <cellStyle name="Normal 10 11" xfId="6215"/>
    <cellStyle name="Normal 10 11 2" xfId="6216"/>
    <cellStyle name="Normal 10 12" xfId="6217"/>
    <cellStyle name="Normal 10 12 2" xfId="6218"/>
    <cellStyle name="Normal 10 13" xfId="6219"/>
    <cellStyle name="Normal 10 13 2" xfId="6220"/>
    <cellStyle name="Normal 10 14" xfId="6221"/>
    <cellStyle name="Normal 10 14 2" xfId="6222"/>
    <cellStyle name="Normal 10 15" xfId="6223"/>
    <cellStyle name="Normal 10 15 2" xfId="6224"/>
    <cellStyle name="Normal 10 16" xfId="6225"/>
    <cellStyle name="Normal 10 16 2" xfId="6226"/>
    <cellStyle name="Normal 10 17" xfId="6227"/>
    <cellStyle name="Normal 10 17 2" xfId="6228"/>
    <cellStyle name="Normal 10 18" xfId="6229"/>
    <cellStyle name="Normal 10 18 2" xfId="6230"/>
    <cellStyle name="Normal 10 19" xfId="6231"/>
    <cellStyle name="Normal 10 2" xfId="6232"/>
    <cellStyle name="Normal 10 2 2" xfId="41779"/>
    <cellStyle name="Normal 10 20" xfId="41780"/>
    <cellStyle name="Normal 10 3" xfId="6233"/>
    <cellStyle name="Normal 10 3 2" xfId="41781"/>
    <cellStyle name="Normal 10 4" xfId="6234"/>
    <cellStyle name="Normal 10 4 2" xfId="41782"/>
    <cellStyle name="Normal 10 5" xfId="6235"/>
    <cellStyle name="Normal 10 5 2" xfId="41783"/>
    <cellStyle name="Normal 10 6" xfId="6236"/>
    <cellStyle name="Normal 10 6 2" xfId="41784"/>
    <cellStyle name="Normal 10 7" xfId="6237"/>
    <cellStyle name="Normal 10 8" xfId="6238"/>
    <cellStyle name="Normal 10 8 10" xfId="6239"/>
    <cellStyle name="Normal 10 8 10 2" xfId="6240"/>
    <cellStyle name="Normal 10 8 11" xfId="6241"/>
    <cellStyle name="Normal 10 8 11 2" xfId="6242"/>
    <cellStyle name="Normal 10 8 12" xfId="6243"/>
    <cellStyle name="Normal 10 8 2" xfId="6244"/>
    <cellStyle name="Normal 10 8 2 10" xfId="6245"/>
    <cellStyle name="Normal 10 8 2 10 2" xfId="6246"/>
    <cellStyle name="Normal 10 8 2 11" xfId="6247"/>
    <cellStyle name="Normal 10 8 2 2" xfId="6248"/>
    <cellStyle name="Normal 10 8 2 2 2" xfId="6249"/>
    <cellStyle name="Normal 10 8 2 3" xfId="6250"/>
    <cellStyle name="Normal 10 8 2 3 2" xfId="6251"/>
    <cellStyle name="Normal 10 8 2 4" xfId="6252"/>
    <cellStyle name="Normal 10 8 2 4 2" xfId="6253"/>
    <cellStyle name="Normal 10 8 2 5" xfId="6254"/>
    <cellStyle name="Normal 10 8 2 5 2" xfId="6255"/>
    <cellStyle name="Normal 10 8 2 6" xfId="6256"/>
    <cellStyle name="Normal 10 8 2 6 2" xfId="6257"/>
    <cellStyle name="Normal 10 8 2 7" xfId="6258"/>
    <cellStyle name="Normal 10 8 2 7 2" xfId="6259"/>
    <cellStyle name="Normal 10 8 2 8" xfId="6260"/>
    <cellStyle name="Normal 10 8 2 8 2" xfId="6261"/>
    <cellStyle name="Normal 10 8 2 9" xfId="6262"/>
    <cellStyle name="Normal 10 8 2 9 2" xfId="6263"/>
    <cellStyle name="Normal 10 8 3" xfId="6264"/>
    <cellStyle name="Normal 10 8 3 2" xfId="6265"/>
    <cellStyle name="Normal 10 8 4" xfId="6266"/>
    <cellStyle name="Normal 10 8 4 2" xfId="6267"/>
    <cellStyle name="Normal 10 8 5" xfId="6268"/>
    <cellStyle name="Normal 10 8 5 2" xfId="6269"/>
    <cellStyle name="Normal 10 8 6" xfId="6270"/>
    <cellStyle name="Normal 10 8 6 2" xfId="6271"/>
    <cellStyle name="Normal 10 8 7" xfId="6272"/>
    <cellStyle name="Normal 10 8 7 2" xfId="6273"/>
    <cellStyle name="Normal 10 8 8" xfId="6274"/>
    <cellStyle name="Normal 10 8 8 2" xfId="6275"/>
    <cellStyle name="Normal 10 8 9" xfId="6276"/>
    <cellStyle name="Normal 10 8 9 2" xfId="6277"/>
    <cellStyle name="Normal 10 9" xfId="6278"/>
    <cellStyle name="Normal 10 9 10" xfId="6279"/>
    <cellStyle name="Normal 10 9 10 2" xfId="6280"/>
    <cellStyle name="Normal 10 9 11" xfId="6281"/>
    <cellStyle name="Normal 10 9 2" xfId="6282"/>
    <cellStyle name="Normal 10 9 2 2" xfId="6283"/>
    <cellStyle name="Normal 10 9 3" xfId="6284"/>
    <cellStyle name="Normal 10 9 3 2" xfId="6285"/>
    <cellStyle name="Normal 10 9 4" xfId="6286"/>
    <cellStyle name="Normal 10 9 4 2" xfId="6287"/>
    <cellStyle name="Normal 10 9 5" xfId="6288"/>
    <cellStyle name="Normal 10 9 5 2" xfId="6289"/>
    <cellStyle name="Normal 10 9 6" xfId="6290"/>
    <cellStyle name="Normal 10 9 6 2" xfId="6291"/>
    <cellStyle name="Normal 10 9 7" xfId="6292"/>
    <cellStyle name="Normal 10 9 7 2" xfId="6293"/>
    <cellStyle name="Normal 10 9 8" xfId="6294"/>
    <cellStyle name="Normal 10 9 8 2" xfId="6295"/>
    <cellStyle name="Normal 10 9 9" xfId="6296"/>
    <cellStyle name="Normal 10 9 9 2" xfId="6297"/>
    <cellStyle name="Normal 11" xfId="184"/>
    <cellStyle name="Normal 11 2" xfId="185"/>
    <cellStyle name="Normal 11 2 10" xfId="6298"/>
    <cellStyle name="Normal 11 2 11" xfId="6299"/>
    <cellStyle name="Normal 11 2 12" xfId="6300"/>
    <cellStyle name="Normal 11 2 13" xfId="6301"/>
    <cellStyle name="Normal 11 2 14" xfId="6302"/>
    <cellStyle name="Normal 11 2 15" xfId="6303"/>
    <cellStyle name="Normal 11 2 2" xfId="6304"/>
    <cellStyle name="Normal 11 2 3" xfId="6305"/>
    <cellStyle name="Normal 11 2 4" xfId="6306"/>
    <cellStyle name="Normal 11 2 5" xfId="6307"/>
    <cellStyle name="Normal 11 2 6" xfId="6308"/>
    <cellStyle name="Normal 11 2 7" xfId="6309"/>
    <cellStyle name="Normal 11 2 8" xfId="6310"/>
    <cellStyle name="Normal 11 2 9" xfId="6311"/>
    <cellStyle name="Normal 11 3" xfId="186"/>
    <cellStyle name="Normal 11 3 10" xfId="6312"/>
    <cellStyle name="Normal 11 3 11" xfId="6313"/>
    <cellStyle name="Normal 11 3 12" xfId="6314"/>
    <cellStyle name="Normal 11 3 13" xfId="6315"/>
    <cellStyle name="Normal 11 3 14" xfId="6316"/>
    <cellStyle name="Normal 11 3 2" xfId="6317"/>
    <cellStyle name="Normal 11 3 3" xfId="6318"/>
    <cellStyle name="Normal 11 3 4" xfId="6319"/>
    <cellStyle name="Normal 11 3 5" xfId="6320"/>
    <cellStyle name="Normal 11 3 6" xfId="6321"/>
    <cellStyle name="Normal 11 3 7" xfId="6322"/>
    <cellStyle name="Normal 11 3 8" xfId="6323"/>
    <cellStyle name="Normal 11 3 9" xfId="6324"/>
    <cellStyle name="Normal 11 4" xfId="6325"/>
    <cellStyle name="Normal 11 4 2" xfId="41785"/>
    <cellStyle name="Normal 11 5" xfId="6326"/>
    <cellStyle name="Normal 11 5 2" xfId="41786"/>
    <cellStyle name="Normal 11 6" xfId="6327"/>
    <cellStyle name="Normal 11 6 2" xfId="41787"/>
    <cellStyle name="Normal 11 7" xfId="41788"/>
    <cellStyle name="Normal 12" xfId="187"/>
    <cellStyle name="Normal 12 2" xfId="188"/>
    <cellStyle name="Normal 12 2 10" xfId="6328"/>
    <cellStyle name="Normal 12 2 11" xfId="6329"/>
    <cellStyle name="Normal 12 2 12" xfId="6330"/>
    <cellStyle name="Normal 12 2 13" xfId="6331"/>
    <cellStyle name="Normal 12 2 14" xfId="6332"/>
    <cellStyle name="Normal 12 2 15" xfId="6333"/>
    <cellStyle name="Normal 12 2 2" xfId="6334"/>
    <cellStyle name="Normal 12 2 3" xfId="6335"/>
    <cellStyle name="Normal 12 2 4" xfId="6336"/>
    <cellStyle name="Normal 12 2 5" xfId="6337"/>
    <cellStyle name="Normal 12 2 6" xfId="6338"/>
    <cellStyle name="Normal 12 2 7" xfId="6339"/>
    <cellStyle name="Normal 12 2 8" xfId="6340"/>
    <cellStyle name="Normal 12 2 9" xfId="6341"/>
    <cellStyle name="Normal 12 3" xfId="189"/>
    <cellStyle name="Normal 12 3 10" xfId="6342"/>
    <cellStyle name="Normal 12 3 11" xfId="6343"/>
    <cellStyle name="Normal 12 3 12" xfId="6344"/>
    <cellStyle name="Normal 12 3 13" xfId="6345"/>
    <cellStyle name="Normal 12 3 14" xfId="6346"/>
    <cellStyle name="Normal 12 3 2" xfId="6347"/>
    <cellStyle name="Normal 12 3 3" xfId="6348"/>
    <cellStyle name="Normal 12 3 4" xfId="6349"/>
    <cellStyle name="Normal 12 3 5" xfId="6350"/>
    <cellStyle name="Normal 12 3 6" xfId="6351"/>
    <cellStyle name="Normal 12 3 7" xfId="6352"/>
    <cellStyle name="Normal 12 3 8" xfId="6353"/>
    <cellStyle name="Normal 12 3 9" xfId="6354"/>
    <cellStyle name="Normal 13" xfId="319"/>
    <cellStyle name="Normal 13 2" xfId="6356"/>
    <cellStyle name="Normal 13 2 2" xfId="41789"/>
    <cellStyle name="Normal 13 3" xfId="41790"/>
    <cellStyle name="Normal 13 4" xfId="6355"/>
    <cellStyle name="Normal 14" xfId="320"/>
    <cellStyle name="Normal 14 10" xfId="6358"/>
    <cellStyle name="Normal 14 10 2" xfId="6359"/>
    <cellStyle name="Normal 14 11" xfId="6360"/>
    <cellStyle name="Normal 14 11 2" xfId="6361"/>
    <cellStyle name="Normal 14 12" xfId="6362"/>
    <cellStyle name="Normal 14 12 2" xfId="6363"/>
    <cellStyle name="Normal 14 13" xfId="6364"/>
    <cellStyle name="Normal 14 13 2" xfId="6365"/>
    <cellStyle name="Normal 14 14" xfId="6366"/>
    <cellStyle name="Normal 14 14 2" xfId="6367"/>
    <cellStyle name="Normal 14 15" xfId="6368"/>
    <cellStyle name="Normal 14 16" xfId="41791"/>
    <cellStyle name="Normal 14 17" xfId="6357"/>
    <cellStyle name="Normal 14 2" xfId="6369"/>
    <cellStyle name="Normal 14 2 2" xfId="41792"/>
    <cellStyle name="Normal 14 3" xfId="6370"/>
    <cellStyle name="Normal 14 4" xfId="6371"/>
    <cellStyle name="Normal 14 4 10" xfId="6372"/>
    <cellStyle name="Normal 14 4 10 2" xfId="6373"/>
    <cellStyle name="Normal 14 4 11" xfId="6374"/>
    <cellStyle name="Normal 14 4 11 2" xfId="6375"/>
    <cellStyle name="Normal 14 4 12" xfId="6376"/>
    <cellStyle name="Normal 14 4 2" xfId="6377"/>
    <cellStyle name="Normal 14 4 2 10" xfId="6378"/>
    <cellStyle name="Normal 14 4 2 10 2" xfId="6379"/>
    <cellStyle name="Normal 14 4 2 11" xfId="6380"/>
    <cellStyle name="Normal 14 4 2 2" xfId="6381"/>
    <cellStyle name="Normal 14 4 2 2 2" xfId="6382"/>
    <cellStyle name="Normal 14 4 2 3" xfId="6383"/>
    <cellStyle name="Normal 14 4 2 3 2" xfId="6384"/>
    <cellStyle name="Normal 14 4 2 4" xfId="6385"/>
    <cellStyle name="Normal 14 4 2 4 2" xfId="6386"/>
    <cellStyle name="Normal 14 4 2 5" xfId="6387"/>
    <cellStyle name="Normal 14 4 2 5 2" xfId="6388"/>
    <cellStyle name="Normal 14 4 2 6" xfId="6389"/>
    <cellStyle name="Normal 14 4 2 6 2" xfId="6390"/>
    <cellStyle name="Normal 14 4 2 7" xfId="6391"/>
    <cellStyle name="Normal 14 4 2 7 2" xfId="6392"/>
    <cellStyle name="Normal 14 4 2 8" xfId="6393"/>
    <cellStyle name="Normal 14 4 2 8 2" xfId="6394"/>
    <cellStyle name="Normal 14 4 2 9" xfId="6395"/>
    <cellStyle name="Normal 14 4 2 9 2" xfId="6396"/>
    <cellStyle name="Normal 14 4 3" xfId="6397"/>
    <cellStyle name="Normal 14 4 3 2" xfId="6398"/>
    <cellStyle name="Normal 14 4 4" xfId="6399"/>
    <cellStyle name="Normal 14 4 4 2" xfId="6400"/>
    <cellStyle name="Normal 14 4 5" xfId="6401"/>
    <cellStyle name="Normal 14 4 5 2" xfId="6402"/>
    <cellStyle name="Normal 14 4 6" xfId="6403"/>
    <cellStyle name="Normal 14 4 6 2" xfId="6404"/>
    <cellStyle name="Normal 14 4 7" xfId="6405"/>
    <cellStyle name="Normal 14 4 7 2" xfId="6406"/>
    <cellStyle name="Normal 14 4 8" xfId="6407"/>
    <cellStyle name="Normal 14 4 8 2" xfId="6408"/>
    <cellStyle name="Normal 14 4 9" xfId="6409"/>
    <cellStyle name="Normal 14 4 9 2" xfId="6410"/>
    <cellStyle name="Normal 14 5" xfId="6411"/>
    <cellStyle name="Normal 14 5 10" xfId="6412"/>
    <cellStyle name="Normal 14 5 10 2" xfId="6413"/>
    <cellStyle name="Normal 14 5 11" xfId="6414"/>
    <cellStyle name="Normal 14 5 2" xfId="6415"/>
    <cellStyle name="Normal 14 5 2 2" xfId="6416"/>
    <cellStyle name="Normal 14 5 3" xfId="6417"/>
    <cellStyle name="Normal 14 5 3 2" xfId="6418"/>
    <cellStyle name="Normal 14 5 4" xfId="6419"/>
    <cellStyle name="Normal 14 5 4 2" xfId="6420"/>
    <cellStyle name="Normal 14 5 5" xfId="6421"/>
    <cellStyle name="Normal 14 5 5 2" xfId="6422"/>
    <cellStyle name="Normal 14 5 6" xfId="6423"/>
    <cellStyle name="Normal 14 5 6 2" xfId="6424"/>
    <cellStyle name="Normal 14 5 7" xfId="6425"/>
    <cellStyle name="Normal 14 5 7 2" xfId="6426"/>
    <cellStyle name="Normal 14 5 8" xfId="6427"/>
    <cellStyle name="Normal 14 5 8 2" xfId="6428"/>
    <cellStyle name="Normal 14 5 9" xfId="6429"/>
    <cellStyle name="Normal 14 5 9 2" xfId="6430"/>
    <cellStyle name="Normal 14 6" xfId="6431"/>
    <cellStyle name="Normal 14 6 2" xfId="6432"/>
    <cellStyle name="Normal 14 7" xfId="6433"/>
    <cellStyle name="Normal 14 7 2" xfId="6434"/>
    <cellStyle name="Normal 14 8" xfId="6435"/>
    <cellStyle name="Normal 14 8 2" xfId="6436"/>
    <cellStyle name="Normal 14 9" xfId="6437"/>
    <cellStyle name="Normal 14 9 2" xfId="6438"/>
    <cellStyle name="Normal 15" xfId="321"/>
    <cellStyle name="Normal 15 10" xfId="6440"/>
    <cellStyle name="Normal 15 10 2" xfId="6441"/>
    <cellStyle name="Normal 15 11" xfId="6442"/>
    <cellStyle name="Normal 15 11 2" xfId="6443"/>
    <cellStyle name="Normal 15 12" xfId="6444"/>
    <cellStyle name="Normal 15 12 2" xfId="6445"/>
    <cellStyle name="Normal 15 13" xfId="6446"/>
    <cellStyle name="Normal 15 13 2" xfId="6447"/>
    <cellStyle name="Normal 15 14" xfId="6448"/>
    <cellStyle name="Normal 15 14 2" xfId="6449"/>
    <cellStyle name="Normal 15 15" xfId="6450"/>
    <cellStyle name="Normal 15 16" xfId="41793"/>
    <cellStyle name="Normal 15 17" xfId="6439"/>
    <cellStyle name="Normal 15 2" xfId="6451"/>
    <cellStyle name="Normal 15 2 2" xfId="41794"/>
    <cellStyle name="Normal 15 3" xfId="6452"/>
    <cellStyle name="Normal 15 4" xfId="6453"/>
    <cellStyle name="Normal 15 4 10" xfId="6454"/>
    <cellStyle name="Normal 15 4 10 2" xfId="6455"/>
    <cellStyle name="Normal 15 4 11" xfId="6456"/>
    <cellStyle name="Normal 15 4 11 2" xfId="6457"/>
    <cellStyle name="Normal 15 4 12" xfId="6458"/>
    <cellStyle name="Normal 15 4 2" xfId="6459"/>
    <cellStyle name="Normal 15 4 2 10" xfId="6460"/>
    <cellStyle name="Normal 15 4 2 10 2" xfId="6461"/>
    <cellStyle name="Normal 15 4 2 11" xfId="6462"/>
    <cellStyle name="Normal 15 4 2 2" xfId="6463"/>
    <cellStyle name="Normal 15 4 2 2 2" xfId="6464"/>
    <cellStyle name="Normal 15 4 2 3" xfId="6465"/>
    <cellStyle name="Normal 15 4 2 3 2" xfId="6466"/>
    <cellStyle name="Normal 15 4 2 4" xfId="6467"/>
    <cellStyle name="Normal 15 4 2 4 2" xfId="6468"/>
    <cellStyle name="Normal 15 4 2 5" xfId="6469"/>
    <cellStyle name="Normal 15 4 2 5 2" xfId="6470"/>
    <cellStyle name="Normal 15 4 2 6" xfId="6471"/>
    <cellStyle name="Normal 15 4 2 6 2" xfId="6472"/>
    <cellStyle name="Normal 15 4 2 7" xfId="6473"/>
    <cellStyle name="Normal 15 4 2 7 2" xfId="6474"/>
    <cellStyle name="Normal 15 4 2 8" xfId="6475"/>
    <cellStyle name="Normal 15 4 2 8 2" xfId="6476"/>
    <cellStyle name="Normal 15 4 2 9" xfId="6477"/>
    <cellStyle name="Normal 15 4 2 9 2" xfId="6478"/>
    <cellStyle name="Normal 15 4 3" xfId="6479"/>
    <cellStyle name="Normal 15 4 3 2" xfId="6480"/>
    <cellStyle name="Normal 15 4 4" xfId="6481"/>
    <cellStyle name="Normal 15 4 4 2" xfId="6482"/>
    <cellStyle name="Normal 15 4 5" xfId="6483"/>
    <cellStyle name="Normal 15 4 5 2" xfId="6484"/>
    <cellStyle name="Normal 15 4 6" xfId="6485"/>
    <cellStyle name="Normal 15 4 6 2" xfId="6486"/>
    <cellStyle name="Normal 15 4 7" xfId="6487"/>
    <cellStyle name="Normal 15 4 7 2" xfId="6488"/>
    <cellStyle name="Normal 15 4 8" xfId="6489"/>
    <cellStyle name="Normal 15 4 8 2" xfId="6490"/>
    <cellStyle name="Normal 15 4 9" xfId="6491"/>
    <cellStyle name="Normal 15 4 9 2" xfId="6492"/>
    <cellStyle name="Normal 15 5" xfId="6493"/>
    <cellStyle name="Normal 15 5 10" xfId="6494"/>
    <cellStyle name="Normal 15 5 10 2" xfId="6495"/>
    <cellStyle name="Normal 15 5 11" xfId="6496"/>
    <cellStyle name="Normal 15 5 2" xfId="6497"/>
    <cellStyle name="Normal 15 5 2 2" xfId="6498"/>
    <cellStyle name="Normal 15 5 3" xfId="6499"/>
    <cellStyle name="Normal 15 5 3 2" xfId="6500"/>
    <cellStyle name="Normal 15 5 4" xfId="6501"/>
    <cellStyle name="Normal 15 5 4 2" xfId="6502"/>
    <cellStyle name="Normal 15 5 5" xfId="6503"/>
    <cellStyle name="Normal 15 5 5 2" xfId="6504"/>
    <cellStyle name="Normal 15 5 6" xfId="6505"/>
    <cellStyle name="Normal 15 5 6 2" xfId="6506"/>
    <cellStyle name="Normal 15 5 7" xfId="6507"/>
    <cellStyle name="Normal 15 5 7 2" xfId="6508"/>
    <cellStyle name="Normal 15 5 8" xfId="6509"/>
    <cellStyle name="Normal 15 5 8 2" xfId="6510"/>
    <cellStyle name="Normal 15 5 9" xfId="6511"/>
    <cellStyle name="Normal 15 5 9 2" xfId="6512"/>
    <cellStyle name="Normal 15 6" xfId="6513"/>
    <cellStyle name="Normal 15 6 2" xfId="6514"/>
    <cellStyle name="Normal 15 7" xfId="6515"/>
    <cellStyle name="Normal 15 7 2" xfId="6516"/>
    <cellStyle name="Normal 15 8" xfId="6517"/>
    <cellStyle name="Normal 15 8 2" xfId="6518"/>
    <cellStyle name="Normal 15 9" xfId="6519"/>
    <cellStyle name="Normal 15 9 2" xfId="6520"/>
    <cellStyle name="Normal 16" xfId="190"/>
    <cellStyle name="Normal 16 10" xfId="6521"/>
    <cellStyle name="Normal 16 11" xfId="6522"/>
    <cellStyle name="Normal 16 12" xfId="6523"/>
    <cellStyle name="Normal 16 13" xfId="6524"/>
    <cellStyle name="Normal 16 14" xfId="6525"/>
    <cellStyle name="Normal 16 15" xfId="6526"/>
    <cellStyle name="Normal 16 2" xfId="6527"/>
    <cellStyle name="Normal 16 3" xfId="6528"/>
    <cellStyle name="Normal 16 4" xfId="6529"/>
    <cellStyle name="Normal 16 5" xfId="6530"/>
    <cellStyle name="Normal 16 6" xfId="6531"/>
    <cellStyle name="Normal 16 7" xfId="6532"/>
    <cellStyle name="Normal 16 8" xfId="6533"/>
    <cellStyle name="Normal 16 9" xfId="6534"/>
    <cellStyle name="Normal 17" xfId="6535"/>
    <cellStyle name="Normal 17 10" xfId="6536"/>
    <cellStyle name="Normal 17 10 2" xfId="6537"/>
    <cellStyle name="Normal 17 11" xfId="6538"/>
    <cellStyle name="Normal 17 11 2" xfId="6539"/>
    <cellStyle name="Normal 17 12" xfId="6540"/>
    <cellStyle name="Normal 17 12 2" xfId="6541"/>
    <cellStyle name="Normal 17 13" xfId="6542"/>
    <cellStyle name="Normal 17 14" xfId="41795"/>
    <cellStyle name="Normal 17 2" xfId="6543"/>
    <cellStyle name="Normal 17 2 10" xfId="6544"/>
    <cellStyle name="Normal 17 2 10 2" xfId="6545"/>
    <cellStyle name="Normal 17 2 11" xfId="6546"/>
    <cellStyle name="Normal 17 2 11 2" xfId="6547"/>
    <cellStyle name="Normal 17 2 12" xfId="6548"/>
    <cellStyle name="Normal 17 2 13" xfId="41796"/>
    <cellStyle name="Normal 17 2 2" xfId="6549"/>
    <cellStyle name="Normal 17 2 2 10" xfId="6550"/>
    <cellStyle name="Normal 17 2 2 10 2" xfId="6551"/>
    <cellStyle name="Normal 17 2 2 11" xfId="6552"/>
    <cellStyle name="Normal 17 2 2 2" xfId="6553"/>
    <cellStyle name="Normal 17 2 2 2 2" xfId="6554"/>
    <cellStyle name="Normal 17 2 2 3" xfId="6555"/>
    <cellStyle name="Normal 17 2 2 3 2" xfId="6556"/>
    <cellStyle name="Normal 17 2 2 4" xfId="6557"/>
    <cellStyle name="Normal 17 2 2 4 2" xfId="6558"/>
    <cellStyle name="Normal 17 2 2 5" xfId="6559"/>
    <cellStyle name="Normal 17 2 2 5 2" xfId="6560"/>
    <cellStyle name="Normal 17 2 2 6" xfId="6561"/>
    <cellStyle name="Normal 17 2 2 6 2" xfId="6562"/>
    <cellStyle name="Normal 17 2 2 7" xfId="6563"/>
    <cellStyle name="Normal 17 2 2 7 2" xfId="6564"/>
    <cellStyle name="Normal 17 2 2 8" xfId="6565"/>
    <cellStyle name="Normal 17 2 2 8 2" xfId="6566"/>
    <cellStyle name="Normal 17 2 2 9" xfId="6567"/>
    <cellStyle name="Normal 17 2 2 9 2" xfId="6568"/>
    <cellStyle name="Normal 17 2 3" xfId="6569"/>
    <cellStyle name="Normal 17 2 3 2" xfId="6570"/>
    <cellStyle name="Normal 17 2 4" xfId="6571"/>
    <cellStyle name="Normal 17 2 4 2" xfId="6572"/>
    <cellStyle name="Normal 17 2 5" xfId="6573"/>
    <cellStyle name="Normal 17 2 5 2" xfId="6574"/>
    <cellStyle name="Normal 17 2 6" xfId="6575"/>
    <cellStyle name="Normal 17 2 6 2" xfId="6576"/>
    <cellStyle name="Normal 17 2 7" xfId="6577"/>
    <cellStyle name="Normal 17 2 7 2" xfId="6578"/>
    <cellStyle name="Normal 17 2 8" xfId="6579"/>
    <cellStyle name="Normal 17 2 8 2" xfId="6580"/>
    <cellStyle name="Normal 17 2 9" xfId="6581"/>
    <cellStyle name="Normal 17 2 9 2" xfId="6582"/>
    <cellStyle name="Normal 17 3" xfId="6583"/>
    <cellStyle name="Normal 17 3 10" xfId="6584"/>
    <cellStyle name="Normal 17 3 10 2" xfId="6585"/>
    <cellStyle name="Normal 17 3 11" xfId="6586"/>
    <cellStyle name="Normal 17 3 2" xfId="6587"/>
    <cellStyle name="Normal 17 3 2 2" xfId="6588"/>
    <cellStyle name="Normal 17 3 3" xfId="6589"/>
    <cellStyle name="Normal 17 3 3 2" xfId="6590"/>
    <cellStyle name="Normal 17 3 4" xfId="6591"/>
    <cellStyle name="Normal 17 3 4 2" xfId="6592"/>
    <cellStyle name="Normal 17 3 5" xfId="6593"/>
    <cellStyle name="Normal 17 3 5 2" xfId="6594"/>
    <cellStyle name="Normal 17 3 6" xfId="6595"/>
    <cellStyle name="Normal 17 3 6 2" xfId="6596"/>
    <cellStyle name="Normal 17 3 7" xfId="6597"/>
    <cellStyle name="Normal 17 3 7 2" xfId="6598"/>
    <cellStyle name="Normal 17 3 8" xfId="6599"/>
    <cellStyle name="Normal 17 3 8 2" xfId="6600"/>
    <cellStyle name="Normal 17 3 9" xfId="6601"/>
    <cellStyle name="Normal 17 3 9 2" xfId="6602"/>
    <cellStyle name="Normal 17 4" xfId="6603"/>
    <cellStyle name="Normal 17 4 2" xfId="6604"/>
    <cellStyle name="Normal 17 5" xfId="6605"/>
    <cellStyle name="Normal 17 5 2" xfId="6606"/>
    <cellStyle name="Normal 17 6" xfId="6607"/>
    <cellStyle name="Normal 17 6 2" xfId="6608"/>
    <cellStyle name="Normal 17 7" xfId="6609"/>
    <cellStyle name="Normal 17 7 2" xfId="6610"/>
    <cellStyle name="Normal 17 8" xfId="6611"/>
    <cellStyle name="Normal 17 8 2" xfId="6612"/>
    <cellStyle name="Normal 17 9" xfId="6613"/>
    <cellStyle name="Normal 17 9 2" xfId="6614"/>
    <cellStyle name="Normal 18" xfId="191"/>
    <cellStyle name="Normal 18 10" xfId="6615"/>
    <cellStyle name="Normal 18 11" xfId="6616"/>
    <cellStyle name="Normal 18 12" xfId="6617"/>
    <cellStyle name="Normal 18 13" xfId="6618"/>
    <cellStyle name="Normal 18 14" xfId="6619"/>
    <cellStyle name="Normal 18 15" xfId="6620"/>
    <cellStyle name="Normal 18 16" xfId="6621"/>
    <cellStyle name="Normal 18 2" xfId="192"/>
    <cellStyle name="Normal 18 2 10" xfId="6622"/>
    <cellStyle name="Normal 18 2 11" xfId="6623"/>
    <cellStyle name="Normal 18 2 12" xfId="6624"/>
    <cellStyle name="Normal 18 2 13" xfId="6625"/>
    <cellStyle name="Normal 18 2 14" xfId="6626"/>
    <cellStyle name="Normal 18 2 2" xfId="6627"/>
    <cellStyle name="Normal 18 2 3" xfId="6628"/>
    <cellStyle name="Normal 18 2 4" xfId="6629"/>
    <cellStyle name="Normal 18 2 5" xfId="6630"/>
    <cellStyle name="Normal 18 2 6" xfId="6631"/>
    <cellStyle name="Normal 18 2 7" xfId="6632"/>
    <cellStyle name="Normal 18 2 8" xfId="6633"/>
    <cellStyle name="Normal 18 2 9" xfId="6634"/>
    <cellStyle name="Normal 18 3" xfId="6635"/>
    <cellStyle name="Normal 18 4" xfId="6636"/>
    <cellStyle name="Normal 18 5" xfId="6637"/>
    <cellStyle name="Normal 18 6" xfId="6638"/>
    <cellStyle name="Normal 18 7" xfId="6639"/>
    <cellStyle name="Normal 18 8" xfId="6640"/>
    <cellStyle name="Normal 18 9" xfId="6641"/>
    <cellStyle name="Normal 19" xfId="193"/>
    <cellStyle name="Normal 19 10" xfId="6642"/>
    <cellStyle name="Normal 19 11" xfId="6643"/>
    <cellStyle name="Normal 19 12" xfId="6644"/>
    <cellStyle name="Normal 19 13" xfId="6645"/>
    <cellStyle name="Normal 19 14" xfId="6646"/>
    <cellStyle name="Normal 19 15" xfId="6647"/>
    <cellStyle name="Normal 19 2" xfId="6648"/>
    <cellStyle name="Normal 19 3" xfId="6649"/>
    <cellStyle name="Normal 19 4" xfId="6650"/>
    <cellStyle name="Normal 19 5" xfId="6651"/>
    <cellStyle name="Normal 19 6" xfId="6652"/>
    <cellStyle name="Normal 19 7" xfId="6653"/>
    <cellStyle name="Normal 19 8" xfId="6654"/>
    <cellStyle name="Normal 19 9" xfId="6655"/>
    <cellStyle name="Normal 2" xfId="6"/>
    <cellStyle name="Normal 2 10" xfId="6656"/>
    <cellStyle name="Normal 2 10 10" xfId="6657"/>
    <cellStyle name="Normal 2 10 10 2" xfId="6658"/>
    <cellStyle name="Normal 2 10 11" xfId="6659"/>
    <cellStyle name="Normal 2 10 11 2" xfId="6660"/>
    <cellStyle name="Normal 2 10 12" xfId="6661"/>
    <cellStyle name="Normal 2 10 12 2" xfId="6662"/>
    <cellStyle name="Normal 2 10 13" xfId="6663"/>
    <cellStyle name="Normal 2 10 2" xfId="6664"/>
    <cellStyle name="Normal 2 10 2 10" xfId="6665"/>
    <cellStyle name="Normal 2 10 2 10 2" xfId="6666"/>
    <cellStyle name="Normal 2 10 2 11" xfId="6667"/>
    <cellStyle name="Normal 2 10 2 11 2" xfId="6668"/>
    <cellStyle name="Normal 2 10 2 12" xfId="6669"/>
    <cellStyle name="Normal 2 10 2 2" xfId="6670"/>
    <cellStyle name="Normal 2 10 2 2 10" xfId="6671"/>
    <cellStyle name="Normal 2 10 2 2 10 2" xfId="6672"/>
    <cellStyle name="Normal 2 10 2 2 11" xfId="6673"/>
    <cellStyle name="Normal 2 10 2 2 2" xfId="6674"/>
    <cellStyle name="Normal 2 10 2 2 2 2" xfId="6675"/>
    <cellStyle name="Normal 2 10 2 2 3" xfId="6676"/>
    <cellStyle name="Normal 2 10 2 2 3 2" xfId="6677"/>
    <cellStyle name="Normal 2 10 2 2 4" xfId="6678"/>
    <cellStyle name="Normal 2 10 2 2 4 2" xfId="6679"/>
    <cellStyle name="Normal 2 10 2 2 5" xfId="6680"/>
    <cellStyle name="Normal 2 10 2 2 5 2" xfId="6681"/>
    <cellStyle name="Normal 2 10 2 2 6" xfId="6682"/>
    <cellStyle name="Normal 2 10 2 2 6 2" xfId="6683"/>
    <cellStyle name="Normal 2 10 2 2 7" xfId="6684"/>
    <cellStyle name="Normal 2 10 2 2 7 2" xfId="6685"/>
    <cellStyle name="Normal 2 10 2 2 8" xfId="6686"/>
    <cellStyle name="Normal 2 10 2 2 8 2" xfId="6687"/>
    <cellStyle name="Normal 2 10 2 2 9" xfId="6688"/>
    <cellStyle name="Normal 2 10 2 2 9 2" xfId="6689"/>
    <cellStyle name="Normal 2 10 2 3" xfId="6690"/>
    <cellStyle name="Normal 2 10 2 3 2" xfId="6691"/>
    <cellStyle name="Normal 2 10 2 4" xfId="6692"/>
    <cellStyle name="Normal 2 10 2 4 2" xfId="6693"/>
    <cellStyle name="Normal 2 10 2 5" xfId="6694"/>
    <cellStyle name="Normal 2 10 2 5 2" xfId="6695"/>
    <cellStyle name="Normal 2 10 2 6" xfId="6696"/>
    <cellStyle name="Normal 2 10 2 6 2" xfId="6697"/>
    <cellStyle name="Normal 2 10 2 7" xfId="6698"/>
    <cellStyle name="Normal 2 10 2 7 2" xfId="6699"/>
    <cellStyle name="Normal 2 10 2 8" xfId="6700"/>
    <cellStyle name="Normal 2 10 2 8 2" xfId="6701"/>
    <cellStyle name="Normal 2 10 2 9" xfId="6702"/>
    <cellStyle name="Normal 2 10 2 9 2" xfId="6703"/>
    <cellStyle name="Normal 2 10 3" xfId="6704"/>
    <cellStyle name="Normal 2 10 3 10" xfId="6705"/>
    <cellStyle name="Normal 2 10 3 10 2" xfId="6706"/>
    <cellStyle name="Normal 2 10 3 11" xfId="6707"/>
    <cellStyle name="Normal 2 10 3 2" xfId="6708"/>
    <cellStyle name="Normal 2 10 3 2 2" xfId="6709"/>
    <cellStyle name="Normal 2 10 3 3" xfId="6710"/>
    <cellStyle name="Normal 2 10 3 3 2" xfId="6711"/>
    <cellStyle name="Normal 2 10 3 4" xfId="6712"/>
    <cellStyle name="Normal 2 10 3 4 2" xfId="6713"/>
    <cellStyle name="Normal 2 10 3 5" xfId="6714"/>
    <cellStyle name="Normal 2 10 3 5 2" xfId="6715"/>
    <cellStyle name="Normal 2 10 3 6" xfId="6716"/>
    <cellStyle name="Normal 2 10 3 6 2" xfId="6717"/>
    <cellStyle name="Normal 2 10 3 7" xfId="6718"/>
    <cellStyle name="Normal 2 10 3 7 2" xfId="6719"/>
    <cellStyle name="Normal 2 10 3 8" xfId="6720"/>
    <cellStyle name="Normal 2 10 3 8 2" xfId="6721"/>
    <cellStyle name="Normal 2 10 3 9" xfId="6722"/>
    <cellStyle name="Normal 2 10 3 9 2" xfId="6723"/>
    <cellStyle name="Normal 2 10 4" xfId="6724"/>
    <cellStyle name="Normal 2 10 4 2" xfId="6725"/>
    <cellStyle name="Normal 2 10 5" xfId="6726"/>
    <cellStyle name="Normal 2 10 5 2" xfId="6727"/>
    <cellStyle name="Normal 2 10 6" xfId="6728"/>
    <cellStyle name="Normal 2 10 6 2" xfId="6729"/>
    <cellStyle name="Normal 2 10 7" xfId="6730"/>
    <cellStyle name="Normal 2 10 7 2" xfId="6731"/>
    <cellStyle name="Normal 2 10 8" xfId="6732"/>
    <cellStyle name="Normal 2 10 8 2" xfId="6733"/>
    <cellStyle name="Normal 2 10 9" xfId="6734"/>
    <cellStyle name="Normal 2 10 9 2" xfId="6735"/>
    <cellStyle name="Normal 2 11" xfId="6736"/>
    <cellStyle name="Normal 2 11 2" xfId="6737"/>
    <cellStyle name="Normal 2 11 2 10" xfId="6738"/>
    <cellStyle name="Normal 2 11 2 10 2" xfId="6739"/>
    <cellStyle name="Normal 2 11 2 11" xfId="6740"/>
    <cellStyle name="Normal 2 11 2 11 2" xfId="6741"/>
    <cellStyle name="Normal 2 11 2 12" xfId="6742"/>
    <cellStyle name="Normal 2 11 2 12 2" xfId="6743"/>
    <cellStyle name="Normal 2 11 2 13" xfId="6744"/>
    <cellStyle name="Normal 2 11 2 13 2" xfId="6745"/>
    <cellStyle name="Normal 2 11 2 14" xfId="6746"/>
    <cellStyle name="Normal 2 11 2 14 2" xfId="6747"/>
    <cellStyle name="Normal 2 11 2 15" xfId="6748"/>
    <cellStyle name="Normal 2 11 2 15 2" xfId="6749"/>
    <cellStyle name="Normal 2 11 2 16" xfId="6750"/>
    <cellStyle name="Normal 2 11 2 16 2" xfId="6751"/>
    <cellStyle name="Normal 2 11 2 17" xfId="6752"/>
    <cellStyle name="Normal 2 11 2 2" xfId="6753"/>
    <cellStyle name="Normal 2 11 2 2 2" xfId="6754"/>
    <cellStyle name="Normal 2 11 2 2 2 10" xfId="6755"/>
    <cellStyle name="Normal 2 11 2 2 2 10 2" xfId="6756"/>
    <cellStyle name="Normal 2 11 2 2 2 11" xfId="6757"/>
    <cellStyle name="Normal 2 11 2 2 2 11 2" xfId="6758"/>
    <cellStyle name="Normal 2 11 2 2 2 12" xfId="6759"/>
    <cellStyle name="Normal 2 11 2 2 2 12 2" xfId="6760"/>
    <cellStyle name="Normal 2 11 2 2 2 13" xfId="6761"/>
    <cellStyle name="Normal 2 11 2 2 2 2" xfId="6762"/>
    <cellStyle name="Normal 2 11 2 2 2 2 10" xfId="6763"/>
    <cellStyle name="Normal 2 11 2 2 2 2 10 2" xfId="6764"/>
    <cellStyle name="Normal 2 11 2 2 2 2 11" xfId="6765"/>
    <cellStyle name="Normal 2 11 2 2 2 2 11 2" xfId="6766"/>
    <cellStyle name="Normal 2 11 2 2 2 2 12" xfId="6767"/>
    <cellStyle name="Normal 2 11 2 2 2 2 2" xfId="6768"/>
    <cellStyle name="Normal 2 11 2 2 2 2 2 10" xfId="6769"/>
    <cellStyle name="Normal 2 11 2 2 2 2 2 10 2" xfId="6770"/>
    <cellStyle name="Normal 2 11 2 2 2 2 2 11" xfId="6771"/>
    <cellStyle name="Normal 2 11 2 2 2 2 2 2" xfId="6772"/>
    <cellStyle name="Normal 2 11 2 2 2 2 2 2 2" xfId="6773"/>
    <cellStyle name="Normal 2 11 2 2 2 2 2 3" xfId="6774"/>
    <cellStyle name="Normal 2 11 2 2 2 2 2 3 2" xfId="6775"/>
    <cellStyle name="Normal 2 11 2 2 2 2 2 4" xfId="6776"/>
    <cellStyle name="Normal 2 11 2 2 2 2 2 4 2" xfId="6777"/>
    <cellStyle name="Normal 2 11 2 2 2 2 2 5" xfId="6778"/>
    <cellStyle name="Normal 2 11 2 2 2 2 2 5 2" xfId="6779"/>
    <cellStyle name="Normal 2 11 2 2 2 2 2 6" xfId="6780"/>
    <cellStyle name="Normal 2 11 2 2 2 2 2 6 2" xfId="6781"/>
    <cellStyle name="Normal 2 11 2 2 2 2 2 7" xfId="6782"/>
    <cellStyle name="Normal 2 11 2 2 2 2 2 7 2" xfId="6783"/>
    <cellStyle name="Normal 2 11 2 2 2 2 2 8" xfId="6784"/>
    <cellStyle name="Normal 2 11 2 2 2 2 2 8 2" xfId="6785"/>
    <cellStyle name="Normal 2 11 2 2 2 2 2 9" xfId="6786"/>
    <cellStyle name="Normal 2 11 2 2 2 2 2 9 2" xfId="6787"/>
    <cellStyle name="Normal 2 11 2 2 2 2 3" xfId="6788"/>
    <cellStyle name="Normal 2 11 2 2 2 2 3 2" xfId="6789"/>
    <cellStyle name="Normal 2 11 2 2 2 2 4" xfId="6790"/>
    <cellStyle name="Normal 2 11 2 2 2 2 4 2" xfId="6791"/>
    <cellStyle name="Normal 2 11 2 2 2 2 5" xfId="6792"/>
    <cellStyle name="Normal 2 11 2 2 2 2 5 2" xfId="6793"/>
    <cellStyle name="Normal 2 11 2 2 2 2 6" xfId="6794"/>
    <cellStyle name="Normal 2 11 2 2 2 2 6 2" xfId="6795"/>
    <cellStyle name="Normal 2 11 2 2 2 2 7" xfId="6796"/>
    <cellStyle name="Normal 2 11 2 2 2 2 7 2" xfId="6797"/>
    <cellStyle name="Normal 2 11 2 2 2 2 8" xfId="6798"/>
    <cellStyle name="Normal 2 11 2 2 2 2 8 2" xfId="6799"/>
    <cellStyle name="Normal 2 11 2 2 2 2 9" xfId="6800"/>
    <cellStyle name="Normal 2 11 2 2 2 2 9 2" xfId="6801"/>
    <cellStyle name="Normal 2 11 2 2 2 3" xfId="6802"/>
    <cellStyle name="Normal 2 11 2 2 2 3 10" xfId="6803"/>
    <cellStyle name="Normal 2 11 2 2 2 3 10 2" xfId="6804"/>
    <cellStyle name="Normal 2 11 2 2 2 3 11" xfId="6805"/>
    <cellStyle name="Normal 2 11 2 2 2 3 2" xfId="6806"/>
    <cellStyle name="Normal 2 11 2 2 2 3 2 2" xfId="6807"/>
    <cellStyle name="Normal 2 11 2 2 2 3 3" xfId="6808"/>
    <cellStyle name="Normal 2 11 2 2 2 3 3 2" xfId="6809"/>
    <cellStyle name="Normal 2 11 2 2 2 3 4" xfId="6810"/>
    <cellStyle name="Normal 2 11 2 2 2 3 4 2" xfId="6811"/>
    <cellStyle name="Normal 2 11 2 2 2 3 5" xfId="6812"/>
    <cellStyle name="Normal 2 11 2 2 2 3 5 2" xfId="6813"/>
    <cellStyle name="Normal 2 11 2 2 2 3 6" xfId="6814"/>
    <cellStyle name="Normal 2 11 2 2 2 3 6 2" xfId="6815"/>
    <cellStyle name="Normal 2 11 2 2 2 3 7" xfId="6816"/>
    <cellStyle name="Normal 2 11 2 2 2 3 7 2" xfId="6817"/>
    <cellStyle name="Normal 2 11 2 2 2 3 8" xfId="6818"/>
    <cellStyle name="Normal 2 11 2 2 2 3 8 2" xfId="6819"/>
    <cellStyle name="Normal 2 11 2 2 2 3 9" xfId="6820"/>
    <cellStyle name="Normal 2 11 2 2 2 3 9 2" xfId="6821"/>
    <cellStyle name="Normal 2 11 2 2 2 4" xfId="6822"/>
    <cellStyle name="Normal 2 11 2 2 2 4 2" xfId="6823"/>
    <cellStyle name="Normal 2 11 2 2 2 5" xfId="6824"/>
    <cellStyle name="Normal 2 11 2 2 2 5 2" xfId="6825"/>
    <cellStyle name="Normal 2 11 2 2 2 6" xfId="6826"/>
    <cellStyle name="Normal 2 11 2 2 2 6 2" xfId="6827"/>
    <cellStyle name="Normal 2 11 2 2 2 7" xfId="6828"/>
    <cellStyle name="Normal 2 11 2 2 2 7 2" xfId="6829"/>
    <cellStyle name="Normal 2 11 2 2 2 8" xfId="6830"/>
    <cellStyle name="Normal 2 11 2 2 2 8 2" xfId="6831"/>
    <cellStyle name="Normal 2 11 2 2 2 9" xfId="6832"/>
    <cellStyle name="Normal 2 11 2 2 2 9 2" xfId="6833"/>
    <cellStyle name="Normal 2 11 2 2 3" xfId="6834"/>
    <cellStyle name="Normal 2 11 2 2 3 10" xfId="6835"/>
    <cellStyle name="Normal 2 11 2 2 3 10 2" xfId="6836"/>
    <cellStyle name="Normal 2 11 2 2 3 11" xfId="6837"/>
    <cellStyle name="Normal 2 11 2 2 3 11 2" xfId="6838"/>
    <cellStyle name="Normal 2 11 2 2 3 12" xfId="6839"/>
    <cellStyle name="Normal 2 11 2 2 3 12 2" xfId="6840"/>
    <cellStyle name="Normal 2 11 2 2 3 13" xfId="6841"/>
    <cellStyle name="Normal 2 11 2 2 3 2" xfId="6842"/>
    <cellStyle name="Normal 2 11 2 2 3 2 10" xfId="6843"/>
    <cellStyle name="Normal 2 11 2 2 3 2 10 2" xfId="6844"/>
    <cellStyle name="Normal 2 11 2 2 3 2 11" xfId="6845"/>
    <cellStyle name="Normal 2 11 2 2 3 2 11 2" xfId="6846"/>
    <cellStyle name="Normal 2 11 2 2 3 2 12" xfId="6847"/>
    <cellStyle name="Normal 2 11 2 2 3 2 2" xfId="6848"/>
    <cellStyle name="Normal 2 11 2 2 3 2 2 10" xfId="6849"/>
    <cellStyle name="Normal 2 11 2 2 3 2 2 10 2" xfId="6850"/>
    <cellStyle name="Normal 2 11 2 2 3 2 2 11" xfId="6851"/>
    <cellStyle name="Normal 2 11 2 2 3 2 2 2" xfId="6852"/>
    <cellStyle name="Normal 2 11 2 2 3 2 2 2 2" xfId="6853"/>
    <cellStyle name="Normal 2 11 2 2 3 2 2 3" xfId="6854"/>
    <cellStyle name="Normal 2 11 2 2 3 2 2 3 2" xfId="6855"/>
    <cellStyle name="Normal 2 11 2 2 3 2 2 4" xfId="6856"/>
    <cellStyle name="Normal 2 11 2 2 3 2 2 4 2" xfId="6857"/>
    <cellStyle name="Normal 2 11 2 2 3 2 2 5" xfId="6858"/>
    <cellStyle name="Normal 2 11 2 2 3 2 2 5 2" xfId="6859"/>
    <cellStyle name="Normal 2 11 2 2 3 2 2 6" xfId="6860"/>
    <cellStyle name="Normal 2 11 2 2 3 2 2 6 2" xfId="6861"/>
    <cellStyle name="Normal 2 11 2 2 3 2 2 7" xfId="6862"/>
    <cellStyle name="Normal 2 11 2 2 3 2 2 7 2" xfId="6863"/>
    <cellStyle name="Normal 2 11 2 2 3 2 2 8" xfId="6864"/>
    <cellStyle name="Normal 2 11 2 2 3 2 2 8 2" xfId="6865"/>
    <cellStyle name="Normal 2 11 2 2 3 2 2 9" xfId="6866"/>
    <cellStyle name="Normal 2 11 2 2 3 2 2 9 2" xfId="6867"/>
    <cellStyle name="Normal 2 11 2 2 3 2 3" xfId="6868"/>
    <cellStyle name="Normal 2 11 2 2 3 2 3 2" xfId="6869"/>
    <cellStyle name="Normal 2 11 2 2 3 2 4" xfId="6870"/>
    <cellStyle name="Normal 2 11 2 2 3 2 4 2" xfId="6871"/>
    <cellStyle name="Normal 2 11 2 2 3 2 5" xfId="6872"/>
    <cellStyle name="Normal 2 11 2 2 3 2 5 2" xfId="6873"/>
    <cellStyle name="Normal 2 11 2 2 3 2 6" xfId="6874"/>
    <cellStyle name="Normal 2 11 2 2 3 2 6 2" xfId="6875"/>
    <cellStyle name="Normal 2 11 2 2 3 2 7" xfId="6876"/>
    <cellStyle name="Normal 2 11 2 2 3 2 7 2" xfId="6877"/>
    <cellStyle name="Normal 2 11 2 2 3 2 8" xfId="6878"/>
    <cellStyle name="Normal 2 11 2 2 3 2 8 2" xfId="6879"/>
    <cellStyle name="Normal 2 11 2 2 3 2 9" xfId="6880"/>
    <cellStyle name="Normal 2 11 2 2 3 2 9 2" xfId="6881"/>
    <cellStyle name="Normal 2 11 2 2 3 3" xfId="6882"/>
    <cellStyle name="Normal 2 11 2 2 3 3 10" xfId="6883"/>
    <cellStyle name="Normal 2 11 2 2 3 3 10 2" xfId="6884"/>
    <cellStyle name="Normal 2 11 2 2 3 3 11" xfId="6885"/>
    <cellStyle name="Normal 2 11 2 2 3 3 2" xfId="6886"/>
    <cellStyle name="Normal 2 11 2 2 3 3 2 2" xfId="6887"/>
    <cellStyle name="Normal 2 11 2 2 3 3 3" xfId="6888"/>
    <cellStyle name="Normal 2 11 2 2 3 3 3 2" xfId="6889"/>
    <cellStyle name="Normal 2 11 2 2 3 3 4" xfId="6890"/>
    <cellStyle name="Normal 2 11 2 2 3 3 4 2" xfId="6891"/>
    <cellStyle name="Normal 2 11 2 2 3 3 5" xfId="6892"/>
    <cellStyle name="Normal 2 11 2 2 3 3 5 2" xfId="6893"/>
    <cellStyle name="Normal 2 11 2 2 3 3 6" xfId="6894"/>
    <cellStyle name="Normal 2 11 2 2 3 3 6 2" xfId="6895"/>
    <cellStyle name="Normal 2 11 2 2 3 3 7" xfId="6896"/>
    <cellStyle name="Normal 2 11 2 2 3 3 7 2" xfId="6897"/>
    <cellStyle name="Normal 2 11 2 2 3 3 8" xfId="6898"/>
    <cellStyle name="Normal 2 11 2 2 3 3 8 2" xfId="6899"/>
    <cellStyle name="Normal 2 11 2 2 3 3 9" xfId="6900"/>
    <cellStyle name="Normal 2 11 2 2 3 3 9 2" xfId="6901"/>
    <cellStyle name="Normal 2 11 2 2 3 4" xfId="6902"/>
    <cellStyle name="Normal 2 11 2 2 3 4 2" xfId="6903"/>
    <cellStyle name="Normal 2 11 2 2 3 5" xfId="6904"/>
    <cellStyle name="Normal 2 11 2 2 3 5 2" xfId="6905"/>
    <cellStyle name="Normal 2 11 2 2 3 6" xfId="6906"/>
    <cellStyle name="Normal 2 11 2 2 3 6 2" xfId="6907"/>
    <cellStyle name="Normal 2 11 2 2 3 7" xfId="6908"/>
    <cellStyle name="Normal 2 11 2 2 3 7 2" xfId="6909"/>
    <cellStyle name="Normal 2 11 2 2 3 8" xfId="6910"/>
    <cellStyle name="Normal 2 11 2 2 3 8 2" xfId="6911"/>
    <cellStyle name="Normal 2 11 2 2 3 9" xfId="6912"/>
    <cellStyle name="Normal 2 11 2 2 3 9 2" xfId="6913"/>
    <cellStyle name="Normal 2 11 2 2 4" xfId="6914"/>
    <cellStyle name="Normal 2 11 2 2 4 10" xfId="6915"/>
    <cellStyle name="Normal 2 11 2 2 4 10 2" xfId="6916"/>
    <cellStyle name="Normal 2 11 2 2 4 11" xfId="6917"/>
    <cellStyle name="Normal 2 11 2 2 4 11 2" xfId="6918"/>
    <cellStyle name="Normal 2 11 2 2 4 12" xfId="6919"/>
    <cellStyle name="Normal 2 11 2 2 4 12 2" xfId="6920"/>
    <cellStyle name="Normal 2 11 2 2 4 13" xfId="6921"/>
    <cellStyle name="Normal 2 11 2 2 4 2" xfId="6922"/>
    <cellStyle name="Normal 2 11 2 2 4 2 10" xfId="6923"/>
    <cellStyle name="Normal 2 11 2 2 4 2 10 2" xfId="6924"/>
    <cellStyle name="Normal 2 11 2 2 4 2 11" xfId="6925"/>
    <cellStyle name="Normal 2 11 2 2 4 2 11 2" xfId="6926"/>
    <cellStyle name="Normal 2 11 2 2 4 2 12" xfId="6927"/>
    <cellStyle name="Normal 2 11 2 2 4 2 2" xfId="6928"/>
    <cellStyle name="Normal 2 11 2 2 4 2 2 10" xfId="6929"/>
    <cellStyle name="Normal 2 11 2 2 4 2 2 10 2" xfId="6930"/>
    <cellStyle name="Normal 2 11 2 2 4 2 2 11" xfId="6931"/>
    <cellStyle name="Normal 2 11 2 2 4 2 2 2" xfId="6932"/>
    <cellStyle name="Normal 2 11 2 2 4 2 2 2 2" xfId="6933"/>
    <cellStyle name="Normal 2 11 2 2 4 2 2 3" xfId="6934"/>
    <cellStyle name="Normal 2 11 2 2 4 2 2 3 2" xfId="6935"/>
    <cellStyle name="Normal 2 11 2 2 4 2 2 4" xfId="6936"/>
    <cellStyle name="Normal 2 11 2 2 4 2 2 4 2" xfId="6937"/>
    <cellStyle name="Normal 2 11 2 2 4 2 2 5" xfId="6938"/>
    <cellStyle name="Normal 2 11 2 2 4 2 2 5 2" xfId="6939"/>
    <cellStyle name="Normal 2 11 2 2 4 2 2 6" xfId="6940"/>
    <cellStyle name="Normal 2 11 2 2 4 2 2 6 2" xfId="6941"/>
    <cellStyle name="Normal 2 11 2 2 4 2 2 7" xfId="6942"/>
    <cellStyle name="Normal 2 11 2 2 4 2 2 7 2" xfId="6943"/>
    <cellStyle name="Normal 2 11 2 2 4 2 2 8" xfId="6944"/>
    <cellStyle name="Normal 2 11 2 2 4 2 2 8 2" xfId="6945"/>
    <cellStyle name="Normal 2 11 2 2 4 2 2 9" xfId="6946"/>
    <cellStyle name="Normal 2 11 2 2 4 2 2 9 2" xfId="6947"/>
    <cellStyle name="Normal 2 11 2 2 4 2 3" xfId="6948"/>
    <cellStyle name="Normal 2 11 2 2 4 2 3 2" xfId="6949"/>
    <cellStyle name="Normal 2 11 2 2 4 2 4" xfId="6950"/>
    <cellStyle name="Normal 2 11 2 2 4 2 4 2" xfId="6951"/>
    <cellStyle name="Normal 2 11 2 2 4 2 5" xfId="6952"/>
    <cellStyle name="Normal 2 11 2 2 4 2 5 2" xfId="6953"/>
    <cellStyle name="Normal 2 11 2 2 4 2 6" xfId="6954"/>
    <cellStyle name="Normal 2 11 2 2 4 2 6 2" xfId="6955"/>
    <cellStyle name="Normal 2 11 2 2 4 2 7" xfId="6956"/>
    <cellStyle name="Normal 2 11 2 2 4 2 7 2" xfId="6957"/>
    <cellStyle name="Normal 2 11 2 2 4 2 8" xfId="6958"/>
    <cellStyle name="Normal 2 11 2 2 4 2 8 2" xfId="6959"/>
    <cellStyle name="Normal 2 11 2 2 4 2 9" xfId="6960"/>
    <cellStyle name="Normal 2 11 2 2 4 2 9 2" xfId="6961"/>
    <cellStyle name="Normal 2 11 2 2 4 3" xfId="6962"/>
    <cellStyle name="Normal 2 11 2 2 4 3 10" xfId="6963"/>
    <cellStyle name="Normal 2 11 2 2 4 3 10 2" xfId="6964"/>
    <cellStyle name="Normal 2 11 2 2 4 3 11" xfId="6965"/>
    <cellStyle name="Normal 2 11 2 2 4 3 2" xfId="6966"/>
    <cellStyle name="Normal 2 11 2 2 4 3 2 2" xfId="6967"/>
    <cellStyle name="Normal 2 11 2 2 4 3 3" xfId="6968"/>
    <cellStyle name="Normal 2 11 2 2 4 3 3 2" xfId="6969"/>
    <cellStyle name="Normal 2 11 2 2 4 3 4" xfId="6970"/>
    <cellStyle name="Normal 2 11 2 2 4 3 4 2" xfId="6971"/>
    <cellStyle name="Normal 2 11 2 2 4 3 5" xfId="6972"/>
    <cellStyle name="Normal 2 11 2 2 4 3 5 2" xfId="6973"/>
    <cellStyle name="Normal 2 11 2 2 4 3 6" xfId="6974"/>
    <cellStyle name="Normal 2 11 2 2 4 3 6 2" xfId="6975"/>
    <cellStyle name="Normal 2 11 2 2 4 3 7" xfId="6976"/>
    <cellStyle name="Normal 2 11 2 2 4 3 7 2" xfId="6977"/>
    <cellStyle name="Normal 2 11 2 2 4 3 8" xfId="6978"/>
    <cellStyle name="Normal 2 11 2 2 4 3 8 2" xfId="6979"/>
    <cellStyle name="Normal 2 11 2 2 4 3 9" xfId="6980"/>
    <cellStyle name="Normal 2 11 2 2 4 3 9 2" xfId="6981"/>
    <cellStyle name="Normal 2 11 2 2 4 4" xfId="6982"/>
    <cellStyle name="Normal 2 11 2 2 4 4 2" xfId="6983"/>
    <cellStyle name="Normal 2 11 2 2 4 5" xfId="6984"/>
    <cellStyle name="Normal 2 11 2 2 4 5 2" xfId="6985"/>
    <cellStyle name="Normal 2 11 2 2 4 6" xfId="6986"/>
    <cellStyle name="Normal 2 11 2 2 4 6 2" xfId="6987"/>
    <cellStyle name="Normal 2 11 2 2 4 7" xfId="6988"/>
    <cellStyle name="Normal 2 11 2 2 4 7 2" xfId="6989"/>
    <cellStyle name="Normal 2 11 2 2 4 8" xfId="6990"/>
    <cellStyle name="Normal 2 11 2 2 4 8 2" xfId="6991"/>
    <cellStyle name="Normal 2 11 2 2 4 9" xfId="6992"/>
    <cellStyle name="Normal 2 11 2 2 4 9 2" xfId="6993"/>
    <cellStyle name="Normal 2 11 2 2 5" xfId="6994"/>
    <cellStyle name="Normal 2 11 2 2 5 10" xfId="6995"/>
    <cellStyle name="Normal 2 11 2 2 5 10 2" xfId="6996"/>
    <cellStyle name="Normal 2 11 2 2 5 11" xfId="6997"/>
    <cellStyle name="Normal 2 11 2 2 5 11 2" xfId="6998"/>
    <cellStyle name="Normal 2 11 2 2 5 12" xfId="6999"/>
    <cellStyle name="Normal 2 11 2 2 5 12 2" xfId="7000"/>
    <cellStyle name="Normal 2 11 2 2 5 13" xfId="7001"/>
    <cellStyle name="Normal 2 11 2 2 5 2" xfId="7002"/>
    <cellStyle name="Normal 2 11 2 2 5 2 10" xfId="7003"/>
    <cellStyle name="Normal 2 11 2 2 5 2 10 2" xfId="7004"/>
    <cellStyle name="Normal 2 11 2 2 5 2 11" xfId="7005"/>
    <cellStyle name="Normal 2 11 2 2 5 2 11 2" xfId="7006"/>
    <cellStyle name="Normal 2 11 2 2 5 2 12" xfId="7007"/>
    <cellStyle name="Normal 2 11 2 2 5 2 2" xfId="7008"/>
    <cellStyle name="Normal 2 11 2 2 5 2 2 10" xfId="7009"/>
    <cellStyle name="Normal 2 11 2 2 5 2 2 10 2" xfId="7010"/>
    <cellStyle name="Normal 2 11 2 2 5 2 2 11" xfId="7011"/>
    <cellStyle name="Normal 2 11 2 2 5 2 2 2" xfId="7012"/>
    <cellStyle name="Normal 2 11 2 2 5 2 2 2 2" xfId="7013"/>
    <cellStyle name="Normal 2 11 2 2 5 2 2 3" xfId="7014"/>
    <cellStyle name="Normal 2 11 2 2 5 2 2 3 2" xfId="7015"/>
    <cellStyle name="Normal 2 11 2 2 5 2 2 4" xfId="7016"/>
    <cellStyle name="Normal 2 11 2 2 5 2 2 4 2" xfId="7017"/>
    <cellStyle name="Normal 2 11 2 2 5 2 2 5" xfId="7018"/>
    <cellStyle name="Normal 2 11 2 2 5 2 2 5 2" xfId="7019"/>
    <cellStyle name="Normal 2 11 2 2 5 2 2 6" xfId="7020"/>
    <cellStyle name="Normal 2 11 2 2 5 2 2 6 2" xfId="7021"/>
    <cellStyle name="Normal 2 11 2 2 5 2 2 7" xfId="7022"/>
    <cellStyle name="Normal 2 11 2 2 5 2 2 7 2" xfId="7023"/>
    <cellStyle name="Normal 2 11 2 2 5 2 2 8" xfId="7024"/>
    <cellStyle name="Normal 2 11 2 2 5 2 2 8 2" xfId="7025"/>
    <cellStyle name="Normal 2 11 2 2 5 2 2 9" xfId="7026"/>
    <cellStyle name="Normal 2 11 2 2 5 2 2 9 2" xfId="7027"/>
    <cellStyle name="Normal 2 11 2 2 5 2 3" xfId="7028"/>
    <cellStyle name="Normal 2 11 2 2 5 2 3 2" xfId="7029"/>
    <cellStyle name="Normal 2 11 2 2 5 2 4" xfId="7030"/>
    <cellStyle name="Normal 2 11 2 2 5 2 4 2" xfId="7031"/>
    <cellStyle name="Normal 2 11 2 2 5 2 5" xfId="7032"/>
    <cellStyle name="Normal 2 11 2 2 5 2 5 2" xfId="7033"/>
    <cellStyle name="Normal 2 11 2 2 5 2 6" xfId="7034"/>
    <cellStyle name="Normal 2 11 2 2 5 2 6 2" xfId="7035"/>
    <cellStyle name="Normal 2 11 2 2 5 2 7" xfId="7036"/>
    <cellStyle name="Normal 2 11 2 2 5 2 7 2" xfId="7037"/>
    <cellStyle name="Normal 2 11 2 2 5 2 8" xfId="7038"/>
    <cellStyle name="Normal 2 11 2 2 5 2 8 2" xfId="7039"/>
    <cellStyle name="Normal 2 11 2 2 5 2 9" xfId="7040"/>
    <cellStyle name="Normal 2 11 2 2 5 2 9 2" xfId="7041"/>
    <cellStyle name="Normal 2 11 2 2 5 3" xfId="7042"/>
    <cellStyle name="Normal 2 11 2 2 5 3 10" xfId="7043"/>
    <cellStyle name="Normal 2 11 2 2 5 3 10 2" xfId="7044"/>
    <cellStyle name="Normal 2 11 2 2 5 3 11" xfId="7045"/>
    <cellStyle name="Normal 2 11 2 2 5 3 2" xfId="7046"/>
    <cellStyle name="Normal 2 11 2 2 5 3 2 2" xfId="7047"/>
    <cellStyle name="Normal 2 11 2 2 5 3 3" xfId="7048"/>
    <cellStyle name="Normal 2 11 2 2 5 3 3 2" xfId="7049"/>
    <cellStyle name="Normal 2 11 2 2 5 3 4" xfId="7050"/>
    <cellStyle name="Normal 2 11 2 2 5 3 4 2" xfId="7051"/>
    <cellStyle name="Normal 2 11 2 2 5 3 5" xfId="7052"/>
    <cellStyle name="Normal 2 11 2 2 5 3 5 2" xfId="7053"/>
    <cellStyle name="Normal 2 11 2 2 5 3 6" xfId="7054"/>
    <cellStyle name="Normal 2 11 2 2 5 3 6 2" xfId="7055"/>
    <cellStyle name="Normal 2 11 2 2 5 3 7" xfId="7056"/>
    <cellStyle name="Normal 2 11 2 2 5 3 7 2" xfId="7057"/>
    <cellStyle name="Normal 2 11 2 2 5 3 8" xfId="7058"/>
    <cellStyle name="Normal 2 11 2 2 5 3 8 2" xfId="7059"/>
    <cellStyle name="Normal 2 11 2 2 5 3 9" xfId="7060"/>
    <cellStyle name="Normal 2 11 2 2 5 3 9 2" xfId="7061"/>
    <cellStyle name="Normal 2 11 2 2 5 4" xfId="7062"/>
    <cellStyle name="Normal 2 11 2 2 5 4 2" xfId="7063"/>
    <cellStyle name="Normal 2 11 2 2 5 5" xfId="7064"/>
    <cellStyle name="Normal 2 11 2 2 5 5 2" xfId="7065"/>
    <cellStyle name="Normal 2 11 2 2 5 6" xfId="7066"/>
    <cellStyle name="Normal 2 11 2 2 5 6 2" xfId="7067"/>
    <cellStyle name="Normal 2 11 2 2 5 7" xfId="7068"/>
    <cellStyle name="Normal 2 11 2 2 5 7 2" xfId="7069"/>
    <cellStyle name="Normal 2 11 2 2 5 8" xfId="7070"/>
    <cellStyle name="Normal 2 11 2 2 5 8 2" xfId="7071"/>
    <cellStyle name="Normal 2 11 2 2 5 9" xfId="7072"/>
    <cellStyle name="Normal 2 11 2 2 5 9 2" xfId="7073"/>
    <cellStyle name="Normal 2 11 2 2 6" xfId="41797"/>
    <cellStyle name="Normal 2 11 2 3" xfId="7074"/>
    <cellStyle name="Normal 2 11 2 3 2" xfId="41798"/>
    <cellStyle name="Normal 2 11 2 4" xfId="7075"/>
    <cellStyle name="Normal 2 11 2 4 2" xfId="41799"/>
    <cellStyle name="Normal 2 11 2 5" xfId="7076"/>
    <cellStyle name="Normal 2 11 2 5 2" xfId="41800"/>
    <cellStyle name="Normal 2 11 2 6" xfId="7077"/>
    <cellStyle name="Normal 2 11 2 6 10" xfId="7078"/>
    <cellStyle name="Normal 2 11 2 6 10 2" xfId="7079"/>
    <cellStyle name="Normal 2 11 2 6 11" xfId="7080"/>
    <cellStyle name="Normal 2 11 2 6 11 2" xfId="7081"/>
    <cellStyle name="Normal 2 11 2 6 12" xfId="7082"/>
    <cellStyle name="Normal 2 11 2 6 2" xfId="7083"/>
    <cellStyle name="Normal 2 11 2 6 2 10" xfId="7084"/>
    <cellStyle name="Normal 2 11 2 6 2 10 2" xfId="7085"/>
    <cellStyle name="Normal 2 11 2 6 2 11" xfId="7086"/>
    <cellStyle name="Normal 2 11 2 6 2 2" xfId="7087"/>
    <cellStyle name="Normal 2 11 2 6 2 2 2" xfId="7088"/>
    <cellStyle name="Normal 2 11 2 6 2 3" xfId="7089"/>
    <cellStyle name="Normal 2 11 2 6 2 3 2" xfId="7090"/>
    <cellStyle name="Normal 2 11 2 6 2 4" xfId="7091"/>
    <cellStyle name="Normal 2 11 2 6 2 4 2" xfId="7092"/>
    <cellStyle name="Normal 2 11 2 6 2 5" xfId="7093"/>
    <cellStyle name="Normal 2 11 2 6 2 5 2" xfId="7094"/>
    <cellStyle name="Normal 2 11 2 6 2 6" xfId="7095"/>
    <cellStyle name="Normal 2 11 2 6 2 6 2" xfId="7096"/>
    <cellStyle name="Normal 2 11 2 6 2 7" xfId="7097"/>
    <cellStyle name="Normal 2 11 2 6 2 7 2" xfId="7098"/>
    <cellStyle name="Normal 2 11 2 6 2 8" xfId="7099"/>
    <cellStyle name="Normal 2 11 2 6 2 8 2" xfId="7100"/>
    <cellStyle name="Normal 2 11 2 6 2 9" xfId="7101"/>
    <cellStyle name="Normal 2 11 2 6 2 9 2" xfId="7102"/>
    <cellStyle name="Normal 2 11 2 6 3" xfId="7103"/>
    <cellStyle name="Normal 2 11 2 6 3 2" xfId="7104"/>
    <cellStyle name="Normal 2 11 2 6 4" xfId="7105"/>
    <cellStyle name="Normal 2 11 2 6 4 2" xfId="7106"/>
    <cellStyle name="Normal 2 11 2 6 5" xfId="7107"/>
    <cellStyle name="Normal 2 11 2 6 5 2" xfId="7108"/>
    <cellStyle name="Normal 2 11 2 6 6" xfId="7109"/>
    <cellStyle name="Normal 2 11 2 6 6 2" xfId="7110"/>
    <cellStyle name="Normal 2 11 2 6 7" xfId="7111"/>
    <cellStyle name="Normal 2 11 2 6 7 2" xfId="7112"/>
    <cellStyle name="Normal 2 11 2 6 8" xfId="7113"/>
    <cellStyle name="Normal 2 11 2 6 8 2" xfId="7114"/>
    <cellStyle name="Normal 2 11 2 6 9" xfId="7115"/>
    <cellStyle name="Normal 2 11 2 6 9 2" xfId="7116"/>
    <cellStyle name="Normal 2 11 2 7" xfId="7117"/>
    <cellStyle name="Normal 2 11 2 7 10" xfId="7118"/>
    <cellStyle name="Normal 2 11 2 7 10 2" xfId="7119"/>
    <cellStyle name="Normal 2 11 2 7 11" xfId="7120"/>
    <cellStyle name="Normal 2 11 2 7 2" xfId="7121"/>
    <cellStyle name="Normal 2 11 2 7 2 2" xfId="7122"/>
    <cellStyle name="Normal 2 11 2 7 3" xfId="7123"/>
    <cellStyle name="Normal 2 11 2 7 3 2" xfId="7124"/>
    <cellStyle name="Normal 2 11 2 7 4" xfId="7125"/>
    <cellStyle name="Normal 2 11 2 7 4 2" xfId="7126"/>
    <cellStyle name="Normal 2 11 2 7 5" xfId="7127"/>
    <cellStyle name="Normal 2 11 2 7 5 2" xfId="7128"/>
    <cellStyle name="Normal 2 11 2 7 6" xfId="7129"/>
    <cellStyle name="Normal 2 11 2 7 6 2" xfId="7130"/>
    <cellStyle name="Normal 2 11 2 7 7" xfId="7131"/>
    <cellStyle name="Normal 2 11 2 7 7 2" xfId="7132"/>
    <cellStyle name="Normal 2 11 2 7 8" xfId="7133"/>
    <cellStyle name="Normal 2 11 2 7 8 2" xfId="7134"/>
    <cellStyle name="Normal 2 11 2 7 9" xfId="7135"/>
    <cellStyle name="Normal 2 11 2 7 9 2" xfId="7136"/>
    <cellStyle name="Normal 2 11 2 8" xfId="7137"/>
    <cellStyle name="Normal 2 11 2 8 2" xfId="7138"/>
    <cellStyle name="Normal 2 11 2 9" xfId="7139"/>
    <cellStyle name="Normal 2 11 2 9 2" xfId="7140"/>
    <cellStyle name="Normal 2 11 3" xfId="7141"/>
    <cellStyle name="Normal 2 11 3 10" xfId="7142"/>
    <cellStyle name="Normal 2 11 3 10 2" xfId="7143"/>
    <cellStyle name="Normal 2 11 3 11" xfId="7144"/>
    <cellStyle name="Normal 2 11 3 11 2" xfId="7145"/>
    <cellStyle name="Normal 2 11 3 12" xfId="7146"/>
    <cellStyle name="Normal 2 11 3 12 2" xfId="7147"/>
    <cellStyle name="Normal 2 11 3 13" xfId="7148"/>
    <cellStyle name="Normal 2 11 3 2" xfId="7149"/>
    <cellStyle name="Normal 2 11 3 2 10" xfId="7150"/>
    <cellStyle name="Normal 2 11 3 2 10 2" xfId="7151"/>
    <cellStyle name="Normal 2 11 3 2 11" xfId="7152"/>
    <cellStyle name="Normal 2 11 3 2 11 2" xfId="7153"/>
    <cellStyle name="Normal 2 11 3 2 12" xfId="7154"/>
    <cellStyle name="Normal 2 11 3 2 2" xfId="7155"/>
    <cellStyle name="Normal 2 11 3 2 2 10" xfId="7156"/>
    <cellStyle name="Normal 2 11 3 2 2 10 2" xfId="7157"/>
    <cellStyle name="Normal 2 11 3 2 2 11" xfId="7158"/>
    <cellStyle name="Normal 2 11 3 2 2 2" xfId="7159"/>
    <cellStyle name="Normal 2 11 3 2 2 2 2" xfId="7160"/>
    <cellStyle name="Normal 2 11 3 2 2 3" xfId="7161"/>
    <cellStyle name="Normal 2 11 3 2 2 3 2" xfId="7162"/>
    <cellStyle name="Normal 2 11 3 2 2 4" xfId="7163"/>
    <cellStyle name="Normal 2 11 3 2 2 4 2" xfId="7164"/>
    <cellStyle name="Normal 2 11 3 2 2 5" xfId="7165"/>
    <cellStyle name="Normal 2 11 3 2 2 5 2" xfId="7166"/>
    <cellStyle name="Normal 2 11 3 2 2 6" xfId="7167"/>
    <cellStyle name="Normal 2 11 3 2 2 6 2" xfId="7168"/>
    <cellStyle name="Normal 2 11 3 2 2 7" xfId="7169"/>
    <cellStyle name="Normal 2 11 3 2 2 7 2" xfId="7170"/>
    <cellStyle name="Normal 2 11 3 2 2 8" xfId="7171"/>
    <cellStyle name="Normal 2 11 3 2 2 8 2" xfId="7172"/>
    <cellStyle name="Normal 2 11 3 2 2 9" xfId="7173"/>
    <cellStyle name="Normal 2 11 3 2 2 9 2" xfId="7174"/>
    <cellStyle name="Normal 2 11 3 2 3" xfId="7175"/>
    <cellStyle name="Normal 2 11 3 2 3 2" xfId="7176"/>
    <cellStyle name="Normal 2 11 3 2 4" xfId="7177"/>
    <cellStyle name="Normal 2 11 3 2 4 2" xfId="7178"/>
    <cellStyle name="Normal 2 11 3 2 5" xfId="7179"/>
    <cellStyle name="Normal 2 11 3 2 5 2" xfId="7180"/>
    <cellStyle name="Normal 2 11 3 2 6" xfId="7181"/>
    <cellStyle name="Normal 2 11 3 2 6 2" xfId="7182"/>
    <cellStyle name="Normal 2 11 3 2 7" xfId="7183"/>
    <cellStyle name="Normal 2 11 3 2 7 2" xfId="7184"/>
    <cellStyle name="Normal 2 11 3 2 8" xfId="7185"/>
    <cellStyle name="Normal 2 11 3 2 8 2" xfId="7186"/>
    <cellStyle name="Normal 2 11 3 2 9" xfId="7187"/>
    <cellStyle name="Normal 2 11 3 2 9 2" xfId="7188"/>
    <cellStyle name="Normal 2 11 3 3" xfId="7189"/>
    <cellStyle name="Normal 2 11 3 3 10" xfId="7190"/>
    <cellStyle name="Normal 2 11 3 3 10 2" xfId="7191"/>
    <cellStyle name="Normal 2 11 3 3 11" xfId="7192"/>
    <cellStyle name="Normal 2 11 3 3 2" xfId="7193"/>
    <cellStyle name="Normal 2 11 3 3 2 2" xfId="7194"/>
    <cellStyle name="Normal 2 11 3 3 3" xfId="7195"/>
    <cellStyle name="Normal 2 11 3 3 3 2" xfId="7196"/>
    <cellStyle name="Normal 2 11 3 3 4" xfId="7197"/>
    <cellStyle name="Normal 2 11 3 3 4 2" xfId="7198"/>
    <cellStyle name="Normal 2 11 3 3 5" xfId="7199"/>
    <cellStyle name="Normal 2 11 3 3 5 2" xfId="7200"/>
    <cellStyle name="Normal 2 11 3 3 6" xfId="7201"/>
    <cellStyle name="Normal 2 11 3 3 6 2" xfId="7202"/>
    <cellStyle name="Normal 2 11 3 3 7" xfId="7203"/>
    <cellStyle name="Normal 2 11 3 3 7 2" xfId="7204"/>
    <cellStyle name="Normal 2 11 3 3 8" xfId="7205"/>
    <cellStyle name="Normal 2 11 3 3 8 2" xfId="7206"/>
    <cellStyle name="Normal 2 11 3 3 9" xfId="7207"/>
    <cellStyle name="Normal 2 11 3 3 9 2" xfId="7208"/>
    <cellStyle name="Normal 2 11 3 4" xfId="7209"/>
    <cellStyle name="Normal 2 11 3 4 2" xfId="7210"/>
    <cellStyle name="Normal 2 11 3 5" xfId="7211"/>
    <cellStyle name="Normal 2 11 3 5 2" xfId="7212"/>
    <cellStyle name="Normal 2 11 3 6" xfId="7213"/>
    <cellStyle name="Normal 2 11 3 6 2" xfId="7214"/>
    <cellStyle name="Normal 2 11 3 7" xfId="7215"/>
    <cellStyle name="Normal 2 11 3 7 2" xfId="7216"/>
    <cellStyle name="Normal 2 11 3 8" xfId="7217"/>
    <cellStyle name="Normal 2 11 3 8 2" xfId="7218"/>
    <cellStyle name="Normal 2 11 3 9" xfId="7219"/>
    <cellStyle name="Normal 2 11 3 9 2" xfId="7220"/>
    <cellStyle name="Normal 2 11 4" xfId="7221"/>
    <cellStyle name="Normal 2 11 4 10" xfId="7222"/>
    <cellStyle name="Normal 2 11 4 10 2" xfId="7223"/>
    <cellStyle name="Normal 2 11 4 11" xfId="7224"/>
    <cellStyle name="Normal 2 11 4 11 2" xfId="7225"/>
    <cellStyle name="Normal 2 11 4 12" xfId="7226"/>
    <cellStyle name="Normal 2 11 4 12 2" xfId="7227"/>
    <cellStyle name="Normal 2 11 4 13" xfId="7228"/>
    <cellStyle name="Normal 2 11 4 2" xfId="7229"/>
    <cellStyle name="Normal 2 11 4 2 10" xfId="7230"/>
    <cellStyle name="Normal 2 11 4 2 10 2" xfId="7231"/>
    <cellStyle name="Normal 2 11 4 2 11" xfId="7232"/>
    <cellStyle name="Normal 2 11 4 2 11 2" xfId="7233"/>
    <cellStyle name="Normal 2 11 4 2 12" xfId="7234"/>
    <cellStyle name="Normal 2 11 4 2 2" xfId="7235"/>
    <cellStyle name="Normal 2 11 4 2 2 10" xfId="7236"/>
    <cellStyle name="Normal 2 11 4 2 2 10 2" xfId="7237"/>
    <cellStyle name="Normal 2 11 4 2 2 11" xfId="7238"/>
    <cellStyle name="Normal 2 11 4 2 2 2" xfId="7239"/>
    <cellStyle name="Normal 2 11 4 2 2 2 2" xfId="7240"/>
    <cellStyle name="Normal 2 11 4 2 2 3" xfId="7241"/>
    <cellStyle name="Normal 2 11 4 2 2 3 2" xfId="7242"/>
    <cellStyle name="Normal 2 11 4 2 2 4" xfId="7243"/>
    <cellStyle name="Normal 2 11 4 2 2 4 2" xfId="7244"/>
    <cellStyle name="Normal 2 11 4 2 2 5" xfId="7245"/>
    <cellStyle name="Normal 2 11 4 2 2 5 2" xfId="7246"/>
    <cellStyle name="Normal 2 11 4 2 2 6" xfId="7247"/>
    <cellStyle name="Normal 2 11 4 2 2 6 2" xfId="7248"/>
    <cellStyle name="Normal 2 11 4 2 2 7" xfId="7249"/>
    <cellStyle name="Normal 2 11 4 2 2 7 2" xfId="7250"/>
    <cellStyle name="Normal 2 11 4 2 2 8" xfId="7251"/>
    <cellStyle name="Normal 2 11 4 2 2 8 2" xfId="7252"/>
    <cellStyle name="Normal 2 11 4 2 2 9" xfId="7253"/>
    <cellStyle name="Normal 2 11 4 2 2 9 2" xfId="7254"/>
    <cellStyle name="Normal 2 11 4 2 3" xfId="7255"/>
    <cellStyle name="Normal 2 11 4 2 3 2" xfId="7256"/>
    <cellStyle name="Normal 2 11 4 2 4" xfId="7257"/>
    <cellStyle name="Normal 2 11 4 2 4 2" xfId="7258"/>
    <cellStyle name="Normal 2 11 4 2 5" xfId="7259"/>
    <cellStyle name="Normal 2 11 4 2 5 2" xfId="7260"/>
    <cellStyle name="Normal 2 11 4 2 6" xfId="7261"/>
    <cellStyle name="Normal 2 11 4 2 6 2" xfId="7262"/>
    <cellStyle name="Normal 2 11 4 2 7" xfId="7263"/>
    <cellStyle name="Normal 2 11 4 2 7 2" xfId="7264"/>
    <cellStyle name="Normal 2 11 4 2 8" xfId="7265"/>
    <cellStyle name="Normal 2 11 4 2 8 2" xfId="7266"/>
    <cellStyle name="Normal 2 11 4 2 9" xfId="7267"/>
    <cellStyle name="Normal 2 11 4 2 9 2" xfId="7268"/>
    <cellStyle name="Normal 2 11 4 3" xfId="7269"/>
    <cellStyle name="Normal 2 11 4 3 10" xfId="7270"/>
    <cellStyle name="Normal 2 11 4 3 10 2" xfId="7271"/>
    <cellStyle name="Normal 2 11 4 3 11" xfId="7272"/>
    <cellStyle name="Normal 2 11 4 3 2" xfId="7273"/>
    <cellStyle name="Normal 2 11 4 3 2 2" xfId="7274"/>
    <cellStyle name="Normal 2 11 4 3 3" xfId="7275"/>
    <cellStyle name="Normal 2 11 4 3 3 2" xfId="7276"/>
    <cellStyle name="Normal 2 11 4 3 4" xfId="7277"/>
    <cellStyle name="Normal 2 11 4 3 4 2" xfId="7278"/>
    <cellStyle name="Normal 2 11 4 3 5" xfId="7279"/>
    <cellStyle name="Normal 2 11 4 3 5 2" xfId="7280"/>
    <cellStyle name="Normal 2 11 4 3 6" xfId="7281"/>
    <cellStyle name="Normal 2 11 4 3 6 2" xfId="7282"/>
    <cellStyle name="Normal 2 11 4 3 7" xfId="7283"/>
    <cellStyle name="Normal 2 11 4 3 7 2" xfId="7284"/>
    <cellStyle name="Normal 2 11 4 3 8" xfId="7285"/>
    <cellStyle name="Normal 2 11 4 3 8 2" xfId="7286"/>
    <cellStyle name="Normal 2 11 4 3 9" xfId="7287"/>
    <cellStyle name="Normal 2 11 4 3 9 2" xfId="7288"/>
    <cellStyle name="Normal 2 11 4 4" xfId="7289"/>
    <cellStyle name="Normal 2 11 4 4 2" xfId="7290"/>
    <cellStyle name="Normal 2 11 4 5" xfId="7291"/>
    <cellStyle name="Normal 2 11 4 5 2" xfId="7292"/>
    <cellStyle name="Normal 2 11 4 6" xfId="7293"/>
    <cellStyle name="Normal 2 11 4 6 2" xfId="7294"/>
    <cellStyle name="Normal 2 11 4 7" xfId="7295"/>
    <cellStyle name="Normal 2 11 4 7 2" xfId="7296"/>
    <cellStyle name="Normal 2 11 4 8" xfId="7297"/>
    <cellStyle name="Normal 2 11 4 8 2" xfId="7298"/>
    <cellStyle name="Normal 2 11 4 9" xfId="7299"/>
    <cellStyle name="Normal 2 11 4 9 2" xfId="7300"/>
    <cellStyle name="Normal 2 11 5" xfId="7301"/>
    <cellStyle name="Normal 2 11 5 10" xfId="7302"/>
    <cellStyle name="Normal 2 11 5 10 2" xfId="7303"/>
    <cellStyle name="Normal 2 11 5 11" xfId="7304"/>
    <cellStyle name="Normal 2 11 5 11 2" xfId="7305"/>
    <cellStyle name="Normal 2 11 5 12" xfId="7306"/>
    <cellStyle name="Normal 2 11 5 12 2" xfId="7307"/>
    <cellStyle name="Normal 2 11 5 13" xfId="7308"/>
    <cellStyle name="Normal 2 11 5 2" xfId="7309"/>
    <cellStyle name="Normal 2 11 5 2 10" xfId="7310"/>
    <cellStyle name="Normal 2 11 5 2 10 2" xfId="7311"/>
    <cellStyle name="Normal 2 11 5 2 11" xfId="7312"/>
    <cellStyle name="Normal 2 11 5 2 11 2" xfId="7313"/>
    <cellStyle name="Normal 2 11 5 2 12" xfId="7314"/>
    <cellStyle name="Normal 2 11 5 2 2" xfId="7315"/>
    <cellStyle name="Normal 2 11 5 2 2 10" xfId="7316"/>
    <cellStyle name="Normal 2 11 5 2 2 10 2" xfId="7317"/>
    <cellStyle name="Normal 2 11 5 2 2 11" xfId="7318"/>
    <cellStyle name="Normal 2 11 5 2 2 2" xfId="7319"/>
    <cellStyle name="Normal 2 11 5 2 2 2 2" xfId="7320"/>
    <cellStyle name="Normal 2 11 5 2 2 3" xfId="7321"/>
    <cellStyle name="Normal 2 11 5 2 2 3 2" xfId="7322"/>
    <cellStyle name="Normal 2 11 5 2 2 4" xfId="7323"/>
    <cellStyle name="Normal 2 11 5 2 2 4 2" xfId="7324"/>
    <cellStyle name="Normal 2 11 5 2 2 5" xfId="7325"/>
    <cellStyle name="Normal 2 11 5 2 2 5 2" xfId="7326"/>
    <cellStyle name="Normal 2 11 5 2 2 6" xfId="7327"/>
    <cellStyle name="Normal 2 11 5 2 2 6 2" xfId="7328"/>
    <cellStyle name="Normal 2 11 5 2 2 7" xfId="7329"/>
    <cellStyle name="Normal 2 11 5 2 2 7 2" xfId="7330"/>
    <cellStyle name="Normal 2 11 5 2 2 8" xfId="7331"/>
    <cellStyle name="Normal 2 11 5 2 2 8 2" xfId="7332"/>
    <cellStyle name="Normal 2 11 5 2 2 9" xfId="7333"/>
    <cellStyle name="Normal 2 11 5 2 2 9 2" xfId="7334"/>
    <cellStyle name="Normal 2 11 5 2 3" xfId="7335"/>
    <cellStyle name="Normal 2 11 5 2 3 2" xfId="7336"/>
    <cellStyle name="Normal 2 11 5 2 4" xfId="7337"/>
    <cellStyle name="Normal 2 11 5 2 4 2" xfId="7338"/>
    <cellStyle name="Normal 2 11 5 2 5" xfId="7339"/>
    <cellStyle name="Normal 2 11 5 2 5 2" xfId="7340"/>
    <cellStyle name="Normal 2 11 5 2 6" xfId="7341"/>
    <cellStyle name="Normal 2 11 5 2 6 2" xfId="7342"/>
    <cellStyle name="Normal 2 11 5 2 7" xfId="7343"/>
    <cellStyle name="Normal 2 11 5 2 7 2" xfId="7344"/>
    <cellStyle name="Normal 2 11 5 2 8" xfId="7345"/>
    <cellStyle name="Normal 2 11 5 2 8 2" xfId="7346"/>
    <cellStyle name="Normal 2 11 5 2 9" xfId="7347"/>
    <cellStyle name="Normal 2 11 5 2 9 2" xfId="7348"/>
    <cellStyle name="Normal 2 11 5 3" xfId="7349"/>
    <cellStyle name="Normal 2 11 5 3 10" xfId="7350"/>
    <cellStyle name="Normal 2 11 5 3 10 2" xfId="7351"/>
    <cellStyle name="Normal 2 11 5 3 11" xfId="7352"/>
    <cellStyle name="Normal 2 11 5 3 2" xfId="7353"/>
    <cellStyle name="Normal 2 11 5 3 2 2" xfId="7354"/>
    <cellStyle name="Normal 2 11 5 3 3" xfId="7355"/>
    <cellStyle name="Normal 2 11 5 3 3 2" xfId="7356"/>
    <cellStyle name="Normal 2 11 5 3 4" xfId="7357"/>
    <cellStyle name="Normal 2 11 5 3 4 2" xfId="7358"/>
    <cellStyle name="Normal 2 11 5 3 5" xfId="7359"/>
    <cellStyle name="Normal 2 11 5 3 5 2" xfId="7360"/>
    <cellStyle name="Normal 2 11 5 3 6" xfId="7361"/>
    <cellStyle name="Normal 2 11 5 3 6 2" xfId="7362"/>
    <cellStyle name="Normal 2 11 5 3 7" xfId="7363"/>
    <cellStyle name="Normal 2 11 5 3 7 2" xfId="7364"/>
    <cellStyle name="Normal 2 11 5 3 8" xfId="7365"/>
    <cellStyle name="Normal 2 11 5 3 8 2" xfId="7366"/>
    <cellStyle name="Normal 2 11 5 3 9" xfId="7367"/>
    <cellStyle name="Normal 2 11 5 3 9 2" xfId="7368"/>
    <cellStyle name="Normal 2 11 5 4" xfId="7369"/>
    <cellStyle name="Normal 2 11 5 4 2" xfId="7370"/>
    <cellStyle name="Normal 2 11 5 5" xfId="7371"/>
    <cellStyle name="Normal 2 11 5 5 2" xfId="7372"/>
    <cellStyle name="Normal 2 11 5 6" xfId="7373"/>
    <cellStyle name="Normal 2 11 5 6 2" xfId="7374"/>
    <cellStyle name="Normal 2 11 5 7" xfId="7375"/>
    <cellStyle name="Normal 2 11 5 7 2" xfId="7376"/>
    <cellStyle name="Normal 2 11 5 8" xfId="7377"/>
    <cellStyle name="Normal 2 11 5 8 2" xfId="7378"/>
    <cellStyle name="Normal 2 11 5 9" xfId="7379"/>
    <cellStyle name="Normal 2 11 5 9 2" xfId="7380"/>
    <cellStyle name="Normal 2 11 6" xfId="7381"/>
    <cellStyle name="Normal 2 11 6 10" xfId="7382"/>
    <cellStyle name="Normal 2 11 6 10 2" xfId="7383"/>
    <cellStyle name="Normal 2 11 6 11" xfId="7384"/>
    <cellStyle name="Normal 2 11 6 11 2" xfId="7385"/>
    <cellStyle name="Normal 2 11 6 12" xfId="7386"/>
    <cellStyle name="Normal 2 11 6 12 2" xfId="7387"/>
    <cellStyle name="Normal 2 11 6 13" xfId="7388"/>
    <cellStyle name="Normal 2 11 6 2" xfId="7389"/>
    <cellStyle name="Normal 2 11 6 2 10" xfId="7390"/>
    <cellStyle name="Normal 2 11 6 2 10 2" xfId="7391"/>
    <cellStyle name="Normal 2 11 6 2 11" xfId="7392"/>
    <cellStyle name="Normal 2 11 6 2 11 2" xfId="7393"/>
    <cellStyle name="Normal 2 11 6 2 12" xfId="7394"/>
    <cellStyle name="Normal 2 11 6 2 2" xfId="7395"/>
    <cellStyle name="Normal 2 11 6 2 2 10" xfId="7396"/>
    <cellStyle name="Normal 2 11 6 2 2 10 2" xfId="7397"/>
    <cellStyle name="Normal 2 11 6 2 2 11" xfId="7398"/>
    <cellStyle name="Normal 2 11 6 2 2 2" xfId="7399"/>
    <cellStyle name="Normal 2 11 6 2 2 2 2" xfId="7400"/>
    <cellStyle name="Normal 2 11 6 2 2 3" xfId="7401"/>
    <cellStyle name="Normal 2 11 6 2 2 3 2" xfId="7402"/>
    <cellStyle name="Normal 2 11 6 2 2 4" xfId="7403"/>
    <cellStyle name="Normal 2 11 6 2 2 4 2" xfId="7404"/>
    <cellStyle name="Normal 2 11 6 2 2 5" xfId="7405"/>
    <cellStyle name="Normal 2 11 6 2 2 5 2" xfId="7406"/>
    <cellStyle name="Normal 2 11 6 2 2 6" xfId="7407"/>
    <cellStyle name="Normal 2 11 6 2 2 6 2" xfId="7408"/>
    <cellStyle name="Normal 2 11 6 2 2 7" xfId="7409"/>
    <cellStyle name="Normal 2 11 6 2 2 7 2" xfId="7410"/>
    <cellStyle name="Normal 2 11 6 2 2 8" xfId="7411"/>
    <cellStyle name="Normal 2 11 6 2 2 8 2" xfId="7412"/>
    <cellStyle name="Normal 2 11 6 2 2 9" xfId="7413"/>
    <cellStyle name="Normal 2 11 6 2 2 9 2" xfId="7414"/>
    <cellStyle name="Normal 2 11 6 2 3" xfId="7415"/>
    <cellStyle name="Normal 2 11 6 2 3 2" xfId="7416"/>
    <cellStyle name="Normal 2 11 6 2 4" xfId="7417"/>
    <cellStyle name="Normal 2 11 6 2 4 2" xfId="7418"/>
    <cellStyle name="Normal 2 11 6 2 5" xfId="7419"/>
    <cellStyle name="Normal 2 11 6 2 5 2" xfId="7420"/>
    <cellStyle name="Normal 2 11 6 2 6" xfId="7421"/>
    <cellStyle name="Normal 2 11 6 2 6 2" xfId="7422"/>
    <cellStyle name="Normal 2 11 6 2 7" xfId="7423"/>
    <cellStyle name="Normal 2 11 6 2 7 2" xfId="7424"/>
    <cellStyle name="Normal 2 11 6 2 8" xfId="7425"/>
    <cellStyle name="Normal 2 11 6 2 8 2" xfId="7426"/>
    <cellStyle name="Normal 2 11 6 2 9" xfId="7427"/>
    <cellStyle name="Normal 2 11 6 2 9 2" xfId="7428"/>
    <cellStyle name="Normal 2 11 6 3" xfId="7429"/>
    <cellStyle name="Normal 2 11 6 3 10" xfId="7430"/>
    <cellStyle name="Normal 2 11 6 3 10 2" xfId="7431"/>
    <cellStyle name="Normal 2 11 6 3 11" xfId="7432"/>
    <cellStyle name="Normal 2 11 6 3 2" xfId="7433"/>
    <cellStyle name="Normal 2 11 6 3 2 2" xfId="7434"/>
    <cellStyle name="Normal 2 11 6 3 3" xfId="7435"/>
    <cellStyle name="Normal 2 11 6 3 3 2" xfId="7436"/>
    <cellStyle name="Normal 2 11 6 3 4" xfId="7437"/>
    <cellStyle name="Normal 2 11 6 3 4 2" xfId="7438"/>
    <cellStyle name="Normal 2 11 6 3 5" xfId="7439"/>
    <cellStyle name="Normal 2 11 6 3 5 2" xfId="7440"/>
    <cellStyle name="Normal 2 11 6 3 6" xfId="7441"/>
    <cellStyle name="Normal 2 11 6 3 6 2" xfId="7442"/>
    <cellStyle name="Normal 2 11 6 3 7" xfId="7443"/>
    <cellStyle name="Normal 2 11 6 3 7 2" xfId="7444"/>
    <cellStyle name="Normal 2 11 6 3 8" xfId="7445"/>
    <cellStyle name="Normal 2 11 6 3 8 2" xfId="7446"/>
    <cellStyle name="Normal 2 11 6 3 9" xfId="7447"/>
    <cellStyle name="Normal 2 11 6 3 9 2" xfId="7448"/>
    <cellStyle name="Normal 2 11 6 4" xfId="7449"/>
    <cellStyle name="Normal 2 11 6 4 2" xfId="7450"/>
    <cellStyle name="Normal 2 11 6 5" xfId="7451"/>
    <cellStyle name="Normal 2 11 6 5 2" xfId="7452"/>
    <cellStyle name="Normal 2 11 6 6" xfId="7453"/>
    <cellStyle name="Normal 2 11 6 6 2" xfId="7454"/>
    <cellStyle name="Normal 2 11 6 7" xfId="7455"/>
    <cellStyle name="Normal 2 11 6 7 2" xfId="7456"/>
    <cellStyle name="Normal 2 11 6 8" xfId="7457"/>
    <cellStyle name="Normal 2 11 6 8 2" xfId="7458"/>
    <cellStyle name="Normal 2 11 6 9" xfId="7459"/>
    <cellStyle name="Normal 2 11 6 9 2" xfId="7460"/>
    <cellStyle name="Normal 2 11 7" xfId="41801"/>
    <cellStyle name="Normal 2 12" xfId="7461"/>
    <cellStyle name="Normal 2 12 10" xfId="7462"/>
    <cellStyle name="Normal 2 12 10 2" xfId="7463"/>
    <cellStyle name="Normal 2 12 11" xfId="7464"/>
    <cellStyle name="Normal 2 12 11 2" xfId="7465"/>
    <cellStyle name="Normal 2 12 12" xfId="7466"/>
    <cellStyle name="Normal 2 12 12 2" xfId="7467"/>
    <cellStyle name="Normal 2 12 13" xfId="7468"/>
    <cellStyle name="Normal 2 12 2" xfId="7469"/>
    <cellStyle name="Normal 2 12 2 10" xfId="7470"/>
    <cellStyle name="Normal 2 12 2 10 2" xfId="7471"/>
    <cellStyle name="Normal 2 12 2 11" xfId="7472"/>
    <cellStyle name="Normal 2 12 2 11 2" xfId="7473"/>
    <cellStyle name="Normal 2 12 2 12" xfId="7474"/>
    <cellStyle name="Normal 2 12 2 2" xfId="7475"/>
    <cellStyle name="Normal 2 12 2 2 10" xfId="7476"/>
    <cellStyle name="Normal 2 12 2 2 10 2" xfId="7477"/>
    <cellStyle name="Normal 2 12 2 2 11" xfId="7478"/>
    <cellStyle name="Normal 2 12 2 2 2" xfId="7479"/>
    <cellStyle name="Normal 2 12 2 2 2 2" xfId="7480"/>
    <cellStyle name="Normal 2 12 2 2 3" xfId="7481"/>
    <cellStyle name="Normal 2 12 2 2 3 2" xfId="7482"/>
    <cellStyle name="Normal 2 12 2 2 4" xfId="7483"/>
    <cellStyle name="Normal 2 12 2 2 4 2" xfId="7484"/>
    <cellStyle name="Normal 2 12 2 2 5" xfId="7485"/>
    <cellStyle name="Normal 2 12 2 2 5 2" xfId="7486"/>
    <cellStyle name="Normal 2 12 2 2 6" xfId="7487"/>
    <cellStyle name="Normal 2 12 2 2 6 2" xfId="7488"/>
    <cellStyle name="Normal 2 12 2 2 7" xfId="7489"/>
    <cellStyle name="Normal 2 12 2 2 7 2" xfId="7490"/>
    <cellStyle name="Normal 2 12 2 2 8" xfId="7491"/>
    <cellStyle name="Normal 2 12 2 2 8 2" xfId="7492"/>
    <cellStyle name="Normal 2 12 2 2 9" xfId="7493"/>
    <cellStyle name="Normal 2 12 2 2 9 2" xfId="7494"/>
    <cellStyle name="Normal 2 12 2 3" xfId="7495"/>
    <cellStyle name="Normal 2 12 2 3 2" xfId="7496"/>
    <cellStyle name="Normal 2 12 2 4" xfId="7497"/>
    <cellStyle name="Normal 2 12 2 4 2" xfId="7498"/>
    <cellStyle name="Normal 2 12 2 5" xfId="7499"/>
    <cellStyle name="Normal 2 12 2 5 2" xfId="7500"/>
    <cellStyle name="Normal 2 12 2 6" xfId="7501"/>
    <cellStyle name="Normal 2 12 2 6 2" xfId="7502"/>
    <cellStyle name="Normal 2 12 2 7" xfId="7503"/>
    <cellStyle name="Normal 2 12 2 7 2" xfId="7504"/>
    <cellStyle name="Normal 2 12 2 8" xfId="7505"/>
    <cellStyle name="Normal 2 12 2 8 2" xfId="7506"/>
    <cellStyle name="Normal 2 12 2 9" xfId="7507"/>
    <cellStyle name="Normal 2 12 2 9 2" xfId="7508"/>
    <cellStyle name="Normal 2 12 3" xfId="7509"/>
    <cellStyle name="Normal 2 12 3 10" xfId="7510"/>
    <cellStyle name="Normal 2 12 3 10 2" xfId="7511"/>
    <cellStyle name="Normal 2 12 3 11" xfId="7512"/>
    <cellStyle name="Normal 2 12 3 2" xfId="7513"/>
    <cellStyle name="Normal 2 12 3 2 2" xfId="7514"/>
    <cellStyle name="Normal 2 12 3 3" xfId="7515"/>
    <cellStyle name="Normal 2 12 3 3 2" xfId="7516"/>
    <cellStyle name="Normal 2 12 3 4" xfId="7517"/>
    <cellStyle name="Normal 2 12 3 4 2" xfId="7518"/>
    <cellStyle name="Normal 2 12 3 5" xfId="7519"/>
    <cellStyle name="Normal 2 12 3 5 2" xfId="7520"/>
    <cellStyle name="Normal 2 12 3 6" xfId="7521"/>
    <cellStyle name="Normal 2 12 3 6 2" xfId="7522"/>
    <cellStyle name="Normal 2 12 3 7" xfId="7523"/>
    <cellStyle name="Normal 2 12 3 7 2" xfId="7524"/>
    <cellStyle name="Normal 2 12 3 8" xfId="7525"/>
    <cellStyle name="Normal 2 12 3 8 2" xfId="7526"/>
    <cellStyle name="Normal 2 12 3 9" xfId="7527"/>
    <cellStyle name="Normal 2 12 3 9 2" xfId="7528"/>
    <cellStyle name="Normal 2 12 4" xfId="7529"/>
    <cellStyle name="Normal 2 12 4 2" xfId="7530"/>
    <cellStyle name="Normal 2 12 5" xfId="7531"/>
    <cellStyle name="Normal 2 12 5 2" xfId="7532"/>
    <cellStyle name="Normal 2 12 6" xfId="7533"/>
    <cellStyle name="Normal 2 12 6 2" xfId="7534"/>
    <cellStyle name="Normal 2 12 7" xfId="7535"/>
    <cellStyle name="Normal 2 12 7 2" xfId="7536"/>
    <cellStyle name="Normal 2 12 8" xfId="7537"/>
    <cellStyle name="Normal 2 12 8 2" xfId="7538"/>
    <cellStyle name="Normal 2 12 9" xfId="7539"/>
    <cellStyle name="Normal 2 12 9 2" xfId="7540"/>
    <cellStyle name="Normal 2 13" xfId="7541"/>
    <cellStyle name="Normal 2 13 10" xfId="7542"/>
    <cellStyle name="Normal 2 13 10 2" xfId="7543"/>
    <cellStyle name="Normal 2 13 11" xfId="7544"/>
    <cellStyle name="Normal 2 13 11 2" xfId="7545"/>
    <cellStyle name="Normal 2 13 12" xfId="7546"/>
    <cellStyle name="Normal 2 13 12 2" xfId="7547"/>
    <cellStyle name="Normal 2 13 13" xfId="7548"/>
    <cellStyle name="Normal 2 13 2" xfId="7549"/>
    <cellStyle name="Normal 2 13 2 10" xfId="7550"/>
    <cellStyle name="Normal 2 13 2 10 2" xfId="7551"/>
    <cellStyle name="Normal 2 13 2 11" xfId="7552"/>
    <cellStyle name="Normal 2 13 2 11 2" xfId="7553"/>
    <cellStyle name="Normal 2 13 2 12" xfId="7554"/>
    <cellStyle name="Normal 2 13 2 2" xfId="7555"/>
    <cellStyle name="Normal 2 13 2 2 10" xfId="7556"/>
    <cellStyle name="Normal 2 13 2 2 10 2" xfId="7557"/>
    <cellStyle name="Normal 2 13 2 2 11" xfId="7558"/>
    <cellStyle name="Normal 2 13 2 2 2" xfId="7559"/>
    <cellStyle name="Normal 2 13 2 2 2 2" xfId="7560"/>
    <cellStyle name="Normal 2 13 2 2 3" xfId="7561"/>
    <cellStyle name="Normal 2 13 2 2 3 2" xfId="7562"/>
    <cellStyle name="Normal 2 13 2 2 4" xfId="7563"/>
    <cellStyle name="Normal 2 13 2 2 4 2" xfId="7564"/>
    <cellStyle name="Normal 2 13 2 2 5" xfId="7565"/>
    <cellStyle name="Normal 2 13 2 2 5 2" xfId="7566"/>
    <cellStyle name="Normal 2 13 2 2 6" xfId="7567"/>
    <cellStyle name="Normal 2 13 2 2 6 2" xfId="7568"/>
    <cellStyle name="Normal 2 13 2 2 7" xfId="7569"/>
    <cellStyle name="Normal 2 13 2 2 7 2" xfId="7570"/>
    <cellStyle name="Normal 2 13 2 2 8" xfId="7571"/>
    <cellStyle name="Normal 2 13 2 2 8 2" xfId="7572"/>
    <cellStyle name="Normal 2 13 2 2 9" xfId="7573"/>
    <cellStyle name="Normal 2 13 2 2 9 2" xfId="7574"/>
    <cellStyle name="Normal 2 13 2 3" xfId="7575"/>
    <cellStyle name="Normal 2 13 2 3 2" xfId="7576"/>
    <cellStyle name="Normal 2 13 2 4" xfId="7577"/>
    <cellStyle name="Normal 2 13 2 4 2" xfId="7578"/>
    <cellStyle name="Normal 2 13 2 5" xfId="7579"/>
    <cellStyle name="Normal 2 13 2 5 2" xfId="7580"/>
    <cellStyle name="Normal 2 13 2 6" xfId="7581"/>
    <cellStyle name="Normal 2 13 2 6 2" xfId="7582"/>
    <cellStyle name="Normal 2 13 2 7" xfId="7583"/>
    <cellStyle name="Normal 2 13 2 7 2" xfId="7584"/>
    <cellStyle name="Normal 2 13 2 8" xfId="7585"/>
    <cellStyle name="Normal 2 13 2 8 2" xfId="7586"/>
    <cellStyle name="Normal 2 13 2 9" xfId="7587"/>
    <cellStyle name="Normal 2 13 2 9 2" xfId="7588"/>
    <cellStyle name="Normal 2 13 3" xfId="7589"/>
    <cellStyle name="Normal 2 13 3 10" xfId="7590"/>
    <cellStyle name="Normal 2 13 3 10 2" xfId="7591"/>
    <cellStyle name="Normal 2 13 3 11" xfId="7592"/>
    <cellStyle name="Normal 2 13 3 2" xfId="7593"/>
    <cellStyle name="Normal 2 13 3 2 2" xfId="7594"/>
    <cellStyle name="Normal 2 13 3 3" xfId="7595"/>
    <cellStyle name="Normal 2 13 3 3 2" xfId="7596"/>
    <cellStyle name="Normal 2 13 3 4" xfId="7597"/>
    <cellStyle name="Normal 2 13 3 4 2" xfId="7598"/>
    <cellStyle name="Normal 2 13 3 5" xfId="7599"/>
    <cellStyle name="Normal 2 13 3 5 2" xfId="7600"/>
    <cellStyle name="Normal 2 13 3 6" xfId="7601"/>
    <cellStyle name="Normal 2 13 3 6 2" xfId="7602"/>
    <cellStyle name="Normal 2 13 3 7" xfId="7603"/>
    <cellStyle name="Normal 2 13 3 7 2" xfId="7604"/>
    <cellStyle name="Normal 2 13 3 8" xfId="7605"/>
    <cellStyle name="Normal 2 13 3 8 2" xfId="7606"/>
    <cellStyle name="Normal 2 13 3 9" xfId="7607"/>
    <cellStyle name="Normal 2 13 3 9 2" xfId="7608"/>
    <cellStyle name="Normal 2 13 4" xfId="7609"/>
    <cellStyle name="Normal 2 13 4 2" xfId="7610"/>
    <cellStyle name="Normal 2 13 5" xfId="7611"/>
    <cellStyle name="Normal 2 13 5 2" xfId="7612"/>
    <cellStyle name="Normal 2 13 6" xfId="7613"/>
    <cellStyle name="Normal 2 13 6 2" xfId="7614"/>
    <cellStyle name="Normal 2 13 7" xfId="7615"/>
    <cellStyle name="Normal 2 13 7 2" xfId="7616"/>
    <cellStyle name="Normal 2 13 8" xfId="7617"/>
    <cellStyle name="Normal 2 13 8 2" xfId="7618"/>
    <cellStyle name="Normal 2 13 9" xfId="7619"/>
    <cellStyle name="Normal 2 13 9 2" xfId="7620"/>
    <cellStyle name="Normal 2 14" xfId="7621"/>
    <cellStyle name="Normal 2 14 10" xfId="7622"/>
    <cellStyle name="Normal 2 14 10 2" xfId="7623"/>
    <cellStyle name="Normal 2 14 11" xfId="7624"/>
    <cellStyle name="Normal 2 14 11 2" xfId="7625"/>
    <cellStyle name="Normal 2 14 12" xfId="7626"/>
    <cellStyle name="Normal 2 14 12 2" xfId="7627"/>
    <cellStyle name="Normal 2 14 13" xfId="7628"/>
    <cellStyle name="Normal 2 14 2" xfId="7629"/>
    <cellStyle name="Normal 2 14 2 10" xfId="7630"/>
    <cellStyle name="Normal 2 14 2 10 2" xfId="7631"/>
    <cellStyle name="Normal 2 14 2 11" xfId="7632"/>
    <cellStyle name="Normal 2 14 2 11 2" xfId="7633"/>
    <cellStyle name="Normal 2 14 2 12" xfId="7634"/>
    <cellStyle name="Normal 2 14 2 2" xfId="7635"/>
    <cellStyle name="Normal 2 14 2 2 10" xfId="7636"/>
    <cellStyle name="Normal 2 14 2 2 10 2" xfId="7637"/>
    <cellStyle name="Normal 2 14 2 2 11" xfId="7638"/>
    <cellStyle name="Normal 2 14 2 2 2" xfId="7639"/>
    <cellStyle name="Normal 2 14 2 2 2 2" xfId="7640"/>
    <cellStyle name="Normal 2 14 2 2 3" xfId="7641"/>
    <cellStyle name="Normal 2 14 2 2 3 2" xfId="7642"/>
    <cellStyle name="Normal 2 14 2 2 4" xfId="7643"/>
    <cellStyle name="Normal 2 14 2 2 4 2" xfId="7644"/>
    <cellStyle name="Normal 2 14 2 2 5" xfId="7645"/>
    <cellStyle name="Normal 2 14 2 2 5 2" xfId="7646"/>
    <cellStyle name="Normal 2 14 2 2 6" xfId="7647"/>
    <cellStyle name="Normal 2 14 2 2 6 2" xfId="7648"/>
    <cellStyle name="Normal 2 14 2 2 7" xfId="7649"/>
    <cellStyle name="Normal 2 14 2 2 7 2" xfId="7650"/>
    <cellStyle name="Normal 2 14 2 2 8" xfId="7651"/>
    <cellStyle name="Normal 2 14 2 2 8 2" xfId="7652"/>
    <cellStyle name="Normal 2 14 2 2 9" xfId="7653"/>
    <cellStyle name="Normal 2 14 2 2 9 2" xfId="7654"/>
    <cellStyle name="Normal 2 14 2 3" xfId="7655"/>
    <cellStyle name="Normal 2 14 2 3 2" xfId="7656"/>
    <cellStyle name="Normal 2 14 2 4" xfId="7657"/>
    <cellStyle name="Normal 2 14 2 4 2" xfId="7658"/>
    <cellStyle name="Normal 2 14 2 5" xfId="7659"/>
    <cellStyle name="Normal 2 14 2 5 2" xfId="7660"/>
    <cellStyle name="Normal 2 14 2 6" xfId="7661"/>
    <cellStyle name="Normal 2 14 2 6 2" xfId="7662"/>
    <cellStyle name="Normal 2 14 2 7" xfId="7663"/>
    <cellStyle name="Normal 2 14 2 7 2" xfId="7664"/>
    <cellStyle name="Normal 2 14 2 8" xfId="7665"/>
    <cellStyle name="Normal 2 14 2 8 2" xfId="7666"/>
    <cellStyle name="Normal 2 14 2 9" xfId="7667"/>
    <cellStyle name="Normal 2 14 2 9 2" xfId="7668"/>
    <cellStyle name="Normal 2 14 3" xfId="7669"/>
    <cellStyle name="Normal 2 14 3 10" xfId="7670"/>
    <cellStyle name="Normal 2 14 3 10 2" xfId="7671"/>
    <cellStyle name="Normal 2 14 3 11" xfId="7672"/>
    <cellStyle name="Normal 2 14 3 2" xfId="7673"/>
    <cellStyle name="Normal 2 14 3 2 2" xfId="7674"/>
    <cellStyle name="Normal 2 14 3 3" xfId="7675"/>
    <cellStyle name="Normal 2 14 3 3 2" xfId="7676"/>
    <cellStyle name="Normal 2 14 3 4" xfId="7677"/>
    <cellStyle name="Normal 2 14 3 4 2" xfId="7678"/>
    <cellStyle name="Normal 2 14 3 5" xfId="7679"/>
    <cellStyle name="Normal 2 14 3 5 2" xfId="7680"/>
    <cellStyle name="Normal 2 14 3 6" xfId="7681"/>
    <cellStyle name="Normal 2 14 3 6 2" xfId="7682"/>
    <cellStyle name="Normal 2 14 3 7" xfId="7683"/>
    <cellStyle name="Normal 2 14 3 7 2" xfId="7684"/>
    <cellStyle name="Normal 2 14 3 8" xfId="7685"/>
    <cellStyle name="Normal 2 14 3 8 2" xfId="7686"/>
    <cellStyle name="Normal 2 14 3 9" xfId="7687"/>
    <cellStyle name="Normal 2 14 3 9 2" xfId="7688"/>
    <cellStyle name="Normal 2 14 4" xfId="7689"/>
    <cellStyle name="Normal 2 14 4 2" xfId="7690"/>
    <cellStyle name="Normal 2 14 5" xfId="7691"/>
    <cellStyle name="Normal 2 14 5 2" xfId="7692"/>
    <cellStyle name="Normal 2 14 6" xfId="7693"/>
    <cellStyle name="Normal 2 14 6 2" xfId="7694"/>
    <cellStyle name="Normal 2 14 7" xfId="7695"/>
    <cellStyle name="Normal 2 14 7 2" xfId="7696"/>
    <cellStyle name="Normal 2 14 8" xfId="7697"/>
    <cellStyle name="Normal 2 14 8 2" xfId="7698"/>
    <cellStyle name="Normal 2 14 9" xfId="7699"/>
    <cellStyle name="Normal 2 14 9 2" xfId="7700"/>
    <cellStyle name="Normal 2 15" xfId="7701"/>
    <cellStyle name="Normal 2 15 2" xfId="7702"/>
    <cellStyle name="Normal 2 15 2 10" xfId="7703"/>
    <cellStyle name="Normal 2 15 2 10 2" xfId="7704"/>
    <cellStyle name="Normal 2 15 2 11" xfId="7705"/>
    <cellStyle name="Normal 2 15 2 11 2" xfId="7706"/>
    <cellStyle name="Normal 2 15 2 12" xfId="7707"/>
    <cellStyle name="Normal 2 15 2 12 2" xfId="7708"/>
    <cellStyle name="Normal 2 15 2 13" xfId="7709"/>
    <cellStyle name="Normal 2 15 2 2" xfId="7710"/>
    <cellStyle name="Normal 2 15 2 2 10" xfId="7711"/>
    <cellStyle name="Normal 2 15 2 2 10 2" xfId="7712"/>
    <cellStyle name="Normal 2 15 2 2 11" xfId="7713"/>
    <cellStyle name="Normal 2 15 2 2 11 2" xfId="7714"/>
    <cellStyle name="Normal 2 15 2 2 12" xfId="7715"/>
    <cellStyle name="Normal 2 15 2 2 2" xfId="7716"/>
    <cellStyle name="Normal 2 15 2 2 2 10" xfId="7717"/>
    <cellStyle name="Normal 2 15 2 2 2 10 2" xfId="7718"/>
    <cellStyle name="Normal 2 15 2 2 2 11" xfId="7719"/>
    <cellStyle name="Normal 2 15 2 2 2 2" xfId="7720"/>
    <cellStyle name="Normal 2 15 2 2 2 2 2" xfId="7721"/>
    <cellStyle name="Normal 2 15 2 2 2 3" xfId="7722"/>
    <cellStyle name="Normal 2 15 2 2 2 3 2" xfId="7723"/>
    <cellStyle name="Normal 2 15 2 2 2 4" xfId="7724"/>
    <cellStyle name="Normal 2 15 2 2 2 4 2" xfId="7725"/>
    <cellStyle name="Normal 2 15 2 2 2 5" xfId="7726"/>
    <cellStyle name="Normal 2 15 2 2 2 5 2" xfId="7727"/>
    <cellStyle name="Normal 2 15 2 2 2 6" xfId="7728"/>
    <cellStyle name="Normal 2 15 2 2 2 6 2" xfId="7729"/>
    <cellStyle name="Normal 2 15 2 2 2 7" xfId="7730"/>
    <cellStyle name="Normal 2 15 2 2 2 7 2" xfId="7731"/>
    <cellStyle name="Normal 2 15 2 2 2 8" xfId="7732"/>
    <cellStyle name="Normal 2 15 2 2 2 8 2" xfId="7733"/>
    <cellStyle name="Normal 2 15 2 2 2 9" xfId="7734"/>
    <cellStyle name="Normal 2 15 2 2 2 9 2" xfId="7735"/>
    <cellStyle name="Normal 2 15 2 2 3" xfId="7736"/>
    <cellStyle name="Normal 2 15 2 2 3 2" xfId="7737"/>
    <cellStyle name="Normal 2 15 2 2 4" xfId="7738"/>
    <cellStyle name="Normal 2 15 2 2 4 2" xfId="7739"/>
    <cellStyle name="Normal 2 15 2 2 5" xfId="7740"/>
    <cellStyle name="Normal 2 15 2 2 5 2" xfId="7741"/>
    <cellStyle name="Normal 2 15 2 2 6" xfId="7742"/>
    <cellStyle name="Normal 2 15 2 2 6 2" xfId="7743"/>
    <cellStyle name="Normal 2 15 2 2 7" xfId="7744"/>
    <cellStyle name="Normal 2 15 2 2 7 2" xfId="7745"/>
    <cellStyle name="Normal 2 15 2 2 8" xfId="7746"/>
    <cellStyle name="Normal 2 15 2 2 8 2" xfId="7747"/>
    <cellStyle name="Normal 2 15 2 2 9" xfId="7748"/>
    <cellStyle name="Normal 2 15 2 2 9 2" xfId="7749"/>
    <cellStyle name="Normal 2 15 2 3" xfId="7750"/>
    <cellStyle name="Normal 2 15 2 3 10" xfId="7751"/>
    <cellStyle name="Normal 2 15 2 3 10 2" xfId="7752"/>
    <cellStyle name="Normal 2 15 2 3 11" xfId="7753"/>
    <cellStyle name="Normal 2 15 2 3 2" xfId="7754"/>
    <cellStyle name="Normal 2 15 2 3 2 2" xfId="7755"/>
    <cellStyle name="Normal 2 15 2 3 3" xfId="7756"/>
    <cellStyle name="Normal 2 15 2 3 3 2" xfId="7757"/>
    <cellStyle name="Normal 2 15 2 3 4" xfId="7758"/>
    <cellStyle name="Normal 2 15 2 3 4 2" xfId="7759"/>
    <cellStyle name="Normal 2 15 2 3 5" xfId="7760"/>
    <cellStyle name="Normal 2 15 2 3 5 2" xfId="7761"/>
    <cellStyle name="Normal 2 15 2 3 6" xfId="7762"/>
    <cellStyle name="Normal 2 15 2 3 6 2" xfId="7763"/>
    <cellStyle name="Normal 2 15 2 3 7" xfId="7764"/>
    <cellStyle name="Normal 2 15 2 3 7 2" xfId="7765"/>
    <cellStyle name="Normal 2 15 2 3 8" xfId="7766"/>
    <cellStyle name="Normal 2 15 2 3 8 2" xfId="7767"/>
    <cellStyle name="Normal 2 15 2 3 9" xfId="7768"/>
    <cellStyle name="Normal 2 15 2 3 9 2" xfId="7769"/>
    <cellStyle name="Normal 2 15 2 4" xfId="7770"/>
    <cellStyle name="Normal 2 15 2 4 2" xfId="7771"/>
    <cellStyle name="Normal 2 15 2 5" xfId="7772"/>
    <cellStyle name="Normal 2 15 2 5 2" xfId="7773"/>
    <cellStyle name="Normal 2 15 2 6" xfId="7774"/>
    <cellStyle name="Normal 2 15 2 6 2" xfId="7775"/>
    <cellStyle name="Normal 2 15 2 7" xfId="7776"/>
    <cellStyle name="Normal 2 15 2 7 2" xfId="7777"/>
    <cellStyle name="Normal 2 15 2 8" xfId="7778"/>
    <cellStyle name="Normal 2 15 2 8 2" xfId="7779"/>
    <cellStyle name="Normal 2 15 2 9" xfId="7780"/>
    <cellStyle name="Normal 2 15 2 9 2" xfId="7781"/>
    <cellStyle name="Normal 2 15 3" xfId="7782"/>
    <cellStyle name="Normal 2 15 3 10" xfId="7783"/>
    <cellStyle name="Normal 2 15 3 10 2" xfId="7784"/>
    <cellStyle name="Normal 2 15 3 11" xfId="7785"/>
    <cellStyle name="Normal 2 15 3 11 2" xfId="7786"/>
    <cellStyle name="Normal 2 15 3 12" xfId="7787"/>
    <cellStyle name="Normal 2 15 3 12 2" xfId="7788"/>
    <cellStyle name="Normal 2 15 3 13" xfId="7789"/>
    <cellStyle name="Normal 2 15 3 2" xfId="7790"/>
    <cellStyle name="Normal 2 15 3 2 10" xfId="7791"/>
    <cellStyle name="Normal 2 15 3 2 10 2" xfId="7792"/>
    <cellStyle name="Normal 2 15 3 2 11" xfId="7793"/>
    <cellStyle name="Normal 2 15 3 2 11 2" xfId="7794"/>
    <cellStyle name="Normal 2 15 3 2 12" xfId="7795"/>
    <cellStyle name="Normal 2 15 3 2 2" xfId="7796"/>
    <cellStyle name="Normal 2 15 3 2 2 10" xfId="7797"/>
    <cellStyle name="Normal 2 15 3 2 2 10 2" xfId="7798"/>
    <cellStyle name="Normal 2 15 3 2 2 11" xfId="7799"/>
    <cellStyle name="Normal 2 15 3 2 2 2" xfId="7800"/>
    <cellStyle name="Normal 2 15 3 2 2 2 2" xfId="7801"/>
    <cellStyle name="Normal 2 15 3 2 2 3" xfId="7802"/>
    <cellStyle name="Normal 2 15 3 2 2 3 2" xfId="7803"/>
    <cellStyle name="Normal 2 15 3 2 2 4" xfId="7804"/>
    <cellStyle name="Normal 2 15 3 2 2 4 2" xfId="7805"/>
    <cellStyle name="Normal 2 15 3 2 2 5" xfId="7806"/>
    <cellStyle name="Normal 2 15 3 2 2 5 2" xfId="7807"/>
    <cellStyle name="Normal 2 15 3 2 2 6" xfId="7808"/>
    <cellStyle name="Normal 2 15 3 2 2 6 2" xfId="7809"/>
    <cellStyle name="Normal 2 15 3 2 2 7" xfId="7810"/>
    <cellStyle name="Normal 2 15 3 2 2 7 2" xfId="7811"/>
    <cellStyle name="Normal 2 15 3 2 2 8" xfId="7812"/>
    <cellStyle name="Normal 2 15 3 2 2 8 2" xfId="7813"/>
    <cellStyle name="Normal 2 15 3 2 2 9" xfId="7814"/>
    <cellStyle name="Normal 2 15 3 2 2 9 2" xfId="7815"/>
    <cellStyle name="Normal 2 15 3 2 3" xfId="7816"/>
    <cellStyle name="Normal 2 15 3 2 3 2" xfId="7817"/>
    <cellStyle name="Normal 2 15 3 2 4" xfId="7818"/>
    <cellStyle name="Normal 2 15 3 2 4 2" xfId="7819"/>
    <cellStyle name="Normal 2 15 3 2 5" xfId="7820"/>
    <cellStyle name="Normal 2 15 3 2 5 2" xfId="7821"/>
    <cellStyle name="Normal 2 15 3 2 6" xfId="7822"/>
    <cellStyle name="Normal 2 15 3 2 6 2" xfId="7823"/>
    <cellStyle name="Normal 2 15 3 2 7" xfId="7824"/>
    <cellStyle name="Normal 2 15 3 2 7 2" xfId="7825"/>
    <cellStyle name="Normal 2 15 3 2 8" xfId="7826"/>
    <cellStyle name="Normal 2 15 3 2 8 2" xfId="7827"/>
    <cellStyle name="Normal 2 15 3 2 9" xfId="7828"/>
    <cellStyle name="Normal 2 15 3 2 9 2" xfId="7829"/>
    <cellStyle name="Normal 2 15 3 3" xfId="7830"/>
    <cellStyle name="Normal 2 15 3 3 10" xfId="7831"/>
    <cellStyle name="Normal 2 15 3 3 10 2" xfId="7832"/>
    <cellStyle name="Normal 2 15 3 3 11" xfId="7833"/>
    <cellStyle name="Normal 2 15 3 3 2" xfId="7834"/>
    <cellStyle name="Normal 2 15 3 3 2 2" xfId="7835"/>
    <cellStyle name="Normal 2 15 3 3 3" xfId="7836"/>
    <cellStyle name="Normal 2 15 3 3 3 2" xfId="7837"/>
    <cellStyle name="Normal 2 15 3 3 4" xfId="7838"/>
    <cellStyle name="Normal 2 15 3 3 4 2" xfId="7839"/>
    <cellStyle name="Normal 2 15 3 3 5" xfId="7840"/>
    <cellStyle name="Normal 2 15 3 3 5 2" xfId="7841"/>
    <cellStyle name="Normal 2 15 3 3 6" xfId="7842"/>
    <cellStyle name="Normal 2 15 3 3 6 2" xfId="7843"/>
    <cellStyle name="Normal 2 15 3 3 7" xfId="7844"/>
    <cellStyle name="Normal 2 15 3 3 7 2" xfId="7845"/>
    <cellStyle name="Normal 2 15 3 3 8" xfId="7846"/>
    <cellStyle name="Normal 2 15 3 3 8 2" xfId="7847"/>
    <cellStyle name="Normal 2 15 3 3 9" xfId="7848"/>
    <cellStyle name="Normal 2 15 3 3 9 2" xfId="7849"/>
    <cellStyle name="Normal 2 15 3 4" xfId="7850"/>
    <cellStyle name="Normal 2 15 3 4 2" xfId="7851"/>
    <cellStyle name="Normal 2 15 3 5" xfId="7852"/>
    <cellStyle name="Normal 2 15 3 5 2" xfId="7853"/>
    <cellStyle name="Normal 2 15 3 6" xfId="7854"/>
    <cellStyle name="Normal 2 15 3 6 2" xfId="7855"/>
    <cellStyle name="Normal 2 15 3 7" xfId="7856"/>
    <cellStyle name="Normal 2 15 3 7 2" xfId="7857"/>
    <cellStyle name="Normal 2 15 3 8" xfId="7858"/>
    <cellStyle name="Normal 2 15 3 8 2" xfId="7859"/>
    <cellStyle name="Normal 2 15 3 9" xfId="7860"/>
    <cellStyle name="Normal 2 15 3 9 2" xfId="7861"/>
    <cellStyle name="Normal 2 15 4" xfId="7862"/>
    <cellStyle name="Normal 2 15 4 10" xfId="7863"/>
    <cellStyle name="Normal 2 15 4 10 2" xfId="7864"/>
    <cellStyle name="Normal 2 15 4 11" xfId="7865"/>
    <cellStyle name="Normal 2 15 4 11 2" xfId="7866"/>
    <cellStyle name="Normal 2 15 4 12" xfId="7867"/>
    <cellStyle name="Normal 2 15 4 12 2" xfId="7868"/>
    <cellStyle name="Normal 2 15 4 13" xfId="7869"/>
    <cellStyle name="Normal 2 15 4 2" xfId="7870"/>
    <cellStyle name="Normal 2 15 4 2 10" xfId="7871"/>
    <cellStyle name="Normal 2 15 4 2 10 2" xfId="7872"/>
    <cellStyle name="Normal 2 15 4 2 11" xfId="7873"/>
    <cellStyle name="Normal 2 15 4 2 11 2" xfId="7874"/>
    <cellStyle name="Normal 2 15 4 2 12" xfId="7875"/>
    <cellStyle name="Normal 2 15 4 2 2" xfId="7876"/>
    <cellStyle name="Normal 2 15 4 2 2 10" xfId="7877"/>
    <cellStyle name="Normal 2 15 4 2 2 10 2" xfId="7878"/>
    <cellStyle name="Normal 2 15 4 2 2 11" xfId="7879"/>
    <cellStyle name="Normal 2 15 4 2 2 2" xfId="7880"/>
    <cellStyle name="Normal 2 15 4 2 2 2 2" xfId="7881"/>
    <cellStyle name="Normal 2 15 4 2 2 3" xfId="7882"/>
    <cellStyle name="Normal 2 15 4 2 2 3 2" xfId="7883"/>
    <cellStyle name="Normal 2 15 4 2 2 4" xfId="7884"/>
    <cellStyle name="Normal 2 15 4 2 2 4 2" xfId="7885"/>
    <cellStyle name="Normal 2 15 4 2 2 5" xfId="7886"/>
    <cellStyle name="Normal 2 15 4 2 2 5 2" xfId="7887"/>
    <cellStyle name="Normal 2 15 4 2 2 6" xfId="7888"/>
    <cellStyle name="Normal 2 15 4 2 2 6 2" xfId="7889"/>
    <cellStyle name="Normal 2 15 4 2 2 7" xfId="7890"/>
    <cellStyle name="Normal 2 15 4 2 2 7 2" xfId="7891"/>
    <cellStyle name="Normal 2 15 4 2 2 8" xfId="7892"/>
    <cellStyle name="Normal 2 15 4 2 2 8 2" xfId="7893"/>
    <cellStyle name="Normal 2 15 4 2 2 9" xfId="7894"/>
    <cellStyle name="Normal 2 15 4 2 2 9 2" xfId="7895"/>
    <cellStyle name="Normal 2 15 4 2 3" xfId="7896"/>
    <cellStyle name="Normal 2 15 4 2 3 2" xfId="7897"/>
    <cellStyle name="Normal 2 15 4 2 4" xfId="7898"/>
    <cellStyle name="Normal 2 15 4 2 4 2" xfId="7899"/>
    <cellStyle name="Normal 2 15 4 2 5" xfId="7900"/>
    <cellStyle name="Normal 2 15 4 2 5 2" xfId="7901"/>
    <cellStyle name="Normal 2 15 4 2 6" xfId="7902"/>
    <cellStyle name="Normal 2 15 4 2 6 2" xfId="7903"/>
    <cellStyle name="Normal 2 15 4 2 7" xfId="7904"/>
    <cellStyle name="Normal 2 15 4 2 7 2" xfId="7905"/>
    <cellStyle name="Normal 2 15 4 2 8" xfId="7906"/>
    <cellStyle name="Normal 2 15 4 2 8 2" xfId="7907"/>
    <cellStyle name="Normal 2 15 4 2 9" xfId="7908"/>
    <cellStyle name="Normal 2 15 4 2 9 2" xfId="7909"/>
    <cellStyle name="Normal 2 15 4 3" xfId="7910"/>
    <cellStyle name="Normal 2 15 4 3 10" xfId="7911"/>
    <cellStyle name="Normal 2 15 4 3 10 2" xfId="7912"/>
    <cellStyle name="Normal 2 15 4 3 11" xfId="7913"/>
    <cellStyle name="Normal 2 15 4 3 2" xfId="7914"/>
    <cellStyle name="Normal 2 15 4 3 2 2" xfId="7915"/>
    <cellStyle name="Normal 2 15 4 3 3" xfId="7916"/>
    <cellStyle name="Normal 2 15 4 3 3 2" xfId="7917"/>
    <cellStyle name="Normal 2 15 4 3 4" xfId="7918"/>
    <cellStyle name="Normal 2 15 4 3 4 2" xfId="7919"/>
    <cellStyle name="Normal 2 15 4 3 5" xfId="7920"/>
    <cellStyle name="Normal 2 15 4 3 5 2" xfId="7921"/>
    <cellStyle name="Normal 2 15 4 3 6" xfId="7922"/>
    <cellStyle name="Normal 2 15 4 3 6 2" xfId="7923"/>
    <cellStyle name="Normal 2 15 4 3 7" xfId="7924"/>
    <cellStyle name="Normal 2 15 4 3 7 2" xfId="7925"/>
    <cellStyle name="Normal 2 15 4 3 8" xfId="7926"/>
    <cellStyle name="Normal 2 15 4 3 8 2" xfId="7927"/>
    <cellStyle name="Normal 2 15 4 3 9" xfId="7928"/>
    <cellStyle name="Normal 2 15 4 3 9 2" xfId="7929"/>
    <cellStyle name="Normal 2 15 4 4" xfId="7930"/>
    <cellStyle name="Normal 2 15 4 4 2" xfId="7931"/>
    <cellStyle name="Normal 2 15 4 5" xfId="7932"/>
    <cellStyle name="Normal 2 15 4 5 2" xfId="7933"/>
    <cellStyle name="Normal 2 15 4 6" xfId="7934"/>
    <cellStyle name="Normal 2 15 4 6 2" xfId="7935"/>
    <cellStyle name="Normal 2 15 4 7" xfId="7936"/>
    <cellStyle name="Normal 2 15 4 7 2" xfId="7937"/>
    <cellStyle name="Normal 2 15 4 8" xfId="7938"/>
    <cellStyle name="Normal 2 15 4 8 2" xfId="7939"/>
    <cellStyle name="Normal 2 15 4 9" xfId="7940"/>
    <cellStyle name="Normal 2 15 4 9 2" xfId="7941"/>
    <cellStyle name="Normal 2 15 5" xfId="7942"/>
    <cellStyle name="Normal 2 15 5 10" xfId="7943"/>
    <cellStyle name="Normal 2 15 5 10 2" xfId="7944"/>
    <cellStyle name="Normal 2 15 5 11" xfId="7945"/>
    <cellStyle name="Normal 2 15 5 11 2" xfId="7946"/>
    <cellStyle name="Normal 2 15 5 12" xfId="7947"/>
    <cellStyle name="Normal 2 15 5 12 2" xfId="7948"/>
    <cellStyle name="Normal 2 15 5 13" xfId="7949"/>
    <cellStyle name="Normal 2 15 5 2" xfId="7950"/>
    <cellStyle name="Normal 2 15 5 2 10" xfId="7951"/>
    <cellStyle name="Normal 2 15 5 2 10 2" xfId="7952"/>
    <cellStyle name="Normal 2 15 5 2 11" xfId="7953"/>
    <cellStyle name="Normal 2 15 5 2 11 2" xfId="7954"/>
    <cellStyle name="Normal 2 15 5 2 12" xfId="7955"/>
    <cellStyle name="Normal 2 15 5 2 2" xfId="7956"/>
    <cellStyle name="Normal 2 15 5 2 2 10" xfId="7957"/>
    <cellStyle name="Normal 2 15 5 2 2 10 2" xfId="7958"/>
    <cellStyle name="Normal 2 15 5 2 2 11" xfId="7959"/>
    <cellStyle name="Normal 2 15 5 2 2 2" xfId="7960"/>
    <cellStyle name="Normal 2 15 5 2 2 2 2" xfId="7961"/>
    <cellStyle name="Normal 2 15 5 2 2 3" xfId="7962"/>
    <cellStyle name="Normal 2 15 5 2 2 3 2" xfId="7963"/>
    <cellStyle name="Normal 2 15 5 2 2 4" xfId="7964"/>
    <cellStyle name="Normal 2 15 5 2 2 4 2" xfId="7965"/>
    <cellStyle name="Normal 2 15 5 2 2 5" xfId="7966"/>
    <cellStyle name="Normal 2 15 5 2 2 5 2" xfId="7967"/>
    <cellStyle name="Normal 2 15 5 2 2 6" xfId="7968"/>
    <cellStyle name="Normal 2 15 5 2 2 6 2" xfId="7969"/>
    <cellStyle name="Normal 2 15 5 2 2 7" xfId="7970"/>
    <cellStyle name="Normal 2 15 5 2 2 7 2" xfId="7971"/>
    <cellStyle name="Normal 2 15 5 2 2 8" xfId="7972"/>
    <cellStyle name="Normal 2 15 5 2 2 8 2" xfId="7973"/>
    <cellStyle name="Normal 2 15 5 2 2 9" xfId="7974"/>
    <cellStyle name="Normal 2 15 5 2 2 9 2" xfId="7975"/>
    <cellStyle name="Normal 2 15 5 2 3" xfId="7976"/>
    <cellStyle name="Normal 2 15 5 2 3 2" xfId="7977"/>
    <cellStyle name="Normal 2 15 5 2 4" xfId="7978"/>
    <cellStyle name="Normal 2 15 5 2 4 2" xfId="7979"/>
    <cellStyle name="Normal 2 15 5 2 5" xfId="7980"/>
    <cellStyle name="Normal 2 15 5 2 5 2" xfId="7981"/>
    <cellStyle name="Normal 2 15 5 2 6" xfId="7982"/>
    <cellStyle name="Normal 2 15 5 2 6 2" xfId="7983"/>
    <cellStyle name="Normal 2 15 5 2 7" xfId="7984"/>
    <cellStyle name="Normal 2 15 5 2 7 2" xfId="7985"/>
    <cellStyle name="Normal 2 15 5 2 8" xfId="7986"/>
    <cellStyle name="Normal 2 15 5 2 8 2" xfId="7987"/>
    <cellStyle name="Normal 2 15 5 2 9" xfId="7988"/>
    <cellStyle name="Normal 2 15 5 2 9 2" xfId="7989"/>
    <cellStyle name="Normal 2 15 5 3" xfId="7990"/>
    <cellStyle name="Normal 2 15 5 3 10" xfId="7991"/>
    <cellStyle name="Normal 2 15 5 3 10 2" xfId="7992"/>
    <cellStyle name="Normal 2 15 5 3 11" xfId="7993"/>
    <cellStyle name="Normal 2 15 5 3 2" xfId="7994"/>
    <cellStyle name="Normal 2 15 5 3 2 2" xfId="7995"/>
    <cellStyle name="Normal 2 15 5 3 3" xfId="7996"/>
    <cellStyle name="Normal 2 15 5 3 3 2" xfId="7997"/>
    <cellStyle name="Normal 2 15 5 3 4" xfId="7998"/>
    <cellStyle name="Normal 2 15 5 3 4 2" xfId="7999"/>
    <cellStyle name="Normal 2 15 5 3 5" xfId="8000"/>
    <cellStyle name="Normal 2 15 5 3 5 2" xfId="8001"/>
    <cellStyle name="Normal 2 15 5 3 6" xfId="8002"/>
    <cellStyle name="Normal 2 15 5 3 6 2" xfId="8003"/>
    <cellStyle name="Normal 2 15 5 3 7" xfId="8004"/>
    <cellStyle name="Normal 2 15 5 3 7 2" xfId="8005"/>
    <cellStyle name="Normal 2 15 5 3 8" xfId="8006"/>
    <cellStyle name="Normal 2 15 5 3 8 2" xfId="8007"/>
    <cellStyle name="Normal 2 15 5 3 9" xfId="8008"/>
    <cellStyle name="Normal 2 15 5 3 9 2" xfId="8009"/>
    <cellStyle name="Normal 2 15 5 4" xfId="8010"/>
    <cellStyle name="Normal 2 15 5 4 2" xfId="8011"/>
    <cellStyle name="Normal 2 15 5 5" xfId="8012"/>
    <cellStyle name="Normal 2 15 5 5 2" xfId="8013"/>
    <cellStyle name="Normal 2 15 5 6" xfId="8014"/>
    <cellStyle name="Normal 2 15 5 6 2" xfId="8015"/>
    <cellStyle name="Normal 2 15 5 7" xfId="8016"/>
    <cellStyle name="Normal 2 15 5 7 2" xfId="8017"/>
    <cellStyle name="Normal 2 15 5 8" xfId="8018"/>
    <cellStyle name="Normal 2 15 5 8 2" xfId="8019"/>
    <cellStyle name="Normal 2 15 5 9" xfId="8020"/>
    <cellStyle name="Normal 2 15 5 9 2" xfId="8021"/>
    <cellStyle name="Normal 2 15 6" xfId="41802"/>
    <cellStyle name="Normal 2 16" xfId="8022"/>
    <cellStyle name="Normal 2 16 2" xfId="41803"/>
    <cellStyle name="Normal 2 17" xfId="8023"/>
    <cellStyle name="Normal 2 17 2" xfId="41804"/>
    <cellStyle name="Normal 2 18" xfId="8024"/>
    <cellStyle name="Normal 2 18 2" xfId="41805"/>
    <cellStyle name="Normal 2 19" xfId="8025"/>
    <cellStyle name="Normal 2 2" xfId="13"/>
    <cellStyle name="Normal 2 2 10" xfId="8026"/>
    <cellStyle name="Normal 2 2 10 2" xfId="41806"/>
    <cellStyle name="Normal 2 2 11" xfId="8027"/>
    <cellStyle name="Normal 2 2 11 10" xfId="8028"/>
    <cellStyle name="Normal 2 2 11 10 2" xfId="8029"/>
    <cellStyle name="Normal 2 2 11 11" xfId="8030"/>
    <cellStyle name="Normal 2 2 11 11 2" xfId="8031"/>
    <cellStyle name="Normal 2 2 11 12" xfId="8032"/>
    <cellStyle name="Normal 2 2 11 12 2" xfId="8033"/>
    <cellStyle name="Normal 2 2 11 13" xfId="8034"/>
    <cellStyle name="Normal 2 2 11 13 2" xfId="8035"/>
    <cellStyle name="Normal 2 2 11 14" xfId="8036"/>
    <cellStyle name="Normal 2 2 11 14 2" xfId="8037"/>
    <cellStyle name="Normal 2 2 11 15" xfId="8038"/>
    <cellStyle name="Normal 2 2 11 15 2" xfId="8039"/>
    <cellStyle name="Normal 2 2 11 16" xfId="8040"/>
    <cellStyle name="Normal 2 2 11 16 2" xfId="8041"/>
    <cellStyle name="Normal 2 2 11 17" xfId="8042"/>
    <cellStyle name="Normal 2 2 11 17 2" xfId="8043"/>
    <cellStyle name="Normal 2 2 11 18" xfId="8044"/>
    <cellStyle name="Normal 2 2 11 2" xfId="8045"/>
    <cellStyle name="Normal 2 2 11 2 2" xfId="8046"/>
    <cellStyle name="Normal 2 2 11 2 2 10" xfId="8047"/>
    <cellStyle name="Normal 2 2 11 2 2 10 2" xfId="8048"/>
    <cellStyle name="Normal 2 2 11 2 2 11" xfId="8049"/>
    <cellStyle name="Normal 2 2 11 2 2 11 2" xfId="8050"/>
    <cellStyle name="Normal 2 2 11 2 2 12" xfId="8051"/>
    <cellStyle name="Normal 2 2 11 2 2 12 2" xfId="8052"/>
    <cellStyle name="Normal 2 2 11 2 2 13" xfId="8053"/>
    <cellStyle name="Normal 2 2 11 2 2 13 2" xfId="8054"/>
    <cellStyle name="Normal 2 2 11 2 2 14" xfId="8055"/>
    <cellStyle name="Normal 2 2 11 2 2 14 2" xfId="8056"/>
    <cellStyle name="Normal 2 2 11 2 2 15" xfId="8057"/>
    <cellStyle name="Normal 2 2 11 2 2 15 2" xfId="8058"/>
    <cellStyle name="Normal 2 2 11 2 2 16" xfId="8059"/>
    <cellStyle name="Normal 2 2 11 2 2 16 2" xfId="8060"/>
    <cellStyle name="Normal 2 2 11 2 2 17" xfId="8061"/>
    <cellStyle name="Normal 2 2 11 2 2 2" xfId="8062"/>
    <cellStyle name="Normal 2 2 11 2 2 2 2" xfId="41807"/>
    <cellStyle name="Normal 2 2 11 2 2 3" xfId="8063"/>
    <cellStyle name="Normal 2 2 11 2 2 3 2" xfId="41808"/>
    <cellStyle name="Normal 2 2 11 2 2 4" xfId="8064"/>
    <cellStyle name="Normal 2 2 11 2 2 4 2" xfId="41809"/>
    <cellStyle name="Normal 2 2 11 2 2 5" xfId="8065"/>
    <cellStyle name="Normal 2 2 11 2 2 5 2" xfId="41810"/>
    <cellStyle name="Normal 2 2 11 2 2 6" xfId="8066"/>
    <cellStyle name="Normal 2 2 11 2 2 6 10" xfId="8067"/>
    <cellStyle name="Normal 2 2 11 2 2 6 10 2" xfId="8068"/>
    <cellStyle name="Normal 2 2 11 2 2 6 11" xfId="8069"/>
    <cellStyle name="Normal 2 2 11 2 2 6 11 2" xfId="8070"/>
    <cellStyle name="Normal 2 2 11 2 2 6 12" xfId="8071"/>
    <cellStyle name="Normal 2 2 11 2 2 6 2" xfId="8072"/>
    <cellStyle name="Normal 2 2 11 2 2 6 2 10" xfId="8073"/>
    <cellStyle name="Normal 2 2 11 2 2 6 2 10 2" xfId="8074"/>
    <cellStyle name="Normal 2 2 11 2 2 6 2 11" xfId="8075"/>
    <cellStyle name="Normal 2 2 11 2 2 6 2 2" xfId="8076"/>
    <cellStyle name="Normal 2 2 11 2 2 6 2 2 2" xfId="8077"/>
    <cellStyle name="Normal 2 2 11 2 2 6 2 3" xfId="8078"/>
    <cellStyle name="Normal 2 2 11 2 2 6 2 3 2" xfId="8079"/>
    <cellStyle name="Normal 2 2 11 2 2 6 2 4" xfId="8080"/>
    <cellStyle name="Normal 2 2 11 2 2 6 2 4 2" xfId="8081"/>
    <cellStyle name="Normal 2 2 11 2 2 6 2 5" xfId="8082"/>
    <cellStyle name="Normal 2 2 11 2 2 6 2 5 2" xfId="8083"/>
    <cellStyle name="Normal 2 2 11 2 2 6 2 6" xfId="8084"/>
    <cellStyle name="Normal 2 2 11 2 2 6 2 6 2" xfId="8085"/>
    <cellStyle name="Normal 2 2 11 2 2 6 2 7" xfId="8086"/>
    <cellStyle name="Normal 2 2 11 2 2 6 2 7 2" xfId="8087"/>
    <cellStyle name="Normal 2 2 11 2 2 6 2 8" xfId="8088"/>
    <cellStyle name="Normal 2 2 11 2 2 6 2 8 2" xfId="8089"/>
    <cellStyle name="Normal 2 2 11 2 2 6 2 9" xfId="8090"/>
    <cellStyle name="Normal 2 2 11 2 2 6 2 9 2" xfId="8091"/>
    <cellStyle name="Normal 2 2 11 2 2 6 3" xfId="8092"/>
    <cellStyle name="Normal 2 2 11 2 2 6 3 2" xfId="8093"/>
    <cellStyle name="Normal 2 2 11 2 2 6 4" xfId="8094"/>
    <cellStyle name="Normal 2 2 11 2 2 6 4 2" xfId="8095"/>
    <cellStyle name="Normal 2 2 11 2 2 6 5" xfId="8096"/>
    <cellStyle name="Normal 2 2 11 2 2 6 5 2" xfId="8097"/>
    <cellStyle name="Normal 2 2 11 2 2 6 6" xfId="8098"/>
    <cellStyle name="Normal 2 2 11 2 2 6 6 2" xfId="8099"/>
    <cellStyle name="Normal 2 2 11 2 2 6 7" xfId="8100"/>
    <cellStyle name="Normal 2 2 11 2 2 6 7 2" xfId="8101"/>
    <cellStyle name="Normal 2 2 11 2 2 6 8" xfId="8102"/>
    <cellStyle name="Normal 2 2 11 2 2 6 8 2" xfId="8103"/>
    <cellStyle name="Normal 2 2 11 2 2 6 9" xfId="8104"/>
    <cellStyle name="Normal 2 2 11 2 2 6 9 2" xfId="8105"/>
    <cellStyle name="Normal 2 2 11 2 2 7" xfId="8106"/>
    <cellStyle name="Normal 2 2 11 2 2 7 10" xfId="8107"/>
    <cellStyle name="Normal 2 2 11 2 2 7 10 2" xfId="8108"/>
    <cellStyle name="Normal 2 2 11 2 2 7 11" xfId="8109"/>
    <cellStyle name="Normal 2 2 11 2 2 7 2" xfId="8110"/>
    <cellStyle name="Normal 2 2 11 2 2 7 2 2" xfId="8111"/>
    <cellStyle name="Normal 2 2 11 2 2 7 3" xfId="8112"/>
    <cellStyle name="Normal 2 2 11 2 2 7 3 2" xfId="8113"/>
    <cellStyle name="Normal 2 2 11 2 2 7 4" xfId="8114"/>
    <cellStyle name="Normal 2 2 11 2 2 7 4 2" xfId="8115"/>
    <cellStyle name="Normal 2 2 11 2 2 7 5" xfId="8116"/>
    <cellStyle name="Normal 2 2 11 2 2 7 5 2" xfId="8117"/>
    <cellStyle name="Normal 2 2 11 2 2 7 6" xfId="8118"/>
    <cellStyle name="Normal 2 2 11 2 2 7 6 2" xfId="8119"/>
    <cellStyle name="Normal 2 2 11 2 2 7 7" xfId="8120"/>
    <cellStyle name="Normal 2 2 11 2 2 7 7 2" xfId="8121"/>
    <cellStyle name="Normal 2 2 11 2 2 7 8" xfId="8122"/>
    <cellStyle name="Normal 2 2 11 2 2 7 8 2" xfId="8123"/>
    <cellStyle name="Normal 2 2 11 2 2 7 9" xfId="8124"/>
    <cellStyle name="Normal 2 2 11 2 2 7 9 2" xfId="8125"/>
    <cellStyle name="Normal 2 2 11 2 2 8" xfId="8126"/>
    <cellStyle name="Normal 2 2 11 2 2 8 2" xfId="8127"/>
    <cellStyle name="Normal 2 2 11 2 2 9" xfId="8128"/>
    <cellStyle name="Normal 2 2 11 2 2 9 2" xfId="8129"/>
    <cellStyle name="Normal 2 2 11 2 3" xfId="8130"/>
    <cellStyle name="Normal 2 2 11 2 3 10" xfId="8131"/>
    <cellStyle name="Normal 2 2 11 2 3 10 2" xfId="8132"/>
    <cellStyle name="Normal 2 2 11 2 3 11" xfId="8133"/>
    <cellStyle name="Normal 2 2 11 2 3 11 2" xfId="8134"/>
    <cellStyle name="Normal 2 2 11 2 3 12" xfId="8135"/>
    <cellStyle name="Normal 2 2 11 2 3 12 2" xfId="8136"/>
    <cellStyle name="Normal 2 2 11 2 3 13" xfId="8137"/>
    <cellStyle name="Normal 2 2 11 2 3 2" xfId="8138"/>
    <cellStyle name="Normal 2 2 11 2 3 2 10" xfId="8139"/>
    <cellStyle name="Normal 2 2 11 2 3 2 10 2" xfId="8140"/>
    <cellStyle name="Normal 2 2 11 2 3 2 11" xfId="8141"/>
    <cellStyle name="Normal 2 2 11 2 3 2 11 2" xfId="8142"/>
    <cellStyle name="Normal 2 2 11 2 3 2 12" xfId="8143"/>
    <cellStyle name="Normal 2 2 11 2 3 2 2" xfId="8144"/>
    <cellStyle name="Normal 2 2 11 2 3 2 2 10" xfId="8145"/>
    <cellStyle name="Normal 2 2 11 2 3 2 2 10 2" xfId="8146"/>
    <cellStyle name="Normal 2 2 11 2 3 2 2 11" xfId="8147"/>
    <cellStyle name="Normal 2 2 11 2 3 2 2 2" xfId="8148"/>
    <cellStyle name="Normal 2 2 11 2 3 2 2 2 2" xfId="8149"/>
    <cellStyle name="Normal 2 2 11 2 3 2 2 3" xfId="8150"/>
    <cellStyle name="Normal 2 2 11 2 3 2 2 3 2" xfId="8151"/>
    <cellStyle name="Normal 2 2 11 2 3 2 2 4" xfId="8152"/>
    <cellStyle name="Normal 2 2 11 2 3 2 2 4 2" xfId="8153"/>
    <cellStyle name="Normal 2 2 11 2 3 2 2 5" xfId="8154"/>
    <cellStyle name="Normal 2 2 11 2 3 2 2 5 2" xfId="8155"/>
    <cellStyle name="Normal 2 2 11 2 3 2 2 6" xfId="8156"/>
    <cellStyle name="Normal 2 2 11 2 3 2 2 6 2" xfId="8157"/>
    <cellStyle name="Normal 2 2 11 2 3 2 2 7" xfId="8158"/>
    <cellStyle name="Normal 2 2 11 2 3 2 2 7 2" xfId="8159"/>
    <cellStyle name="Normal 2 2 11 2 3 2 2 8" xfId="8160"/>
    <cellStyle name="Normal 2 2 11 2 3 2 2 8 2" xfId="8161"/>
    <cellStyle name="Normal 2 2 11 2 3 2 2 9" xfId="8162"/>
    <cellStyle name="Normal 2 2 11 2 3 2 2 9 2" xfId="8163"/>
    <cellStyle name="Normal 2 2 11 2 3 2 3" xfId="8164"/>
    <cellStyle name="Normal 2 2 11 2 3 2 3 2" xfId="8165"/>
    <cellStyle name="Normal 2 2 11 2 3 2 4" xfId="8166"/>
    <cellStyle name="Normal 2 2 11 2 3 2 4 2" xfId="8167"/>
    <cellStyle name="Normal 2 2 11 2 3 2 5" xfId="8168"/>
    <cellStyle name="Normal 2 2 11 2 3 2 5 2" xfId="8169"/>
    <cellStyle name="Normal 2 2 11 2 3 2 6" xfId="8170"/>
    <cellStyle name="Normal 2 2 11 2 3 2 6 2" xfId="8171"/>
    <cellStyle name="Normal 2 2 11 2 3 2 7" xfId="8172"/>
    <cellStyle name="Normal 2 2 11 2 3 2 7 2" xfId="8173"/>
    <cellStyle name="Normal 2 2 11 2 3 2 8" xfId="8174"/>
    <cellStyle name="Normal 2 2 11 2 3 2 8 2" xfId="8175"/>
    <cellStyle name="Normal 2 2 11 2 3 2 9" xfId="8176"/>
    <cellStyle name="Normal 2 2 11 2 3 2 9 2" xfId="8177"/>
    <cellStyle name="Normal 2 2 11 2 3 3" xfId="8178"/>
    <cellStyle name="Normal 2 2 11 2 3 3 10" xfId="8179"/>
    <cellStyle name="Normal 2 2 11 2 3 3 10 2" xfId="8180"/>
    <cellStyle name="Normal 2 2 11 2 3 3 11" xfId="8181"/>
    <cellStyle name="Normal 2 2 11 2 3 3 2" xfId="8182"/>
    <cellStyle name="Normal 2 2 11 2 3 3 2 2" xfId="8183"/>
    <cellStyle name="Normal 2 2 11 2 3 3 3" xfId="8184"/>
    <cellStyle name="Normal 2 2 11 2 3 3 3 2" xfId="8185"/>
    <cellStyle name="Normal 2 2 11 2 3 3 4" xfId="8186"/>
    <cellStyle name="Normal 2 2 11 2 3 3 4 2" xfId="8187"/>
    <cellStyle name="Normal 2 2 11 2 3 3 5" xfId="8188"/>
    <cellStyle name="Normal 2 2 11 2 3 3 5 2" xfId="8189"/>
    <cellStyle name="Normal 2 2 11 2 3 3 6" xfId="8190"/>
    <cellStyle name="Normal 2 2 11 2 3 3 6 2" xfId="8191"/>
    <cellStyle name="Normal 2 2 11 2 3 3 7" xfId="8192"/>
    <cellStyle name="Normal 2 2 11 2 3 3 7 2" xfId="8193"/>
    <cellStyle name="Normal 2 2 11 2 3 3 8" xfId="8194"/>
    <cellStyle name="Normal 2 2 11 2 3 3 8 2" xfId="8195"/>
    <cellStyle name="Normal 2 2 11 2 3 3 9" xfId="8196"/>
    <cellStyle name="Normal 2 2 11 2 3 3 9 2" xfId="8197"/>
    <cellStyle name="Normal 2 2 11 2 3 4" xfId="8198"/>
    <cellStyle name="Normal 2 2 11 2 3 4 2" xfId="8199"/>
    <cellStyle name="Normal 2 2 11 2 3 5" xfId="8200"/>
    <cellStyle name="Normal 2 2 11 2 3 5 2" xfId="8201"/>
    <cellStyle name="Normal 2 2 11 2 3 6" xfId="8202"/>
    <cellStyle name="Normal 2 2 11 2 3 6 2" xfId="8203"/>
    <cellStyle name="Normal 2 2 11 2 3 7" xfId="8204"/>
    <cellStyle name="Normal 2 2 11 2 3 7 2" xfId="8205"/>
    <cellStyle name="Normal 2 2 11 2 3 8" xfId="8206"/>
    <cellStyle name="Normal 2 2 11 2 3 8 2" xfId="8207"/>
    <cellStyle name="Normal 2 2 11 2 3 9" xfId="8208"/>
    <cellStyle name="Normal 2 2 11 2 3 9 2" xfId="8209"/>
    <cellStyle name="Normal 2 2 11 2 4" xfId="8210"/>
    <cellStyle name="Normal 2 2 11 2 4 10" xfId="8211"/>
    <cellStyle name="Normal 2 2 11 2 4 10 2" xfId="8212"/>
    <cellStyle name="Normal 2 2 11 2 4 11" xfId="8213"/>
    <cellStyle name="Normal 2 2 11 2 4 11 2" xfId="8214"/>
    <cellStyle name="Normal 2 2 11 2 4 12" xfId="8215"/>
    <cellStyle name="Normal 2 2 11 2 4 12 2" xfId="8216"/>
    <cellStyle name="Normal 2 2 11 2 4 13" xfId="8217"/>
    <cellStyle name="Normal 2 2 11 2 4 2" xfId="8218"/>
    <cellStyle name="Normal 2 2 11 2 4 2 10" xfId="8219"/>
    <cellStyle name="Normal 2 2 11 2 4 2 10 2" xfId="8220"/>
    <cellStyle name="Normal 2 2 11 2 4 2 11" xfId="8221"/>
    <cellStyle name="Normal 2 2 11 2 4 2 11 2" xfId="8222"/>
    <cellStyle name="Normal 2 2 11 2 4 2 12" xfId="8223"/>
    <cellStyle name="Normal 2 2 11 2 4 2 2" xfId="8224"/>
    <cellStyle name="Normal 2 2 11 2 4 2 2 10" xfId="8225"/>
    <cellStyle name="Normal 2 2 11 2 4 2 2 10 2" xfId="8226"/>
    <cellStyle name="Normal 2 2 11 2 4 2 2 11" xfId="8227"/>
    <cellStyle name="Normal 2 2 11 2 4 2 2 2" xfId="8228"/>
    <cellStyle name="Normal 2 2 11 2 4 2 2 2 2" xfId="8229"/>
    <cellStyle name="Normal 2 2 11 2 4 2 2 3" xfId="8230"/>
    <cellStyle name="Normal 2 2 11 2 4 2 2 3 2" xfId="8231"/>
    <cellStyle name="Normal 2 2 11 2 4 2 2 4" xfId="8232"/>
    <cellStyle name="Normal 2 2 11 2 4 2 2 4 2" xfId="8233"/>
    <cellStyle name="Normal 2 2 11 2 4 2 2 5" xfId="8234"/>
    <cellStyle name="Normal 2 2 11 2 4 2 2 5 2" xfId="8235"/>
    <cellStyle name="Normal 2 2 11 2 4 2 2 6" xfId="8236"/>
    <cellStyle name="Normal 2 2 11 2 4 2 2 6 2" xfId="8237"/>
    <cellStyle name="Normal 2 2 11 2 4 2 2 7" xfId="8238"/>
    <cellStyle name="Normal 2 2 11 2 4 2 2 7 2" xfId="8239"/>
    <cellStyle name="Normal 2 2 11 2 4 2 2 8" xfId="8240"/>
    <cellStyle name="Normal 2 2 11 2 4 2 2 8 2" xfId="8241"/>
    <cellStyle name="Normal 2 2 11 2 4 2 2 9" xfId="8242"/>
    <cellStyle name="Normal 2 2 11 2 4 2 2 9 2" xfId="8243"/>
    <cellStyle name="Normal 2 2 11 2 4 2 3" xfId="8244"/>
    <cellStyle name="Normal 2 2 11 2 4 2 3 2" xfId="8245"/>
    <cellStyle name="Normal 2 2 11 2 4 2 4" xfId="8246"/>
    <cellStyle name="Normal 2 2 11 2 4 2 4 2" xfId="8247"/>
    <cellStyle name="Normal 2 2 11 2 4 2 5" xfId="8248"/>
    <cellStyle name="Normal 2 2 11 2 4 2 5 2" xfId="8249"/>
    <cellStyle name="Normal 2 2 11 2 4 2 6" xfId="8250"/>
    <cellStyle name="Normal 2 2 11 2 4 2 6 2" xfId="8251"/>
    <cellStyle name="Normal 2 2 11 2 4 2 7" xfId="8252"/>
    <cellStyle name="Normal 2 2 11 2 4 2 7 2" xfId="8253"/>
    <cellStyle name="Normal 2 2 11 2 4 2 8" xfId="8254"/>
    <cellStyle name="Normal 2 2 11 2 4 2 8 2" xfId="8255"/>
    <cellStyle name="Normal 2 2 11 2 4 2 9" xfId="8256"/>
    <cellStyle name="Normal 2 2 11 2 4 2 9 2" xfId="8257"/>
    <cellStyle name="Normal 2 2 11 2 4 3" xfId="8258"/>
    <cellStyle name="Normal 2 2 11 2 4 3 10" xfId="8259"/>
    <cellStyle name="Normal 2 2 11 2 4 3 10 2" xfId="8260"/>
    <cellStyle name="Normal 2 2 11 2 4 3 11" xfId="8261"/>
    <cellStyle name="Normal 2 2 11 2 4 3 2" xfId="8262"/>
    <cellStyle name="Normal 2 2 11 2 4 3 2 2" xfId="8263"/>
    <cellStyle name="Normal 2 2 11 2 4 3 3" xfId="8264"/>
    <cellStyle name="Normal 2 2 11 2 4 3 3 2" xfId="8265"/>
    <cellStyle name="Normal 2 2 11 2 4 3 4" xfId="8266"/>
    <cellStyle name="Normal 2 2 11 2 4 3 4 2" xfId="8267"/>
    <cellStyle name="Normal 2 2 11 2 4 3 5" xfId="8268"/>
    <cellStyle name="Normal 2 2 11 2 4 3 5 2" xfId="8269"/>
    <cellStyle name="Normal 2 2 11 2 4 3 6" xfId="8270"/>
    <cellStyle name="Normal 2 2 11 2 4 3 6 2" xfId="8271"/>
    <cellStyle name="Normal 2 2 11 2 4 3 7" xfId="8272"/>
    <cellStyle name="Normal 2 2 11 2 4 3 7 2" xfId="8273"/>
    <cellStyle name="Normal 2 2 11 2 4 3 8" xfId="8274"/>
    <cellStyle name="Normal 2 2 11 2 4 3 8 2" xfId="8275"/>
    <cellStyle name="Normal 2 2 11 2 4 3 9" xfId="8276"/>
    <cellStyle name="Normal 2 2 11 2 4 3 9 2" xfId="8277"/>
    <cellStyle name="Normal 2 2 11 2 4 4" xfId="8278"/>
    <cellStyle name="Normal 2 2 11 2 4 4 2" xfId="8279"/>
    <cellStyle name="Normal 2 2 11 2 4 5" xfId="8280"/>
    <cellStyle name="Normal 2 2 11 2 4 5 2" xfId="8281"/>
    <cellStyle name="Normal 2 2 11 2 4 6" xfId="8282"/>
    <cellStyle name="Normal 2 2 11 2 4 6 2" xfId="8283"/>
    <cellStyle name="Normal 2 2 11 2 4 7" xfId="8284"/>
    <cellStyle name="Normal 2 2 11 2 4 7 2" xfId="8285"/>
    <cellStyle name="Normal 2 2 11 2 4 8" xfId="8286"/>
    <cellStyle name="Normal 2 2 11 2 4 8 2" xfId="8287"/>
    <cellStyle name="Normal 2 2 11 2 4 9" xfId="8288"/>
    <cellStyle name="Normal 2 2 11 2 4 9 2" xfId="8289"/>
    <cellStyle name="Normal 2 2 11 2 5" xfId="8290"/>
    <cellStyle name="Normal 2 2 11 2 5 10" xfId="8291"/>
    <cellStyle name="Normal 2 2 11 2 5 10 2" xfId="8292"/>
    <cellStyle name="Normal 2 2 11 2 5 11" xfId="8293"/>
    <cellStyle name="Normal 2 2 11 2 5 11 2" xfId="8294"/>
    <cellStyle name="Normal 2 2 11 2 5 12" xfId="8295"/>
    <cellStyle name="Normal 2 2 11 2 5 12 2" xfId="8296"/>
    <cellStyle name="Normal 2 2 11 2 5 13" xfId="8297"/>
    <cellStyle name="Normal 2 2 11 2 5 2" xfId="8298"/>
    <cellStyle name="Normal 2 2 11 2 5 2 10" xfId="8299"/>
    <cellStyle name="Normal 2 2 11 2 5 2 10 2" xfId="8300"/>
    <cellStyle name="Normal 2 2 11 2 5 2 11" xfId="8301"/>
    <cellStyle name="Normal 2 2 11 2 5 2 11 2" xfId="8302"/>
    <cellStyle name="Normal 2 2 11 2 5 2 12" xfId="8303"/>
    <cellStyle name="Normal 2 2 11 2 5 2 2" xfId="8304"/>
    <cellStyle name="Normal 2 2 11 2 5 2 2 10" xfId="8305"/>
    <cellStyle name="Normal 2 2 11 2 5 2 2 10 2" xfId="8306"/>
    <cellStyle name="Normal 2 2 11 2 5 2 2 11" xfId="8307"/>
    <cellStyle name="Normal 2 2 11 2 5 2 2 2" xfId="8308"/>
    <cellStyle name="Normal 2 2 11 2 5 2 2 2 2" xfId="8309"/>
    <cellStyle name="Normal 2 2 11 2 5 2 2 3" xfId="8310"/>
    <cellStyle name="Normal 2 2 11 2 5 2 2 3 2" xfId="8311"/>
    <cellStyle name="Normal 2 2 11 2 5 2 2 4" xfId="8312"/>
    <cellStyle name="Normal 2 2 11 2 5 2 2 4 2" xfId="8313"/>
    <cellStyle name="Normal 2 2 11 2 5 2 2 5" xfId="8314"/>
    <cellStyle name="Normal 2 2 11 2 5 2 2 5 2" xfId="8315"/>
    <cellStyle name="Normal 2 2 11 2 5 2 2 6" xfId="8316"/>
    <cellStyle name="Normal 2 2 11 2 5 2 2 6 2" xfId="8317"/>
    <cellStyle name="Normal 2 2 11 2 5 2 2 7" xfId="8318"/>
    <cellStyle name="Normal 2 2 11 2 5 2 2 7 2" xfId="8319"/>
    <cellStyle name="Normal 2 2 11 2 5 2 2 8" xfId="8320"/>
    <cellStyle name="Normal 2 2 11 2 5 2 2 8 2" xfId="8321"/>
    <cellStyle name="Normal 2 2 11 2 5 2 2 9" xfId="8322"/>
    <cellStyle name="Normal 2 2 11 2 5 2 2 9 2" xfId="8323"/>
    <cellStyle name="Normal 2 2 11 2 5 2 3" xfId="8324"/>
    <cellStyle name="Normal 2 2 11 2 5 2 3 2" xfId="8325"/>
    <cellStyle name="Normal 2 2 11 2 5 2 4" xfId="8326"/>
    <cellStyle name="Normal 2 2 11 2 5 2 4 2" xfId="8327"/>
    <cellStyle name="Normal 2 2 11 2 5 2 5" xfId="8328"/>
    <cellStyle name="Normal 2 2 11 2 5 2 5 2" xfId="8329"/>
    <cellStyle name="Normal 2 2 11 2 5 2 6" xfId="8330"/>
    <cellStyle name="Normal 2 2 11 2 5 2 6 2" xfId="8331"/>
    <cellStyle name="Normal 2 2 11 2 5 2 7" xfId="8332"/>
    <cellStyle name="Normal 2 2 11 2 5 2 7 2" xfId="8333"/>
    <cellStyle name="Normal 2 2 11 2 5 2 8" xfId="8334"/>
    <cellStyle name="Normal 2 2 11 2 5 2 8 2" xfId="8335"/>
    <cellStyle name="Normal 2 2 11 2 5 2 9" xfId="8336"/>
    <cellStyle name="Normal 2 2 11 2 5 2 9 2" xfId="8337"/>
    <cellStyle name="Normal 2 2 11 2 5 3" xfId="8338"/>
    <cellStyle name="Normal 2 2 11 2 5 3 10" xfId="8339"/>
    <cellStyle name="Normal 2 2 11 2 5 3 10 2" xfId="8340"/>
    <cellStyle name="Normal 2 2 11 2 5 3 11" xfId="8341"/>
    <cellStyle name="Normal 2 2 11 2 5 3 2" xfId="8342"/>
    <cellStyle name="Normal 2 2 11 2 5 3 2 2" xfId="8343"/>
    <cellStyle name="Normal 2 2 11 2 5 3 3" xfId="8344"/>
    <cellStyle name="Normal 2 2 11 2 5 3 3 2" xfId="8345"/>
    <cellStyle name="Normal 2 2 11 2 5 3 4" xfId="8346"/>
    <cellStyle name="Normal 2 2 11 2 5 3 4 2" xfId="8347"/>
    <cellStyle name="Normal 2 2 11 2 5 3 5" xfId="8348"/>
    <cellStyle name="Normal 2 2 11 2 5 3 5 2" xfId="8349"/>
    <cellStyle name="Normal 2 2 11 2 5 3 6" xfId="8350"/>
    <cellStyle name="Normal 2 2 11 2 5 3 6 2" xfId="8351"/>
    <cellStyle name="Normal 2 2 11 2 5 3 7" xfId="8352"/>
    <cellStyle name="Normal 2 2 11 2 5 3 7 2" xfId="8353"/>
    <cellStyle name="Normal 2 2 11 2 5 3 8" xfId="8354"/>
    <cellStyle name="Normal 2 2 11 2 5 3 8 2" xfId="8355"/>
    <cellStyle name="Normal 2 2 11 2 5 3 9" xfId="8356"/>
    <cellStyle name="Normal 2 2 11 2 5 3 9 2" xfId="8357"/>
    <cellStyle name="Normal 2 2 11 2 5 4" xfId="8358"/>
    <cellStyle name="Normal 2 2 11 2 5 4 2" xfId="8359"/>
    <cellStyle name="Normal 2 2 11 2 5 5" xfId="8360"/>
    <cellStyle name="Normal 2 2 11 2 5 5 2" xfId="8361"/>
    <cellStyle name="Normal 2 2 11 2 5 6" xfId="8362"/>
    <cellStyle name="Normal 2 2 11 2 5 6 2" xfId="8363"/>
    <cellStyle name="Normal 2 2 11 2 5 7" xfId="8364"/>
    <cellStyle name="Normal 2 2 11 2 5 7 2" xfId="8365"/>
    <cellStyle name="Normal 2 2 11 2 5 8" xfId="8366"/>
    <cellStyle name="Normal 2 2 11 2 5 8 2" xfId="8367"/>
    <cellStyle name="Normal 2 2 11 2 5 9" xfId="8368"/>
    <cellStyle name="Normal 2 2 11 2 5 9 2" xfId="8369"/>
    <cellStyle name="Normal 2 2 11 2 6" xfId="41811"/>
    <cellStyle name="Normal 2 2 11 3" xfId="8370"/>
    <cellStyle name="Normal 2 2 11 3 2" xfId="41812"/>
    <cellStyle name="Normal 2 2 11 4" xfId="8371"/>
    <cellStyle name="Normal 2 2 11 4 2" xfId="41813"/>
    <cellStyle name="Normal 2 2 11 5" xfId="8372"/>
    <cellStyle name="Normal 2 2 11 5 2" xfId="41814"/>
    <cellStyle name="Normal 2 2 11 6" xfId="8373"/>
    <cellStyle name="Normal 2 2 11 6 2" xfId="41815"/>
    <cellStyle name="Normal 2 2 11 7" xfId="8374"/>
    <cellStyle name="Normal 2 2 11 7 10" xfId="8375"/>
    <cellStyle name="Normal 2 2 11 7 10 2" xfId="8376"/>
    <cellStyle name="Normal 2 2 11 7 11" xfId="8377"/>
    <cellStyle name="Normal 2 2 11 7 11 2" xfId="8378"/>
    <cellStyle name="Normal 2 2 11 7 12" xfId="8379"/>
    <cellStyle name="Normal 2 2 11 7 2" xfId="8380"/>
    <cellStyle name="Normal 2 2 11 7 2 10" xfId="8381"/>
    <cellStyle name="Normal 2 2 11 7 2 10 2" xfId="8382"/>
    <cellStyle name="Normal 2 2 11 7 2 11" xfId="8383"/>
    <cellStyle name="Normal 2 2 11 7 2 2" xfId="8384"/>
    <cellStyle name="Normal 2 2 11 7 2 2 2" xfId="8385"/>
    <cellStyle name="Normal 2 2 11 7 2 3" xfId="8386"/>
    <cellStyle name="Normal 2 2 11 7 2 3 2" xfId="8387"/>
    <cellStyle name="Normal 2 2 11 7 2 4" xfId="8388"/>
    <cellStyle name="Normal 2 2 11 7 2 4 2" xfId="8389"/>
    <cellStyle name="Normal 2 2 11 7 2 5" xfId="8390"/>
    <cellStyle name="Normal 2 2 11 7 2 5 2" xfId="8391"/>
    <cellStyle name="Normal 2 2 11 7 2 6" xfId="8392"/>
    <cellStyle name="Normal 2 2 11 7 2 6 2" xfId="8393"/>
    <cellStyle name="Normal 2 2 11 7 2 7" xfId="8394"/>
    <cellStyle name="Normal 2 2 11 7 2 7 2" xfId="8395"/>
    <cellStyle name="Normal 2 2 11 7 2 8" xfId="8396"/>
    <cellStyle name="Normal 2 2 11 7 2 8 2" xfId="8397"/>
    <cellStyle name="Normal 2 2 11 7 2 9" xfId="8398"/>
    <cellStyle name="Normal 2 2 11 7 2 9 2" xfId="8399"/>
    <cellStyle name="Normal 2 2 11 7 3" xfId="8400"/>
    <cellStyle name="Normal 2 2 11 7 3 2" xfId="8401"/>
    <cellStyle name="Normal 2 2 11 7 4" xfId="8402"/>
    <cellStyle name="Normal 2 2 11 7 4 2" xfId="8403"/>
    <cellStyle name="Normal 2 2 11 7 5" xfId="8404"/>
    <cellStyle name="Normal 2 2 11 7 5 2" xfId="8405"/>
    <cellStyle name="Normal 2 2 11 7 6" xfId="8406"/>
    <cellStyle name="Normal 2 2 11 7 6 2" xfId="8407"/>
    <cellStyle name="Normal 2 2 11 7 7" xfId="8408"/>
    <cellStyle name="Normal 2 2 11 7 7 2" xfId="8409"/>
    <cellStyle name="Normal 2 2 11 7 8" xfId="8410"/>
    <cellStyle name="Normal 2 2 11 7 8 2" xfId="8411"/>
    <cellStyle name="Normal 2 2 11 7 9" xfId="8412"/>
    <cellStyle name="Normal 2 2 11 7 9 2" xfId="8413"/>
    <cellStyle name="Normal 2 2 11 8" xfId="8414"/>
    <cellStyle name="Normal 2 2 11 8 10" xfId="8415"/>
    <cellStyle name="Normal 2 2 11 8 10 2" xfId="8416"/>
    <cellStyle name="Normal 2 2 11 8 11" xfId="8417"/>
    <cellStyle name="Normal 2 2 11 8 2" xfId="8418"/>
    <cellStyle name="Normal 2 2 11 8 2 2" xfId="8419"/>
    <cellStyle name="Normal 2 2 11 8 3" xfId="8420"/>
    <cellStyle name="Normal 2 2 11 8 3 2" xfId="8421"/>
    <cellStyle name="Normal 2 2 11 8 4" xfId="8422"/>
    <cellStyle name="Normal 2 2 11 8 4 2" xfId="8423"/>
    <cellStyle name="Normal 2 2 11 8 5" xfId="8424"/>
    <cellStyle name="Normal 2 2 11 8 5 2" xfId="8425"/>
    <cellStyle name="Normal 2 2 11 8 6" xfId="8426"/>
    <cellStyle name="Normal 2 2 11 8 6 2" xfId="8427"/>
    <cellStyle name="Normal 2 2 11 8 7" xfId="8428"/>
    <cellStyle name="Normal 2 2 11 8 7 2" xfId="8429"/>
    <cellStyle name="Normal 2 2 11 8 8" xfId="8430"/>
    <cellStyle name="Normal 2 2 11 8 8 2" xfId="8431"/>
    <cellStyle name="Normal 2 2 11 8 9" xfId="8432"/>
    <cellStyle name="Normal 2 2 11 8 9 2" xfId="8433"/>
    <cellStyle name="Normal 2 2 11 9" xfId="8434"/>
    <cellStyle name="Normal 2 2 11 9 2" xfId="8435"/>
    <cellStyle name="Normal 2 2 12" xfId="8436"/>
    <cellStyle name="Normal 2 2 12 2" xfId="41816"/>
    <cellStyle name="Normal 2 2 13" xfId="8437"/>
    <cellStyle name="Normal 2 2 13 2" xfId="41817"/>
    <cellStyle name="Normal 2 2 14" xfId="8438"/>
    <cellStyle name="Normal 2 2 14 2" xfId="41818"/>
    <cellStyle name="Normal 2 2 15" xfId="8439"/>
    <cellStyle name="Normal 2 2 15 10" xfId="8440"/>
    <cellStyle name="Normal 2 2 15 10 2" xfId="8441"/>
    <cellStyle name="Normal 2 2 15 11" xfId="8442"/>
    <cellStyle name="Normal 2 2 15 11 2" xfId="8443"/>
    <cellStyle name="Normal 2 2 15 12" xfId="8444"/>
    <cellStyle name="Normal 2 2 15 12 2" xfId="8445"/>
    <cellStyle name="Normal 2 2 15 13" xfId="8446"/>
    <cellStyle name="Normal 2 2 15 13 2" xfId="8447"/>
    <cellStyle name="Normal 2 2 15 14" xfId="8448"/>
    <cellStyle name="Normal 2 2 15 14 2" xfId="8449"/>
    <cellStyle name="Normal 2 2 15 15" xfId="8450"/>
    <cellStyle name="Normal 2 2 15 15 2" xfId="8451"/>
    <cellStyle name="Normal 2 2 15 16" xfId="8452"/>
    <cellStyle name="Normal 2 2 15 16 2" xfId="8453"/>
    <cellStyle name="Normal 2 2 15 17" xfId="8454"/>
    <cellStyle name="Normal 2 2 15 2" xfId="8455"/>
    <cellStyle name="Normal 2 2 15 2 2" xfId="41819"/>
    <cellStyle name="Normal 2 2 15 3" xfId="8456"/>
    <cellStyle name="Normal 2 2 15 3 2" xfId="41820"/>
    <cellStyle name="Normal 2 2 15 4" xfId="8457"/>
    <cellStyle name="Normal 2 2 15 4 2" xfId="41821"/>
    <cellStyle name="Normal 2 2 15 5" xfId="8458"/>
    <cellStyle name="Normal 2 2 15 5 2" xfId="41822"/>
    <cellStyle name="Normal 2 2 15 6" xfId="8459"/>
    <cellStyle name="Normal 2 2 15 6 10" xfId="8460"/>
    <cellStyle name="Normal 2 2 15 6 10 2" xfId="8461"/>
    <cellStyle name="Normal 2 2 15 6 11" xfId="8462"/>
    <cellStyle name="Normal 2 2 15 6 11 2" xfId="8463"/>
    <cellStyle name="Normal 2 2 15 6 12" xfId="8464"/>
    <cellStyle name="Normal 2 2 15 6 2" xfId="8465"/>
    <cellStyle name="Normal 2 2 15 6 2 10" xfId="8466"/>
    <cellStyle name="Normal 2 2 15 6 2 10 2" xfId="8467"/>
    <cellStyle name="Normal 2 2 15 6 2 11" xfId="8468"/>
    <cellStyle name="Normal 2 2 15 6 2 2" xfId="8469"/>
    <cellStyle name="Normal 2 2 15 6 2 2 2" xfId="8470"/>
    <cellStyle name="Normal 2 2 15 6 2 3" xfId="8471"/>
    <cellStyle name="Normal 2 2 15 6 2 3 2" xfId="8472"/>
    <cellStyle name="Normal 2 2 15 6 2 4" xfId="8473"/>
    <cellStyle name="Normal 2 2 15 6 2 4 2" xfId="8474"/>
    <cellStyle name="Normal 2 2 15 6 2 5" xfId="8475"/>
    <cellStyle name="Normal 2 2 15 6 2 5 2" xfId="8476"/>
    <cellStyle name="Normal 2 2 15 6 2 6" xfId="8477"/>
    <cellStyle name="Normal 2 2 15 6 2 6 2" xfId="8478"/>
    <cellStyle name="Normal 2 2 15 6 2 7" xfId="8479"/>
    <cellStyle name="Normal 2 2 15 6 2 7 2" xfId="8480"/>
    <cellStyle name="Normal 2 2 15 6 2 8" xfId="8481"/>
    <cellStyle name="Normal 2 2 15 6 2 8 2" xfId="8482"/>
    <cellStyle name="Normal 2 2 15 6 2 9" xfId="8483"/>
    <cellStyle name="Normal 2 2 15 6 2 9 2" xfId="8484"/>
    <cellStyle name="Normal 2 2 15 6 3" xfId="8485"/>
    <cellStyle name="Normal 2 2 15 6 3 2" xfId="8486"/>
    <cellStyle name="Normal 2 2 15 6 4" xfId="8487"/>
    <cellStyle name="Normal 2 2 15 6 4 2" xfId="8488"/>
    <cellStyle name="Normal 2 2 15 6 5" xfId="8489"/>
    <cellStyle name="Normal 2 2 15 6 5 2" xfId="8490"/>
    <cellStyle name="Normal 2 2 15 6 6" xfId="8491"/>
    <cellStyle name="Normal 2 2 15 6 6 2" xfId="8492"/>
    <cellStyle name="Normal 2 2 15 6 7" xfId="8493"/>
    <cellStyle name="Normal 2 2 15 6 7 2" xfId="8494"/>
    <cellStyle name="Normal 2 2 15 6 8" xfId="8495"/>
    <cellStyle name="Normal 2 2 15 6 8 2" xfId="8496"/>
    <cellStyle name="Normal 2 2 15 6 9" xfId="8497"/>
    <cellStyle name="Normal 2 2 15 6 9 2" xfId="8498"/>
    <cellStyle name="Normal 2 2 15 7" xfId="8499"/>
    <cellStyle name="Normal 2 2 15 7 10" xfId="8500"/>
    <cellStyle name="Normal 2 2 15 7 10 2" xfId="8501"/>
    <cellStyle name="Normal 2 2 15 7 11" xfId="8502"/>
    <cellStyle name="Normal 2 2 15 7 2" xfId="8503"/>
    <cellStyle name="Normal 2 2 15 7 2 2" xfId="8504"/>
    <cellStyle name="Normal 2 2 15 7 3" xfId="8505"/>
    <cellStyle name="Normal 2 2 15 7 3 2" xfId="8506"/>
    <cellStyle name="Normal 2 2 15 7 4" xfId="8507"/>
    <cellStyle name="Normal 2 2 15 7 4 2" xfId="8508"/>
    <cellStyle name="Normal 2 2 15 7 5" xfId="8509"/>
    <cellStyle name="Normal 2 2 15 7 5 2" xfId="8510"/>
    <cellStyle name="Normal 2 2 15 7 6" xfId="8511"/>
    <cellStyle name="Normal 2 2 15 7 6 2" xfId="8512"/>
    <cellStyle name="Normal 2 2 15 7 7" xfId="8513"/>
    <cellStyle name="Normal 2 2 15 7 7 2" xfId="8514"/>
    <cellStyle name="Normal 2 2 15 7 8" xfId="8515"/>
    <cellStyle name="Normal 2 2 15 7 8 2" xfId="8516"/>
    <cellStyle name="Normal 2 2 15 7 9" xfId="8517"/>
    <cellStyle name="Normal 2 2 15 7 9 2" xfId="8518"/>
    <cellStyle name="Normal 2 2 15 8" xfId="8519"/>
    <cellStyle name="Normal 2 2 15 8 2" xfId="8520"/>
    <cellStyle name="Normal 2 2 15 9" xfId="8521"/>
    <cellStyle name="Normal 2 2 15 9 2" xfId="8522"/>
    <cellStyle name="Normal 2 2 16" xfId="8523"/>
    <cellStyle name="Normal 2 2 16 10" xfId="8524"/>
    <cellStyle name="Normal 2 2 16 10 2" xfId="8525"/>
    <cellStyle name="Normal 2 2 16 11" xfId="8526"/>
    <cellStyle name="Normal 2 2 16 11 2" xfId="8527"/>
    <cellStyle name="Normal 2 2 16 12" xfId="8528"/>
    <cellStyle name="Normal 2 2 16 12 2" xfId="8529"/>
    <cellStyle name="Normal 2 2 16 13" xfId="8530"/>
    <cellStyle name="Normal 2 2 16 2" xfId="8531"/>
    <cellStyle name="Normal 2 2 16 2 10" xfId="8532"/>
    <cellStyle name="Normal 2 2 16 2 10 2" xfId="8533"/>
    <cellStyle name="Normal 2 2 16 2 11" xfId="8534"/>
    <cellStyle name="Normal 2 2 16 2 11 2" xfId="8535"/>
    <cellStyle name="Normal 2 2 16 2 12" xfId="8536"/>
    <cellStyle name="Normal 2 2 16 2 2" xfId="8537"/>
    <cellStyle name="Normal 2 2 16 2 2 10" xfId="8538"/>
    <cellStyle name="Normal 2 2 16 2 2 10 2" xfId="8539"/>
    <cellStyle name="Normal 2 2 16 2 2 11" xfId="8540"/>
    <cellStyle name="Normal 2 2 16 2 2 2" xfId="8541"/>
    <cellStyle name="Normal 2 2 16 2 2 2 2" xfId="8542"/>
    <cellStyle name="Normal 2 2 16 2 2 3" xfId="8543"/>
    <cellStyle name="Normal 2 2 16 2 2 3 2" xfId="8544"/>
    <cellStyle name="Normal 2 2 16 2 2 4" xfId="8545"/>
    <cellStyle name="Normal 2 2 16 2 2 4 2" xfId="8546"/>
    <cellStyle name="Normal 2 2 16 2 2 5" xfId="8547"/>
    <cellStyle name="Normal 2 2 16 2 2 5 2" xfId="8548"/>
    <cellStyle name="Normal 2 2 16 2 2 6" xfId="8549"/>
    <cellStyle name="Normal 2 2 16 2 2 6 2" xfId="8550"/>
    <cellStyle name="Normal 2 2 16 2 2 7" xfId="8551"/>
    <cellStyle name="Normal 2 2 16 2 2 7 2" xfId="8552"/>
    <cellStyle name="Normal 2 2 16 2 2 8" xfId="8553"/>
    <cellStyle name="Normal 2 2 16 2 2 8 2" xfId="8554"/>
    <cellStyle name="Normal 2 2 16 2 2 9" xfId="8555"/>
    <cellStyle name="Normal 2 2 16 2 2 9 2" xfId="8556"/>
    <cellStyle name="Normal 2 2 16 2 3" xfId="8557"/>
    <cellStyle name="Normal 2 2 16 2 3 2" xfId="8558"/>
    <cellStyle name="Normal 2 2 16 2 4" xfId="8559"/>
    <cellStyle name="Normal 2 2 16 2 4 2" xfId="8560"/>
    <cellStyle name="Normal 2 2 16 2 5" xfId="8561"/>
    <cellStyle name="Normal 2 2 16 2 5 2" xfId="8562"/>
    <cellStyle name="Normal 2 2 16 2 6" xfId="8563"/>
    <cellStyle name="Normal 2 2 16 2 6 2" xfId="8564"/>
    <cellStyle name="Normal 2 2 16 2 7" xfId="8565"/>
    <cellStyle name="Normal 2 2 16 2 7 2" xfId="8566"/>
    <cellStyle name="Normal 2 2 16 2 8" xfId="8567"/>
    <cellStyle name="Normal 2 2 16 2 8 2" xfId="8568"/>
    <cellStyle name="Normal 2 2 16 2 9" xfId="8569"/>
    <cellStyle name="Normal 2 2 16 2 9 2" xfId="8570"/>
    <cellStyle name="Normal 2 2 16 3" xfId="8571"/>
    <cellStyle name="Normal 2 2 16 3 10" xfId="8572"/>
    <cellStyle name="Normal 2 2 16 3 10 2" xfId="8573"/>
    <cellStyle name="Normal 2 2 16 3 11" xfId="8574"/>
    <cellStyle name="Normal 2 2 16 3 2" xfId="8575"/>
    <cellStyle name="Normal 2 2 16 3 2 2" xfId="8576"/>
    <cellStyle name="Normal 2 2 16 3 3" xfId="8577"/>
    <cellStyle name="Normal 2 2 16 3 3 2" xfId="8578"/>
    <cellStyle name="Normal 2 2 16 3 4" xfId="8579"/>
    <cellStyle name="Normal 2 2 16 3 4 2" xfId="8580"/>
    <cellStyle name="Normal 2 2 16 3 5" xfId="8581"/>
    <cellStyle name="Normal 2 2 16 3 5 2" xfId="8582"/>
    <cellStyle name="Normal 2 2 16 3 6" xfId="8583"/>
    <cellStyle name="Normal 2 2 16 3 6 2" xfId="8584"/>
    <cellStyle name="Normal 2 2 16 3 7" xfId="8585"/>
    <cellStyle name="Normal 2 2 16 3 7 2" xfId="8586"/>
    <cellStyle name="Normal 2 2 16 3 8" xfId="8587"/>
    <cellStyle name="Normal 2 2 16 3 8 2" xfId="8588"/>
    <cellStyle name="Normal 2 2 16 3 9" xfId="8589"/>
    <cellStyle name="Normal 2 2 16 3 9 2" xfId="8590"/>
    <cellStyle name="Normal 2 2 16 4" xfId="8591"/>
    <cellStyle name="Normal 2 2 16 4 2" xfId="8592"/>
    <cellStyle name="Normal 2 2 16 5" xfId="8593"/>
    <cellStyle name="Normal 2 2 16 5 2" xfId="8594"/>
    <cellStyle name="Normal 2 2 16 6" xfId="8595"/>
    <cellStyle name="Normal 2 2 16 6 2" xfId="8596"/>
    <cellStyle name="Normal 2 2 16 7" xfId="8597"/>
    <cellStyle name="Normal 2 2 16 7 2" xfId="8598"/>
    <cellStyle name="Normal 2 2 16 8" xfId="8599"/>
    <cellStyle name="Normal 2 2 16 8 2" xfId="8600"/>
    <cellStyle name="Normal 2 2 16 9" xfId="8601"/>
    <cellStyle name="Normal 2 2 16 9 2" xfId="8602"/>
    <cellStyle name="Normal 2 2 17" xfId="8603"/>
    <cellStyle name="Normal 2 2 17 10" xfId="8604"/>
    <cellStyle name="Normal 2 2 17 10 2" xfId="8605"/>
    <cellStyle name="Normal 2 2 17 11" xfId="8606"/>
    <cellStyle name="Normal 2 2 17 11 2" xfId="8607"/>
    <cellStyle name="Normal 2 2 17 12" xfId="8608"/>
    <cellStyle name="Normal 2 2 17 12 2" xfId="8609"/>
    <cellStyle name="Normal 2 2 17 13" xfId="8610"/>
    <cellStyle name="Normal 2 2 17 2" xfId="8611"/>
    <cellStyle name="Normal 2 2 17 2 10" xfId="8612"/>
    <cellStyle name="Normal 2 2 17 2 10 2" xfId="8613"/>
    <cellStyle name="Normal 2 2 17 2 11" xfId="8614"/>
    <cellStyle name="Normal 2 2 17 2 11 2" xfId="8615"/>
    <cellStyle name="Normal 2 2 17 2 12" xfId="8616"/>
    <cellStyle name="Normal 2 2 17 2 2" xfId="8617"/>
    <cellStyle name="Normal 2 2 17 2 2 10" xfId="8618"/>
    <cellStyle name="Normal 2 2 17 2 2 10 2" xfId="8619"/>
    <cellStyle name="Normal 2 2 17 2 2 11" xfId="8620"/>
    <cellStyle name="Normal 2 2 17 2 2 2" xfId="8621"/>
    <cellStyle name="Normal 2 2 17 2 2 2 2" xfId="8622"/>
    <cellStyle name="Normal 2 2 17 2 2 3" xfId="8623"/>
    <cellStyle name="Normal 2 2 17 2 2 3 2" xfId="8624"/>
    <cellStyle name="Normal 2 2 17 2 2 4" xfId="8625"/>
    <cellStyle name="Normal 2 2 17 2 2 4 2" xfId="8626"/>
    <cellStyle name="Normal 2 2 17 2 2 5" xfId="8627"/>
    <cellStyle name="Normal 2 2 17 2 2 5 2" xfId="8628"/>
    <cellStyle name="Normal 2 2 17 2 2 6" xfId="8629"/>
    <cellStyle name="Normal 2 2 17 2 2 6 2" xfId="8630"/>
    <cellStyle name="Normal 2 2 17 2 2 7" xfId="8631"/>
    <cellStyle name="Normal 2 2 17 2 2 7 2" xfId="8632"/>
    <cellStyle name="Normal 2 2 17 2 2 8" xfId="8633"/>
    <cellStyle name="Normal 2 2 17 2 2 8 2" xfId="8634"/>
    <cellStyle name="Normal 2 2 17 2 2 9" xfId="8635"/>
    <cellStyle name="Normal 2 2 17 2 2 9 2" xfId="8636"/>
    <cellStyle name="Normal 2 2 17 2 3" xfId="8637"/>
    <cellStyle name="Normal 2 2 17 2 3 2" xfId="8638"/>
    <cellStyle name="Normal 2 2 17 2 4" xfId="8639"/>
    <cellStyle name="Normal 2 2 17 2 4 2" xfId="8640"/>
    <cellStyle name="Normal 2 2 17 2 5" xfId="8641"/>
    <cellStyle name="Normal 2 2 17 2 5 2" xfId="8642"/>
    <cellStyle name="Normal 2 2 17 2 6" xfId="8643"/>
    <cellStyle name="Normal 2 2 17 2 6 2" xfId="8644"/>
    <cellStyle name="Normal 2 2 17 2 7" xfId="8645"/>
    <cellStyle name="Normal 2 2 17 2 7 2" xfId="8646"/>
    <cellStyle name="Normal 2 2 17 2 8" xfId="8647"/>
    <cellStyle name="Normal 2 2 17 2 8 2" xfId="8648"/>
    <cellStyle name="Normal 2 2 17 2 9" xfId="8649"/>
    <cellStyle name="Normal 2 2 17 2 9 2" xfId="8650"/>
    <cellStyle name="Normal 2 2 17 3" xfId="8651"/>
    <cellStyle name="Normal 2 2 17 3 10" xfId="8652"/>
    <cellStyle name="Normal 2 2 17 3 10 2" xfId="8653"/>
    <cellStyle name="Normal 2 2 17 3 11" xfId="8654"/>
    <cellStyle name="Normal 2 2 17 3 2" xfId="8655"/>
    <cellStyle name="Normal 2 2 17 3 2 2" xfId="8656"/>
    <cellStyle name="Normal 2 2 17 3 3" xfId="8657"/>
    <cellStyle name="Normal 2 2 17 3 3 2" xfId="8658"/>
    <cellStyle name="Normal 2 2 17 3 4" xfId="8659"/>
    <cellStyle name="Normal 2 2 17 3 4 2" xfId="8660"/>
    <cellStyle name="Normal 2 2 17 3 5" xfId="8661"/>
    <cellStyle name="Normal 2 2 17 3 5 2" xfId="8662"/>
    <cellStyle name="Normal 2 2 17 3 6" xfId="8663"/>
    <cellStyle name="Normal 2 2 17 3 6 2" xfId="8664"/>
    <cellStyle name="Normal 2 2 17 3 7" xfId="8665"/>
    <cellStyle name="Normal 2 2 17 3 7 2" xfId="8666"/>
    <cellStyle name="Normal 2 2 17 3 8" xfId="8667"/>
    <cellStyle name="Normal 2 2 17 3 8 2" xfId="8668"/>
    <cellStyle name="Normal 2 2 17 3 9" xfId="8669"/>
    <cellStyle name="Normal 2 2 17 3 9 2" xfId="8670"/>
    <cellStyle name="Normal 2 2 17 4" xfId="8671"/>
    <cellStyle name="Normal 2 2 17 4 2" xfId="8672"/>
    <cellStyle name="Normal 2 2 17 5" xfId="8673"/>
    <cellStyle name="Normal 2 2 17 5 2" xfId="8674"/>
    <cellStyle name="Normal 2 2 17 6" xfId="8675"/>
    <cellStyle name="Normal 2 2 17 6 2" xfId="8676"/>
    <cellStyle name="Normal 2 2 17 7" xfId="8677"/>
    <cellStyle name="Normal 2 2 17 7 2" xfId="8678"/>
    <cellStyle name="Normal 2 2 17 8" xfId="8679"/>
    <cellStyle name="Normal 2 2 17 8 2" xfId="8680"/>
    <cellStyle name="Normal 2 2 17 9" xfId="8681"/>
    <cellStyle name="Normal 2 2 17 9 2" xfId="8682"/>
    <cellStyle name="Normal 2 2 18" xfId="8683"/>
    <cellStyle name="Normal 2 2 18 10" xfId="8684"/>
    <cellStyle name="Normal 2 2 18 10 2" xfId="8685"/>
    <cellStyle name="Normal 2 2 18 11" xfId="8686"/>
    <cellStyle name="Normal 2 2 18 11 2" xfId="8687"/>
    <cellStyle name="Normal 2 2 18 12" xfId="8688"/>
    <cellStyle name="Normal 2 2 18 12 2" xfId="8689"/>
    <cellStyle name="Normal 2 2 18 13" xfId="8690"/>
    <cellStyle name="Normal 2 2 18 2" xfId="8691"/>
    <cellStyle name="Normal 2 2 18 2 10" xfId="8692"/>
    <cellStyle name="Normal 2 2 18 2 10 2" xfId="8693"/>
    <cellStyle name="Normal 2 2 18 2 11" xfId="8694"/>
    <cellStyle name="Normal 2 2 18 2 11 2" xfId="8695"/>
    <cellStyle name="Normal 2 2 18 2 12" xfId="8696"/>
    <cellStyle name="Normal 2 2 18 2 2" xfId="8697"/>
    <cellStyle name="Normal 2 2 18 2 2 10" xfId="8698"/>
    <cellStyle name="Normal 2 2 18 2 2 10 2" xfId="8699"/>
    <cellStyle name="Normal 2 2 18 2 2 11" xfId="8700"/>
    <cellStyle name="Normal 2 2 18 2 2 2" xfId="8701"/>
    <cellStyle name="Normal 2 2 18 2 2 2 2" xfId="8702"/>
    <cellStyle name="Normal 2 2 18 2 2 3" xfId="8703"/>
    <cellStyle name="Normal 2 2 18 2 2 3 2" xfId="8704"/>
    <cellStyle name="Normal 2 2 18 2 2 4" xfId="8705"/>
    <cellStyle name="Normal 2 2 18 2 2 4 2" xfId="8706"/>
    <cellStyle name="Normal 2 2 18 2 2 5" xfId="8707"/>
    <cellStyle name="Normal 2 2 18 2 2 5 2" xfId="8708"/>
    <cellStyle name="Normal 2 2 18 2 2 6" xfId="8709"/>
    <cellStyle name="Normal 2 2 18 2 2 6 2" xfId="8710"/>
    <cellStyle name="Normal 2 2 18 2 2 7" xfId="8711"/>
    <cellStyle name="Normal 2 2 18 2 2 7 2" xfId="8712"/>
    <cellStyle name="Normal 2 2 18 2 2 8" xfId="8713"/>
    <cellStyle name="Normal 2 2 18 2 2 8 2" xfId="8714"/>
    <cellStyle name="Normal 2 2 18 2 2 9" xfId="8715"/>
    <cellStyle name="Normal 2 2 18 2 2 9 2" xfId="8716"/>
    <cellStyle name="Normal 2 2 18 2 3" xfId="8717"/>
    <cellStyle name="Normal 2 2 18 2 3 2" xfId="8718"/>
    <cellStyle name="Normal 2 2 18 2 4" xfId="8719"/>
    <cellStyle name="Normal 2 2 18 2 4 2" xfId="8720"/>
    <cellStyle name="Normal 2 2 18 2 5" xfId="8721"/>
    <cellStyle name="Normal 2 2 18 2 5 2" xfId="8722"/>
    <cellStyle name="Normal 2 2 18 2 6" xfId="8723"/>
    <cellStyle name="Normal 2 2 18 2 6 2" xfId="8724"/>
    <cellStyle name="Normal 2 2 18 2 7" xfId="8725"/>
    <cellStyle name="Normal 2 2 18 2 7 2" xfId="8726"/>
    <cellStyle name="Normal 2 2 18 2 8" xfId="8727"/>
    <cellStyle name="Normal 2 2 18 2 8 2" xfId="8728"/>
    <cellStyle name="Normal 2 2 18 2 9" xfId="8729"/>
    <cellStyle name="Normal 2 2 18 2 9 2" xfId="8730"/>
    <cellStyle name="Normal 2 2 18 3" xfId="8731"/>
    <cellStyle name="Normal 2 2 18 3 10" xfId="8732"/>
    <cellStyle name="Normal 2 2 18 3 10 2" xfId="8733"/>
    <cellStyle name="Normal 2 2 18 3 11" xfId="8734"/>
    <cellStyle name="Normal 2 2 18 3 2" xfId="8735"/>
    <cellStyle name="Normal 2 2 18 3 2 2" xfId="8736"/>
    <cellStyle name="Normal 2 2 18 3 3" xfId="8737"/>
    <cellStyle name="Normal 2 2 18 3 3 2" xfId="8738"/>
    <cellStyle name="Normal 2 2 18 3 4" xfId="8739"/>
    <cellStyle name="Normal 2 2 18 3 4 2" xfId="8740"/>
    <cellStyle name="Normal 2 2 18 3 5" xfId="8741"/>
    <cellStyle name="Normal 2 2 18 3 5 2" xfId="8742"/>
    <cellStyle name="Normal 2 2 18 3 6" xfId="8743"/>
    <cellStyle name="Normal 2 2 18 3 6 2" xfId="8744"/>
    <cellStyle name="Normal 2 2 18 3 7" xfId="8745"/>
    <cellStyle name="Normal 2 2 18 3 7 2" xfId="8746"/>
    <cellStyle name="Normal 2 2 18 3 8" xfId="8747"/>
    <cellStyle name="Normal 2 2 18 3 8 2" xfId="8748"/>
    <cellStyle name="Normal 2 2 18 3 9" xfId="8749"/>
    <cellStyle name="Normal 2 2 18 3 9 2" xfId="8750"/>
    <cellStyle name="Normal 2 2 18 4" xfId="8751"/>
    <cellStyle name="Normal 2 2 18 4 2" xfId="8752"/>
    <cellStyle name="Normal 2 2 18 5" xfId="8753"/>
    <cellStyle name="Normal 2 2 18 5 2" xfId="8754"/>
    <cellStyle name="Normal 2 2 18 6" xfId="8755"/>
    <cellStyle name="Normal 2 2 18 6 2" xfId="8756"/>
    <cellStyle name="Normal 2 2 18 7" xfId="8757"/>
    <cellStyle name="Normal 2 2 18 7 2" xfId="8758"/>
    <cellStyle name="Normal 2 2 18 8" xfId="8759"/>
    <cellStyle name="Normal 2 2 18 8 2" xfId="8760"/>
    <cellStyle name="Normal 2 2 18 9" xfId="8761"/>
    <cellStyle name="Normal 2 2 18 9 2" xfId="8762"/>
    <cellStyle name="Normal 2 2 19" xfId="8763"/>
    <cellStyle name="Normal 2 2 2" xfId="195"/>
    <cellStyle name="Normal 2 2 2 10" xfId="8764"/>
    <cellStyle name="Normal 2 2 2 10 10" xfId="8765"/>
    <cellStyle name="Normal 2 2 2 10 10 2" xfId="8766"/>
    <cellStyle name="Normal 2 2 2 10 11" xfId="8767"/>
    <cellStyle name="Normal 2 2 2 10 11 2" xfId="8768"/>
    <cellStyle name="Normal 2 2 2 10 12" xfId="8769"/>
    <cellStyle name="Normal 2 2 2 10 12 2" xfId="8770"/>
    <cellStyle name="Normal 2 2 2 10 13" xfId="8771"/>
    <cellStyle name="Normal 2 2 2 10 2" xfId="8772"/>
    <cellStyle name="Normal 2 2 2 10 2 10" xfId="8773"/>
    <cellStyle name="Normal 2 2 2 10 2 10 2" xfId="8774"/>
    <cellStyle name="Normal 2 2 2 10 2 11" xfId="8775"/>
    <cellStyle name="Normal 2 2 2 10 2 11 2" xfId="8776"/>
    <cellStyle name="Normal 2 2 2 10 2 12" xfId="8777"/>
    <cellStyle name="Normal 2 2 2 10 2 2" xfId="8778"/>
    <cellStyle name="Normal 2 2 2 10 2 2 10" xfId="8779"/>
    <cellStyle name="Normal 2 2 2 10 2 2 10 2" xfId="8780"/>
    <cellStyle name="Normal 2 2 2 10 2 2 11" xfId="8781"/>
    <cellStyle name="Normal 2 2 2 10 2 2 2" xfId="8782"/>
    <cellStyle name="Normal 2 2 2 10 2 2 2 2" xfId="8783"/>
    <cellStyle name="Normal 2 2 2 10 2 2 3" xfId="8784"/>
    <cellStyle name="Normal 2 2 2 10 2 2 3 2" xfId="8785"/>
    <cellStyle name="Normal 2 2 2 10 2 2 4" xfId="8786"/>
    <cellStyle name="Normal 2 2 2 10 2 2 4 2" xfId="8787"/>
    <cellStyle name="Normal 2 2 2 10 2 2 5" xfId="8788"/>
    <cellStyle name="Normal 2 2 2 10 2 2 5 2" xfId="8789"/>
    <cellStyle name="Normal 2 2 2 10 2 2 6" xfId="8790"/>
    <cellStyle name="Normal 2 2 2 10 2 2 6 2" xfId="8791"/>
    <cellStyle name="Normal 2 2 2 10 2 2 7" xfId="8792"/>
    <cellStyle name="Normal 2 2 2 10 2 2 7 2" xfId="8793"/>
    <cellStyle name="Normal 2 2 2 10 2 2 8" xfId="8794"/>
    <cellStyle name="Normal 2 2 2 10 2 2 8 2" xfId="8795"/>
    <cellStyle name="Normal 2 2 2 10 2 2 9" xfId="8796"/>
    <cellStyle name="Normal 2 2 2 10 2 2 9 2" xfId="8797"/>
    <cellStyle name="Normal 2 2 2 10 2 3" xfId="8798"/>
    <cellStyle name="Normal 2 2 2 10 2 3 2" xfId="8799"/>
    <cellStyle name="Normal 2 2 2 10 2 4" xfId="8800"/>
    <cellStyle name="Normal 2 2 2 10 2 4 2" xfId="8801"/>
    <cellStyle name="Normal 2 2 2 10 2 5" xfId="8802"/>
    <cellStyle name="Normal 2 2 2 10 2 5 2" xfId="8803"/>
    <cellStyle name="Normal 2 2 2 10 2 6" xfId="8804"/>
    <cellStyle name="Normal 2 2 2 10 2 6 2" xfId="8805"/>
    <cellStyle name="Normal 2 2 2 10 2 7" xfId="8806"/>
    <cellStyle name="Normal 2 2 2 10 2 7 2" xfId="8807"/>
    <cellStyle name="Normal 2 2 2 10 2 8" xfId="8808"/>
    <cellStyle name="Normal 2 2 2 10 2 8 2" xfId="8809"/>
    <cellStyle name="Normal 2 2 2 10 2 9" xfId="8810"/>
    <cellStyle name="Normal 2 2 2 10 2 9 2" xfId="8811"/>
    <cellStyle name="Normal 2 2 2 10 3" xfId="8812"/>
    <cellStyle name="Normal 2 2 2 10 3 10" xfId="8813"/>
    <cellStyle name="Normal 2 2 2 10 3 10 2" xfId="8814"/>
    <cellStyle name="Normal 2 2 2 10 3 11" xfId="8815"/>
    <cellStyle name="Normal 2 2 2 10 3 2" xfId="8816"/>
    <cellStyle name="Normal 2 2 2 10 3 2 2" xfId="8817"/>
    <cellStyle name="Normal 2 2 2 10 3 3" xfId="8818"/>
    <cellStyle name="Normal 2 2 2 10 3 3 2" xfId="8819"/>
    <cellStyle name="Normal 2 2 2 10 3 4" xfId="8820"/>
    <cellStyle name="Normal 2 2 2 10 3 4 2" xfId="8821"/>
    <cellStyle name="Normal 2 2 2 10 3 5" xfId="8822"/>
    <cellStyle name="Normal 2 2 2 10 3 5 2" xfId="8823"/>
    <cellStyle name="Normal 2 2 2 10 3 6" xfId="8824"/>
    <cellStyle name="Normal 2 2 2 10 3 6 2" xfId="8825"/>
    <cellStyle name="Normal 2 2 2 10 3 7" xfId="8826"/>
    <cellStyle name="Normal 2 2 2 10 3 7 2" xfId="8827"/>
    <cellStyle name="Normal 2 2 2 10 3 8" xfId="8828"/>
    <cellStyle name="Normal 2 2 2 10 3 8 2" xfId="8829"/>
    <cellStyle name="Normal 2 2 2 10 3 9" xfId="8830"/>
    <cellStyle name="Normal 2 2 2 10 3 9 2" xfId="8831"/>
    <cellStyle name="Normal 2 2 2 10 4" xfId="8832"/>
    <cellStyle name="Normal 2 2 2 10 4 2" xfId="8833"/>
    <cellStyle name="Normal 2 2 2 10 5" xfId="8834"/>
    <cellStyle name="Normal 2 2 2 10 5 2" xfId="8835"/>
    <cellStyle name="Normal 2 2 2 10 6" xfId="8836"/>
    <cellStyle name="Normal 2 2 2 10 6 2" xfId="8837"/>
    <cellStyle name="Normal 2 2 2 10 7" xfId="8838"/>
    <cellStyle name="Normal 2 2 2 10 7 2" xfId="8839"/>
    <cellStyle name="Normal 2 2 2 10 8" xfId="8840"/>
    <cellStyle name="Normal 2 2 2 10 8 2" xfId="8841"/>
    <cellStyle name="Normal 2 2 2 10 9" xfId="8842"/>
    <cellStyle name="Normal 2 2 2 10 9 2" xfId="8843"/>
    <cellStyle name="Normal 2 2 2 11" xfId="8844"/>
    <cellStyle name="Normal 2 2 2 11 10" xfId="8845"/>
    <cellStyle name="Normal 2 2 2 11 10 2" xfId="8846"/>
    <cellStyle name="Normal 2 2 2 11 11" xfId="8847"/>
    <cellStyle name="Normal 2 2 2 11 11 2" xfId="8848"/>
    <cellStyle name="Normal 2 2 2 11 12" xfId="8849"/>
    <cellStyle name="Normal 2 2 2 11 12 2" xfId="8850"/>
    <cellStyle name="Normal 2 2 2 11 13" xfId="8851"/>
    <cellStyle name="Normal 2 2 2 11 2" xfId="8852"/>
    <cellStyle name="Normal 2 2 2 11 2 10" xfId="8853"/>
    <cellStyle name="Normal 2 2 2 11 2 10 2" xfId="8854"/>
    <cellStyle name="Normal 2 2 2 11 2 11" xfId="8855"/>
    <cellStyle name="Normal 2 2 2 11 2 11 2" xfId="8856"/>
    <cellStyle name="Normal 2 2 2 11 2 12" xfId="8857"/>
    <cellStyle name="Normal 2 2 2 11 2 2" xfId="8858"/>
    <cellStyle name="Normal 2 2 2 11 2 2 10" xfId="8859"/>
    <cellStyle name="Normal 2 2 2 11 2 2 10 2" xfId="8860"/>
    <cellStyle name="Normal 2 2 2 11 2 2 11" xfId="8861"/>
    <cellStyle name="Normal 2 2 2 11 2 2 2" xfId="8862"/>
    <cellStyle name="Normal 2 2 2 11 2 2 2 2" xfId="8863"/>
    <cellStyle name="Normal 2 2 2 11 2 2 3" xfId="8864"/>
    <cellStyle name="Normal 2 2 2 11 2 2 3 2" xfId="8865"/>
    <cellStyle name="Normal 2 2 2 11 2 2 4" xfId="8866"/>
    <cellStyle name="Normal 2 2 2 11 2 2 4 2" xfId="8867"/>
    <cellStyle name="Normal 2 2 2 11 2 2 5" xfId="8868"/>
    <cellStyle name="Normal 2 2 2 11 2 2 5 2" xfId="8869"/>
    <cellStyle name="Normal 2 2 2 11 2 2 6" xfId="8870"/>
    <cellStyle name="Normal 2 2 2 11 2 2 6 2" xfId="8871"/>
    <cellStyle name="Normal 2 2 2 11 2 2 7" xfId="8872"/>
    <cellStyle name="Normal 2 2 2 11 2 2 7 2" xfId="8873"/>
    <cellStyle name="Normal 2 2 2 11 2 2 8" xfId="8874"/>
    <cellStyle name="Normal 2 2 2 11 2 2 8 2" xfId="8875"/>
    <cellStyle name="Normal 2 2 2 11 2 2 9" xfId="8876"/>
    <cellStyle name="Normal 2 2 2 11 2 2 9 2" xfId="8877"/>
    <cellStyle name="Normal 2 2 2 11 2 3" xfId="8878"/>
    <cellStyle name="Normal 2 2 2 11 2 3 2" xfId="8879"/>
    <cellStyle name="Normal 2 2 2 11 2 4" xfId="8880"/>
    <cellStyle name="Normal 2 2 2 11 2 4 2" xfId="8881"/>
    <cellStyle name="Normal 2 2 2 11 2 5" xfId="8882"/>
    <cellStyle name="Normal 2 2 2 11 2 5 2" xfId="8883"/>
    <cellStyle name="Normal 2 2 2 11 2 6" xfId="8884"/>
    <cellStyle name="Normal 2 2 2 11 2 6 2" xfId="8885"/>
    <cellStyle name="Normal 2 2 2 11 2 7" xfId="8886"/>
    <cellStyle name="Normal 2 2 2 11 2 7 2" xfId="8887"/>
    <cellStyle name="Normal 2 2 2 11 2 8" xfId="8888"/>
    <cellStyle name="Normal 2 2 2 11 2 8 2" xfId="8889"/>
    <cellStyle name="Normal 2 2 2 11 2 9" xfId="8890"/>
    <cellStyle name="Normal 2 2 2 11 2 9 2" xfId="8891"/>
    <cellStyle name="Normal 2 2 2 11 3" xfId="8892"/>
    <cellStyle name="Normal 2 2 2 11 3 10" xfId="8893"/>
    <cellStyle name="Normal 2 2 2 11 3 10 2" xfId="8894"/>
    <cellStyle name="Normal 2 2 2 11 3 11" xfId="8895"/>
    <cellStyle name="Normal 2 2 2 11 3 2" xfId="8896"/>
    <cellStyle name="Normal 2 2 2 11 3 2 2" xfId="8897"/>
    <cellStyle name="Normal 2 2 2 11 3 3" xfId="8898"/>
    <cellStyle name="Normal 2 2 2 11 3 3 2" xfId="8899"/>
    <cellStyle name="Normal 2 2 2 11 3 4" xfId="8900"/>
    <cellStyle name="Normal 2 2 2 11 3 4 2" xfId="8901"/>
    <cellStyle name="Normal 2 2 2 11 3 5" xfId="8902"/>
    <cellStyle name="Normal 2 2 2 11 3 5 2" xfId="8903"/>
    <cellStyle name="Normal 2 2 2 11 3 6" xfId="8904"/>
    <cellStyle name="Normal 2 2 2 11 3 6 2" xfId="8905"/>
    <cellStyle name="Normal 2 2 2 11 3 7" xfId="8906"/>
    <cellStyle name="Normal 2 2 2 11 3 7 2" xfId="8907"/>
    <cellStyle name="Normal 2 2 2 11 3 8" xfId="8908"/>
    <cellStyle name="Normal 2 2 2 11 3 8 2" xfId="8909"/>
    <cellStyle name="Normal 2 2 2 11 3 9" xfId="8910"/>
    <cellStyle name="Normal 2 2 2 11 3 9 2" xfId="8911"/>
    <cellStyle name="Normal 2 2 2 11 4" xfId="8912"/>
    <cellStyle name="Normal 2 2 2 11 4 2" xfId="8913"/>
    <cellStyle name="Normal 2 2 2 11 5" xfId="8914"/>
    <cellStyle name="Normal 2 2 2 11 5 2" xfId="8915"/>
    <cellStyle name="Normal 2 2 2 11 6" xfId="8916"/>
    <cellStyle name="Normal 2 2 2 11 6 2" xfId="8917"/>
    <cellStyle name="Normal 2 2 2 11 7" xfId="8918"/>
    <cellStyle name="Normal 2 2 2 11 7 2" xfId="8919"/>
    <cellStyle name="Normal 2 2 2 11 8" xfId="8920"/>
    <cellStyle name="Normal 2 2 2 11 8 2" xfId="8921"/>
    <cellStyle name="Normal 2 2 2 11 9" xfId="8922"/>
    <cellStyle name="Normal 2 2 2 11 9 2" xfId="8923"/>
    <cellStyle name="Normal 2 2 2 12" xfId="8924"/>
    <cellStyle name="Normal 2 2 2 12 10" xfId="8925"/>
    <cellStyle name="Normal 2 2 2 12 10 2" xfId="8926"/>
    <cellStyle name="Normal 2 2 2 12 11" xfId="8927"/>
    <cellStyle name="Normal 2 2 2 12 11 2" xfId="8928"/>
    <cellStyle name="Normal 2 2 2 12 12" xfId="8929"/>
    <cellStyle name="Normal 2 2 2 12 12 2" xfId="8930"/>
    <cellStyle name="Normal 2 2 2 12 13" xfId="8931"/>
    <cellStyle name="Normal 2 2 2 12 2" xfId="8932"/>
    <cellStyle name="Normal 2 2 2 12 2 10" xfId="8933"/>
    <cellStyle name="Normal 2 2 2 12 2 10 2" xfId="8934"/>
    <cellStyle name="Normal 2 2 2 12 2 11" xfId="8935"/>
    <cellStyle name="Normal 2 2 2 12 2 11 2" xfId="8936"/>
    <cellStyle name="Normal 2 2 2 12 2 12" xfId="8937"/>
    <cellStyle name="Normal 2 2 2 12 2 2" xfId="8938"/>
    <cellStyle name="Normal 2 2 2 12 2 2 10" xfId="8939"/>
    <cellStyle name="Normal 2 2 2 12 2 2 10 2" xfId="8940"/>
    <cellStyle name="Normal 2 2 2 12 2 2 11" xfId="8941"/>
    <cellStyle name="Normal 2 2 2 12 2 2 2" xfId="8942"/>
    <cellStyle name="Normal 2 2 2 12 2 2 2 2" xfId="8943"/>
    <cellStyle name="Normal 2 2 2 12 2 2 3" xfId="8944"/>
    <cellStyle name="Normal 2 2 2 12 2 2 3 2" xfId="8945"/>
    <cellStyle name="Normal 2 2 2 12 2 2 4" xfId="8946"/>
    <cellStyle name="Normal 2 2 2 12 2 2 4 2" xfId="8947"/>
    <cellStyle name="Normal 2 2 2 12 2 2 5" xfId="8948"/>
    <cellStyle name="Normal 2 2 2 12 2 2 5 2" xfId="8949"/>
    <cellStyle name="Normal 2 2 2 12 2 2 6" xfId="8950"/>
    <cellStyle name="Normal 2 2 2 12 2 2 6 2" xfId="8951"/>
    <cellStyle name="Normal 2 2 2 12 2 2 7" xfId="8952"/>
    <cellStyle name="Normal 2 2 2 12 2 2 7 2" xfId="8953"/>
    <cellStyle name="Normal 2 2 2 12 2 2 8" xfId="8954"/>
    <cellStyle name="Normal 2 2 2 12 2 2 8 2" xfId="8955"/>
    <cellStyle name="Normal 2 2 2 12 2 2 9" xfId="8956"/>
    <cellStyle name="Normal 2 2 2 12 2 2 9 2" xfId="8957"/>
    <cellStyle name="Normal 2 2 2 12 2 3" xfId="8958"/>
    <cellStyle name="Normal 2 2 2 12 2 3 2" xfId="8959"/>
    <cellStyle name="Normal 2 2 2 12 2 4" xfId="8960"/>
    <cellStyle name="Normal 2 2 2 12 2 4 2" xfId="8961"/>
    <cellStyle name="Normal 2 2 2 12 2 5" xfId="8962"/>
    <cellStyle name="Normal 2 2 2 12 2 5 2" xfId="8963"/>
    <cellStyle name="Normal 2 2 2 12 2 6" xfId="8964"/>
    <cellStyle name="Normal 2 2 2 12 2 6 2" xfId="8965"/>
    <cellStyle name="Normal 2 2 2 12 2 7" xfId="8966"/>
    <cellStyle name="Normal 2 2 2 12 2 7 2" xfId="8967"/>
    <cellStyle name="Normal 2 2 2 12 2 8" xfId="8968"/>
    <cellStyle name="Normal 2 2 2 12 2 8 2" xfId="8969"/>
    <cellStyle name="Normal 2 2 2 12 2 9" xfId="8970"/>
    <cellStyle name="Normal 2 2 2 12 2 9 2" xfId="8971"/>
    <cellStyle name="Normal 2 2 2 12 3" xfId="8972"/>
    <cellStyle name="Normal 2 2 2 12 3 10" xfId="8973"/>
    <cellStyle name="Normal 2 2 2 12 3 10 2" xfId="8974"/>
    <cellStyle name="Normal 2 2 2 12 3 11" xfId="8975"/>
    <cellStyle name="Normal 2 2 2 12 3 2" xfId="8976"/>
    <cellStyle name="Normal 2 2 2 12 3 2 2" xfId="8977"/>
    <cellStyle name="Normal 2 2 2 12 3 3" xfId="8978"/>
    <cellStyle name="Normal 2 2 2 12 3 3 2" xfId="8979"/>
    <cellStyle name="Normal 2 2 2 12 3 4" xfId="8980"/>
    <cellStyle name="Normal 2 2 2 12 3 4 2" xfId="8981"/>
    <cellStyle name="Normal 2 2 2 12 3 5" xfId="8982"/>
    <cellStyle name="Normal 2 2 2 12 3 5 2" xfId="8983"/>
    <cellStyle name="Normal 2 2 2 12 3 6" xfId="8984"/>
    <cellStyle name="Normal 2 2 2 12 3 6 2" xfId="8985"/>
    <cellStyle name="Normal 2 2 2 12 3 7" xfId="8986"/>
    <cellStyle name="Normal 2 2 2 12 3 7 2" xfId="8987"/>
    <cellStyle name="Normal 2 2 2 12 3 8" xfId="8988"/>
    <cellStyle name="Normal 2 2 2 12 3 8 2" xfId="8989"/>
    <cellStyle name="Normal 2 2 2 12 3 9" xfId="8990"/>
    <cellStyle name="Normal 2 2 2 12 3 9 2" xfId="8991"/>
    <cellStyle name="Normal 2 2 2 12 4" xfId="8992"/>
    <cellStyle name="Normal 2 2 2 12 4 2" xfId="8993"/>
    <cellStyle name="Normal 2 2 2 12 5" xfId="8994"/>
    <cellStyle name="Normal 2 2 2 12 5 2" xfId="8995"/>
    <cellStyle name="Normal 2 2 2 12 6" xfId="8996"/>
    <cellStyle name="Normal 2 2 2 12 6 2" xfId="8997"/>
    <cellStyle name="Normal 2 2 2 12 7" xfId="8998"/>
    <cellStyle name="Normal 2 2 2 12 7 2" xfId="8999"/>
    <cellStyle name="Normal 2 2 2 12 8" xfId="9000"/>
    <cellStyle name="Normal 2 2 2 12 8 2" xfId="9001"/>
    <cellStyle name="Normal 2 2 2 12 9" xfId="9002"/>
    <cellStyle name="Normal 2 2 2 12 9 2" xfId="9003"/>
    <cellStyle name="Normal 2 2 2 13" xfId="9004"/>
    <cellStyle name="Normal 2 2 2 13 2" xfId="9005"/>
    <cellStyle name="Normal 2 2 2 13 2 10" xfId="9006"/>
    <cellStyle name="Normal 2 2 2 13 2 10 2" xfId="9007"/>
    <cellStyle name="Normal 2 2 2 13 2 11" xfId="9008"/>
    <cellStyle name="Normal 2 2 2 13 2 11 2" xfId="9009"/>
    <cellStyle name="Normal 2 2 2 13 2 12" xfId="9010"/>
    <cellStyle name="Normal 2 2 2 13 2 12 2" xfId="9011"/>
    <cellStyle name="Normal 2 2 2 13 2 13" xfId="9012"/>
    <cellStyle name="Normal 2 2 2 13 2 2" xfId="9013"/>
    <cellStyle name="Normal 2 2 2 13 2 2 10" xfId="9014"/>
    <cellStyle name="Normal 2 2 2 13 2 2 10 2" xfId="9015"/>
    <cellStyle name="Normal 2 2 2 13 2 2 11" xfId="9016"/>
    <cellStyle name="Normal 2 2 2 13 2 2 11 2" xfId="9017"/>
    <cellStyle name="Normal 2 2 2 13 2 2 12" xfId="9018"/>
    <cellStyle name="Normal 2 2 2 13 2 2 2" xfId="9019"/>
    <cellStyle name="Normal 2 2 2 13 2 2 2 10" xfId="9020"/>
    <cellStyle name="Normal 2 2 2 13 2 2 2 10 2" xfId="9021"/>
    <cellStyle name="Normal 2 2 2 13 2 2 2 11" xfId="9022"/>
    <cellStyle name="Normal 2 2 2 13 2 2 2 2" xfId="9023"/>
    <cellStyle name="Normal 2 2 2 13 2 2 2 2 2" xfId="9024"/>
    <cellStyle name="Normal 2 2 2 13 2 2 2 3" xfId="9025"/>
    <cellStyle name="Normal 2 2 2 13 2 2 2 3 2" xfId="9026"/>
    <cellStyle name="Normal 2 2 2 13 2 2 2 4" xfId="9027"/>
    <cellStyle name="Normal 2 2 2 13 2 2 2 4 2" xfId="9028"/>
    <cellStyle name="Normal 2 2 2 13 2 2 2 5" xfId="9029"/>
    <cellStyle name="Normal 2 2 2 13 2 2 2 5 2" xfId="9030"/>
    <cellStyle name="Normal 2 2 2 13 2 2 2 6" xfId="9031"/>
    <cellStyle name="Normal 2 2 2 13 2 2 2 6 2" xfId="9032"/>
    <cellStyle name="Normal 2 2 2 13 2 2 2 7" xfId="9033"/>
    <cellStyle name="Normal 2 2 2 13 2 2 2 7 2" xfId="9034"/>
    <cellStyle name="Normal 2 2 2 13 2 2 2 8" xfId="9035"/>
    <cellStyle name="Normal 2 2 2 13 2 2 2 8 2" xfId="9036"/>
    <cellStyle name="Normal 2 2 2 13 2 2 2 9" xfId="9037"/>
    <cellStyle name="Normal 2 2 2 13 2 2 2 9 2" xfId="9038"/>
    <cellStyle name="Normal 2 2 2 13 2 2 3" xfId="9039"/>
    <cellStyle name="Normal 2 2 2 13 2 2 3 2" xfId="9040"/>
    <cellStyle name="Normal 2 2 2 13 2 2 4" xfId="9041"/>
    <cellStyle name="Normal 2 2 2 13 2 2 4 2" xfId="9042"/>
    <cellStyle name="Normal 2 2 2 13 2 2 5" xfId="9043"/>
    <cellStyle name="Normal 2 2 2 13 2 2 5 2" xfId="9044"/>
    <cellStyle name="Normal 2 2 2 13 2 2 6" xfId="9045"/>
    <cellStyle name="Normal 2 2 2 13 2 2 6 2" xfId="9046"/>
    <cellStyle name="Normal 2 2 2 13 2 2 7" xfId="9047"/>
    <cellStyle name="Normal 2 2 2 13 2 2 7 2" xfId="9048"/>
    <cellStyle name="Normal 2 2 2 13 2 2 8" xfId="9049"/>
    <cellStyle name="Normal 2 2 2 13 2 2 8 2" xfId="9050"/>
    <cellStyle name="Normal 2 2 2 13 2 2 9" xfId="9051"/>
    <cellStyle name="Normal 2 2 2 13 2 2 9 2" xfId="9052"/>
    <cellStyle name="Normal 2 2 2 13 2 3" xfId="9053"/>
    <cellStyle name="Normal 2 2 2 13 2 3 10" xfId="9054"/>
    <cellStyle name="Normal 2 2 2 13 2 3 10 2" xfId="9055"/>
    <cellStyle name="Normal 2 2 2 13 2 3 11" xfId="9056"/>
    <cellStyle name="Normal 2 2 2 13 2 3 2" xfId="9057"/>
    <cellStyle name="Normal 2 2 2 13 2 3 2 2" xfId="9058"/>
    <cellStyle name="Normal 2 2 2 13 2 3 3" xfId="9059"/>
    <cellStyle name="Normal 2 2 2 13 2 3 3 2" xfId="9060"/>
    <cellStyle name="Normal 2 2 2 13 2 3 4" xfId="9061"/>
    <cellStyle name="Normal 2 2 2 13 2 3 4 2" xfId="9062"/>
    <cellStyle name="Normal 2 2 2 13 2 3 5" xfId="9063"/>
    <cellStyle name="Normal 2 2 2 13 2 3 5 2" xfId="9064"/>
    <cellStyle name="Normal 2 2 2 13 2 3 6" xfId="9065"/>
    <cellStyle name="Normal 2 2 2 13 2 3 6 2" xfId="9066"/>
    <cellStyle name="Normal 2 2 2 13 2 3 7" xfId="9067"/>
    <cellStyle name="Normal 2 2 2 13 2 3 7 2" xfId="9068"/>
    <cellStyle name="Normal 2 2 2 13 2 3 8" xfId="9069"/>
    <cellStyle name="Normal 2 2 2 13 2 3 8 2" xfId="9070"/>
    <cellStyle name="Normal 2 2 2 13 2 3 9" xfId="9071"/>
    <cellStyle name="Normal 2 2 2 13 2 3 9 2" xfId="9072"/>
    <cellStyle name="Normal 2 2 2 13 2 4" xfId="9073"/>
    <cellStyle name="Normal 2 2 2 13 2 4 2" xfId="9074"/>
    <cellStyle name="Normal 2 2 2 13 2 5" xfId="9075"/>
    <cellStyle name="Normal 2 2 2 13 2 5 2" xfId="9076"/>
    <cellStyle name="Normal 2 2 2 13 2 6" xfId="9077"/>
    <cellStyle name="Normal 2 2 2 13 2 6 2" xfId="9078"/>
    <cellStyle name="Normal 2 2 2 13 2 7" xfId="9079"/>
    <cellStyle name="Normal 2 2 2 13 2 7 2" xfId="9080"/>
    <cellStyle name="Normal 2 2 2 13 2 8" xfId="9081"/>
    <cellStyle name="Normal 2 2 2 13 2 8 2" xfId="9082"/>
    <cellStyle name="Normal 2 2 2 13 2 9" xfId="9083"/>
    <cellStyle name="Normal 2 2 2 13 2 9 2" xfId="9084"/>
    <cellStyle name="Normal 2 2 2 13 3" xfId="9085"/>
    <cellStyle name="Normal 2 2 2 13 3 10" xfId="9086"/>
    <cellStyle name="Normal 2 2 2 13 3 10 2" xfId="9087"/>
    <cellStyle name="Normal 2 2 2 13 3 11" xfId="9088"/>
    <cellStyle name="Normal 2 2 2 13 3 11 2" xfId="9089"/>
    <cellStyle name="Normal 2 2 2 13 3 12" xfId="9090"/>
    <cellStyle name="Normal 2 2 2 13 3 12 2" xfId="9091"/>
    <cellStyle name="Normal 2 2 2 13 3 13" xfId="9092"/>
    <cellStyle name="Normal 2 2 2 13 3 2" xfId="9093"/>
    <cellStyle name="Normal 2 2 2 13 3 2 10" xfId="9094"/>
    <cellStyle name="Normal 2 2 2 13 3 2 10 2" xfId="9095"/>
    <cellStyle name="Normal 2 2 2 13 3 2 11" xfId="9096"/>
    <cellStyle name="Normal 2 2 2 13 3 2 11 2" xfId="9097"/>
    <cellStyle name="Normal 2 2 2 13 3 2 12" xfId="9098"/>
    <cellStyle name="Normal 2 2 2 13 3 2 2" xfId="9099"/>
    <cellStyle name="Normal 2 2 2 13 3 2 2 10" xfId="9100"/>
    <cellStyle name="Normal 2 2 2 13 3 2 2 10 2" xfId="9101"/>
    <cellStyle name="Normal 2 2 2 13 3 2 2 11" xfId="9102"/>
    <cellStyle name="Normal 2 2 2 13 3 2 2 2" xfId="9103"/>
    <cellStyle name="Normal 2 2 2 13 3 2 2 2 2" xfId="9104"/>
    <cellStyle name="Normal 2 2 2 13 3 2 2 3" xfId="9105"/>
    <cellStyle name="Normal 2 2 2 13 3 2 2 3 2" xfId="9106"/>
    <cellStyle name="Normal 2 2 2 13 3 2 2 4" xfId="9107"/>
    <cellStyle name="Normal 2 2 2 13 3 2 2 4 2" xfId="9108"/>
    <cellStyle name="Normal 2 2 2 13 3 2 2 5" xfId="9109"/>
    <cellStyle name="Normal 2 2 2 13 3 2 2 5 2" xfId="9110"/>
    <cellStyle name="Normal 2 2 2 13 3 2 2 6" xfId="9111"/>
    <cellStyle name="Normal 2 2 2 13 3 2 2 6 2" xfId="9112"/>
    <cellStyle name="Normal 2 2 2 13 3 2 2 7" xfId="9113"/>
    <cellStyle name="Normal 2 2 2 13 3 2 2 7 2" xfId="9114"/>
    <cellStyle name="Normal 2 2 2 13 3 2 2 8" xfId="9115"/>
    <cellStyle name="Normal 2 2 2 13 3 2 2 8 2" xfId="9116"/>
    <cellStyle name="Normal 2 2 2 13 3 2 2 9" xfId="9117"/>
    <cellStyle name="Normal 2 2 2 13 3 2 2 9 2" xfId="9118"/>
    <cellStyle name="Normal 2 2 2 13 3 2 3" xfId="9119"/>
    <cellStyle name="Normal 2 2 2 13 3 2 3 2" xfId="9120"/>
    <cellStyle name="Normal 2 2 2 13 3 2 4" xfId="9121"/>
    <cellStyle name="Normal 2 2 2 13 3 2 4 2" xfId="9122"/>
    <cellStyle name="Normal 2 2 2 13 3 2 5" xfId="9123"/>
    <cellStyle name="Normal 2 2 2 13 3 2 5 2" xfId="9124"/>
    <cellStyle name="Normal 2 2 2 13 3 2 6" xfId="9125"/>
    <cellStyle name="Normal 2 2 2 13 3 2 6 2" xfId="9126"/>
    <cellStyle name="Normal 2 2 2 13 3 2 7" xfId="9127"/>
    <cellStyle name="Normal 2 2 2 13 3 2 7 2" xfId="9128"/>
    <cellStyle name="Normal 2 2 2 13 3 2 8" xfId="9129"/>
    <cellStyle name="Normal 2 2 2 13 3 2 8 2" xfId="9130"/>
    <cellStyle name="Normal 2 2 2 13 3 2 9" xfId="9131"/>
    <cellStyle name="Normal 2 2 2 13 3 2 9 2" xfId="9132"/>
    <cellStyle name="Normal 2 2 2 13 3 3" xfId="9133"/>
    <cellStyle name="Normal 2 2 2 13 3 3 10" xfId="9134"/>
    <cellStyle name="Normal 2 2 2 13 3 3 10 2" xfId="9135"/>
    <cellStyle name="Normal 2 2 2 13 3 3 11" xfId="9136"/>
    <cellStyle name="Normal 2 2 2 13 3 3 2" xfId="9137"/>
    <cellStyle name="Normal 2 2 2 13 3 3 2 2" xfId="9138"/>
    <cellStyle name="Normal 2 2 2 13 3 3 3" xfId="9139"/>
    <cellStyle name="Normal 2 2 2 13 3 3 3 2" xfId="9140"/>
    <cellStyle name="Normal 2 2 2 13 3 3 4" xfId="9141"/>
    <cellStyle name="Normal 2 2 2 13 3 3 4 2" xfId="9142"/>
    <cellStyle name="Normal 2 2 2 13 3 3 5" xfId="9143"/>
    <cellStyle name="Normal 2 2 2 13 3 3 5 2" xfId="9144"/>
    <cellStyle name="Normal 2 2 2 13 3 3 6" xfId="9145"/>
    <cellStyle name="Normal 2 2 2 13 3 3 6 2" xfId="9146"/>
    <cellStyle name="Normal 2 2 2 13 3 3 7" xfId="9147"/>
    <cellStyle name="Normal 2 2 2 13 3 3 7 2" xfId="9148"/>
    <cellStyle name="Normal 2 2 2 13 3 3 8" xfId="9149"/>
    <cellStyle name="Normal 2 2 2 13 3 3 8 2" xfId="9150"/>
    <cellStyle name="Normal 2 2 2 13 3 3 9" xfId="9151"/>
    <cellStyle name="Normal 2 2 2 13 3 3 9 2" xfId="9152"/>
    <cellStyle name="Normal 2 2 2 13 3 4" xfId="9153"/>
    <cellStyle name="Normal 2 2 2 13 3 4 2" xfId="9154"/>
    <cellStyle name="Normal 2 2 2 13 3 5" xfId="9155"/>
    <cellStyle name="Normal 2 2 2 13 3 5 2" xfId="9156"/>
    <cellStyle name="Normal 2 2 2 13 3 6" xfId="9157"/>
    <cellStyle name="Normal 2 2 2 13 3 6 2" xfId="9158"/>
    <cellStyle name="Normal 2 2 2 13 3 7" xfId="9159"/>
    <cellStyle name="Normal 2 2 2 13 3 7 2" xfId="9160"/>
    <cellStyle name="Normal 2 2 2 13 3 8" xfId="9161"/>
    <cellStyle name="Normal 2 2 2 13 3 8 2" xfId="9162"/>
    <cellStyle name="Normal 2 2 2 13 3 9" xfId="9163"/>
    <cellStyle name="Normal 2 2 2 13 3 9 2" xfId="9164"/>
    <cellStyle name="Normal 2 2 2 13 4" xfId="9165"/>
    <cellStyle name="Normal 2 2 2 13 4 10" xfId="9166"/>
    <cellStyle name="Normal 2 2 2 13 4 10 2" xfId="9167"/>
    <cellStyle name="Normal 2 2 2 13 4 11" xfId="9168"/>
    <cellStyle name="Normal 2 2 2 13 4 11 2" xfId="9169"/>
    <cellStyle name="Normal 2 2 2 13 4 12" xfId="9170"/>
    <cellStyle name="Normal 2 2 2 13 4 12 2" xfId="9171"/>
    <cellStyle name="Normal 2 2 2 13 4 13" xfId="9172"/>
    <cellStyle name="Normal 2 2 2 13 4 2" xfId="9173"/>
    <cellStyle name="Normal 2 2 2 13 4 2 10" xfId="9174"/>
    <cellStyle name="Normal 2 2 2 13 4 2 10 2" xfId="9175"/>
    <cellStyle name="Normal 2 2 2 13 4 2 11" xfId="9176"/>
    <cellStyle name="Normal 2 2 2 13 4 2 11 2" xfId="9177"/>
    <cellStyle name="Normal 2 2 2 13 4 2 12" xfId="9178"/>
    <cellStyle name="Normal 2 2 2 13 4 2 2" xfId="9179"/>
    <cellStyle name="Normal 2 2 2 13 4 2 2 10" xfId="9180"/>
    <cellStyle name="Normal 2 2 2 13 4 2 2 10 2" xfId="9181"/>
    <cellStyle name="Normal 2 2 2 13 4 2 2 11" xfId="9182"/>
    <cellStyle name="Normal 2 2 2 13 4 2 2 2" xfId="9183"/>
    <cellStyle name="Normal 2 2 2 13 4 2 2 2 2" xfId="9184"/>
    <cellStyle name="Normal 2 2 2 13 4 2 2 3" xfId="9185"/>
    <cellStyle name="Normal 2 2 2 13 4 2 2 3 2" xfId="9186"/>
    <cellStyle name="Normal 2 2 2 13 4 2 2 4" xfId="9187"/>
    <cellStyle name="Normal 2 2 2 13 4 2 2 4 2" xfId="9188"/>
    <cellStyle name="Normal 2 2 2 13 4 2 2 5" xfId="9189"/>
    <cellStyle name="Normal 2 2 2 13 4 2 2 5 2" xfId="9190"/>
    <cellStyle name="Normal 2 2 2 13 4 2 2 6" xfId="9191"/>
    <cellStyle name="Normal 2 2 2 13 4 2 2 6 2" xfId="9192"/>
    <cellStyle name="Normal 2 2 2 13 4 2 2 7" xfId="9193"/>
    <cellStyle name="Normal 2 2 2 13 4 2 2 7 2" xfId="9194"/>
    <cellStyle name="Normal 2 2 2 13 4 2 2 8" xfId="9195"/>
    <cellStyle name="Normal 2 2 2 13 4 2 2 8 2" xfId="9196"/>
    <cellStyle name="Normal 2 2 2 13 4 2 2 9" xfId="9197"/>
    <cellStyle name="Normal 2 2 2 13 4 2 2 9 2" xfId="9198"/>
    <cellStyle name="Normal 2 2 2 13 4 2 3" xfId="9199"/>
    <cellStyle name="Normal 2 2 2 13 4 2 3 2" xfId="9200"/>
    <cellStyle name="Normal 2 2 2 13 4 2 4" xfId="9201"/>
    <cellStyle name="Normal 2 2 2 13 4 2 4 2" xfId="9202"/>
    <cellStyle name="Normal 2 2 2 13 4 2 5" xfId="9203"/>
    <cellStyle name="Normal 2 2 2 13 4 2 5 2" xfId="9204"/>
    <cellStyle name="Normal 2 2 2 13 4 2 6" xfId="9205"/>
    <cellStyle name="Normal 2 2 2 13 4 2 6 2" xfId="9206"/>
    <cellStyle name="Normal 2 2 2 13 4 2 7" xfId="9207"/>
    <cellStyle name="Normal 2 2 2 13 4 2 7 2" xfId="9208"/>
    <cellStyle name="Normal 2 2 2 13 4 2 8" xfId="9209"/>
    <cellStyle name="Normal 2 2 2 13 4 2 8 2" xfId="9210"/>
    <cellStyle name="Normal 2 2 2 13 4 2 9" xfId="9211"/>
    <cellStyle name="Normal 2 2 2 13 4 2 9 2" xfId="9212"/>
    <cellStyle name="Normal 2 2 2 13 4 3" xfId="9213"/>
    <cellStyle name="Normal 2 2 2 13 4 3 10" xfId="9214"/>
    <cellStyle name="Normal 2 2 2 13 4 3 10 2" xfId="9215"/>
    <cellStyle name="Normal 2 2 2 13 4 3 11" xfId="9216"/>
    <cellStyle name="Normal 2 2 2 13 4 3 2" xfId="9217"/>
    <cellStyle name="Normal 2 2 2 13 4 3 2 2" xfId="9218"/>
    <cellStyle name="Normal 2 2 2 13 4 3 3" xfId="9219"/>
    <cellStyle name="Normal 2 2 2 13 4 3 3 2" xfId="9220"/>
    <cellStyle name="Normal 2 2 2 13 4 3 4" xfId="9221"/>
    <cellStyle name="Normal 2 2 2 13 4 3 4 2" xfId="9222"/>
    <cellStyle name="Normal 2 2 2 13 4 3 5" xfId="9223"/>
    <cellStyle name="Normal 2 2 2 13 4 3 5 2" xfId="9224"/>
    <cellStyle name="Normal 2 2 2 13 4 3 6" xfId="9225"/>
    <cellStyle name="Normal 2 2 2 13 4 3 6 2" xfId="9226"/>
    <cellStyle name="Normal 2 2 2 13 4 3 7" xfId="9227"/>
    <cellStyle name="Normal 2 2 2 13 4 3 7 2" xfId="9228"/>
    <cellStyle name="Normal 2 2 2 13 4 3 8" xfId="9229"/>
    <cellStyle name="Normal 2 2 2 13 4 3 8 2" xfId="9230"/>
    <cellStyle name="Normal 2 2 2 13 4 3 9" xfId="9231"/>
    <cellStyle name="Normal 2 2 2 13 4 3 9 2" xfId="9232"/>
    <cellStyle name="Normal 2 2 2 13 4 4" xfId="9233"/>
    <cellStyle name="Normal 2 2 2 13 4 4 2" xfId="9234"/>
    <cellStyle name="Normal 2 2 2 13 4 5" xfId="9235"/>
    <cellStyle name="Normal 2 2 2 13 4 5 2" xfId="9236"/>
    <cellStyle name="Normal 2 2 2 13 4 6" xfId="9237"/>
    <cellStyle name="Normal 2 2 2 13 4 6 2" xfId="9238"/>
    <cellStyle name="Normal 2 2 2 13 4 7" xfId="9239"/>
    <cellStyle name="Normal 2 2 2 13 4 7 2" xfId="9240"/>
    <cellStyle name="Normal 2 2 2 13 4 8" xfId="9241"/>
    <cellStyle name="Normal 2 2 2 13 4 8 2" xfId="9242"/>
    <cellStyle name="Normal 2 2 2 13 4 9" xfId="9243"/>
    <cellStyle name="Normal 2 2 2 13 4 9 2" xfId="9244"/>
    <cellStyle name="Normal 2 2 2 13 5" xfId="9245"/>
    <cellStyle name="Normal 2 2 2 13 5 10" xfId="9246"/>
    <cellStyle name="Normal 2 2 2 13 5 10 2" xfId="9247"/>
    <cellStyle name="Normal 2 2 2 13 5 11" xfId="9248"/>
    <cellStyle name="Normal 2 2 2 13 5 11 2" xfId="9249"/>
    <cellStyle name="Normal 2 2 2 13 5 12" xfId="9250"/>
    <cellStyle name="Normal 2 2 2 13 5 12 2" xfId="9251"/>
    <cellStyle name="Normal 2 2 2 13 5 13" xfId="9252"/>
    <cellStyle name="Normal 2 2 2 13 5 2" xfId="9253"/>
    <cellStyle name="Normal 2 2 2 13 5 2 10" xfId="9254"/>
    <cellStyle name="Normal 2 2 2 13 5 2 10 2" xfId="9255"/>
    <cellStyle name="Normal 2 2 2 13 5 2 11" xfId="9256"/>
    <cellStyle name="Normal 2 2 2 13 5 2 11 2" xfId="9257"/>
    <cellStyle name="Normal 2 2 2 13 5 2 12" xfId="9258"/>
    <cellStyle name="Normal 2 2 2 13 5 2 2" xfId="9259"/>
    <cellStyle name="Normal 2 2 2 13 5 2 2 10" xfId="9260"/>
    <cellStyle name="Normal 2 2 2 13 5 2 2 10 2" xfId="9261"/>
    <cellStyle name="Normal 2 2 2 13 5 2 2 11" xfId="9262"/>
    <cellStyle name="Normal 2 2 2 13 5 2 2 2" xfId="9263"/>
    <cellStyle name="Normal 2 2 2 13 5 2 2 2 2" xfId="9264"/>
    <cellStyle name="Normal 2 2 2 13 5 2 2 3" xfId="9265"/>
    <cellStyle name="Normal 2 2 2 13 5 2 2 3 2" xfId="9266"/>
    <cellStyle name="Normal 2 2 2 13 5 2 2 4" xfId="9267"/>
    <cellStyle name="Normal 2 2 2 13 5 2 2 4 2" xfId="9268"/>
    <cellStyle name="Normal 2 2 2 13 5 2 2 5" xfId="9269"/>
    <cellStyle name="Normal 2 2 2 13 5 2 2 5 2" xfId="9270"/>
    <cellStyle name="Normal 2 2 2 13 5 2 2 6" xfId="9271"/>
    <cellStyle name="Normal 2 2 2 13 5 2 2 6 2" xfId="9272"/>
    <cellStyle name="Normal 2 2 2 13 5 2 2 7" xfId="9273"/>
    <cellStyle name="Normal 2 2 2 13 5 2 2 7 2" xfId="9274"/>
    <cellStyle name="Normal 2 2 2 13 5 2 2 8" xfId="9275"/>
    <cellStyle name="Normal 2 2 2 13 5 2 2 8 2" xfId="9276"/>
    <cellStyle name="Normal 2 2 2 13 5 2 2 9" xfId="9277"/>
    <cellStyle name="Normal 2 2 2 13 5 2 2 9 2" xfId="9278"/>
    <cellStyle name="Normal 2 2 2 13 5 2 3" xfId="9279"/>
    <cellStyle name="Normal 2 2 2 13 5 2 3 2" xfId="9280"/>
    <cellStyle name="Normal 2 2 2 13 5 2 4" xfId="9281"/>
    <cellStyle name="Normal 2 2 2 13 5 2 4 2" xfId="9282"/>
    <cellStyle name="Normal 2 2 2 13 5 2 5" xfId="9283"/>
    <cellStyle name="Normal 2 2 2 13 5 2 5 2" xfId="9284"/>
    <cellStyle name="Normal 2 2 2 13 5 2 6" xfId="9285"/>
    <cellStyle name="Normal 2 2 2 13 5 2 6 2" xfId="9286"/>
    <cellStyle name="Normal 2 2 2 13 5 2 7" xfId="9287"/>
    <cellStyle name="Normal 2 2 2 13 5 2 7 2" xfId="9288"/>
    <cellStyle name="Normal 2 2 2 13 5 2 8" xfId="9289"/>
    <cellStyle name="Normal 2 2 2 13 5 2 8 2" xfId="9290"/>
    <cellStyle name="Normal 2 2 2 13 5 2 9" xfId="9291"/>
    <cellStyle name="Normal 2 2 2 13 5 2 9 2" xfId="9292"/>
    <cellStyle name="Normal 2 2 2 13 5 3" xfId="9293"/>
    <cellStyle name="Normal 2 2 2 13 5 3 10" xfId="9294"/>
    <cellStyle name="Normal 2 2 2 13 5 3 10 2" xfId="9295"/>
    <cellStyle name="Normal 2 2 2 13 5 3 11" xfId="9296"/>
    <cellStyle name="Normal 2 2 2 13 5 3 2" xfId="9297"/>
    <cellStyle name="Normal 2 2 2 13 5 3 2 2" xfId="9298"/>
    <cellStyle name="Normal 2 2 2 13 5 3 3" xfId="9299"/>
    <cellStyle name="Normal 2 2 2 13 5 3 3 2" xfId="9300"/>
    <cellStyle name="Normal 2 2 2 13 5 3 4" xfId="9301"/>
    <cellStyle name="Normal 2 2 2 13 5 3 4 2" xfId="9302"/>
    <cellStyle name="Normal 2 2 2 13 5 3 5" xfId="9303"/>
    <cellStyle name="Normal 2 2 2 13 5 3 5 2" xfId="9304"/>
    <cellStyle name="Normal 2 2 2 13 5 3 6" xfId="9305"/>
    <cellStyle name="Normal 2 2 2 13 5 3 6 2" xfId="9306"/>
    <cellStyle name="Normal 2 2 2 13 5 3 7" xfId="9307"/>
    <cellStyle name="Normal 2 2 2 13 5 3 7 2" xfId="9308"/>
    <cellStyle name="Normal 2 2 2 13 5 3 8" xfId="9309"/>
    <cellStyle name="Normal 2 2 2 13 5 3 8 2" xfId="9310"/>
    <cellStyle name="Normal 2 2 2 13 5 3 9" xfId="9311"/>
    <cellStyle name="Normal 2 2 2 13 5 3 9 2" xfId="9312"/>
    <cellStyle name="Normal 2 2 2 13 5 4" xfId="9313"/>
    <cellStyle name="Normal 2 2 2 13 5 4 2" xfId="9314"/>
    <cellStyle name="Normal 2 2 2 13 5 5" xfId="9315"/>
    <cellStyle name="Normal 2 2 2 13 5 5 2" xfId="9316"/>
    <cellStyle name="Normal 2 2 2 13 5 6" xfId="9317"/>
    <cellStyle name="Normal 2 2 2 13 5 6 2" xfId="9318"/>
    <cellStyle name="Normal 2 2 2 13 5 7" xfId="9319"/>
    <cellStyle name="Normal 2 2 2 13 5 7 2" xfId="9320"/>
    <cellStyle name="Normal 2 2 2 13 5 8" xfId="9321"/>
    <cellStyle name="Normal 2 2 2 13 5 8 2" xfId="9322"/>
    <cellStyle name="Normal 2 2 2 13 5 9" xfId="9323"/>
    <cellStyle name="Normal 2 2 2 13 5 9 2" xfId="9324"/>
    <cellStyle name="Normal 2 2 2 13 6" xfId="41823"/>
    <cellStyle name="Normal 2 2 2 14" xfId="9325"/>
    <cellStyle name="Normal 2 2 2 14 2" xfId="41824"/>
    <cellStyle name="Normal 2 2 2 15" xfId="9326"/>
    <cellStyle name="Normal 2 2 2 15 2" xfId="41825"/>
    <cellStyle name="Normal 2 2 2 16" xfId="9327"/>
    <cellStyle name="Normal 2 2 2 16 2" xfId="41826"/>
    <cellStyle name="Normal 2 2 2 17" xfId="9328"/>
    <cellStyle name="Normal 2 2 2 17 10" xfId="9329"/>
    <cellStyle name="Normal 2 2 2 17 10 2" xfId="9330"/>
    <cellStyle name="Normal 2 2 2 17 11" xfId="9331"/>
    <cellStyle name="Normal 2 2 2 17 11 2" xfId="9332"/>
    <cellStyle name="Normal 2 2 2 17 12" xfId="9333"/>
    <cellStyle name="Normal 2 2 2 17 12 2" xfId="9334"/>
    <cellStyle name="Normal 2 2 2 17 13" xfId="9335"/>
    <cellStyle name="Normal 2 2 2 17 2" xfId="9336"/>
    <cellStyle name="Normal 2 2 2 17 2 10" xfId="9337"/>
    <cellStyle name="Normal 2 2 2 17 2 10 2" xfId="9338"/>
    <cellStyle name="Normal 2 2 2 17 2 11" xfId="9339"/>
    <cellStyle name="Normal 2 2 2 17 2 11 2" xfId="9340"/>
    <cellStyle name="Normal 2 2 2 17 2 12" xfId="9341"/>
    <cellStyle name="Normal 2 2 2 17 2 2" xfId="9342"/>
    <cellStyle name="Normal 2 2 2 17 2 2 10" xfId="9343"/>
    <cellStyle name="Normal 2 2 2 17 2 2 10 2" xfId="9344"/>
    <cellStyle name="Normal 2 2 2 17 2 2 11" xfId="9345"/>
    <cellStyle name="Normal 2 2 2 17 2 2 2" xfId="9346"/>
    <cellStyle name="Normal 2 2 2 17 2 2 2 2" xfId="9347"/>
    <cellStyle name="Normal 2 2 2 17 2 2 3" xfId="9348"/>
    <cellStyle name="Normal 2 2 2 17 2 2 3 2" xfId="9349"/>
    <cellStyle name="Normal 2 2 2 17 2 2 4" xfId="9350"/>
    <cellStyle name="Normal 2 2 2 17 2 2 4 2" xfId="9351"/>
    <cellStyle name="Normal 2 2 2 17 2 2 5" xfId="9352"/>
    <cellStyle name="Normal 2 2 2 17 2 2 5 2" xfId="9353"/>
    <cellStyle name="Normal 2 2 2 17 2 2 6" xfId="9354"/>
    <cellStyle name="Normal 2 2 2 17 2 2 6 2" xfId="9355"/>
    <cellStyle name="Normal 2 2 2 17 2 2 7" xfId="9356"/>
    <cellStyle name="Normal 2 2 2 17 2 2 7 2" xfId="9357"/>
    <cellStyle name="Normal 2 2 2 17 2 2 8" xfId="9358"/>
    <cellStyle name="Normal 2 2 2 17 2 2 8 2" xfId="9359"/>
    <cellStyle name="Normal 2 2 2 17 2 2 9" xfId="9360"/>
    <cellStyle name="Normal 2 2 2 17 2 2 9 2" xfId="9361"/>
    <cellStyle name="Normal 2 2 2 17 2 3" xfId="9362"/>
    <cellStyle name="Normal 2 2 2 17 2 3 2" xfId="9363"/>
    <cellStyle name="Normal 2 2 2 17 2 4" xfId="9364"/>
    <cellStyle name="Normal 2 2 2 17 2 4 2" xfId="9365"/>
    <cellStyle name="Normal 2 2 2 17 2 5" xfId="9366"/>
    <cellStyle name="Normal 2 2 2 17 2 5 2" xfId="9367"/>
    <cellStyle name="Normal 2 2 2 17 2 6" xfId="9368"/>
    <cellStyle name="Normal 2 2 2 17 2 6 2" xfId="9369"/>
    <cellStyle name="Normal 2 2 2 17 2 7" xfId="9370"/>
    <cellStyle name="Normal 2 2 2 17 2 7 2" xfId="9371"/>
    <cellStyle name="Normal 2 2 2 17 2 8" xfId="9372"/>
    <cellStyle name="Normal 2 2 2 17 2 8 2" xfId="9373"/>
    <cellStyle name="Normal 2 2 2 17 2 9" xfId="9374"/>
    <cellStyle name="Normal 2 2 2 17 2 9 2" xfId="9375"/>
    <cellStyle name="Normal 2 2 2 17 3" xfId="9376"/>
    <cellStyle name="Normal 2 2 2 17 3 10" xfId="9377"/>
    <cellStyle name="Normal 2 2 2 17 3 10 2" xfId="9378"/>
    <cellStyle name="Normal 2 2 2 17 3 11" xfId="9379"/>
    <cellStyle name="Normal 2 2 2 17 3 2" xfId="9380"/>
    <cellStyle name="Normal 2 2 2 17 3 2 2" xfId="9381"/>
    <cellStyle name="Normal 2 2 2 17 3 3" xfId="9382"/>
    <cellStyle name="Normal 2 2 2 17 3 3 2" xfId="9383"/>
    <cellStyle name="Normal 2 2 2 17 3 4" xfId="9384"/>
    <cellStyle name="Normal 2 2 2 17 3 4 2" xfId="9385"/>
    <cellStyle name="Normal 2 2 2 17 3 5" xfId="9386"/>
    <cellStyle name="Normal 2 2 2 17 3 5 2" xfId="9387"/>
    <cellStyle name="Normal 2 2 2 17 3 6" xfId="9388"/>
    <cellStyle name="Normal 2 2 2 17 3 6 2" xfId="9389"/>
    <cellStyle name="Normal 2 2 2 17 3 7" xfId="9390"/>
    <cellStyle name="Normal 2 2 2 17 3 7 2" xfId="9391"/>
    <cellStyle name="Normal 2 2 2 17 3 8" xfId="9392"/>
    <cellStyle name="Normal 2 2 2 17 3 8 2" xfId="9393"/>
    <cellStyle name="Normal 2 2 2 17 3 9" xfId="9394"/>
    <cellStyle name="Normal 2 2 2 17 3 9 2" xfId="9395"/>
    <cellStyle name="Normal 2 2 2 17 4" xfId="9396"/>
    <cellStyle name="Normal 2 2 2 17 4 2" xfId="9397"/>
    <cellStyle name="Normal 2 2 2 17 5" xfId="9398"/>
    <cellStyle name="Normal 2 2 2 17 5 2" xfId="9399"/>
    <cellStyle name="Normal 2 2 2 17 6" xfId="9400"/>
    <cellStyle name="Normal 2 2 2 17 6 2" xfId="9401"/>
    <cellStyle name="Normal 2 2 2 17 7" xfId="9402"/>
    <cellStyle name="Normal 2 2 2 17 7 2" xfId="9403"/>
    <cellStyle name="Normal 2 2 2 17 8" xfId="9404"/>
    <cellStyle name="Normal 2 2 2 17 8 2" xfId="9405"/>
    <cellStyle name="Normal 2 2 2 17 9" xfId="9406"/>
    <cellStyle name="Normal 2 2 2 17 9 2" xfId="9407"/>
    <cellStyle name="Normal 2 2 2 2" xfId="9408"/>
    <cellStyle name="Normal 2 2 2 2 10" xfId="9409"/>
    <cellStyle name="Normal 2 2 2 2 10 2" xfId="41827"/>
    <cellStyle name="Normal 2 2 2 2 11" xfId="9410"/>
    <cellStyle name="Normal 2 2 2 2 11 2" xfId="41828"/>
    <cellStyle name="Normal 2 2 2 2 12" xfId="9411"/>
    <cellStyle name="Normal 2 2 2 2 12 2" xfId="41829"/>
    <cellStyle name="Normal 2 2 2 2 13" xfId="9412"/>
    <cellStyle name="Normal 2 2 2 2 13 10" xfId="9413"/>
    <cellStyle name="Normal 2 2 2 2 13 10 2" xfId="9414"/>
    <cellStyle name="Normal 2 2 2 2 13 11" xfId="9415"/>
    <cellStyle name="Normal 2 2 2 2 13 11 2" xfId="9416"/>
    <cellStyle name="Normal 2 2 2 2 13 12" xfId="9417"/>
    <cellStyle name="Normal 2 2 2 2 13 12 2" xfId="9418"/>
    <cellStyle name="Normal 2 2 2 2 13 13" xfId="9419"/>
    <cellStyle name="Normal 2 2 2 2 13 13 2" xfId="9420"/>
    <cellStyle name="Normal 2 2 2 2 13 14" xfId="9421"/>
    <cellStyle name="Normal 2 2 2 2 13 14 2" xfId="9422"/>
    <cellStyle name="Normal 2 2 2 2 13 15" xfId="9423"/>
    <cellStyle name="Normal 2 2 2 2 13 15 2" xfId="9424"/>
    <cellStyle name="Normal 2 2 2 2 13 16" xfId="9425"/>
    <cellStyle name="Normal 2 2 2 2 13 16 2" xfId="9426"/>
    <cellStyle name="Normal 2 2 2 2 13 17" xfId="9427"/>
    <cellStyle name="Normal 2 2 2 2 13 2" xfId="9428"/>
    <cellStyle name="Normal 2 2 2 2 13 2 2" xfId="41830"/>
    <cellStyle name="Normal 2 2 2 2 13 3" xfId="9429"/>
    <cellStyle name="Normal 2 2 2 2 13 3 2" xfId="41831"/>
    <cellStyle name="Normal 2 2 2 2 13 4" xfId="9430"/>
    <cellStyle name="Normal 2 2 2 2 13 4 2" xfId="41832"/>
    <cellStyle name="Normal 2 2 2 2 13 5" xfId="9431"/>
    <cellStyle name="Normal 2 2 2 2 13 5 2" xfId="41833"/>
    <cellStyle name="Normal 2 2 2 2 13 6" xfId="9432"/>
    <cellStyle name="Normal 2 2 2 2 13 6 10" xfId="9433"/>
    <cellStyle name="Normal 2 2 2 2 13 6 10 2" xfId="9434"/>
    <cellStyle name="Normal 2 2 2 2 13 6 11" xfId="9435"/>
    <cellStyle name="Normal 2 2 2 2 13 6 11 2" xfId="9436"/>
    <cellStyle name="Normal 2 2 2 2 13 6 12" xfId="9437"/>
    <cellStyle name="Normal 2 2 2 2 13 6 2" xfId="9438"/>
    <cellStyle name="Normal 2 2 2 2 13 6 2 10" xfId="9439"/>
    <cellStyle name="Normal 2 2 2 2 13 6 2 10 2" xfId="9440"/>
    <cellStyle name="Normal 2 2 2 2 13 6 2 11" xfId="9441"/>
    <cellStyle name="Normal 2 2 2 2 13 6 2 2" xfId="9442"/>
    <cellStyle name="Normal 2 2 2 2 13 6 2 2 2" xfId="9443"/>
    <cellStyle name="Normal 2 2 2 2 13 6 2 3" xfId="9444"/>
    <cellStyle name="Normal 2 2 2 2 13 6 2 3 2" xfId="9445"/>
    <cellStyle name="Normal 2 2 2 2 13 6 2 4" xfId="9446"/>
    <cellStyle name="Normal 2 2 2 2 13 6 2 4 2" xfId="9447"/>
    <cellStyle name="Normal 2 2 2 2 13 6 2 5" xfId="9448"/>
    <cellStyle name="Normal 2 2 2 2 13 6 2 5 2" xfId="9449"/>
    <cellStyle name="Normal 2 2 2 2 13 6 2 6" xfId="9450"/>
    <cellStyle name="Normal 2 2 2 2 13 6 2 6 2" xfId="9451"/>
    <cellStyle name="Normal 2 2 2 2 13 6 2 7" xfId="9452"/>
    <cellStyle name="Normal 2 2 2 2 13 6 2 7 2" xfId="9453"/>
    <cellStyle name="Normal 2 2 2 2 13 6 2 8" xfId="9454"/>
    <cellStyle name="Normal 2 2 2 2 13 6 2 8 2" xfId="9455"/>
    <cellStyle name="Normal 2 2 2 2 13 6 2 9" xfId="9456"/>
    <cellStyle name="Normal 2 2 2 2 13 6 2 9 2" xfId="9457"/>
    <cellStyle name="Normal 2 2 2 2 13 6 3" xfId="9458"/>
    <cellStyle name="Normal 2 2 2 2 13 6 3 2" xfId="9459"/>
    <cellStyle name="Normal 2 2 2 2 13 6 4" xfId="9460"/>
    <cellStyle name="Normal 2 2 2 2 13 6 4 2" xfId="9461"/>
    <cellStyle name="Normal 2 2 2 2 13 6 5" xfId="9462"/>
    <cellStyle name="Normal 2 2 2 2 13 6 5 2" xfId="9463"/>
    <cellStyle name="Normal 2 2 2 2 13 6 6" xfId="9464"/>
    <cellStyle name="Normal 2 2 2 2 13 6 6 2" xfId="9465"/>
    <cellStyle name="Normal 2 2 2 2 13 6 7" xfId="9466"/>
    <cellStyle name="Normal 2 2 2 2 13 6 7 2" xfId="9467"/>
    <cellStyle name="Normal 2 2 2 2 13 6 8" xfId="9468"/>
    <cellStyle name="Normal 2 2 2 2 13 6 8 2" xfId="9469"/>
    <cellStyle name="Normal 2 2 2 2 13 6 9" xfId="9470"/>
    <cellStyle name="Normal 2 2 2 2 13 6 9 2" xfId="9471"/>
    <cellStyle name="Normal 2 2 2 2 13 7" xfId="9472"/>
    <cellStyle name="Normal 2 2 2 2 13 7 10" xfId="9473"/>
    <cellStyle name="Normal 2 2 2 2 13 7 10 2" xfId="9474"/>
    <cellStyle name="Normal 2 2 2 2 13 7 11" xfId="9475"/>
    <cellStyle name="Normal 2 2 2 2 13 7 2" xfId="9476"/>
    <cellStyle name="Normal 2 2 2 2 13 7 2 2" xfId="9477"/>
    <cellStyle name="Normal 2 2 2 2 13 7 3" xfId="9478"/>
    <cellStyle name="Normal 2 2 2 2 13 7 3 2" xfId="9479"/>
    <cellStyle name="Normal 2 2 2 2 13 7 4" xfId="9480"/>
    <cellStyle name="Normal 2 2 2 2 13 7 4 2" xfId="9481"/>
    <cellStyle name="Normal 2 2 2 2 13 7 5" xfId="9482"/>
    <cellStyle name="Normal 2 2 2 2 13 7 5 2" xfId="9483"/>
    <cellStyle name="Normal 2 2 2 2 13 7 6" xfId="9484"/>
    <cellStyle name="Normal 2 2 2 2 13 7 6 2" xfId="9485"/>
    <cellStyle name="Normal 2 2 2 2 13 7 7" xfId="9486"/>
    <cellStyle name="Normal 2 2 2 2 13 7 7 2" xfId="9487"/>
    <cellStyle name="Normal 2 2 2 2 13 7 8" xfId="9488"/>
    <cellStyle name="Normal 2 2 2 2 13 7 8 2" xfId="9489"/>
    <cellStyle name="Normal 2 2 2 2 13 7 9" xfId="9490"/>
    <cellStyle name="Normal 2 2 2 2 13 7 9 2" xfId="9491"/>
    <cellStyle name="Normal 2 2 2 2 13 8" xfId="9492"/>
    <cellStyle name="Normal 2 2 2 2 13 8 2" xfId="9493"/>
    <cellStyle name="Normal 2 2 2 2 13 9" xfId="9494"/>
    <cellStyle name="Normal 2 2 2 2 13 9 2" xfId="9495"/>
    <cellStyle name="Normal 2 2 2 2 14" xfId="9496"/>
    <cellStyle name="Normal 2 2 2 2 14 10" xfId="9497"/>
    <cellStyle name="Normal 2 2 2 2 14 10 2" xfId="9498"/>
    <cellStyle name="Normal 2 2 2 2 14 11" xfId="9499"/>
    <cellStyle name="Normal 2 2 2 2 14 11 2" xfId="9500"/>
    <cellStyle name="Normal 2 2 2 2 14 12" xfId="9501"/>
    <cellStyle name="Normal 2 2 2 2 14 12 2" xfId="9502"/>
    <cellStyle name="Normal 2 2 2 2 14 13" xfId="9503"/>
    <cellStyle name="Normal 2 2 2 2 14 2" xfId="9504"/>
    <cellStyle name="Normal 2 2 2 2 14 2 10" xfId="9505"/>
    <cellStyle name="Normal 2 2 2 2 14 2 10 2" xfId="9506"/>
    <cellStyle name="Normal 2 2 2 2 14 2 11" xfId="9507"/>
    <cellStyle name="Normal 2 2 2 2 14 2 11 2" xfId="9508"/>
    <cellStyle name="Normal 2 2 2 2 14 2 12" xfId="9509"/>
    <cellStyle name="Normal 2 2 2 2 14 2 2" xfId="9510"/>
    <cellStyle name="Normal 2 2 2 2 14 2 2 10" xfId="9511"/>
    <cellStyle name="Normal 2 2 2 2 14 2 2 10 2" xfId="9512"/>
    <cellStyle name="Normal 2 2 2 2 14 2 2 11" xfId="9513"/>
    <cellStyle name="Normal 2 2 2 2 14 2 2 2" xfId="9514"/>
    <cellStyle name="Normal 2 2 2 2 14 2 2 2 2" xfId="9515"/>
    <cellStyle name="Normal 2 2 2 2 14 2 2 3" xfId="9516"/>
    <cellStyle name="Normal 2 2 2 2 14 2 2 3 2" xfId="9517"/>
    <cellStyle name="Normal 2 2 2 2 14 2 2 4" xfId="9518"/>
    <cellStyle name="Normal 2 2 2 2 14 2 2 4 2" xfId="9519"/>
    <cellStyle name="Normal 2 2 2 2 14 2 2 5" xfId="9520"/>
    <cellStyle name="Normal 2 2 2 2 14 2 2 5 2" xfId="9521"/>
    <cellStyle name="Normal 2 2 2 2 14 2 2 6" xfId="9522"/>
    <cellStyle name="Normal 2 2 2 2 14 2 2 6 2" xfId="9523"/>
    <cellStyle name="Normal 2 2 2 2 14 2 2 7" xfId="9524"/>
    <cellStyle name="Normal 2 2 2 2 14 2 2 7 2" xfId="9525"/>
    <cellStyle name="Normal 2 2 2 2 14 2 2 8" xfId="9526"/>
    <cellStyle name="Normal 2 2 2 2 14 2 2 8 2" xfId="9527"/>
    <cellStyle name="Normal 2 2 2 2 14 2 2 9" xfId="9528"/>
    <cellStyle name="Normal 2 2 2 2 14 2 2 9 2" xfId="9529"/>
    <cellStyle name="Normal 2 2 2 2 14 2 3" xfId="9530"/>
    <cellStyle name="Normal 2 2 2 2 14 2 3 2" xfId="9531"/>
    <cellStyle name="Normal 2 2 2 2 14 2 4" xfId="9532"/>
    <cellStyle name="Normal 2 2 2 2 14 2 4 2" xfId="9533"/>
    <cellStyle name="Normal 2 2 2 2 14 2 5" xfId="9534"/>
    <cellStyle name="Normal 2 2 2 2 14 2 5 2" xfId="9535"/>
    <cellStyle name="Normal 2 2 2 2 14 2 6" xfId="9536"/>
    <cellStyle name="Normal 2 2 2 2 14 2 6 2" xfId="9537"/>
    <cellStyle name="Normal 2 2 2 2 14 2 7" xfId="9538"/>
    <cellStyle name="Normal 2 2 2 2 14 2 7 2" xfId="9539"/>
    <cellStyle name="Normal 2 2 2 2 14 2 8" xfId="9540"/>
    <cellStyle name="Normal 2 2 2 2 14 2 8 2" xfId="9541"/>
    <cellStyle name="Normal 2 2 2 2 14 2 9" xfId="9542"/>
    <cellStyle name="Normal 2 2 2 2 14 2 9 2" xfId="9543"/>
    <cellStyle name="Normal 2 2 2 2 14 3" xfId="9544"/>
    <cellStyle name="Normal 2 2 2 2 14 3 10" xfId="9545"/>
    <cellStyle name="Normal 2 2 2 2 14 3 10 2" xfId="9546"/>
    <cellStyle name="Normal 2 2 2 2 14 3 11" xfId="9547"/>
    <cellStyle name="Normal 2 2 2 2 14 3 2" xfId="9548"/>
    <cellStyle name="Normal 2 2 2 2 14 3 2 2" xfId="9549"/>
    <cellStyle name="Normal 2 2 2 2 14 3 3" xfId="9550"/>
    <cellStyle name="Normal 2 2 2 2 14 3 3 2" xfId="9551"/>
    <cellStyle name="Normal 2 2 2 2 14 3 4" xfId="9552"/>
    <cellStyle name="Normal 2 2 2 2 14 3 4 2" xfId="9553"/>
    <cellStyle name="Normal 2 2 2 2 14 3 5" xfId="9554"/>
    <cellStyle name="Normal 2 2 2 2 14 3 5 2" xfId="9555"/>
    <cellStyle name="Normal 2 2 2 2 14 3 6" xfId="9556"/>
    <cellStyle name="Normal 2 2 2 2 14 3 6 2" xfId="9557"/>
    <cellStyle name="Normal 2 2 2 2 14 3 7" xfId="9558"/>
    <cellStyle name="Normal 2 2 2 2 14 3 7 2" xfId="9559"/>
    <cellStyle name="Normal 2 2 2 2 14 3 8" xfId="9560"/>
    <cellStyle name="Normal 2 2 2 2 14 3 8 2" xfId="9561"/>
    <cellStyle name="Normal 2 2 2 2 14 3 9" xfId="9562"/>
    <cellStyle name="Normal 2 2 2 2 14 3 9 2" xfId="9563"/>
    <cellStyle name="Normal 2 2 2 2 14 4" xfId="9564"/>
    <cellStyle name="Normal 2 2 2 2 14 4 2" xfId="9565"/>
    <cellStyle name="Normal 2 2 2 2 14 5" xfId="9566"/>
    <cellStyle name="Normal 2 2 2 2 14 5 2" xfId="9567"/>
    <cellStyle name="Normal 2 2 2 2 14 6" xfId="9568"/>
    <cellStyle name="Normal 2 2 2 2 14 6 2" xfId="9569"/>
    <cellStyle name="Normal 2 2 2 2 14 7" xfId="9570"/>
    <cellStyle name="Normal 2 2 2 2 14 7 2" xfId="9571"/>
    <cellStyle name="Normal 2 2 2 2 14 8" xfId="9572"/>
    <cellStyle name="Normal 2 2 2 2 14 8 2" xfId="9573"/>
    <cellStyle name="Normal 2 2 2 2 14 9" xfId="9574"/>
    <cellStyle name="Normal 2 2 2 2 14 9 2" xfId="9575"/>
    <cellStyle name="Normal 2 2 2 2 15" xfId="9576"/>
    <cellStyle name="Normal 2 2 2 2 15 10" xfId="9577"/>
    <cellStyle name="Normal 2 2 2 2 15 10 2" xfId="9578"/>
    <cellStyle name="Normal 2 2 2 2 15 11" xfId="9579"/>
    <cellStyle name="Normal 2 2 2 2 15 11 2" xfId="9580"/>
    <cellStyle name="Normal 2 2 2 2 15 12" xfId="9581"/>
    <cellStyle name="Normal 2 2 2 2 15 12 2" xfId="9582"/>
    <cellStyle name="Normal 2 2 2 2 15 13" xfId="9583"/>
    <cellStyle name="Normal 2 2 2 2 15 2" xfId="9584"/>
    <cellStyle name="Normal 2 2 2 2 15 2 10" xfId="9585"/>
    <cellStyle name="Normal 2 2 2 2 15 2 10 2" xfId="9586"/>
    <cellStyle name="Normal 2 2 2 2 15 2 11" xfId="9587"/>
    <cellStyle name="Normal 2 2 2 2 15 2 11 2" xfId="9588"/>
    <cellStyle name="Normal 2 2 2 2 15 2 12" xfId="9589"/>
    <cellStyle name="Normal 2 2 2 2 15 2 2" xfId="9590"/>
    <cellStyle name="Normal 2 2 2 2 15 2 2 10" xfId="9591"/>
    <cellStyle name="Normal 2 2 2 2 15 2 2 10 2" xfId="9592"/>
    <cellStyle name="Normal 2 2 2 2 15 2 2 11" xfId="9593"/>
    <cellStyle name="Normal 2 2 2 2 15 2 2 2" xfId="9594"/>
    <cellStyle name="Normal 2 2 2 2 15 2 2 2 2" xfId="9595"/>
    <cellStyle name="Normal 2 2 2 2 15 2 2 3" xfId="9596"/>
    <cellStyle name="Normal 2 2 2 2 15 2 2 3 2" xfId="9597"/>
    <cellStyle name="Normal 2 2 2 2 15 2 2 4" xfId="9598"/>
    <cellStyle name="Normal 2 2 2 2 15 2 2 4 2" xfId="9599"/>
    <cellStyle name="Normal 2 2 2 2 15 2 2 5" xfId="9600"/>
    <cellStyle name="Normal 2 2 2 2 15 2 2 5 2" xfId="9601"/>
    <cellStyle name="Normal 2 2 2 2 15 2 2 6" xfId="9602"/>
    <cellStyle name="Normal 2 2 2 2 15 2 2 6 2" xfId="9603"/>
    <cellStyle name="Normal 2 2 2 2 15 2 2 7" xfId="9604"/>
    <cellStyle name="Normal 2 2 2 2 15 2 2 7 2" xfId="9605"/>
    <cellStyle name="Normal 2 2 2 2 15 2 2 8" xfId="9606"/>
    <cellStyle name="Normal 2 2 2 2 15 2 2 8 2" xfId="9607"/>
    <cellStyle name="Normal 2 2 2 2 15 2 2 9" xfId="9608"/>
    <cellStyle name="Normal 2 2 2 2 15 2 2 9 2" xfId="9609"/>
    <cellStyle name="Normal 2 2 2 2 15 2 3" xfId="9610"/>
    <cellStyle name="Normal 2 2 2 2 15 2 3 2" xfId="9611"/>
    <cellStyle name="Normal 2 2 2 2 15 2 4" xfId="9612"/>
    <cellStyle name="Normal 2 2 2 2 15 2 4 2" xfId="9613"/>
    <cellStyle name="Normal 2 2 2 2 15 2 5" xfId="9614"/>
    <cellStyle name="Normal 2 2 2 2 15 2 5 2" xfId="9615"/>
    <cellStyle name="Normal 2 2 2 2 15 2 6" xfId="9616"/>
    <cellStyle name="Normal 2 2 2 2 15 2 6 2" xfId="9617"/>
    <cellStyle name="Normal 2 2 2 2 15 2 7" xfId="9618"/>
    <cellStyle name="Normal 2 2 2 2 15 2 7 2" xfId="9619"/>
    <cellStyle name="Normal 2 2 2 2 15 2 8" xfId="9620"/>
    <cellStyle name="Normal 2 2 2 2 15 2 8 2" xfId="9621"/>
    <cellStyle name="Normal 2 2 2 2 15 2 9" xfId="9622"/>
    <cellStyle name="Normal 2 2 2 2 15 2 9 2" xfId="9623"/>
    <cellStyle name="Normal 2 2 2 2 15 3" xfId="9624"/>
    <cellStyle name="Normal 2 2 2 2 15 3 10" xfId="9625"/>
    <cellStyle name="Normal 2 2 2 2 15 3 10 2" xfId="9626"/>
    <cellStyle name="Normal 2 2 2 2 15 3 11" xfId="9627"/>
    <cellStyle name="Normal 2 2 2 2 15 3 2" xfId="9628"/>
    <cellStyle name="Normal 2 2 2 2 15 3 2 2" xfId="9629"/>
    <cellStyle name="Normal 2 2 2 2 15 3 3" xfId="9630"/>
    <cellStyle name="Normal 2 2 2 2 15 3 3 2" xfId="9631"/>
    <cellStyle name="Normal 2 2 2 2 15 3 4" xfId="9632"/>
    <cellStyle name="Normal 2 2 2 2 15 3 4 2" xfId="9633"/>
    <cellStyle name="Normal 2 2 2 2 15 3 5" xfId="9634"/>
    <cellStyle name="Normal 2 2 2 2 15 3 5 2" xfId="9635"/>
    <cellStyle name="Normal 2 2 2 2 15 3 6" xfId="9636"/>
    <cellStyle name="Normal 2 2 2 2 15 3 6 2" xfId="9637"/>
    <cellStyle name="Normal 2 2 2 2 15 3 7" xfId="9638"/>
    <cellStyle name="Normal 2 2 2 2 15 3 7 2" xfId="9639"/>
    <cellStyle name="Normal 2 2 2 2 15 3 8" xfId="9640"/>
    <cellStyle name="Normal 2 2 2 2 15 3 8 2" xfId="9641"/>
    <cellStyle name="Normal 2 2 2 2 15 3 9" xfId="9642"/>
    <cellStyle name="Normal 2 2 2 2 15 3 9 2" xfId="9643"/>
    <cellStyle name="Normal 2 2 2 2 15 4" xfId="9644"/>
    <cellStyle name="Normal 2 2 2 2 15 4 2" xfId="9645"/>
    <cellStyle name="Normal 2 2 2 2 15 5" xfId="9646"/>
    <cellStyle name="Normal 2 2 2 2 15 5 2" xfId="9647"/>
    <cellStyle name="Normal 2 2 2 2 15 6" xfId="9648"/>
    <cellStyle name="Normal 2 2 2 2 15 6 2" xfId="9649"/>
    <cellStyle name="Normal 2 2 2 2 15 7" xfId="9650"/>
    <cellStyle name="Normal 2 2 2 2 15 7 2" xfId="9651"/>
    <cellStyle name="Normal 2 2 2 2 15 8" xfId="9652"/>
    <cellStyle name="Normal 2 2 2 2 15 8 2" xfId="9653"/>
    <cellStyle name="Normal 2 2 2 2 15 9" xfId="9654"/>
    <cellStyle name="Normal 2 2 2 2 15 9 2" xfId="9655"/>
    <cellStyle name="Normal 2 2 2 2 16" xfId="9656"/>
    <cellStyle name="Normal 2 2 2 2 16 10" xfId="9657"/>
    <cellStyle name="Normal 2 2 2 2 16 10 2" xfId="9658"/>
    <cellStyle name="Normal 2 2 2 2 16 11" xfId="9659"/>
    <cellStyle name="Normal 2 2 2 2 16 11 2" xfId="9660"/>
    <cellStyle name="Normal 2 2 2 2 16 12" xfId="9661"/>
    <cellStyle name="Normal 2 2 2 2 16 12 2" xfId="9662"/>
    <cellStyle name="Normal 2 2 2 2 16 13" xfId="9663"/>
    <cellStyle name="Normal 2 2 2 2 16 2" xfId="9664"/>
    <cellStyle name="Normal 2 2 2 2 16 2 10" xfId="9665"/>
    <cellStyle name="Normal 2 2 2 2 16 2 10 2" xfId="9666"/>
    <cellStyle name="Normal 2 2 2 2 16 2 11" xfId="9667"/>
    <cellStyle name="Normal 2 2 2 2 16 2 11 2" xfId="9668"/>
    <cellStyle name="Normal 2 2 2 2 16 2 12" xfId="9669"/>
    <cellStyle name="Normal 2 2 2 2 16 2 2" xfId="9670"/>
    <cellStyle name="Normal 2 2 2 2 16 2 2 10" xfId="9671"/>
    <cellStyle name="Normal 2 2 2 2 16 2 2 10 2" xfId="9672"/>
    <cellStyle name="Normal 2 2 2 2 16 2 2 11" xfId="9673"/>
    <cellStyle name="Normal 2 2 2 2 16 2 2 2" xfId="9674"/>
    <cellStyle name="Normal 2 2 2 2 16 2 2 2 2" xfId="9675"/>
    <cellStyle name="Normal 2 2 2 2 16 2 2 3" xfId="9676"/>
    <cellStyle name="Normal 2 2 2 2 16 2 2 3 2" xfId="9677"/>
    <cellStyle name="Normal 2 2 2 2 16 2 2 4" xfId="9678"/>
    <cellStyle name="Normal 2 2 2 2 16 2 2 4 2" xfId="9679"/>
    <cellStyle name="Normal 2 2 2 2 16 2 2 5" xfId="9680"/>
    <cellStyle name="Normal 2 2 2 2 16 2 2 5 2" xfId="9681"/>
    <cellStyle name="Normal 2 2 2 2 16 2 2 6" xfId="9682"/>
    <cellStyle name="Normal 2 2 2 2 16 2 2 6 2" xfId="9683"/>
    <cellStyle name="Normal 2 2 2 2 16 2 2 7" xfId="9684"/>
    <cellStyle name="Normal 2 2 2 2 16 2 2 7 2" xfId="9685"/>
    <cellStyle name="Normal 2 2 2 2 16 2 2 8" xfId="9686"/>
    <cellStyle name="Normal 2 2 2 2 16 2 2 8 2" xfId="9687"/>
    <cellStyle name="Normal 2 2 2 2 16 2 2 9" xfId="9688"/>
    <cellStyle name="Normal 2 2 2 2 16 2 2 9 2" xfId="9689"/>
    <cellStyle name="Normal 2 2 2 2 16 2 3" xfId="9690"/>
    <cellStyle name="Normal 2 2 2 2 16 2 3 2" xfId="9691"/>
    <cellStyle name="Normal 2 2 2 2 16 2 4" xfId="9692"/>
    <cellStyle name="Normal 2 2 2 2 16 2 4 2" xfId="9693"/>
    <cellStyle name="Normal 2 2 2 2 16 2 5" xfId="9694"/>
    <cellStyle name="Normal 2 2 2 2 16 2 5 2" xfId="9695"/>
    <cellStyle name="Normal 2 2 2 2 16 2 6" xfId="9696"/>
    <cellStyle name="Normal 2 2 2 2 16 2 6 2" xfId="9697"/>
    <cellStyle name="Normal 2 2 2 2 16 2 7" xfId="9698"/>
    <cellStyle name="Normal 2 2 2 2 16 2 7 2" xfId="9699"/>
    <cellStyle name="Normal 2 2 2 2 16 2 8" xfId="9700"/>
    <cellStyle name="Normal 2 2 2 2 16 2 8 2" xfId="9701"/>
    <cellStyle name="Normal 2 2 2 2 16 2 9" xfId="9702"/>
    <cellStyle name="Normal 2 2 2 2 16 2 9 2" xfId="9703"/>
    <cellStyle name="Normal 2 2 2 2 16 3" xfId="9704"/>
    <cellStyle name="Normal 2 2 2 2 16 3 10" xfId="9705"/>
    <cellStyle name="Normal 2 2 2 2 16 3 10 2" xfId="9706"/>
    <cellStyle name="Normal 2 2 2 2 16 3 11" xfId="9707"/>
    <cellStyle name="Normal 2 2 2 2 16 3 2" xfId="9708"/>
    <cellStyle name="Normal 2 2 2 2 16 3 2 2" xfId="9709"/>
    <cellStyle name="Normal 2 2 2 2 16 3 3" xfId="9710"/>
    <cellStyle name="Normal 2 2 2 2 16 3 3 2" xfId="9711"/>
    <cellStyle name="Normal 2 2 2 2 16 3 4" xfId="9712"/>
    <cellStyle name="Normal 2 2 2 2 16 3 4 2" xfId="9713"/>
    <cellStyle name="Normal 2 2 2 2 16 3 5" xfId="9714"/>
    <cellStyle name="Normal 2 2 2 2 16 3 5 2" xfId="9715"/>
    <cellStyle name="Normal 2 2 2 2 16 3 6" xfId="9716"/>
    <cellStyle name="Normal 2 2 2 2 16 3 6 2" xfId="9717"/>
    <cellStyle name="Normal 2 2 2 2 16 3 7" xfId="9718"/>
    <cellStyle name="Normal 2 2 2 2 16 3 7 2" xfId="9719"/>
    <cellStyle name="Normal 2 2 2 2 16 3 8" xfId="9720"/>
    <cellStyle name="Normal 2 2 2 2 16 3 8 2" xfId="9721"/>
    <cellStyle name="Normal 2 2 2 2 16 3 9" xfId="9722"/>
    <cellStyle name="Normal 2 2 2 2 16 3 9 2" xfId="9723"/>
    <cellStyle name="Normal 2 2 2 2 16 4" xfId="9724"/>
    <cellStyle name="Normal 2 2 2 2 16 4 2" xfId="9725"/>
    <cellStyle name="Normal 2 2 2 2 16 5" xfId="9726"/>
    <cellStyle name="Normal 2 2 2 2 16 5 2" xfId="9727"/>
    <cellStyle name="Normal 2 2 2 2 16 6" xfId="9728"/>
    <cellStyle name="Normal 2 2 2 2 16 6 2" xfId="9729"/>
    <cellStyle name="Normal 2 2 2 2 16 7" xfId="9730"/>
    <cellStyle name="Normal 2 2 2 2 16 7 2" xfId="9731"/>
    <cellStyle name="Normal 2 2 2 2 16 8" xfId="9732"/>
    <cellStyle name="Normal 2 2 2 2 16 8 2" xfId="9733"/>
    <cellStyle name="Normal 2 2 2 2 16 9" xfId="9734"/>
    <cellStyle name="Normal 2 2 2 2 16 9 2" xfId="9735"/>
    <cellStyle name="Normal 2 2 2 2 17" xfId="41834"/>
    <cellStyle name="Normal 2 2 2 2 2" xfId="9736"/>
    <cellStyle name="Normal 2 2 2 2 2 10" xfId="9737"/>
    <cellStyle name="Normal 2 2 2 2 2 10 10" xfId="9738"/>
    <cellStyle name="Normal 2 2 2 2 2 10 10 2" xfId="9739"/>
    <cellStyle name="Normal 2 2 2 2 2 10 11" xfId="9740"/>
    <cellStyle name="Normal 2 2 2 2 2 10 11 2" xfId="9741"/>
    <cellStyle name="Normal 2 2 2 2 2 10 12" xfId="9742"/>
    <cellStyle name="Normal 2 2 2 2 2 10 2" xfId="9743"/>
    <cellStyle name="Normal 2 2 2 2 2 10 2 10" xfId="9744"/>
    <cellStyle name="Normal 2 2 2 2 2 10 2 10 2" xfId="9745"/>
    <cellStyle name="Normal 2 2 2 2 2 10 2 11" xfId="9746"/>
    <cellStyle name="Normal 2 2 2 2 2 10 2 2" xfId="9747"/>
    <cellStyle name="Normal 2 2 2 2 2 10 2 2 2" xfId="9748"/>
    <cellStyle name="Normal 2 2 2 2 2 10 2 3" xfId="9749"/>
    <cellStyle name="Normal 2 2 2 2 2 10 2 3 2" xfId="9750"/>
    <cellStyle name="Normal 2 2 2 2 2 10 2 4" xfId="9751"/>
    <cellStyle name="Normal 2 2 2 2 2 10 2 4 2" xfId="9752"/>
    <cellStyle name="Normal 2 2 2 2 2 10 2 5" xfId="9753"/>
    <cellStyle name="Normal 2 2 2 2 2 10 2 5 2" xfId="9754"/>
    <cellStyle name="Normal 2 2 2 2 2 10 2 6" xfId="9755"/>
    <cellStyle name="Normal 2 2 2 2 2 10 2 6 2" xfId="9756"/>
    <cellStyle name="Normal 2 2 2 2 2 10 2 7" xfId="9757"/>
    <cellStyle name="Normal 2 2 2 2 2 10 2 7 2" xfId="9758"/>
    <cellStyle name="Normal 2 2 2 2 2 10 2 8" xfId="9759"/>
    <cellStyle name="Normal 2 2 2 2 2 10 2 8 2" xfId="9760"/>
    <cellStyle name="Normal 2 2 2 2 2 10 2 9" xfId="9761"/>
    <cellStyle name="Normal 2 2 2 2 2 10 2 9 2" xfId="9762"/>
    <cellStyle name="Normal 2 2 2 2 2 10 3" xfId="9763"/>
    <cellStyle name="Normal 2 2 2 2 2 10 3 2" xfId="9764"/>
    <cellStyle name="Normal 2 2 2 2 2 10 4" xfId="9765"/>
    <cellStyle name="Normal 2 2 2 2 2 10 4 2" xfId="9766"/>
    <cellStyle name="Normal 2 2 2 2 2 10 5" xfId="9767"/>
    <cellStyle name="Normal 2 2 2 2 2 10 5 2" xfId="9768"/>
    <cellStyle name="Normal 2 2 2 2 2 10 6" xfId="9769"/>
    <cellStyle name="Normal 2 2 2 2 2 10 6 2" xfId="9770"/>
    <cellStyle name="Normal 2 2 2 2 2 10 7" xfId="9771"/>
    <cellStyle name="Normal 2 2 2 2 2 10 7 2" xfId="9772"/>
    <cellStyle name="Normal 2 2 2 2 2 10 8" xfId="9773"/>
    <cellStyle name="Normal 2 2 2 2 2 10 8 2" xfId="9774"/>
    <cellStyle name="Normal 2 2 2 2 2 10 9" xfId="9775"/>
    <cellStyle name="Normal 2 2 2 2 2 10 9 2" xfId="9776"/>
    <cellStyle name="Normal 2 2 2 2 2 11" xfId="9777"/>
    <cellStyle name="Normal 2 2 2 2 2 11 10" xfId="9778"/>
    <cellStyle name="Normal 2 2 2 2 2 11 10 2" xfId="9779"/>
    <cellStyle name="Normal 2 2 2 2 2 11 11" xfId="9780"/>
    <cellStyle name="Normal 2 2 2 2 2 11 2" xfId="9781"/>
    <cellStyle name="Normal 2 2 2 2 2 11 2 2" xfId="9782"/>
    <cellStyle name="Normal 2 2 2 2 2 11 3" xfId="9783"/>
    <cellStyle name="Normal 2 2 2 2 2 11 3 2" xfId="9784"/>
    <cellStyle name="Normal 2 2 2 2 2 11 4" xfId="9785"/>
    <cellStyle name="Normal 2 2 2 2 2 11 4 2" xfId="9786"/>
    <cellStyle name="Normal 2 2 2 2 2 11 5" xfId="9787"/>
    <cellStyle name="Normal 2 2 2 2 2 11 5 2" xfId="9788"/>
    <cellStyle name="Normal 2 2 2 2 2 11 6" xfId="9789"/>
    <cellStyle name="Normal 2 2 2 2 2 11 6 2" xfId="9790"/>
    <cellStyle name="Normal 2 2 2 2 2 11 7" xfId="9791"/>
    <cellStyle name="Normal 2 2 2 2 2 11 7 2" xfId="9792"/>
    <cellStyle name="Normal 2 2 2 2 2 11 8" xfId="9793"/>
    <cellStyle name="Normal 2 2 2 2 2 11 8 2" xfId="9794"/>
    <cellStyle name="Normal 2 2 2 2 2 11 9" xfId="9795"/>
    <cellStyle name="Normal 2 2 2 2 2 11 9 2" xfId="9796"/>
    <cellStyle name="Normal 2 2 2 2 2 12" xfId="9797"/>
    <cellStyle name="Normal 2 2 2 2 2 12 2" xfId="9798"/>
    <cellStyle name="Normal 2 2 2 2 2 13" xfId="9799"/>
    <cellStyle name="Normal 2 2 2 2 2 13 2" xfId="9800"/>
    <cellStyle name="Normal 2 2 2 2 2 14" xfId="9801"/>
    <cellStyle name="Normal 2 2 2 2 2 14 2" xfId="9802"/>
    <cellStyle name="Normal 2 2 2 2 2 15" xfId="9803"/>
    <cellStyle name="Normal 2 2 2 2 2 15 2" xfId="9804"/>
    <cellStyle name="Normal 2 2 2 2 2 16" xfId="9805"/>
    <cellStyle name="Normal 2 2 2 2 2 16 2" xfId="9806"/>
    <cellStyle name="Normal 2 2 2 2 2 17" xfId="9807"/>
    <cellStyle name="Normal 2 2 2 2 2 17 2" xfId="9808"/>
    <cellStyle name="Normal 2 2 2 2 2 18" xfId="9809"/>
    <cellStyle name="Normal 2 2 2 2 2 18 2" xfId="9810"/>
    <cellStyle name="Normal 2 2 2 2 2 19" xfId="9811"/>
    <cellStyle name="Normal 2 2 2 2 2 19 2" xfId="9812"/>
    <cellStyle name="Normal 2 2 2 2 2 2" xfId="9813"/>
    <cellStyle name="Normal 2 2 2 2 2 2 10" xfId="41835"/>
    <cellStyle name="Normal 2 2 2 2 2 2 2" xfId="9814"/>
    <cellStyle name="Normal 2 2 2 2 2 2 2 10" xfId="9815"/>
    <cellStyle name="Normal 2 2 2 2 2 2 2 10 2" xfId="9816"/>
    <cellStyle name="Normal 2 2 2 2 2 2 2 11" xfId="9817"/>
    <cellStyle name="Normal 2 2 2 2 2 2 2 11 2" xfId="9818"/>
    <cellStyle name="Normal 2 2 2 2 2 2 2 12" xfId="9819"/>
    <cellStyle name="Normal 2 2 2 2 2 2 2 12 2" xfId="9820"/>
    <cellStyle name="Normal 2 2 2 2 2 2 2 13" xfId="9821"/>
    <cellStyle name="Normal 2 2 2 2 2 2 2 13 2" xfId="9822"/>
    <cellStyle name="Normal 2 2 2 2 2 2 2 14" xfId="9823"/>
    <cellStyle name="Normal 2 2 2 2 2 2 2 14 2" xfId="9824"/>
    <cellStyle name="Normal 2 2 2 2 2 2 2 15" xfId="9825"/>
    <cellStyle name="Normal 2 2 2 2 2 2 2 15 2" xfId="9826"/>
    <cellStyle name="Normal 2 2 2 2 2 2 2 16" xfId="9827"/>
    <cellStyle name="Normal 2 2 2 2 2 2 2 16 2" xfId="9828"/>
    <cellStyle name="Normal 2 2 2 2 2 2 2 17" xfId="9829"/>
    <cellStyle name="Normal 2 2 2 2 2 2 2 17 2" xfId="9830"/>
    <cellStyle name="Normal 2 2 2 2 2 2 2 18" xfId="9831"/>
    <cellStyle name="Normal 2 2 2 2 2 2 2 2" xfId="9832"/>
    <cellStyle name="Normal 2 2 2 2 2 2 2 2 2" xfId="9833"/>
    <cellStyle name="Normal 2 2 2 2 2 2 2 2 2 10" xfId="9834"/>
    <cellStyle name="Normal 2 2 2 2 2 2 2 2 2 10 2" xfId="9835"/>
    <cellStyle name="Normal 2 2 2 2 2 2 2 2 2 11" xfId="9836"/>
    <cellStyle name="Normal 2 2 2 2 2 2 2 2 2 11 2" xfId="9837"/>
    <cellStyle name="Normal 2 2 2 2 2 2 2 2 2 12" xfId="9838"/>
    <cellStyle name="Normal 2 2 2 2 2 2 2 2 2 12 2" xfId="9839"/>
    <cellStyle name="Normal 2 2 2 2 2 2 2 2 2 13" xfId="9840"/>
    <cellStyle name="Normal 2 2 2 2 2 2 2 2 2 13 2" xfId="9841"/>
    <cellStyle name="Normal 2 2 2 2 2 2 2 2 2 14" xfId="9842"/>
    <cellStyle name="Normal 2 2 2 2 2 2 2 2 2 14 2" xfId="9843"/>
    <cellStyle name="Normal 2 2 2 2 2 2 2 2 2 15" xfId="9844"/>
    <cellStyle name="Normal 2 2 2 2 2 2 2 2 2 15 2" xfId="9845"/>
    <cellStyle name="Normal 2 2 2 2 2 2 2 2 2 16" xfId="9846"/>
    <cellStyle name="Normal 2 2 2 2 2 2 2 2 2 16 2" xfId="9847"/>
    <cellStyle name="Normal 2 2 2 2 2 2 2 2 2 17" xfId="9848"/>
    <cellStyle name="Normal 2 2 2 2 2 2 2 2 2 2" xfId="9849"/>
    <cellStyle name="Normal 2 2 2 2 2 2 2 2 2 2 2" xfId="41836"/>
    <cellStyle name="Normal 2 2 2 2 2 2 2 2 2 3" xfId="9850"/>
    <cellStyle name="Normal 2 2 2 2 2 2 2 2 2 3 2" xfId="41837"/>
    <cellStyle name="Normal 2 2 2 2 2 2 2 2 2 4" xfId="9851"/>
    <cellStyle name="Normal 2 2 2 2 2 2 2 2 2 4 2" xfId="41838"/>
    <cellStyle name="Normal 2 2 2 2 2 2 2 2 2 5" xfId="9852"/>
    <cellStyle name="Normal 2 2 2 2 2 2 2 2 2 5 2" xfId="41839"/>
    <cellStyle name="Normal 2 2 2 2 2 2 2 2 2 6" xfId="9853"/>
    <cellStyle name="Normal 2 2 2 2 2 2 2 2 2 6 10" xfId="9854"/>
    <cellStyle name="Normal 2 2 2 2 2 2 2 2 2 6 10 2" xfId="9855"/>
    <cellStyle name="Normal 2 2 2 2 2 2 2 2 2 6 11" xfId="9856"/>
    <cellStyle name="Normal 2 2 2 2 2 2 2 2 2 6 11 2" xfId="9857"/>
    <cellStyle name="Normal 2 2 2 2 2 2 2 2 2 6 12" xfId="9858"/>
    <cellStyle name="Normal 2 2 2 2 2 2 2 2 2 6 2" xfId="9859"/>
    <cellStyle name="Normal 2 2 2 2 2 2 2 2 2 6 2 10" xfId="9860"/>
    <cellStyle name="Normal 2 2 2 2 2 2 2 2 2 6 2 10 2" xfId="9861"/>
    <cellStyle name="Normal 2 2 2 2 2 2 2 2 2 6 2 11" xfId="9862"/>
    <cellStyle name="Normal 2 2 2 2 2 2 2 2 2 6 2 2" xfId="9863"/>
    <cellStyle name="Normal 2 2 2 2 2 2 2 2 2 6 2 2 2" xfId="9864"/>
    <cellStyle name="Normal 2 2 2 2 2 2 2 2 2 6 2 3" xfId="9865"/>
    <cellStyle name="Normal 2 2 2 2 2 2 2 2 2 6 2 3 2" xfId="9866"/>
    <cellStyle name="Normal 2 2 2 2 2 2 2 2 2 6 2 4" xfId="9867"/>
    <cellStyle name="Normal 2 2 2 2 2 2 2 2 2 6 2 4 2" xfId="9868"/>
    <cellStyle name="Normal 2 2 2 2 2 2 2 2 2 6 2 5" xfId="9869"/>
    <cellStyle name="Normal 2 2 2 2 2 2 2 2 2 6 2 5 2" xfId="9870"/>
    <cellStyle name="Normal 2 2 2 2 2 2 2 2 2 6 2 6" xfId="9871"/>
    <cellStyle name="Normal 2 2 2 2 2 2 2 2 2 6 2 6 2" xfId="9872"/>
    <cellStyle name="Normal 2 2 2 2 2 2 2 2 2 6 2 7" xfId="9873"/>
    <cellStyle name="Normal 2 2 2 2 2 2 2 2 2 6 2 7 2" xfId="9874"/>
    <cellStyle name="Normal 2 2 2 2 2 2 2 2 2 6 2 8" xfId="9875"/>
    <cellStyle name="Normal 2 2 2 2 2 2 2 2 2 6 2 8 2" xfId="9876"/>
    <cellStyle name="Normal 2 2 2 2 2 2 2 2 2 6 2 9" xfId="9877"/>
    <cellStyle name="Normal 2 2 2 2 2 2 2 2 2 6 2 9 2" xfId="9878"/>
    <cellStyle name="Normal 2 2 2 2 2 2 2 2 2 6 3" xfId="9879"/>
    <cellStyle name="Normal 2 2 2 2 2 2 2 2 2 6 3 2" xfId="9880"/>
    <cellStyle name="Normal 2 2 2 2 2 2 2 2 2 6 4" xfId="9881"/>
    <cellStyle name="Normal 2 2 2 2 2 2 2 2 2 6 4 2" xfId="9882"/>
    <cellStyle name="Normal 2 2 2 2 2 2 2 2 2 6 5" xfId="9883"/>
    <cellStyle name="Normal 2 2 2 2 2 2 2 2 2 6 5 2" xfId="9884"/>
    <cellStyle name="Normal 2 2 2 2 2 2 2 2 2 6 6" xfId="9885"/>
    <cellStyle name="Normal 2 2 2 2 2 2 2 2 2 6 6 2" xfId="9886"/>
    <cellStyle name="Normal 2 2 2 2 2 2 2 2 2 6 7" xfId="9887"/>
    <cellStyle name="Normal 2 2 2 2 2 2 2 2 2 6 7 2" xfId="9888"/>
    <cellStyle name="Normal 2 2 2 2 2 2 2 2 2 6 8" xfId="9889"/>
    <cellStyle name="Normal 2 2 2 2 2 2 2 2 2 6 8 2" xfId="9890"/>
    <cellStyle name="Normal 2 2 2 2 2 2 2 2 2 6 9" xfId="9891"/>
    <cellStyle name="Normal 2 2 2 2 2 2 2 2 2 6 9 2" xfId="9892"/>
    <cellStyle name="Normal 2 2 2 2 2 2 2 2 2 7" xfId="9893"/>
    <cellStyle name="Normal 2 2 2 2 2 2 2 2 2 7 10" xfId="9894"/>
    <cellStyle name="Normal 2 2 2 2 2 2 2 2 2 7 10 2" xfId="9895"/>
    <cellStyle name="Normal 2 2 2 2 2 2 2 2 2 7 11" xfId="9896"/>
    <cellStyle name="Normal 2 2 2 2 2 2 2 2 2 7 2" xfId="9897"/>
    <cellStyle name="Normal 2 2 2 2 2 2 2 2 2 7 2 2" xfId="9898"/>
    <cellStyle name="Normal 2 2 2 2 2 2 2 2 2 7 3" xfId="9899"/>
    <cellStyle name="Normal 2 2 2 2 2 2 2 2 2 7 3 2" xfId="9900"/>
    <cellStyle name="Normal 2 2 2 2 2 2 2 2 2 7 4" xfId="9901"/>
    <cellStyle name="Normal 2 2 2 2 2 2 2 2 2 7 4 2" xfId="9902"/>
    <cellStyle name="Normal 2 2 2 2 2 2 2 2 2 7 5" xfId="9903"/>
    <cellStyle name="Normal 2 2 2 2 2 2 2 2 2 7 5 2" xfId="9904"/>
    <cellStyle name="Normal 2 2 2 2 2 2 2 2 2 7 6" xfId="9905"/>
    <cellStyle name="Normal 2 2 2 2 2 2 2 2 2 7 6 2" xfId="9906"/>
    <cellStyle name="Normal 2 2 2 2 2 2 2 2 2 7 7" xfId="9907"/>
    <cellStyle name="Normal 2 2 2 2 2 2 2 2 2 7 7 2" xfId="9908"/>
    <cellStyle name="Normal 2 2 2 2 2 2 2 2 2 7 8" xfId="9909"/>
    <cellStyle name="Normal 2 2 2 2 2 2 2 2 2 7 8 2" xfId="9910"/>
    <cellStyle name="Normal 2 2 2 2 2 2 2 2 2 7 9" xfId="9911"/>
    <cellStyle name="Normal 2 2 2 2 2 2 2 2 2 7 9 2" xfId="9912"/>
    <cellStyle name="Normal 2 2 2 2 2 2 2 2 2 8" xfId="9913"/>
    <cellStyle name="Normal 2 2 2 2 2 2 2 2 2 8 2" xfId="9914"/>
    <cellStyle name="Normal 2 2 2 2 2 2 2 2 2 9" xfId="9915"/>
    <cellStyle name="Normal 2 2 2 2 2 2 2 2 2 9 2" xfId="9916"/>
    <cellStyle name="Normal 2 2 2 2 2 2 2 2 3" xfId="9917"/>
    <cellStyle name="Normal 2 2 2 2 2 2 2 2 3 10" xfId="9918"/>
    <cellStyle name="Normal 2 2 2 2 2 2 2 2 3 10 2" xfId="9919"/>
    <cellStyle name="Normal 2 2 2 2 2 2 2 2 3 11" xfId="9920"/>
    <cellStyle name="Normal 2 2 2 2 2 2 2 2 3 11 2" xfId="9921"/>
    <cellStyle name="Normal 2 2 2 2 2 2 2 2 3 12" xfId="9922"/>
    <cellStyle name="Normal 2 2 2 2 2 2 2 2 3 12 2" xfId="9923"/>
    <cellStyle name="Normal 2 2 2 2 2 2 2 2 3 13" xfId="9924"/>
    <cellStyle name="Normal 2 2 2 2 2 2 2 2 3 2" xfId="9925"/>
    <cellStyle name="Normal 2 2 2 2 2 2 2 2 3 2 10" xfId="9926"/>
    <cellStyle name="Normal 2 2 2 2 2 2 2 2 3 2 10 2" xfId="9927"/>
    <cellStyle name="Normal 2 2 2 2 2 2 2 2 3 2 11" xfId="9928"/>
    <cellStyle name="Normal 2 2 2 2 2 2 2 2 3 2 11 2" xfId="9929"/>
    <cellStyle name="Normal 2 2 2 2 2 2 2 2 3 2 12" xfId="9930"/>
    <cellStyle name="Normal 2 2 2 2 2 2 2 2 3 2 2" xfId="9931"/>
    <cellStyle name="Normal 2 2 2 2 2 2 2 2 3 2 2 10" xfId="9932"/>
    <cellStyle name="Normal 2 2 2 2 2 2 2 2 3 2 2 10 2" xfId="9933"/>
    <cellStyle name="Normal 2 2 2 2 2 2 2 2 3 2 2 11" xfId="9934"/>
    <cellStyle name="Normal 2 2 2 2 2 2 2 2 3 2 2 2" xfId="9935"/>
    <cellStyle name="Normal 2 2 2 2 2 2 2 2 3 2 2 2 2" xfId="9936"/>
    <cellStyle name="Normal 2 2 2 2 2 2 2 2 3 2 2 3" xfId="9937"/>
    <cellStyle name="Normal 2 2 2 2 2 2 2 2 3 2 2 3 2" xfId="9938"/>
    <cellStyle name="Normal 2 2 2 2 2 2 2 2 3 2 2 4" xfId="9939"/>
    <cellStyle name="Normal 2 2 2 2 2 2 2 2 3 2 2 4 2" xfId="9940"/>
    <cellStyle name="Normal 2 2 2 2 2 2 2 2 3 2 2 5" xfId="9941"/>
    <cellStyle name="Normal 2 2 2 2 2 2 2 2 3 2 2 5 2" xfId="9942"/>
    <cellStyle name="Normal 2 2 2 2 2 2 2 2 3 2 2 6" xfId="9943"/>
    <cellStyle name="Normal 2 2 2 2 2 2 2 2 3 2 2 6 2" xfId="9944"/>
    <cellStyle name="Normal 2 2 2 2 2 2 2 2 3 2 2 7" xfId="9945"/>
    <cellStyle name="Normal 2 2 2 2 2 2 2 2 3 2 2 7 2" xfId="9946"/>
    <cellStyle name="Normal 2 2 2 2 2 2 2 2 3 2 2 8" xfId="9947"/>
    <cellStyle name="Normal 2 2 2 2 2 2 2 2 3 2 2 8 2" xfId="9948"/>
    <cellStyle name="Normal 2 2 2 2 2 2 2 2 3 2 2 9" xfId="9949"/>
    <cellStyle name="Normal 2 2 2 2 2 2 2 2 3 2 2 9 2" xfId="9950"/>
    <cellStyle name="Normal 2 2 2 2 2 2 2 2 3 2 3" xfId="9951"/>
    <cellStyle name="Normal 2 2 2 2 2 2 2 2 3 2 3 2" xfId="9952"/>
    <cellStyle name="Normal 2 2 2 2 2 2 2 2 3 2 4" xfId="9953"/>
    <cellStyle name="Normal 2 2 2 2 2 2 2 2 3 2 4 2" xfId="9954"/>
    <cellStyle name="Normal 2 2 2 2 2 2 2 2 3 2 5" xfId="9955"/>
    <cellStyle name="Normal 2 2 2 2 2 2 2 2 3 2 5 2" xfId="9956"/>
    <cellStyle name="Normal 2 2 2 2 2 2 2 2 3 2 6" xfId="9957"/>
    <cellStyle name="Normal 2 2 2 2 2 2 2 2 3 2 6 2" xfId="9958"/>
    <cellStyle name="Normal 2 2 2 2 2 2 2 2 3 2 7" xfId="9959"/>
    <cellStyle name="Normal 2 2 2 2 2 2 2 2 3 2 7 2" xfId="9960"/>
    <cellStyle name="Normal 2 2 2 2 2 2 2 2 3 2 8" xfId="9961"/>
    <cellStyle name="Normal 2 2 2 2 2 2 2 2 3 2 8 2" xfId="9962"/>
    <cellStyle name="Normal 2 2 2 2 2 2 2 2 3 2 9" xfId="9963"/>
    <cellStyle name="Normal 2 2 2 2 2 2 2 2 3 2 9 2" xfId="9964"/>
    <cellStyle name="Normal 2 2 2 2 2 2 2 2 3 3" xfId="9965"/>
    <cellStyle name="Normal 2 2 2 2 2 2 2 2 3 3 10" xfId="9966"/>
    <cellStyle name="Normal 2 2 2 2 2 2 2 2 3 3 10 2" xfId="9967"/>
    <cellStyle name="Normal 2 2 2 2 2 2 2 2 3 3 11" xfId="9968"/>
    <cellStyle name="Normal 2 2 2 2 2 2 2 2 3 3 2" xfId="9969"/>
    <cellStyle name="Normal 2 2 2 2 2 2 2 2 3 3 2 2" xfId="9970"/>
    <cellStyle name="Normal 2 2 2 2 2 2 2 2 3 3 3" xfId="9971"/>
    <cellStyle name="Normal 2 2 2 2 2 2 2 2 3 3 3 2" xfId="9972"/>
    <cellStyle name="Normal 2 2 2 2 2 2 2 2 3 3 4" xfId="9973"/>
    <cellStyle name="Normal 2 2 2 2 2 2 2 2 3 3 4 2" xfId="9974"/>
    <cellStyle name="Normal 2 2 2 2 2 2 2 2 3 3 5" xfId="9975"/>
    <cellStyle name="Normal 2 2 2 2 2 2 2 2 3 3 5 2" xfId="9976"/>
    <cellStyle name="Normal 2 2 2 2 2 2 2 2 3 3 6" xfId="9977"/>
    <cellStyle name="Normal 2 2 2 2 2 2 2 2 3 3 6 2" xfId="9978"/>
    <cellStyle name="Normal 2 2 2 2 2 2 2 2 3 3 7" xfId="9979"/>
    <cellStyle name="Normal 2 2 2 2 2 2 2 2 3 3 7 2" xfId="9980"/>
    <cellStyle name="Normal 2 2 2 2 2 2 2 2 3 3 8" xfId="9981"/>
    <cellStyle name="Normal 2 2 2 2 2 2 2 2 3 3 8 2" xfId="9982"/>
    <cellStyle name="Normal 2 2 2 2 2 2 2 2 3 3 9" xfId="9983"/>
    <cellStyle name="Normal 2 2 2 2 2 2 2 2 3 3 9 2" xfId="9984"/>
    <cellStyle name="Normal 2 2 2 2 2 2 2 2 3 4" xfId="9985"/>
    <cellStyle name="Normal 2 2 2 2 2 2 2 2 3 4 2" xfId="9986"/>
    <cellStyle name="Normal 2 2 2 2 2 2 2 2 3 5" xfId="9987"/>
    <cellStyle name="Normal 2 2 2 2 2 2 2 2 3 5 2" xfId="9988"/>
    <cellStyle name="Normal 2 2 2 2 2 2 2 2 3 6" xfId="9989"/>
    <cellStyle name="Normal 2 2 2 2 2 2 2 2 3 6 2" xfId="9990"/>
    <cellStyle name="Normal 2 2 2 2 2 2 2 2 3 7" xfId="9991"/>
    <cellStyle name="Normal 2 2 2 2 2 2 2 2 3 7 2" xfId="9992"/>
    <cellStyle name="Normal 2 2 2 2 2 2 2 2 3 8" xfId="9993"/>
    <cellStyle name="Normal 2 2 2 2 2 2 2 2 3 8 2" xfId="9994"/>
    <cellStyle name="Normal 2 2 2 2 2 2 2 2 3 9" xfId="9995"/>
    <cellStyle name="Normal 2 2 2 2 2 2 2 2 3 9 2" xfId="9996"/>
    <cellStyle name="Normal 2 2 2 2 2 2 2 2 4" xfId="9997"/>
    <cellStyle name="Normal 2 2 2 2 2 2 2 2 4 10" xfId="9998"/>
    <cellStyle name="Normal 2 2 2 2 2 2 2 2 4 10 2" xfId="9999"/>
    <cellStyle name="Normal 2 2 2 2 2 2 2 2 4 11" xfId="10000"/>
    <cellStyle name="Normal 2 2 2 2 2 2 2 2 4 11 2" xfId="10001"/>
    <cellStyle name="Normal 2 2 2 2 2 2 2 2 4 12" xfId="10002"/>
    <cellStyle name="Normal 2 2 2 2 2 2 2 2 4 12 2" xfId="10003"/>
    <cellStyle name="Normal 2 2 2 2 2 2 2 2 4 13" xfId="10004"/>
    <cellStyle name="Normal 2 2 2 2 2 2 2 2 4 2" xfId="10005"/>
    <cellStyle name="Normal 2 2 2 2 2 2 2 2 4 2 10" xfId="10006"/>
    <cellStyle name="Normal 2 2 2 2 2 2 2 2 4 2 10 2" xfId="10007"/>
    <cellStyle name="Normal 2 2 2 2 2 2 2 2 4 2 11" xfId="10008"/>
    <cellStyle name="Normal 2 2 2 2 2 2 2 2 4 2 11 2" xfId="10009"/>
    <cellStyle name="Normal 2 2 2 2 2 2 2 2 4 2 12" xfId="10010"/>
    <cellStyle name="Normal 2 2 2 2 2 2 2 2 4 2 2" xfId="10011"/>
    <cellStyle name="Normal 2 2 2 2 2 2 2 2 4 2 2 10" xfId="10012"/>
    <cellStyle name="Normal 2 2 2 2 2 2 2 2 4 2 2 10 2" xfId="10013"/>
    <cellStyle name="Normal 2 2 2 2 2 2 2 2 4 2 2 11" xfId="10014"/>
    <cellStyle name="Normal 2 2 2 2 2 2 2 2 4 2 2 2" xfId="10015"/>
    <cellStyle name="Normal 2 2 2 2 2 2 2 2 4 2 2 2 2" xfId="10016"/>
    <cellStyle name="Normal 2 2 2 2 2 2 2 2 4 2 2 3" xfId="10017"/>
    <cellStyle name="Normal 2 2 2 2 2 2 2 2 4 2 2 3 2" xfId="10018"/>
    <cellStyle name="Normal 2 2 2 2 2 2 2 2 4 2 2 4" xfId="10019"/>
    <cellStyle name="Normal 2 2 2 2 2 2 2 2 4 2 2 4 2" xfId="10020"/>
    <cellStyle name="Normal 2 2 2 2 2 2 2 2 4 2 2 5" xfId="10021"/>
    <cellStyle name="Normal 2 2 2 2 2 2 2 2 4 2 2 5 2" xfId="10022"/>
    <cellStyle name="Normal 2 2 2 2 2 2 2 2 4 2 2 6" xfId="10023"/>
    <cellStyle name="Normal 2 2 2 2 2 2 2 2 4 2 2 6 2" xfId="10024"/>
    <cellStyle name="Normal 2 2 2 2 2 2 2 2 4 2 2 7" xfId="10025"/>
    <cellStyle name="Normal 2 2 2 2 2 2 2 2 4 2 2 7 2" xfId="10026"/>
    <cellStyle name="Normal 2 2 2 2 2 2 2 2 4 2 2 8" xfId="10027"/>
    <cellStyle name="Normal 2 2 2 2 2 2 2 2 4 2 2 8 2" xfId="10028"/>
    <cellStyle name="Normal 2 2 2 2 2 2 2 2 4 2 2 9" xfId="10029"/>
    <cellStyle name="Normal 2 2 2 2 2 2 2 2 4 2 2 9 2" xfId="10030"/>
    <cellStyle name="Normal 2 2 2 2 2 2 2 2 4 2 3" xfId="10031"/>
    <cellStyle name="Normal 2 2 2 2 2 2 2 2 4 2 3 2" xfId="10032"/>
    <cellStyle name="Normal 2 2 2 2 2 2 2 2 4 2 4" xfId="10033"/>
    <cellStyle name="Normal 2 2 2 2 2 2 2 2 4 2 4 2" xfId="10034"/>
    <cellStyle name="Normal 2 2 2 2 2 2 2 2 4 2 5" xfId="10035"/>
    <cellStyle name="Normal 2 2 2 2 2 2 2 2 4 2 5 2" xfId="10036"/>
    <cellStyle name="Normal 2 2 2 2 2 2 2 2 4 2 6" xfId="10037"/>
    <cellStyle name="Normal 2 2 2 2 2 2 2 2 4 2 6 2" xfId="10038"/>
    <cellStyle name="Normal 2 2 2 2 2 2 2 2 4 2 7" xfId="10039"/>
    <cellStyle name="Normal 2 2 2 2 2 2 2 2 4 2 7 2" xfId="10040"/>
    <cellStyle name="Normal 2 2 2 2 2 2 2 2 4 2 8" xfId="10041"/>
    <cellStyle name="Normal 2 2 2 2 2 2 2 2 4 2 8 2" xfId="10042"/>
    <cellStyle name="Normal 2 2 2 2 2 2 2 2 4 2 9" xfId="10043"/>
    <cellStyle name="Normal 2 2 2 2 2 2 2 2 4 2 9 2" xfId="10044"/>
    <cellStyle name="Normal 2 2 2 2 2 2 2 2 4 3" xfId="10045"/>
    <cellStyle name="Normal 2 2 2 2 2 2 2 2 4 3 10" xfId="10046"/>
    <cellStyle name="Normal 2 2 2 2 2 2 2 2 4 3 10 2" xfId="10047"/>
    <cellStyle name="Normal 2 2 2 2 2 2 2 2 4 3 11" xfId="10048"/>
    <cellStyle name="Normal 2 2 2 2 2 2 2 2 4 3 2" xfId="10049"/>
    <cellStyle name="Normal 2 2 2 2 2 2 2 2 4 3 2 2" xfId="10050"/>
    <cellStyle name="Normal 2 2 2 2 2 2 2 2 4 3 3" xfId="10051"/>
    <cellStyle name="Normal 2 2 2 2 2 2 2 2 4 3 3 2" xfId="10052"/>
    <cellStyle name="Normal 2 2 2 2 2 2 2 2 4 3 4" xfId="10053"/>
    <cellStyle name="Normal 2 2 2 2 2 2 2 2 4 3 4 2" xfId="10054"/>
    <cellStyle name="Normal 2 2 2 2 2 2 2 2 4 3 5" xfId="10055"/>
    <cellStyle name="Normal 2 2 2 2 2 2 2 2 4 3 5 2" xfId="10056"/>
    <cellStyle name="Normal 2 2 2 2 2 2 2 2 4 3 6" xfId="10057"/>
    <cellStyle name="Normal 2 2 2 2 2 2 2 2 4 3 6 2" xfId="10058"/>
    <cellStyle name="Normal 2 2 2 2 2 2 2 2 4 3 7" xfId="10059"/>
    <cellStyle name="Normal 2 2 2 2 2 2 2 2 4 3 7 2" xfId="10060"/>
    <cellStyle name="Normal 2 2 2 2 2 2 2 2 4 3 8" xfId="10061"/>
    <cellStyle name="Normal 2 2 2 2 2 2 2 2 4 3 8 2" xfId="10062"/>
    <cellStyle name="Normal 2 2 2 2 2 2 2 2 4 3 9" xfId="10063"/>
    <cellStyle name="Normal 2 2 2 2 2 2 2 2 4 3 9 2" xfId="10064"/>
    <cellStyle name="Normal 2 2 2 2 2 2 2 2 4 4" xfId="10065"/>
    <cellStyle name="Normal 2 2 2 2 2 2 2 2 4 4 2" xfId="10066"/>
    <cellStyle name="Normal 2 2 2 2 2 2 2 2 4 5" xfId="10067"/>
    <cellStyle name="Normal 2 2 2 2 2 2 2 2 4 5 2" xfId="10068"/>
    <cellStyle name="Normal 2 2 2 2 2 2 2 2 4 6" xfId="10069"/>
    <cellStyle name="Normal 2 2 2 2 2 2 2 2 4 6 2" xfId="10070"/>
    <cellStyle name="Normal 2 2 2 2 2 2 2 2 4 7" xfId="10071"/>
    <cellStyle name="Normal 2 2 2 2 2 2 2 2 4 7 2" xfId="10072"/>
    <cellStyle name="Normal 2 2 2 2 2 2 2 2 4 8" xfId="10073"/>
    <cellStyle name="Normal 2 2 2 2 2 2 2 2 4 8 2" xfId="10074"/>
    <cellStyle name="Normal 2 2 2 2 2 2 2 2 4 9" xfId="10075"/>
    <cellStyle name="Normal 2 2 2 2 2 2 2 2 4 9 2" xfId="10076"/>
    <cellStyle name="Normal 2 2 2 2 2 2 2 2 5" xfId="10077"/>
    <cellStyle name="Normal 2 2 2 2 2 2 2 2 5 10" xfId="10078"/>
    <cellStyle name="Normal 2 2 2 2 2 2 2 2 5 10 2" xfId="10079"/>
    <cellStyle name="Normal 2 2 2 2 2 2 2 2 5 11" xfId="10080"/>
    <cellStyle name="Normal 2 2 2 2 2 2 2 2 5 11 2" xfId="10081"/>
    <cellStyle name="Normal 2 2 2 2 2 2 2 2 5 12" xfId="10082"/>
    <cellStyle name="Normal 2 2 2 2 2 2 2 2 5 12 2" xfId="10083"/>
    <cellStyle name="Normal 2 2 2 2 2 2 2 2 5 13" xfId="10084"/>
    <cellStyle name="Normal 2 2 2 2 2 2 2 2 5 2" xfId="10085"/>
    <cellStyle name="Normal 2 2 2 2 2 2 2 2 5 2 10" xfId="10086"/>
    <cellStyle name="Normal 2 2 2 2 2 2 2 2 5 2 10 2" xfId="10087"/>
    <cellStyle name="Normal 2 2 2 2 2 2 2 2 5 2 11" xfId="10088"/>
    <cellStyle name="Normal 2 2 2 2 2 2 2 2 5 2 11 2" xfId="10089"/>
    <cellStyle name="Normal 2 2 2 2 2 2 2 2 5 2 12" xfId="10090"/>
    <cellStyle name="Normal 2 2 2 2 2 2 2 2 5 2 2" xfId="10091"/>
    <cellStyle name="Normal 2 2 2 2 2 2 2 2 5 2 2 10" xfId="10092"/>
    <cellStyle name="Normal 2 2 2 2 2 2 2 2 5 2 2 10 2" xfId="10093"/>
    <cellStyle name="Normal 2 2 2 2 2 2 2 2 5 2 2 11" xfId="10094"/>
    <cellStyle name="Normal 2 2 2 2 2 2 2 2 5 2 2 2" xfId="10095"/>
    <cellStyle name="Normal 2 2 2 2 2 2 2 2 5 2 2 2 2" xfId="10096"/>
    <cellStyle name="Normal 2 2 2 2 2 2 2 2 5 2 2 3" xfId="10097"/>
    <cellStyle name="Normal 2 2 2 2 2 2 2 2 5 2 2 3 2" xfId="10098"/>
    <cellStyle name="Normal 2 2 2 2 2 2 2 2 5 2 2 4" xfId="10099"/>
    <cellStyle name="Normal 2 2 2 2 2 2 2 2 5 2 2 4 2" xfId="10100"/>
    <cellStyle name="Normal 2 2 2 2 2 2 2 2 5 2 2 5" xfId="10101"/>
    <cellStyle name="Normal 2 2 2 2 2 2 2 2 5 2 2 5 2" xfId="10102"/>
    <cellStyle name="Normal 2 2 2 2 2 2 2 2 5 2 2 6" xfId="10103"/>
    <cellStyle name="Normal 2 2 2 2 2 2 2 2 5 2 2 6 2" xfId="10104"/>
    <cellStyle name="Normal 2 2 2 2 2 2 2 2 5 2 2 7" xfId="10105"/>
    <cellStyle name="Normal 2 2 2 2 2 2 2 2 5 2 2 7 2" xfId="10106"/>
    <cellStyle name="Normal 2 2 2 2 2 2 2 2 5 2 2 8" xfId="10107"/>
    <cellStyle name="Normal 2 2 2 2 2 2 2 2 5 2 2 8 2" xfId="10108"/>
    <cellStyle name="Normal 2 2 2 2 2 2 2 2 5 2 2 9" xfId="10109"/>
    <cellStyle name="Normal 2 2 2 2 2 2 2 2 5 2 2 9 2" xfId="10110"/>
    <cellStyle name="Normal 2 2 2 2 2 2 2 2 5 2 3" xfId="10111"/>
    <cellStyle name="Normal 2 2 2 2 2 2 2 2 5 2 3 2" xfId="10112"/>
    <cellStyle name="Normal 2 2 2 2 2 2 2 2 5 2 4" xfId="10113"/>
    <cellStyle name="Normal 2 2 2 2 2 2 2 2 5 2 4 2" xfId="10114"/>
    <cellStyle name="Normal 2 2 2 2 2 2 2 2 5 2 5" xfId="10115"/>
    <cellStyle name="Normal 2 2 2 2 2 2 2 2 5 2 5 2" xfId="10116"/>
    <cellStyle name="Normal 2 2 2 2 2 2 2 2 5 2 6" xfId="10117"/>
    <cellStyle name="Normal 2 2 2 2 2 2 2 2 5 2 6 2" xfId="10118"/>
    <cellStyle name="Normal 2 2 2 2 2 2 2 2 5 2 7" xfId="10119"/>
    <cellStyle name="Normal 2 2 2 2 2 2 2 2 5 2 7 2" xfId="10120"/>
    <cellStyle name="Normal 2 2 2 2 2 2 2 2 5 2 8" xfId="10121"/>
    <cellStyle name="Normal 2 2 2 2 2 2 2 2 5 2 8 2" xfId="10122"/>
    <cellStyle name="Normal 2 2 2 2 2 2 2 2 5 2 9" xfId="10123"/>
    <cellStyle name="Normal 2 2 2 2 2 2 2 2 5 2 9 2" xfId="10124"/>
    <cellStyle name="Normal 2 2 2 2 2 2 2 2 5 3" xfId="10125"/>
    <cellStyle name="Normal 2 2 2 2 2 2 2 2 5 3 10" xfId="10126"/>
    <cellStyle name="Normal 2 2 2 2 2 2 2 2 5 3 10 2" xfId="10127"/>
    <cellStyle name="Normal 2 2 2 2 2 2 2 2 5 3 11" xfId="10128"/>
    <cellStyle name="Normal 2 2 2 2 2 2 2 2 5 3 2" xfId="10129"/>
    <cellStyle name="Normal 2 2 2 2 2 2 2 2 5 3 2 2" xfId="10130"/>
    <cellStyle name="Normal 2 2 2 2 2 2 2 2 5 3 3" xfId="10131"/>
    <cellStyle name="Normal 2 2 2 2 2 2 2 2 5 3 3 2" xfId="10132"/>
    <cellStyle name="Normal 2 2 2 2 2 2 2 2 5 3 4" xfId="10133"/>
    <cellStyle name="Normal 2 2 2 2 2 2 2 2 5 3 4 2" xfId="10134"/>
    <cellStyle name="Normal 2 2 2 2 2 2 2 2 5 3 5" xfId="10135"/>
    <cellStyle name="Normal 2 2 2 2 2 2 2 2 5 3 5 2" xfId="10136"/>
    <cellStyle name="Normal 2 2 2 2 2 2 2 2 5 3 6" xfId="10137"/>
    <cellStyle name="Normal 2 2 2 2 2 2 2 2 5 3 6 2" xfId="10138"/>
    <cellStyle name="Normal 2 2 2 2 2 2 2 2 5 3 7" xfId="10139"/>
    <cellStyle name="Normal 2 2 2 2 2 2 2 2 5 3 7 2" xfId="10140"/>
    <cellStyle name="Normal 2 2 2 2 2 2 2 2 5 3 8" xfId="10141"/>
    <cellStyle name="Normal 2 2 2 2 2 2 2 2 5 3 8 2" xfId="10142"/>
    <cellStyle name="Normal 2 2 2 2 2 2 2 2 5 3 9" xfId="10143"/>
    <cellStyle name="Normal 2 2 2 2 2 2 2 2 5 3 9 2" xfId="10144"/>
    <cellStyle name="Normal 2 2 2 2 2 2 2 2 5 4" xfId="10145"/>
    <cellStyle name="Normal 2 2 2 2 2 2 2 2 5 4 2" xfId="10146"/>
    <cellStyle name="Normal 2 2 2 2 2 2 2 2 5 5" xfId="10147"/>
    <cellStyle name="Normal 2 2 2 2 2 2 2 2 5 5 2" xfId="10148"/>
    <cellStyle name="Normal 2 2 2 2 2 2 2 2 5 6" xfId="10149"/>
    <cellStyle name="Normal 2 2 2 2 2 2 2 2 5 6 2" xfId="10150"/>
    <cellStyle name="Normal 2 2 2 2 2 2 2 2 5 7" xfId="10151"/>
    <cellStyle name="Normal 2 2 2 2 2 2 2 2 5 7 2" xfId="10152"/>
    <cellStyle name="Normal 2 2 2 2 2 2 2 2 5 8" xfId="10153"/>
    <cellStyle name="Normal 2 2 2 2 2 2 2 2 5 8 2" xfId="10154"/>
    <cellStyle name="Normal 2 2 2 2 2 2 2 2 5 9" xfId="10155"/>
    <cellStyle name="Normal 2 2 2 2 2 2 2 2 5 9 2" xfId="10156"/>
    <cellStyle name="Normal 2 2 2 2 2 2 2 2 6" xfId="41840"/>
    <cellStyle name="Normal 2 2 2 2 2 2 2 3" xfId="10157"/>
    <cellStyle name="Normal 2 2 2 2 2 2 2 3 2" xfId="41841"/>
    <cellStyle name="Normal 2 2 2 2 2 2 2 4" xfId="10158"/>
    <cellStyle name="Normal 2 2 2 2 2 2 2 4 2" xfId="41842"/>
    <cellStyle name="Normal 2 2 2 2 2 2 2 5" xfId="10159"/>
    <cellStyle name="Normal 2 2 2 2 2 2 2 5 2" xfId="41843"/>
    <cellStyle name="Normal 2 2 2 2 2 2 2 6" xfId="10160"/>
    <cellStyle name="Normal 2 2 2 2 2 2 2 6 2" xfId="41844"/>
    <cellStyle name="Normal 2 2 2 2 2 2 2 7" xfId="10161"/>
    <cellStyle name="Normal 2 2 2 2 2 2 2 7 10" xfId="10162"/>
    <cellStyle name="Normal 2 2 2 2 2 2 2 7 10 2" xfId="10163"/>
    <cellStyle name="Normal 2 2 2 2 2 2 2 7 11" xfId="10164"/>
    <cellStyle name="Normal 2 2 2 2 2 2 2 7 11 2" xfId="10165"/>
    <cellStyle name="Normal 2 2 2 2 2 2 2 7 12" xfId="10166"/>
    <cellStyle name="Normal 2 2 2 2 2 2 2 7 2" xfId="10167"/>
    <cellStyle name="Normal 2 2 2 2 2 2 2 7 2 10" xfId="10168"/>
    <cellStyle name="Normal 2 2 2 2 2 2 2 7 2 10 2" xfId="10169"/>
    <cellStyle name="Normal 2 2 2 2 2 2 2 7 2 11" xfId="10170"/>
    <cellStyle name="Normal 2 2 2 2 2 2 2 7 2 2" xfId="10171"/>
    <cellStyle name="Normal 2 2 2 2 2 2 2 7 2 2 2" xfId="10172"/>
    <cellStyle name="Normal 2 2 2 2 2 2 2 7 2 3" xfId="10173"/>
    <cellStyle name="Normal 2 2 2 2 2 2 2 7 2 3 2" xfId="10174"/>
    <cellStyle name="Normal 2 2 2 2 2 2 2 7 2 4" xfId="10175"/>
    <cellStyle name="Normal 2 2 2 2 2 2 2 7 2 4 2" xfId="10176"/>
    <cellStyle name="Normal 2 2 2 2 2 2 2 7 2 5" xfId="10177"/>
    <cellStyle name="Normal 2 2 2 2 2 2 2 7 2 5 2" xfId="10178"/>
    <cellStyle name="Normal 2 2 2 2 2 2 2 7 2 6" xfId="10179"/>
    <cellStyle name="Normal 2 2 2 2 2 2 2 7 2 6 2" xfId="10180"/>
    <cellStyle name="Normal 2 2 2 2 2 2 2 7 2 7" xfId="10181"/>
    <cellStyle name="Normal 2 2 2 2 2 2 2 7 2 7 2" xfId="10182"/>
    <cellStyle name="Normal 2 2 2 2 2 2 2 7 2 8" xfId="10183"/>
    <cellStyle name="Normal 2 2 2 2 2 2 2 7 2 8 2" xfId="10184"/>
    <cellStyle name="Normal 2 2 2 2 2 2 2 7 2 9" xfId="10185"/>
    <cellStyle name="Normal 2 2 2 2 2 2 2 7 2 9 2" xfId="10186"/>
    <cellStyle name="Normal 2 2 2 2 2 2 2 7 3" xfId="10187"/>
    <cellStyle name="Normal 2 2 2 2 2 2 2 7 3 2" xfId="10188"/>
    <cellStyle name="Normal 2 2 2 2 2 2 2 7 4" xfId="10189"/>
    <cellStyle name="Normal 2 2 2 2 2 2 2 7 4 2" xfId="10190"/>
    <cellStyle name="Normal 2 2 2 2 2 2 2 7 5" xfId="10191"/>
    <cellStyle name="Normal 2 2 2 2 2 2 2 7 5 2" xfId="10192"/>
    <cellStyle name="Normal 2 2 2 2 2 2 2 7 6" xfId="10193"/>
    <cellStyle name="Normal 2 2 2 2 2 2 2 7 6 2" xfId="10194"/>
    <cellStyle name="Normal 2 2 2 2 2 2 2 7 7" xfId="10195"/>
    <cellStyle name="Normal 2 2 2 2 2 2 2 7 7 2" xfId="10196"/>
    <cellStyle name="Normal 2 2 2 2 2 2 2 7 8" xfId="10197"/>
    <cellStyle name="Normal 2 2 2 2 2 2 2 7 8 2" xfId="10198"/>
    <cellStyle name="Normal 2 2 2 2 2 2 2 7 9" xfId="10199"/>
    <cellStyle name="Normal 2 2 2 2 2 2 2 7 9 2" xfId="10200"/>
    <cellStyle name="Normal 2 2 2 2 2 2 2 8" xfId="10201"/>
    <cellStyle name="Normal 2 2 2 2 2 2 2 8 10" xfId="10202"/>
    <cellStyle name="Normal 2 2 2 2 2 2 2 8 10 2" xfId="10203"/>
    <cellStyle name="Normal 2 2 2 2 2 2 2 8 11" xfId="10204"/>
    <cellStyle name="Normal 2 2 2 2 2 2 2 8 2" xfId="10205"/>
    <cellStyle name="Normal 2 2 2 2 2 2 2 8 2 2" xfId="10206"/>
    <cellStyle name="Normal 2 2 2 2 2 2 2 8 3" xfId="10207"/>
    <cellStyle name="Normal 2 2 2 2 2 2 2 8 3 2" xfId="10208"/>
    <cellStyle name="Normal 2 2 2 2 2 2 2 8 4" xfId="10209"/>
    <cellStyle name="Normal 2 2 2 2 2 2 2 8 4 2" xfId="10210"/>
    <cellStyle name="Normal 2 2 2 2 2 2 2 8 5" xfId="10211"/>
    <cellStyle name="Normal 2 2 2 2 2 2 2 8 5 2" xfId="10212"/>
    <cellStyle name="Normal 2 2 2 2 2 2 2 8 6" xfId="10213"/>
    <cellStyle name="Normal 2 2 2 2 2 2 2 8 6 2" xfId="10214"/>
    <cellStyle name="Normal 2 2 2 2 2 2 2 8 7" xfId="10215"/>
    <cellStyle name="Normal 2 2 2 2 2 2 2 8 7 2" xfId="10216"/>
    <cellStyle name="Normal 2 2 2 2 2 2 2 8 8" xfId="10217"/>
    <cellStyle name="Normal 2 2 2 2 2 2 2 8 8 2" xfId="10218"/>
    <cellStyle name="Normal 2 2 2 2 2 2 2 8 9" xfId="10219"/>
    <cellStyle name="Normal 2 2 2 2 2 2 2 8 9 2" xfId="10220"/>
    <cellStyle name="Normal 2 2 2 2 2 2 2 9" xfId="10221"/>
    <cellStyle name="Normal 2 2 2 2 2 2 2 9 2" xfId="10222"/>
    <cellStyle name="Normal 2 2 2 2 2 2 3" xfId="10223"/>
    <cellStyle name="Normal 2 2 2 2 2 2 3 2" xfId="41845"/>
    <cellStyle name="Normal 2 2 2 2 2 2 4" xfId="10224"/>
    <cellStyle name="Normal 2 2 2 2 2 2 4 2" xfId="41846"/>
    <cellStyle name="Normal 2 2 2 2 2 2 5" xfId="10225"/>
    <cellStyle name="Normal 2 2 2 2 2 2 5 2" xfId="41847"/>
    <cellStyle name="Normal 2 2 2 2 2 2 6" xfId="10226"/>
    <cellStyle name="Normal 2 2 2 2 2 2 6 10" xfId="10227"/>
    <cellStyle name="Normal 2 2 2 2 2 2 6 10 2" xfId="10228"/>
    <cellStyle name="Normal 2 2 2 2 2 2 6 11" xfId="10229"/>
    <cellStyle name="Normal 2 2 2 2 2 2 6 11 2" xfId="10230"/>
    <cellStyle name="Normal 2 2 2 2 2 2 6 12" xfId="10231"/>
    <cellStyle name="Normal 2 2 2 2 2 2 6 12 2" xfId="10232"/>
    <cellStyle name="Normal 2 2 2 2 2 2 6 13" xfId="10233"/>
    <cellStyle name="Normal 2 2 2 2 2 2 6 13 2" xfId="10234"/>
    <cellStyle name="Normal 2 2 2 2 2 2 6 14" xfId="10235"/>
    <cellStyle name="Normal 2 2 2 2 2 2 6 14 2" xfId="10236"/>
    <cellStyle name="Normal 2 2 2 2 2 2 6 15" xfId="10237"/>
    <cellStyle name="Normal 2 2 2 2 2 2 6 15 2" xfId="10238"/>
    <cellStyle name="Normal 2 2 2 2 2 2 6 16" xfId="10239"/>
    <cellStyle name="Normal 2 2 2 2 2 2 6 16 2" xfId="10240"/>
    <cellStyle name="Normal 2 2 2 2 2 2 6 17" xfId="10241"/>
    <cellStyle name="Normal 2 2 2 2 2 2 6 2" xfId="10242"/>
    <cellStyle name="Normal 2 2 2 2 2 2 6 2 2" xfId="41848"/>
    <cellStyle name="Normal 2 2 2 2 2 2 6 3" xfId="10243"/>
    <cellStyle name="Normal 2 2 2 2 2 2 6 3 2" xfId="41849"/>
    <cellStyle name="Normal 2 2 2 2 2 2 6 4" xfId="10244"/>
    <cellStyle name="Normal 2 2 2 2 2 2 6 4 2" xfId="41850"/>
    <cellStyle name="Normal 2 2 2 2 2 2 6 5" xfId="10245"/>
    <cellStyle name="Normal 2 2 2 2 2 2 6 5 2" xfId="41851"/>
    <cellStyle name="Normal 2 2 2 2 2 2 6 6" xfId="10246"/>
    <cellStyle name="Normal 2 2 2 2 2 2 6 6 10" xfId="10247"/>
    <cellStyle name="Normal 2 2 2 2 2 2 6 6 10 2" xfId="10248"/>
    <cellStyle name="Normal 2 2 2 2 2 2 6 6 11" xfId="10249"/>
    <cellStyle name="Normal 2 2 2 2 2 2 6 6 11 2" xfId="10250"/>
    <cellStyle name="Normal 2 2 2 2 2 2 6 6 12" xfId="10251"/>
    <cellStyle name="Normal 2 2 2 2 2 2 6 6 2" xfId="10252"/>
    <cellStyle name="Normal 2 2 2 2 2 2 6 6 2 10" xfId="10253"/>
    <cellStyle name="Normal 2 2 2 2 2 2 6 6 2 10 2" xfId="10254"/>
    <cellStyle name="Normal 2 2 2 2 2 2 6 6 2 11" xfId="10255"/>
    <cellStyle name="Normal 2 2 2 2 2 2 6 6 2 2" xfId="10256"/>
    <cellStyle name="Normal 2 2 2 2 2 2 6 6 2 2 2" xfId="10257"/>
    <cellStyle name="Normal 2 2 2 2 2 2 6 6 2 3" xfId="10258"/>
    <cellStyle name="Normal 2 2 2 2 2 2 6 6 2 3 2" xfId="10259"/>
    <cellStyle name="Normal 2 2 2 2 2 2 6 6 2 4" xfId="10260"/>
    <cellStyle name="Normal 2 2 2 2 2 2 6 6 2 4 2" xfId="10261"/>
    <cellStyle name="Normal 2 2 2 2 2 2 6 6 2 5" xfId="10262"/>
    <cellStyle name="Normal 2 2 2 2 2 2 6 6 2 5 2" xfId="10263"/>
    <cellStyle name="Normal 2 2 2 2 2 2 6 6 2 6" xfId="10264"/>
    <cellStyle name="Normal 2 2 2 2 2 2 6 6 2 6 2" xfId="10265"/>
    <cellStyle name="Normal 2 2 2 2 2 2 6 6 2 7" xfId="10266"/>
    <cellStyle name="Normal 2 2 2 2 2 2 6 6 2 7 2" xfId="10267"/>
    <cellStyle name="Normal 2 2 2 2 2 2 6 6 2 8" xfId="10268"/>
    <cellStyle name="Normal 2 2 2 2 2 2 6 6 2 8 2" xfId="10269"/>
    <cellStyle name="Normal 2 2 2 2 2 2 6 6 2 9" xfId="10270"/>
    <cellStyle name="Normal 2 2 2 2 2 2 6 6 2 9 2" xfId="10271"/>
    <cellStyle name="Normal 2 2 2 2 2 2 6 6 3" xfId="10272"/>
    <cellStyle name="Normal 2 2 2 2 2 2 6 6 3 2" xfId="10273"/>
    <cellStyle name="Normal 2 2 2 2 2 2 6 6 4" xfId="10274"/>
    <cellStyle name="Normal 2 2 2 2 2 2 6 6 4 2" xfId="10275"/>
    <cellStyle name="Normal 2 2 2 2 2 2 6 6 5" xfId="10276"/>
    <cellStyle name="Normal 2 2 2 2 2 2 6 6 5 2" xfId="10277"/>
    <cellStyle name="Normal 2 2 2 2 2 2 6 6 6" xfId="10278"/>
    <cellStyle name="Normal 2 2 2 2 2 2 6 6 6 2" xfId="10279"/>
    <cellStyle name="Normal 2 2 2 2 2 2 6 6 7" xfId="10280"/>
    <cellStyle name="Normal 2 2 2 2 2 2 6 6 7 2" xfId="10281"/>
    <cellStyle name="Normal 2 2 2 2 2 2 6 6 8" xfId="10282"/>
    <cellStyle name="Normal 2 2 2 2 2 2 6 6 8 2" xfId="10283"/>
    <cellStyle name="Normal 2 2 2 2 2 2 6 6 9" xfId="10284"/>
    <cellStyle name="Normal 2 2 2 2 2 2 6 6 9 2" xfId="10285"/>
    <cellStyle name="Normal 2 2 2 2 2 2 6 7" xfId="10286"/>
    <cellStyle name="Normal 2 2 2 2 2 2 6 7 10" xfId="10287"/>
    <cellStyle name="Normal 2 2 2 2 2 2 6 7 10 2" xfId="10288"/>
    <cellStyle name="Normal 2 2 2 2 2 2 6 7 11" xfId="10289"/>
    <cellStyle name="Normal 2 2 2 2 2 2 6 7 2" xfId="10290"/>
    <cellStyle name="Normal 2 2 2 2 2 2 6 7 2 2" xfId="10291"/>
    <cellStyle name="Normal 2 2 2 2 2 2 6 7 3" xfId="10292"/>
    <cellStyle name="Normal 2 2 2 2 2 2 6 7 3 2" xfId="10293"/>
    <cellStyle name="Normal 2 2 2 2 2 2 6 7 4" xfId="10294"/>
    <cellStyle name="Normal 2 2 2 2 2 2 6 7 4 2" xfId="10295"/>
    <cellStyle name="Normal 2 2 2 2 2 2 6 7 5" xfId="10296"/>
    <cellStyle name="Normal 2 2 2 2 2 2 6 7 5 2" xfId="10297"/>
    <cellStyle name="Normal 2 2 2 2 2 2 6 7 6" xfId="10298"/>
    <cellStyle name="Normal 2 2 2 2 2 2 6 7 6 2" xfId="10299"/>
    <cellStyle name="Normal 2 2 2 2 2 2 6 7 7" xfId="10300"/>
    <cellStyle name="Normal 2 2 2 2 2 2 6 7 7 2" xfId="10301"/>
    <cellStyle name="Normal 2 2 2 2 2 2 6 7 8" xfId="10302"/>
    <cellStyle name="Normal 2 2 2 2 2 2 6 7 8 2" xfId="10303"/>
    <cellStyle name="Normal 2 2 2 2 2 2 6 7 9" xfId="10304"/>
    <cellStyle name="Normal 2 2 2 2 2 2 6 7 9 2" xfId="10305"/>
    <cellStyle name="Normal 2 2 2 2 2 2 6 8" xfId="10306"/>
    <cellStyle name="Normal 2 2 2 2 2 2 6 8 2" xfId="10307"/>
    <cellStyle name="Normal 2 2 2 2 2 2 6 9" xfId="10308"/>
    <cellStyle name="Normal 2 2 2 2 2 2 6 9 2" xfId="10309"/>
    <cellStyle name="Normal 2 2 2 2 2 2 7" xfId="10310"/>
    <cellStyle name="Normal 2 2 2 2 2 2 7 10" xfId="10311"/>
    <cellStyle name="Normal 2 2 2 2 2 2 7 10 2" xfId="10312"/>
    <cellStyle name="Normal 2 2 2 2 2 2 7 11" xfId="10313"/>
    <cellStyle name="Normal 2 2 2 2 2 2 7 11 2" xfId="10314"/>
    <cellStyle name="Normal 2 2 2 2 2 2 7 12" xfId="10315"/>
    <cellStyle name="Normal 2 2 2 2 2 2 7 12 2" xfId="10316"/>
    <cellStyle name="Normal 2 2 2 2 2 2 7 13" xfId="10317"/>
    <cellStyle name="Normal 2 2 2 2 2 2 7 2" xfId="10318"/>
    <cellStyle name="Normal 2 2 2 2 2 2 7 2 10" xfId="10319"/>
    <cellStyle name="Normal 2 2 2 2 2 2 7 2 10 2" xfId="10320"/>
    <cellStyle name="Normal 2 2 2 2 2 2 7 2 11" xfId="10321"/>
    <cellStyle name="Normal 2 2 2 2 2 2 7 2 11 2" xfId="10322"/>
    <cellStyle name="Normal 2 2 2 2 2 2 7 2 12" xfId="10323"/>
    <cellStyle name="Normal 2 2 2 2 2 2 7 2 2" xfId="10324"/>
    <cellStyle name="Normal 2 2 2 2 2 2 7 2 2 10" xfId="10325"/>
    <cellStyle name="Normal 2 2 2 2 2 2 7 2 2 10 2" xfId="10326"/>
    <cellStyle name="Normal 2 2 2 2 2 2 7 2 2 11" xfId="10327"/>
    <cellStyle name="Normal 2 2 2 2 2 2 7 2 2 2" xfId="10328"/>
    <cellStyle name="Normal 2 2 2 2 2 2 7 2 2 2 2" xfId="10329"/>
    <cellStyle name="Normal 2 2 2 2 2 2 7 2 2 3" xfId="10330"/>
    <cellStyle name="Normal 2 2 2 2 2 2 7 2 2 3 2" xfId="10331"/>
    <cellStyle name="Normal 2 2 2 2 2 2 7 2 2 4" xfId="10332"/>
    <cellStyle name="Normal 2 2 2 2 2 2 7 2 2 4 2" xfId="10333"/>
    <cellStyle name="Normal 2 2 2 2 2 2 7 2 2 5" xfId="10334"/>
    <cellStyle name="Normal 2 2 2 2 2 2 7 2 2 5 2" xfId="10335"/>
    <cellStyle name="Normal 2 2 2 2 2 2 7 2 2 6" xfId="10336"/>
    <cellStyle name="Normal 2 2 2 2 2 2 7 2 2 6 2" xfId="10337"/>
    <cellStyle name="Normal 2 2 2 2 2 2 7 2 2 7" xfId="10338"/>
    <cellStyle name="Normal 2 2 2 2 2 2 7 2 2 7 2" xfId="10339"/>
    <cellStyle name="Normal 2 2 2 2 2 2 7 2 2 8" xfId="10340"/>
    <cellStyle name="Normal 2 2 2 2 2 2 7 2 2 8 2" xfId="10341"/>
    <cellStyle name="Normal 2 2 2 2 2 2 7 2 2 9" xfId="10342"/>
    <cellStyle name="Normal 2 2 2 2 2 2 7 2 2 9 2" xfId="10343"/>
    <cellStyle name="Normal 2 2 2 2 2 2 7 2 3" xfId="10344"/>
    <cellStyle name="Normal 2 2 2 2 2 2 7 2 3 2" xfId="10345"/>
    <cellStyle name="Normal 2 2 2 2 2 2 7 2 4" xfId="10346"/>
    <cellStyle name="Normal 2 2 2 2 2 2 7 2 4 2" xfId="10347"/>
    <cellStyle name="Normal 2 2 2 2 2 2 7 2 5" xfId="10348"/>
    <cellStyle name="Normal 2 2 2 2 2 2 7 2 5 2" xfId="10349"/>
    <cellStyle name="Normal 2 2 2 2 2 2 7 2 6" xfId="10350"/>
    <cellStyle name="Normal 2 2 2 2 2 2 7 2 6 2" xfId="10351"/>
    <cellStyle name="Normal 2 2 2 2 2 2 7 2 7" xfId="10352"/>
    <cellStyle name="Normal 2 2 2 2 2 2 7 2 7 2" xfId="10353"/>
    <cellStyle name="Normal 2 2 2 2 2 2 7 2 8" xfId="10354"/>
    <cellStyle name="Normal 2 2 2 2 2 2 7 2 8 2" xfId="10355"/>
    <cellStyle name="Normal 2 2 2 2 2 2 7 2 9" xfId="10356"/>
    <cellStyle name="Normal 2 2 2 2 2 2 7 2 9 2" xfId="10357"/>
    <cellStyle name="Normal 2 2 2 2 2 2 7 3" xfId="10358"/>
    <cellStyle name="Normal 2 2 2 2 2 2 7 3 10" xfId="10359"/>
    <cellStyle name="Normal 2 2 2 2 2 2 7 3 10 2" xfId="10360"/>
    <cellStyle name="Normal 2 2 2 2 2 2 7 3 11" xfId="10361"/>
    <cellStyle name="Normal 2 2 2 2 2 2 7 3 2" xfId="10362"/>
    <cellStyle name="Normal 2 2 2 2 2 2 7 3 2 2" xfId="10363"/>
    <cellStyle name="Normal 2 2 2 2 2 2 7 3 3" xfId="10364"/>
    <cellStyle name="Normal 2 2 2 2 2 2 7 3 3 2" xfId="10365"/>
    <cellStyle name="Normal 2 2 2 2 2 2 7 3 4" xfId="10366"/>
    <cellStyle name="Normal 2 2 2 2 2 2 7 3 4 2" xfId="10367"/>
    <cellStyle name="Normal 2 2 2 2 2 2 7 3 5" xfId="10368"/>
    <cellStyle name="Normal 2 2 2 2 2 2 7 3 5 2" xfId="10369"/>
    <cellStyle name="Normal 2 2 2 2 2 2 7 3 6" xfId="10370"/>
    <cellStyle name="Normal 2 2 2 2 2 2 7 3 6 2" xfId="10371"/>
    <cellStyle name="Normal 2 2 2 2 2 2 7 3 7" xfId="10372"/>
    <cellStyle name="Normal 2 2 2 2 2 2 7 3 7 2" xfId="10373"/>
    <cellStyle name="Normal 2 2 2 2 2 2 7 3 8" xfId="10374"/>
    <cellStyle name="Normal 2 2 2 2 2 2 7 3 8 2" xfId="10375"/>
    <cellStyle name="Normal 2 2 2 2 2 2 7 3 9" xfId="10376"/>
    <cellStyle name="Normal 2 2 2 2 2 2 7 3 9 2" xfId="10377"/>
    <cellStyle name="Normal 2 2 2 2 2 2 7 4" xfId="10378"/>
    <cellStyle name="Normal 2 2 2 2 2 2 7 4 2" xfId="10379"/>
    <cellStyle name="Normal 2 2 2 2 2 2 7 5" xfId="10380"/>
    <cellStyle name="Normal 2 2 2 2 2 2 7 5 2" xfId="10381"/>
    <cellStyle name="Normal 2 2 2 2 2 2 7 6" xfId="10382"/>
    <cellStyle name="Normal 2 2 2 2 2 2 7 6 2" xfId="10383"/>
    <cellStyle name="Normal 2 2 2 2 2 2 7 7" xfId="10384"/>
    <cellStyle name="Normal 2 2 2 2 2 2 7 7 2" xfId="10385"/>
    <cellStyle name="Normal 2 2 2 2 2 2 7 8" xfId="10386"/>
    <cellStyle name="Normal 2 2 2 2 2 2 7 8 2" xfId="10387"/>
    <cellStyle name="Normal 2 2 2 2 2 2 7 9" xfId="10388"/>
    <cellStyle name="Normal 2 2 2 2 2 2 7 9 2" xfId="10389"/>
    <cellStyle name="Normal 2 2 2 2 2 2 8" xfId="10390"/>
    <cellStyle name="Normal 2 2 2 2 2 2 8 10" xfId="10391"/>
    <cellStyle name="Normal 2 2 2 2 2 2 8 10 2" xfId="10392"/>
    <cellStyle name="Normal 2 2 2 2 2 2 8 11" xfId="10393"/>
    <cellStyle name="Normal 2 2 2 2 2 2 8 11 2" xfId="10394"/>
    <cellStyle name="Normal 2 2 2 2 2 2 8 12" xfId="10395"/>
    <cellStyle name="Normal 2 2 2 2 2 2 8 12 2" xfId="10396"/>
    <cellStyle name="Normal 2 2 2 2 2 2 8 13" xfId="10397"/>
    <cellStyle name="Normal 2 2 2 2 2 2 8 2" xfId="10398"/>
    <cellStyle name="Normal 2 2 2 2 2 2 8 2 10" xfId="10399"/>
    <cellStyle name="Normal 2 2 2 2 2 2 8 2 10 2" xfId="10400"/>
    <cellStyle name="Normal 2 2 2 2 2 2 8 2 11" xfId="10401"/>
    <cellStyle name="Normal 2 2 2 2 2 2 8 2 11 2" xfId="10402"/>
    <cellStyle name="Normal 2 2 2 2 2 2 8 2 12" xfId="10403"/>
    <cellStyle name="Normal 2 2 2 2 2 2 8 2 2" xfId="10404"/>
    <cellStyle name="Normal 2 2 2 2 2 2 8 2 2 10" xfId="10405"/>
    <cellStyle name="Normal 2 2 2 2 2 2 8 2 2 10 2" xfId="10406"/>
    <cellStyle name="Normal 2 2 2 2 2 2 8 2 2 11" xfId="10407"/>
    <cellStyle name="Normal 2 2 2 2 2 2 8 2 2 2" xfId="10408"/>
    <cellStyle name="Normal 2 2 2 2 2 2 8 2 2 2 2" xfId="10409"/>
    <cellStyle name="Normal 2 2 2 2 2 2 8 2 2 3" xfId="10410"/>
    <cellStyle name="Normal 2 2 2 2 2 2 8 2 2 3 2" xfId="10411"/>
    <cellStyle name="Normal 2 2 2 2 2 2 8 2 2 4" xfId="10412"/>
    <cellStyle name="Normal 2 2 2 2 2 2 8 2 2 4 2" xfId="10413"/>
    <cellStyle name="Normal 2 2 2 2 2 2 8 2 2 5" xfId="10414"/>
    <cellStyle name="Normal 2 2 2 2 2 2 8 2 2 5 2" xfId="10415"/>
    <cellStyle name="Normal 2 2 2 2 2 2 8 2 2 6" xfId="10416"/>
    <cellStyle name="Normal 2 2 2 2 2 2 8 2 2 6 2" xfId="10417"/>
    <cellStyle name="Normal 2 2 2 2 2 2 8 2 2 7" xfId="10418"/>
    <cellStyle name="Normal 2 2 2 2 2 2 8 2 2 7 2" xfId="10419"/>
    <cellStyle name="Normal 2 2 2 2 2 2 8 2 2 8" xfId="10420"/>
    <cellStyle name="Normal 2 2 2 2 2 2 8 2 2 8 2" xfId="10421"/>
    <cellStyle name="Normal 2 2 2 2 2 2 8 2 2 9" xfId="10422"/>
    <cellStyle name="Normal 2 2 2 2 2 2 8 2 2 9 2" xfId="10423"/>
    <cellStyle name="Normal 2 2 2 2 2 2 8 2 3" xfId="10424"/>
    <cellStyle name="Normal 2 2 2 2 2 2 8 2 3 2" xfId="10425"/>
    <cellStyle name="Normal 2 2 2 2 2 2 8 2 4" xfId="10426"/>
    <cellStyle name="Normal 2 2 2 2 2 2 8 2 4 2" xfId="10427"/>
    <cellStyle name="Normal 2 2 2 2 2 2 8 2 5" xfId="10428"/>
    <cellStyle name="Normal 2 2 2 2 2 2 8 2 5 2" xfId="10429"/>
    <cellStyle name="Normal 2 2 2 2 2 2 8 2 6" xfId="10430"/>
    <cellStyle name="Normal 2 2 2 2 2 2 8 2 6 2" xfId="10431"/>
    <cellStyle name="Normal 2 2 2 2 2 2 8 2 7" xfId="10432"/>
    <cellStyle name="Normal 2 2 2 2 2 2 8 2 7 2" xfId="10433"/>
    <cellStyle name="Normal 2 2 2 2 2 2 8 2 8" xfId="10434"/>
    <cellStyle name="Normal 2 2 2 2 2 2 8 2 8 2" xfId="10435"/>
    <cellStyle name="Normal 2 2 2 2 2 2 8 2 9" xfId="10436"/>
    <cellStyle name="Normal 2 2 2 2 2 2 8 2 9 2" xfId="10437"/>
    <cellStyle name="Normal 2 2 2 2 2 2 8 3" xfId="10438"/>
    <cellStyle name="Normal 2 2 2 2 2 2 8 3 10" xfId="10439"/>
    <cellStyle name="Normal 2 2 2 2 2 2 8 3 10 2" xfId="10440"/>
    <cellStyle name="Normal 2 2 2 2 2 2 8 3 11" xfId="10441"/>
    <cellStyle name="Normal 2 2 2 2 2 2 8 3 2" xfId="10442"/>
    <cellStyle name="Normal 2 2 2 2 2 2 8 3 2 2" xfId="10443"/>
    <cellStyle name="Normal 2 2 2 2 2 2 8 3 3" xfId="10444"/>
    <cellStyle name="Normal 2 2 2 2 2 2 8 3 3 2" xfId="10445"/>
    <cellStyle name="Normal 2 2 2 2 2 2 8 3 4" xfId="10446"/>
    <cellStyle name="Normal 2 2 2 2 2 2 8 3 4 2" xfId="10447"/>
    <cellStyle name="Normal 2 2 2 2 2 2 8 3 5" xfId="10448"/>
    <cellStyle name="Normal 2 2 2 2 2 2 8 3 5 2" xfId="10449"/>
    <cellStyle name="Normal 2 2 2 2 2 2 8 3 6" xfId="10450"/>
    <cellStyle name="Normal 2 2 2 2 2 2 8 3 6 2" xfId="10451"/>
    <cellStyle name="Normal 2 2 2 2 2 2 8 3 7" xfId="10452"/>
    <cellStyle name="Normal 2 2 2 2 2 2 8 3 7 2" xfId="10453"/>
    <cellStyle name="Normal 2 2 2 2 2 2 8 3 8" xfId="10454"/>
    <cellStyle name="Normal 2 2 2 2 2 2 8 3 8 2" xfId="10455"/>
    <cellStyle name="Normal 2 2 2 2 2 2 8 3 9" xfId="10456"/>
    <cellStyle name="Normal 2 2 2 2 2 2 8 3 9 2" xfId="10457"/>
    <cellStyle name="Normal 2 2 2 2 2 2 8 4" xfId="10458"/>
    <cellStyle name="Normal 2 2 2 2 2 2 8 4 2" xfId="10459"/>
    <cellStyle name="Normal 2 2 2 2 2 2 8 5" xfId="10460"/>
    <cellStyle name="Normal 2 2 2 2 2 2 8 5 2" xfId="10461"/>
    <cellStyle name="Normal 2 2 2 2 2 2 8 6" xfId="10462"/>
    <cellStyle name="Normal 2 2 2 2 2 2 8 6 2" xfId="10463"/>
    <cellStyle name="Normal 2 2 2 2 2 2 8 7" xfId="10464"/>
    <cellStyle name="Normal 2 2 2 2 2 2 8 7 2" xfId="10465"/>
    <cellStyle name="Normal 2 2 2 2 2 2 8 8" xfId="10466"/>
    <cellStyle name="Normal 2 2 2 2 2 2 8 8 2" xfId="10467"/>
    <cellStyle name="Normal 2 2 2 2 2 2 8 9" xfId="10468"/>
    <cellStyle name="Normal 2 2 2 2 2 2 8 9 2" xfId="10469"/>
    <cellStyle name="Normal 2 2 2 2 2 2 9" xfId="10470"/>
    <cellStyle name="Normal 2 2 2 2 2 2 9 10" xfId="10471"/>
    <cellStyle name="Normal 2 2 2 2 2 2 9 10 2" xfId="10472"/>
    <cellStyle name="Normal 2 2 2 2 2 2 9 11" xfId="10473"/>
    <cellStyle name="Normal 2 2 2 2 2 2 9 11 2" xfId="10474"/>
    <cellStyle name="Normal 2 2 2 2 2 2 9 12" xfId="10475"/>
    <cellStyle name="Normal 2 2 2 2 2 2 9 12 2" xfId="10476"/>
    <cellStyle name="Normal 2 2 2 2 2 2 9 13" xfId="10477"/>
    <cellStyle name="Normal 2 2 2 2 2 2 9 2" xfId="10478"/>
    <cellStyle name="Normal 2 2 2 2 2 2 9 2 10" xfId="10479"/>
    <cellStyle name="Normal 2 2 2 2 2 2 9 2 10 2" xfId="10480"/>
    <cellStyle name="Normal 2 2 2 2 2 2 9 2 11" xfId="10481"/>
    <cellStyle name="Normal 2 2 2 2 2 2 9 2 11 2" xfId="10482"/>
    <cellStyle name="Normal 2 2 2 2 2 2 9 2 12" xfId="10483"/>
    <cellStyle name="Normal 2 2 2 2 2 2 9 2 2" xfId="10484"/>
    <cellStyle name="Normal 2 2 2 2 2 2 9 2 2 10" xfId="10485"/>
    <cellStyle name="Normal 2 2 2 2 2 2 9 2 2 10 2" xfId="10486"/>
    <cellStyle name="Normal 2 2 2 2 2 2 9 2 2 11" xfId="10487"/>
    <cellStyle name="Normal 2 2 2 2 2 2 9 2 2 2" xfId="10488"/>
    <cellStyle name="Normal 2 2 2 2 2 2 9 2 2 2 2" xfId="10489"/>
    <cellStyle name="Normal 2 2 2 2 2 2 9 2 2 3" xfId="10490"/>
    <cellStyle name="Normal 2 2 2 2 2 2 9 2 2 3 2" xfId="10491"/>
    <cellStyle name="Normal 2 2 2 2 2 2 9 2 2 4" xfId="10492"/>
    <cellStyle name="Normal 2 2 2 2 2 2 9 2 2 4 2" xfId="10493"/>
    <cellStyle name="Normal 2 2 2 2 2 2 9 2 2 5" xfId="10494"/>
    <cellStyle name="Normal 2 2 2 2 2 2 9 2 2 5 2" xfId="10495"/>
    <cellStyle name="Normal 2 2 2 2 2 2 9 2 2 6" xfId="10496"/>
    <cellStyle name="Normal 2 2 2 2 2 2 9 2 2 6 2" xfId="10497"/>
    <cellStyle name="Normal 2 2 2 2 2 2 9 2 2 7" xfId="10498"/>
    <cellStyle name="Normal 2 2 2 2 2 2 9 2 2 7 2" xfId="10499"/>
    <cellStyle name="Normal 2 2 2 2 2 2 9 2 2 8" xfId="10500"/>
    <cellStyle name="Normal 2 2 2 2 2 2 9 2 2 8 2" xfId="10501"/>
    <cellStyle name="Normal 2 2 2 2 2 2 9 2 2 9" xfId="10502"/>
    <cellStyle name="Normal 2 2 2 2 2 2 9 2 2 9 2" xfId="10503"/>
    <cellStyle name="Normal 2 2 2 2 2 2 9 2 3" xfId="10504"/>
    <cellStyle name="Normal 2 2 2 2 2 2 9 2 3 2" xfId="10505"/>
    <cellStyle name="Normal 2 2 2 2 2 2 9 2 4" xfId="10506"/>
    <cellStyle name="Normal 2 2 2 2 2 2 9 2 4 2" xfId="10507"/>
    <cellStyle name="Normal 2 2 2 2 2 2 9 2 5" xfId="10508"/>
    <cellStyle name="Normal 2 2 2 2 2 2 9 2 5 2" xfId="10509"/>
    <cellStyle name="Normal 2 2 2 2 2 2 9 2 6" xfId="10510"/>
    <cellStyle name="Normal 2 2 2 2 2 2 9 2 6 2" xfId="10511"/>
    <cellStyle name="Normal 2 2 2 2 2 2 9 2 7" xfId="10512"/>
    <cellStyle name="Normal 2 2 2 2 2 2 9 2 7 2" xfId="10513"/>
    <cellStyle name="Normal 2 2 2 2 2 2 9 2 8" xfId="10514"/>
    <cellStyle name="Normal 2 2 2 2 2 2 9 2 8 2" xfId="10515"/>
    <cellStyle name="Normal 2 2 2 2 2 2 9 2 9" xfId="10516"/>
    <cellStyle name="Normal 2 2 2 2 2 2 9 2 9 2" xfId="10517"/>
    <cellStyle name="Normal 2 2 2 2 2 2 9 3" xfId="10518"/>
    <cellStyle name="Normal 2 2 2 2 2 2 9 3 10" xfId="10519"/>
    <cellStyle name="Normal 2 2 2 2 2 2 9 3 10 2" xfId="10520"/>
    <cellStyle name="Normal 2 2 2 2 2 2 9 3 11" xfId="10521"/>
    <cellStyle name="Normal 2 2 2 2 2 2 9 3 2" xfId="10522"/>
    <cellStyle name="Normal 2 2 2 2 2 2 9 3 2 2" xfId="10523"/>
    <cellStyle name="Normal 2 2 2 2 2 2 9 3 3" xfId="10524"/>
    <cellStyle name="Normal 2 2 2 2 2 2 9 3 3 2" xfId="10525"/>
    <cellStyle name="Normal 2 2 2 2 2 2 9 3 4" xfId="10526"/>
    <cellStyle name="Normal 2 2 2 2 2 2 9 3 4 2" xfId="10527"/>
    <cellStyle name="Normal 2 2 2 2 2 2 9 3 5" xfId="10528"/>
    <cellStyle name="Normal 2 2 2 2 2 2 9 3 5 2" xfId="10529"/>
    <cellStyle name="Normal 2 2 2 2 2 2 9 3 6" xfId="10530"/>
    <cellStyle name="Normal 2 2 2 2 2 2 9 3 6 2" xfId="10531"/>
    <cellStyle name="Normal 2 2 2 2 2 2 9 3 7" xfId="10532"/>
    <cellStyle name="Normal 2 2 2 2 2 2 9 3 7 2" xfId="10533"/>
    <cellStyle name="Normal 2 2 2 2 2 2 9 3 8" xfId="10534"/>
    <cellStyle name="Normal 2 2 2 2 2 2 9 3 8 2" xfId="10535"/>
    <cellStyle name="Normal 2 2 2 2 2 2 9 3 9" xfId="10536"/>
    <cellStyle name="Normal 2 2 2 2 2 2 9 3 9 2" xfId="10537"/>
    <cellStyle name="Normal 2 2 2 2 2 2 9 4" xfId="10538"/>
    <cellStyle name="Normal 2 2 2 2 2 2 9 4 2" xfId="10539"/>
    <cellStyle name="Normal 2 2 2 2 2 2 9 5" xfId="10540"/>
    <cellStyle name="Normal 2 2 2 2 2 2 9 5 2" xfId="10541"/>
    <cellStyle name="Normal 2 2 2 2 2 2 9 6" xfId="10542"/>
    <cellStyle name="Normal 2 2 2 2 2 2 9 6 2" xfId="10543"/>
    <cellStyle name="Normal 2 2 2 2 2 2 9 7" xfId="10544"/>
    <cellStyle name="Normal 2 2 2 2 2 2 9 7 2" xfId="10545"/>
    <cellStyle name="Normal 2 2 2 2 2 2 9 8" xfId="10546"/>
    <cellStyle name="Normal 2 2 2 2 2 2 9 8 2" xfId="10547"/>
    <cellStyle name="Normal 2 2 2 2 2 2 9 9" xfId="10548"/>
    <cellStyle name="Normal 2 2 2 2 2 2 9 9 2" xfId="10549"/>
    <cellStyle name="Normal 2 2 2 2 2 20" xfId="10550"/>
    <cellStyle name="Normal 2 2 2 2 2 20 2" xfId="10551"/>
    <cellStyle name="Normal 2 2 2 2 2 21" xfId="10552"/>
    <cellStyle name="Normal 2 2 2 2 2 3" xfId="10553"/>
    <cellStyle name="Normal 2 2 2 2 2 3 2" xfId="10554"/>
    <cellStyle name="Normal 2 2 2 2 2 3 2 10" xfId="10555"/>
    <cellStyle name="Normal 2 2 2 2 2 3 2 10 2" xfId="10556"/>
    <cellStyle name="Normal 2 2 2 2 2 3 2 11" xfId="10557"/>
    <cellStyle name="Normal 2 2 2 2 2 3 2 11 2" xfId="10558"/>
    <cellStyle name="Normal 2 2 2 2 2 3 2 12" xfId="10559"/>
    <cellStyle name="Normal 2 2 2 2 2 3 2 12 2" xfId="10560"/>
    <cellStyle name="Normal 2 2 2 2 2 3 2 13" xfId="10561"/>
    <cellStyle name="Normal 2 2 2 2 2 3 2 13 2" xfId="10562"/>
    <cellStyle name="Normal 2 2 2 2 2 3 2 14" xfId="10563"/>
    <cellStyle name="Normal 2 2 2 2 2 3 2 14 2" xfId="10564"/>
    <cellStyle name="Normal 2 2 2 2 2 3 2 15" xfId="10565"/>
    <cellStyle name="Normal 2 2 2 2 2 3 2 15 2" xfId="10566"/>
    <cellStyle name="Normal 2 2 2 2 2 3 2 16" xfId="10567"/>
    <cellStyle name="Normal 2 2 2 2 2 3 2 16 2" xfId="10568"/>
    <cellStyle name="Normal 2 2 2 2 2 3 2 17" xfId="10569"/>
    <cellStyle name="Normal 2 2 2 2 2 3 2 2" xfId="10570"/>
    <cellStyle name="Normal 2 2 2 2 2 3 2 2 2" xfId="10571"/>
    <cellStyle name="Normal 2 2 2 2 2 3 2 2 2 10" xfId="10572"/>
    <cellStyle name="Normal 2 2 2 2 2 3 2 2 2 10 2" xfId="10573"/>
    <cellStyle name="Normal 2 2 2 2 2 3 2 2 2 11" xfId="10574"/>
    <cellStyle name="Normal 2 2 2 2 2 3 2 2 2 11 2" xfId="10575"/>
    <cellStyle name="Normal 2 2 2 2 2 3 2 2 2 12" xfId="10576"/>
    <cellStyle name="Normal 2 2 2 2 2 3 2 2 2 12 2" xfId="10577"/>
    <cellStyle name="Normal 2 2 2 2 2 3 2 2 2 13" xfId="10578"/>
    <cellStyle name="Normal 2 2 2 2 2 3 2 2 2 2" xfId="10579"/>
    <cellStyle name="Normal 2 2 2 2 2 3 2 2 2 2 10" xfId="10580"/>
    <cellStyle name="Normal 2 2 2 2 2 3 2 2 2 2 10 2" xfId="10581"/>
    <cellStyle name="Normal 2 2 2 2 2 3 2 2 2 2 11" xfId="10582"/>
    <cellStyle name="Normal 2 2 2 2 2 3 2 2 2 2 11 2" xfId="10583"/>
    <cellStyle name="Normal 2 2 2 2 2 3 2 2 2 2 12" xfId="10584"/>
    <cellStyle name="Normal 2 2 2 2 2 3 2 2 2 2 2" xfId="10585"/>
    <cellStyle name="Normal 2 2 2 2 2 3 2 2 2 2 2 10" xfId="10586"/>
    <cellStyle name="Normal 2 2 2 2 2 3 2 2 2 2 2 10 2" xfId="10587"/>
    <cellStyle name="Normal 2 2 2 2 2 3 2 2 2 2 2 11" xfId="10588"/>
    <cellStyle name="Normal 2 2 2 2 2 3 2 2 2 2 2 2" xfId="10589"/>
    <cellStyle name="Normal 2 2 2 2 2 3 2 2 2 2 2 2 2" xfId="10590"/>
    <cellStyle name="Normal 2 2 2 2 2 3 2 2 2 2 2 3" xfId="10591"/>
    <cellStyle name="Normal 2 2 2 2 2 3 2 2 2 2 2 3 2" xfId="10592"/>
    <cellStyle name="Normal 2 2 2 2 2 3 2 2 2 2 2 4" xfId="10593"/>
    <cellStyle name="Normal 2 2 2 2 2 3 2 2 2 2 2 4 2" xfId="10594"/>
    <cellStyle name="Normal 2 2 2 2 2 3 2 2 2 2 2 5" xfId="10595"/>
    <cellStyle name="Normal 2 2 2 2 2 3 2 2 2 2 2 5 2" xfId="10596"/>
    <cellStyle name="Normal 2 2 2 2 2 3 2 2 2 2 2 6" xfId="10597"/>
    <cellStyle name="Normal 2 2 2 2 2 3 2 2 2 2 2 6 2" xfId="10598"/>
    <cellStyle name="Normal 2 2 2 2 2 3 2 2 2 2 2 7" xfId="10599"/>
    <cellStyle name="Normal 2 2 2 2 2 3 2 2 2 2 2 7 2" xfId="10600"/>
    <cellStyle name="Normal 2 2 2 2 2 3 2 2 2 2 2 8" xfId="10601"/>
    <cellStyle name="Normal 2 2 2 2 2 3 2 2 2 2 2 8 2" xfId="10602"/>
    <cellStyle name="Normal 2 2 2 2 2 3 2 2 2 2 2 9" xfId="10603"/>
    <cellStyle name="Normal 2 2 2 2 2 3 2 2 2 2 2 9 2" xfId="10604"/>
    <cellStyle name="Normal 2 2 2 2 2 3 2 2 2 2 3" xfId="10605"/>
    <cellStyle name="Normal 2 2 2 2 2 3 2 2 2 2 3 2" xfId="10606"/>
    <cellStyle name="Normal 2 2 2 2 2 3 2 2 2 2 4" xfId="10607"/>
    <cellStyle name="Normal 2 2 2 2 2 3 2 2 2 2 4 2" xfId="10608"/>
    <cellStyle name="Normal 2 2 2 2 2 3 2 2 2 2 5" xfId="10609"/>
    <cellStyle name="Normal 2 2 2 2 2 3 2 2 2 2 5 2" xfId="10610"/>
    <cellStyle name="Normal 2 2 2 2 2 3 2 2 2 2 6" xfId="10611"/>
    <cellStyle name="Normal 2 2 2 2 2 3 2 2 2 2 6 2" xfId="10612"/>
    <cellStyle name="Normal 2 2 2 2 2 3 2 2 2 2 7" xfId="10613"/>
    <cellStyle name="Normal 2 2 2 2 2 3 2 2 2 2 7 2" xfId="10614"/>
    <cellStyle name="Normal 2 2 2 2 2 3 2 2 2 2 8" xfId="10615"/>
    <cellStyle name="Normal 2 2 2 2 2 3 2 2 2 2 8 2" xfId="10616"/>
    <cellStyle name="Normal 2 2 2 2 2 3 2 2 2 2 9" xfId="10617"/>
    <cellStyle name="Normal 2 2 2 2 2 3 2 2 2 2 9 2" xfId="10618"/>
    <cellStyle name="Normal 2 2 2 2 2 3 2 2 2 3" xfId="10619"/>
    <cellStyle name="Normal 2 2 2 2 2 3 2 2 2 3 10" xfId="10620"/>
    <cellStyle name="Normal 2 2 2 2 2 3 2 2 2 3 10 2" xfId="10621"/>
    <cellStyle name="Normal 2 2 2 2 2 3 2 2 2 3 11" xfId="10622"/>
    <cellStyle name="Normal 2 2 2 2 2 3 2 2 2 3 2" xfId="10623"/>
    <cellStyle name="Normal 2 2 2 2 2 3 2 2 2 3 2 2" xfId="10624"/>
    <cellStyle name="Normal 2 2 2 2 2 3 2 2 2 3 3" xfId="10625"/>
    <cellStyle name="Normal 2 2 2 2 2 3 2 2 2 3 3 2" xfId="10626"/>
    <cellStyle name="Normal 2 2 2 2 2 3 2 2 2 3 4" xfId="10627"/>
    <cellStyle name="Normal 2 2 2 2 2 3 2 2 2 3 4 2" xfId="10628"/>
    <cellStyle name="Normal 2 2 2 2 2 3 2 2 2 3 5" xfId="10629"/>
    <cellStyle name="Normal 2 2 2 2 2 3 2 2 2 3 5 2" xfId="10630"/>
    <cellStyle name="Normal 2 2 2 2 2 3 2 2 2 3 6" xfId="10631"/>
    <cellStyle name="Normal 2 2 2 2 2 3 2 2 2 3 6 2" xfId="10632"/>
    <cellStyle name="Normal 2 2 2 2 2 3 2 2 2 3 7" xfId="10633"/>
    <cellStyle name="Normal 2 2 2 2 2 3 2 2 2 3 7 2" xfId="10634"/>
    <cellStyle name="Normal 2 2 2 2 2 3 2 2 2 3 8" xfId="10635"/>
    <cellStyle name="Normal 2 2 2 2 2 3 2 2 2 3 8 2" xfId="10636"/>
    <cellStyle name="Normal 2 2 2 2 2 3 2 2 2 3 9" xfId="10637"/>
    <cellStyle name="Normal 2 2 2 2 2 3 2 2 2 3 9 2" xfId="10638"/>
    <cellStyle name="Normal 2 2 2 2 2 3 2 2 2 4" xfId="10639"/>
    <cellStyle name="Normal 2 2 2 2 2 3 2 2 2 4 2" xfId="10640"/>
    <cellStyle name="Normal 2 2 2 2 2 3 2 2 2 5" xfId="10641"/>
    <cellStyle name="Normal 2 2 2 2 2 3 2 2 2 5 2" xfId="10642"/>
    <cellStyle name="Normal 2 2 2 2 2 3 2 2 2 6" xfId="10643"/>
    <cellStyle name="Normal 2 2 2 2 2 3 2 2 2 6 2" xfId="10644"/>
    <cellStyle name="Normal 2 2 2 2 2 3 2 2 2 7" xfId="10645"/>
    <cellStyle name="Normal 2 2 2 2 2 3 2 2 2 7 2" xfId="10646"/>
    <cellStyle name="Normal 2 2 2 2 2 3 2 2 2 8" xfId="10647"/>
    <cellStyle name="Normal 2 2 2 2 2 3 2 2 2 8 2" xfId="10648"/>
    <cellStyle name="Normal 2 2 2 2 2 3 2 2 2 9" xfId="10649"/>
    <cellStyle name="Normal 2 2 2 2 2 3 2 2 2 9 2" xfId="10650"/>
    <cellStyle name="Normal 2 2 2 2 2 3 2 2 3" xfId="10651"/>
    <cellStyle name="Normal 2 2 2 2 2 3 2 2 3 10" xfId="10652"/>
    <cellStyle name="Normal 2 2 2 2 2 3 2 2 3 10 2" xfId="10653"/>
    <cellStyle name="Normal 2 2 2 2 2 3 2 2 3 11" xfId="10654"/>
    <cellStyle name="Normal 2 2 2 2 2 3 2 2 3 11 2" xfId="10655"/>
    <cellStyle name="Normal 2 2 2 2 2 3 2 2 3 12" xfId="10656"/>
    <cellStyle name="Normal 2 2 2 2 2 3 2 2 3 12 2" xfId="10657"/>
    <cellStyle name="Normal 2 2 2 2 2 3 2 2 3 13" xfId="10658"/>
    <cellStyle name="Normal 2 2 2 2 2 3 2 2 3 2" xfId="10659"/>
    <cellStyle name="Normal 2 2 2 2 2 3 2 2 3 2 10" xfId="10660"/>
    <cellStyle name="Normal 2 2 2 2 2 3 2 2 3 2 10 2" xfId="10661"/>
    <cellStyle name="Normal 2 2 2 2 2 3 2 2 3 2 11" xfId="10662"/>
    <cellStyle name="Normal 2 2 2 2 2 3 2 2 3 2 11 2" xfId="10663"/>
    <cellStyle name="Normal 2 2 2 2 2 3 2 2 3 2 12" xfId="10664"/>
    <cellStyle name="Normal 2 2 2 2 2 3 2 2 3 2 2" xfId="10665"/>
    <cellStyle name="Normal 2 2 2 2 2 3 2 2 3 2 2 10" xfId="10666"/>
    <cellStyle name="Normal 2 2 2 2 2 3 2 2 3 2 2 10 2" xfId="10667"/>
    <cellStyle name="Normal 2 2 2 2 2 3 2 2 3 2 2 11" xfId="10668"/>
    <cellStyle name="Normal 2 2 2 2 2 3 2 2 3 2 2 2" xfId="10669"/>
    <cellStyle name="Normal 2 2 2 2 2 3 2 2 3 2 2 2 2" xfId="10670"/>
    <cellStyle name="Normal 2 2 2 2 2 3 2 2 3 2 2 3" xfId="10671"/>
    <cellStyle name="Normal 2 2 2 2 2 3 2 2 3 2 2 3 2" xfId="10672"/>
    <cellStyle name="Normal 2 2 2 2 2 3 2 2 3 2 2 4" xfId="10673"/>
    <cellStyle name="Normal 2 2 2 2 2 3 2 2 3 2 2 4 2" xfId="10674"/>
    <cellStyle name="Normal 2 2 2 2 2 3 2 2 3 2 2 5" xfId="10675"/>
    <cellStyle name="Normal 2 2 2 2 2 3 2 2 3 2 2 5 2" xfId="10676"/>
    <cellStyle name="Normal 2 2 2 2 2 3 2 2 3 2 2 6" xfId="10677"/>
    <cellStyle name="Normal 2 2 2 2 2 3 2 2 3 2 2 6 2" xfId="10678"/>
    <cellStyle name="Normal 2 2 2 2 2 3 2 2 3 2 2 7" xfId="10679"/>
    <cellStyle name="Normal 2 2 2 2 2 3 2 2 3 2 2 7 2" xfId="10680"/>
    <cellStyle name="Normal 2 2 2 2 2 3 2 2 3 2 2 8" xfId="10681"/>
    <cellStyle name="Normal 2 2 2 2 2 3 2 2 3 2 2 8 2" xfId="10682"/>
    <cellStyle name="Normal 2 2 2 2 2 3 2 2 3 2 2 9" xfId="10683"/>
    <cellStyle name="Normal 2 2 2 2 2 3 2 2 3 2 2 9 2" xfId="10684"/>
    <cellStyle name="Normal 2 2 2 2 2 3 2 2 3 2 3" xfId="10685"/>
    <cellStyle name="Normal 2 2 2 2 2 3 2 2 3 2 3 2" xfId="10686"/>
    <cellStyle name="Normal 2 2 2 2 2 3 2 2 3 2 4" xfId="10687"/>
    <cellStyle name="Normal 2 2 2 2 2 3 2 2 3 2 4 2" xfId="10688"/>
    <cellStyle name="Normal 2 2 2 2 2 3 2 2 3 2 5" xfId="10689"/>
    <cellStyle name="Normal 2 2 2 2 2 3 2 2 3 2 5 2" xfId="10690"/>
    <cellStyle name="Normal 2 2 2 2 2 3 2 2 3 2 6" xfId="10691"/>
    <cellStyle name="Normal 2 2 2 2 2 3 2 2 3 2 6 2" xfId="10692"/>
    <cellStyle name="Normal 2 2 2 2 2 3 2 2 3 2 7" xfId="10693"/>
    <cellStyle name="Normal 2 2 2 2 2 3 2 2 3 2 7 2" xfId="10694"/>
    <cellStyle name="Normal 2 2 2 2 2 3 2 2 3 2 8" xfId="10695"/>
    <cellStyle name="Normal 2 2 2 2 2 3 2 2 3 2 8 2" xfId="10696"/>
    <cellStyle name="Normal 2 2 2 2 2 3 2 2 3 2 9" xfId="10697"/>
    <cellStyle name="Normal 2 2 2 2 2 3 2 2 3 2 9 2" xfId="10698"/>
    <cellStyle name="Normal 2 2 2 2 2 3 2 2 3 3" xfId="10699"/>
    <cellStyle name="Normal 2 2 2 2 2 3 2 2 3 3 10" xfId="10700"/>
    <cellStyle name="Normal 2 2 2 2 2 3 2 2 3 3 10 2" xfId="10701"/>
    <cellStyle name="Normal 2 2 2 2 2 3 2 2 3 3 11" xfId="10702"/>
    <cellStyle name="Normal 2 2 2 2 2 3 2 2 3 3 2" xfId="10703"/>
    <cellStyle name="Normal 2 2 2 2 2 3 2 2 3 3 2 2" xfId="10704"/>
    <cellStyle name="Normal 2 2 2 2 2 3 2 2 3 3 3" xfId="10705"/>
    <cellStyle name="Normal 2 2 2 2 2 3 2 2 3 3 3 2" xfId="10706"/>
    <cellStyle name="Normal 2 2 2 2 2 3 2 2 3 3 4" xfId="10707"/>
    <cellStyle name="Normal 2 2 2 2 2 3 2 2 3 3 4 2" xfId="10708"/>
    <cellStyle name="Normal 2 2 2 2 2 3 2 2 3 3 5" xfId="10709"/>
    <cellStyle name="Normal 2 2 2 2 2 3 2 2 3 3 5 2" xfId="10710"/>
    <cellStyle name="Normal 2 2 2 2 2 3 2 2 3 3 6" xfId="10711"/>
    <cellStyle name="Normal 2 2 2 2 2 3 2 2 3 3 6 2" xfId="10712"/>
    <cellStyle name="Normal 2 2 2 2 2 3 2 2 3 3 7" xfId="10713"/>
    <cellStyle name="Normal 2 2 2 2 2 3 2 2 3 3 7 2" xfId="10714"/>
    <cellStyle name="Normal 2 2 2 2 2 3 2 2 3 3 8" xfId="10715"/>
    <cellStyle name="Normal 2 2 2 2 2 3 2 2 3 3 8 2" xfId="10716"/>
    <cellStyle name="Normal 2 2 2 2 2 3 2 2 3 3 9" xfId="10717"/>
    <cellStyle name="Normal 2 2 2 2 2 3 2 2 3 3 9 2" xfId="10718"/>
    <cellStyle name="Normal 2 2 2 2 2 3 2 2 3 4" xfId="10719"/>
    <cellStyle name="Normal 2 2 2 2 2 3 2 2 3 4 2" xfId="10720"/>
    <cellStyle name="Normal 2 2 2 2 2 3 2 2 3 5" xfId="10721"/>
    <cellStyle name="Normal 2 2 2 2 2 3 2 2 3 5 2" xfId="10722"/>
    <cellStyle name="Normal 2 2 2 2 2 3 2 2 3 6" xfId="10723"/>
    <cellStyle name="Normal 2 2 2 2 2 3 2 2 3 6 2" xfId="10724"/>
    <cellStyle name="Normal 2 2 2 2 2 3 2 2 3 7" xfId="10725"/>
    <cellStyle name="Normal 2 2 2 2 2 3 2 2 3 7 2" xfId="10726"/>
    <cellStyle name="Normal 2 2 2 2 2 3 2 2 3 8" xfId="10727"/>
    <cellStyle name="Normal 2 2 2 2 2 3 2 2 3 8 2" xfId="10728"/>
    <cellStyle name="Normal 2 2 2 2 2 3 2 2 3 9" xfId="10729"/>
    <cellStyle name="Normal 2 2 2 2 2 3 2 2 3 9 2" xfId="10730"/>
    <cellStyle name="Normal 2 2 2 2 2 3 2 2 4" xfId="10731"/>
    <cellStyle name="Normal 2 2 2 2 2 3 2 2 4 10" xfId="10732"/>
    <cellStyle name="Normal 2 2 2 2 2 3 2 2 4 10 2" xfId="10733"/>
    <cellStyle name="Normal 2 2 2 2 2 3 2 2 4 11" xfId="10734"/>
    <cellStyle name="Normal 2 2 2 2 2 3 2 2 4 11 2" xfId="10735"/>
    <cellStyle name="Normal 2 2 2 2 2 3 2 2 4 12" xfId="10736"/>
    <cellStyle name="Normal 2 2 2 2 2 3 2 2 4 12 2" xfId="10737"/>
    <cellStyle name="Normal 2 2 2 2 2 3 2 2 4 13" xfId="10738"/>
    <cellStyle name="Normal 2 2 2 2 2 3 2 2 4 2" xfId="10739"/>
    <cellStyle name="Normal 2 2 2 2 2 3 2 2 4 2 10" xfId="10740"/>
    <cellStyle name="Normal 2 2 2 2 2 3 2 2 4 2 10 2" xfId="10741"/>
    <cellStyle name="Normal 2 2 2 2 2 3 2 2 4 2 11" xfId="10742"/>
    <cellStyle name="Normal 2 2 2 2 2 3 2 2 4 2 11 2" xfId="10743"/>
    <cellStyle name="Normal 2 2 2 2 2 3 2 2 4 2 12" xfId="10744"/>
    <cellStyle name="Normal 2 2 2 2 2 3 2 2 4 2 2" xfId="10745"/>
    <cellStyle name="Normal 2 2 2 2 2 3 2 2 4 2 2 10" xfId="10746"/>
    <cellStyle name="Normal 2 2 2 2 2 3 2 2 4 2 2 10 2" xfId="10747"/>
    <cellStyle name="Normal 2 2 2 2 2 3 2 2 4 2 2 11" xfId="10748"/>
    <cellStyle name="Normal 2 2 2 2 2 3 2 2 4 2 2 2" xfId="10749"/>
    <cellStyle name="Normal 2 2 2 2 2 3 2 2 4 2 2 2 2" xfId="10750"/>
    <cellStyle name="Normal 2 2 2 2 2 3 2 2 4 2 2 3" xfId="10751"/>
    <cellStyle name="Normal 2 2 2 2 2 3 2 2 4 2 2 3 2" xfId="10752"/>
    <cellStyle name="Normal 2 2 2 2 2 3 2 2 4 2 2 4" xfId="10753"/>
    <cellStyle name="Normal 2 2 2 2 2 3 2 2 4 2 2 4 2" xfId="10754"/>
    <cellStyle name="Normal 2 2 2 2 2 3 2 2 4 2 2 5" xfId="10755"/>
    <cellStyle name="Normal 2 2 2 2 2 3 2 2 4 2 2 5 2" xfId="10756"/>
    <cellStyle name="Normal 2 2 2 2 2 3 2 2 4 2 2 6" xfId="10757"/>
    <cellStyle name="Normal 2 2 2 2 2 3 2 2 4 2 2 6 2" xfId="10758"/>
    <cellStyle name="Normal 2 2 2 2 2 3 2 2 4 2 2 7" xfId="10759"/>
    <cellStyle name="Normal 2 2 2 2 2 3 2 2 4 2 2 7 2" xfId="10760"/>
    <cellStyle name="Normal 2 2 2 2 2 3 2 2 4 2 2 8" xfId="10761"/>
    <cellStyle name="Normal 2 2 2 2 2 3 2 2 4 2 2 8 2" xfId="10762"/>
    <cellStyle name="Normal 2 2 2 2 2 3 2 2 4 2 2 9" xfId="10763"/>
    <cellStyle name="Normal 2 2 2 2 2 3 2 2 4 2 2 9 2" xfId="10764"/>
    <cellStyle name="Normal 2 2 2 2 2 3 2 2 4 2 3" xfId="10765"/>
    <cellStyle name="Normal 2 2 2 2 2 3 2 2 4 2 3 2" xfId="10766"/>
    <cellStyle name="Normal 2 2 2 2 2 3 2 2 4 2 4" xfId="10767"/>
    <cellStyle name="Normal 2 2 2 2 2 3 2 2 4 2 4 2" xfId="10768"/>
    <cellStyle name="Normal 2 2 2 2 2 3 2 2 4 2 5" xfId="10769"/>
    <cellStyle name="Normal 2 2 2 2 2 3 2 2 4 2 5 2" xfId="10770"/>
    <cellStyle name="Normal 2 2 2 2 2 3 2 2 4 2 6" xfId="10771"/>
    <cellStyle name="Normal 2 2 2 2 2 3 2 2 4 2 6 2" xfId="10772"/>
    <cellStyle name="Normal 2 2 2 2 2 3 2 2 4 2 7" xfId="10773"/>
    <cellStyle name="Normal 2 2 2 2 2 3 2 2 4 2 7 2" xfId="10774"/>
    <cellStyle name="Normal 2 2 2 2 2 3 2 2 4 2 8" xfId="10775"/>
    <cellStyle name="Normal 2 2 2 2 2 3 2 2 4 2 8 2" xfId="10776"/>
    <cellStyle name="Normal 2 2 2 2 2 3 2 2 4 2 9" xfId="10777"/>
    <cellStyle name="Normal 2 2 2 2 2 3 2 2 4 2 9 2" xfId="10778"/>
    <cellStyle name="Normal 2 2 2 2 2 3 2 2 4 3" xfId="10779"/>
    <cellStyle name="Normal 2 2 2 2 2 3 2 2 4 3 10" xfId="10780"/>
    <cellStyle name="Normal 2 2 2 2 2 3 2 2 4 3 10 2" xfId="10781"/>
    <cellStyle name="Normal 2 2 2 2 2 3 2 2 4 3 11" xfId="10782"/>
    <cellStyle name="Normal 2 2 2 2 2 3 2 2 4 3 2" xfId="10783"/>
    <cellStyle name="Normal 2 2 2 2 2 3 2 2 4 3 2 2" xfId="10784"/>
    <cellStyle name="Normal 2 2 2 2 2 3 2 2 4 3 3" xfId="10785"/>
    <cellStyle name="Normal 2 2 2 2 2 3 2 2 4 3 3 2" xfId="10786"/>
    <cellStyle name="Normal 2 2 2 2 2 3 2 2 4 3 4" xfId="10787"/>
    <cellStyle name="Normal 2 2 2 2 2 3 2 2 4 3 4 2" xfId="10788"/>
    <cellStyle name="Normal 2 2 2 2 2 3 2 2 4 3 5" xfId="10789"/>
    <cellStyle name="Normal 2 2 2 2 2 3 2 2 4 3 5 2" xfId="10790"/>
    <cellStyle name="Normal 2 2 2 2 2 3 2 2 4 3 6" xfId="10791"/>
    <cellStyle name="Normal 2 2 2 2 2 3 2 2 4 3 6 2" xfId="10792"/>
    <cellStyle name="Normal 2 2 2 2 2 3 2 2 4 3 7" xfId="10793"/>
    <cellStyle name="Normal 2 2 2 2 2 3 2 2 4 3 7 2" xfId="10794"/>
    <cellStyle name="Normal 2 2 2 2 2 3 2 2 4 3 8" xfId="10795"/>
    <cellStyle name="Normal 2 2 2 2 2 3 2 2 4 3 8 2" xfId="10796"/>
    <cellStyle name="Normal 2 2 2 2 2 3 2 2 4 3 9" xfId="10797"/>
    <cellStyle name="Normal 2 2 2 2 2 3 2 2 4 3 9 2" xfId="10798"/>
    <cellStyle name="Normal 2 2 2 2 2 3 2 2 4 4" xfId="10799"/>
    <cellStyle name="Normal 2 2 2 2 2 3 2 2 4 4 2" xfId="10800"/>
    <cellStyle name="Normal 2 2 2 2 2 3 2 2 4 5" xfId="10801"/>
    <cellStyle name="Normal 2 2 2 2 2 3 2 2 4 5 2" xfId="10802"/>
    <cellStyle name="Normal 2 2 2 2 2 3 2 2 4 6" xfId="10803"/>
    <cellStyle name="Normal 2 2 2 2 2 3 2 2 4 6 2" xfId="10804"/>
    <cellStyle name="Normal 2 2 2 2 2 3 2 2 4 7" xfId="10805"/>
    <cellStyle name="Normal 2 2 2 2 2 3 2 2 4 7 2" xfId="10806"/>
    <cellStyle name="Normal 2 2 2 2 2 3 2 2 4 8" xfId="10807"/>
    <cellStyle name="Normal 2 2 2 2 2 3 2 2 4 8 2" xfId="10808"/>
    <cellStyle name="Normal 2 2 2 2 2 3 2 2 4 9" xfId="10809"/>
    <cellStyle name="Normal 2 2 2 2 2 3 2 2 4 9 2" xfId="10810"/>
    <cellStyle name="Normal 2 2 2 2 2 3 2 2 5" xfId="10811"/>
    <cellStyle name="Normal 2 2 2 2 2 3 2 2 5 10" xfId="10812"/>
    <cellStyle name="Normal 2 2 2 2 2 3 2 2 5 10 2" xfId="10813"/>
    <cellStyle name="Normal 2 2 2 2 2 3 2 2 5 11" xfId="10814"/>
    <cellStyle name="Normal 2 2 2 2 2 3 2 2 5 11 2" xfId="10815"/>
    <cellStyle name="Normal 2 2 2 2 2 3 2 2 5 12" xfId="10816"/>
    <cellStyle name="Normal 2 2 2 2 2 3 2 2 5 12 2" xfId="10817"/>
    <cellStyle name="Normal 2 2 2 2 2 3 2 2 5 13" xfId="10818"/>
    <cellStyle name="Normal 2 2 2 2 2 3 2 2 5 2" xfId="10819"/>
    <cellStyle name="Normal 2 2 2 2 2 3 2 2 5 2 10" xfId="10820"/>
    <cellStyle name="Normal 2 2 2 2 2 3 2 2 5 2 10 2" xfId="10821"/>
    <cellStyle name="Normal 2 2 2 2 2 3 2 2 5 2 11" xfId="10822"/>
    <cellStyle name="Normal 2 2 2 2 2 3 2 2 5 2 11 2" xfId="10823"/>
    <cellStyle name="Normal 2 2 2 2 2 3 2 2 5 2 12" xfId="10824"/>
    <cellStyle name="Normal 2 2 2 2 2 3 2 2 5 2 2" xfId="10825"/>
    <cellStyle name="Normal 2 2 2 2 2 3 2 2 5 2 2 10" xfId="10826"/>
    <cellStyle name="Normal 2 2 2 2 2 3 2 2 5 2 2 10 2" xfId="10827"/>
    <cellStyle name="Normal 2 2 2 2 2 3 2 2 5 2 2 11" xfId="10828"/>
    <cellStyle name="Normal 2 2 2 2 2 3 2 2 5 2 2 2" xfId="10829"/>
    <cellStyle name="Normal 2 2 2 2 2 3 2 2 5 2 2 2 2" xfId="10830"/>
    <cellStyle name="Normal 2 2 2 2 2 3 2 2 5 2 2 3" xfId="10831"/>
    <cellStyle name="Normal 2 2 2 2 2 3 2 2 5 2 2 3 2" xfId="10832"/>
    <cellStyle name="Normal 2 2 2 2 2 3 2 2 5 2 2 4" xfId="10833"/>
    <cellStyle name="Normal 2 2 2 2 2 3 2 2 5 2 2 4 2" xfId="10834"/>
    <cellStyle name="Normal 2 2 2 2 2 3 2 2 5 2 2 5" xfId="10835"/>
    <cellStyle name="Normal 2 2 2 2 2 3 2 2 5 2 2 5 2" xfId="10836"/>
    <cellStyle name="Normal 2 2 2 2 2 3 2 2 5 2 2 6" xfId="10837"/>
    <cellStyle name="Normal 2 2 2 2 2 3 2 2 5 2 2 6 2" xfId="10838"/>
    <cellStyle name="Normal 2 2 2 2 2 3 2 2 5 2 2 7" xfId="10839"/>
    <cellStyle name="Normal 2 2 2 2 2 3 2 2 5 2 2 7 2" xfId="10840"/>
    <cellStyle name="Normal 2 2 2 2 2 3 2 2 5 2 2 8" xfId="10841"/>
    <cellStyle name="Normal 2 2 2 2 2 3 2 2 5 2 2 8 2" xfId="10842"/>
    <cellStyle name="Normal 2 2 2 2 2 3 2 2 5 2 2 9" xfId="10843"/>
    <cellStyle name="Normal 2 2 2 2 2 3 2 2 5 2 2 9 2" xfId="10844"/>
    <cellStyle name="Normal 2 2 2 2 2 3 2 2 5 2 3" xfId="10845"/>
    <cellStyle name="Normal 2 2 2 2 2 3 2 2 5 2 3 2" xfId="10846"/>
    <cellStyle name="Normal 2 2 2 2 2 3 2 2 5 2 4" xfId="10847"/>
    <cellStyle name="Normal 2 2 2 2 2 3 2 2 5 2 4 2" xfId="10848"/>
    <cellStyle name="Normal 2 2 2 2 2 3 2 2 5 2 5" xfId="10849"/>
    <cellStyle name="Normal 2 2 2 2 2 3 2 2 5 2 5 2" xfId="10850"/>
    <cellStyle name="Normal 2 2 2 2 2 3 2 2 5 2 6" xfId="10851"/>
    <cellStyle name="Normal 2 2 2 2 2 3 2 2 5 2 6 2" xfId="10852"/>
    <cellStyle name="Normal 2 2 2 2 2 3 2 2 5 2 7" xfId="10853"/>
    <cellStyle name="Normal 2 2 2 2 2 3 2 2 5 2 7 2" xfId="10854"/>
    <cellStyle name="Normal 2 2 2 2 2 3 2 2 5 2 8" xfId="10855"/>
    <cellStyle name="Normal 2 2 2 2 2 3 2 2 5 2 8 2" xfId="10856"/>
    <cellStyle name="Normal 2 2 2 2 2 3 2 2 5 2 9" xfId="10857"/>
    <cellStyle name="Normal 2 2 2 2 2 3 2 2 5 2 9 2" xfId="10858"/>
    <cellStyle name="Normal 2 2 2 2 2 3 2 2 5 3" xfId="10859"/>
    <cellStyle name="Normal 2 2 2 2 2 3 2 2 5 3 10" xfId="10860"/>
    <cellStyle name="Normal 2 2 2 2 2 3 2 2 5 3 10 2" xfId="10861"/>
    <cellStyle name="Normal 2 2 2 2 2 3 2 2 5 3 11" xfId="10862"/>
    <cellStyle name="Normal 2 2 2 2 2 3 2 2 5 3 2" xfId="10863"/>
    <cellStyle name="Normal 2 2 2 2 2 3 2 2 5 3 2 2" xfId="10864"/>
    <cellStyle name="Normal 2 2 2 2 2 3 2 2 5 3 3" xfId="10865"/>
    <cellStyle name="Normal 2 2 2 2 2 3 2 2 5 3 3 2" xfId="10866"/>
    <cellStyle name="Normal 2 2 2 2 2 3 2 2 5 3 4" xfId="10867"/>
    <cellStyle name="Normal 2 2 2 2 2 3 2 2 5 3 4 2" xfId="10868"/>
    <cellStyle name="Normal 2 2 2 2 2 3 2 2 5 3 5" xfId="10869"/>
    <cellStyle name="Normal 2 2 2 2 2 3 2 2 5 3 5 2" xfId="10870"/>
    <cellStyle name="Normal 2 2 2 2 2 3 2 2 5 3 6" xfId="10871"/>
    <cellStyle name="Normal 2 2 2 2 2 3 2 2 5 3 6 2" xfId="10872"/>
    <cellStyle name="Normal 2 2 2 2 2 3 2 2 5 3 7" xfId="10873"/>
    <cellStyle name="Normal 2 2 2 2 2 3 2 2 5 3 7 2" xfId="10874"/>
    <cellStyle name="Normal 2 2 2 2 2 3 2 2 5 3 8" xfId="10875"/>
    <cellStyle name="Normal 2 2 2 2 2 3 2 2 5 3 8 2" xfId="10876"/>
    <cellStyle name="Normal 2 2 2 2 2 3 2 2 5 3 9" xfId="10877"/>
    <cellStyle name="Normal 2 2 2 2 2 3 2 2 5 3 9 2" xfId="10878"/>
    <cellStyle name="Normal 2 2 2 2 2 3 2 2 5 4" xfId="10879"/>
    <cellStyle name="Normal 2 2 2 2 2 3 2 2 5 4 2" xfId="10880"/>
    <cellStyle name="Normal 2 2 2 2 2 3 2 2 5 5" xfId="10881"/>
    <cellStyle name="Normal 2 2 2 2 2 3 2 2 5 5 2" xfId="10882"/>
    <cellStyle name="Normal 2 2 2 2 2 3 2 2 5 6" xfId="10883"/>
    <cellStyle name="Normal 2 2 2 2 2 3 2 2 5 6 2" xfId="10884"/>
    <cellStyle name="Normal 2 2 2 2 2 3 2 2 5 7" xfId="10885"/>
    <cellStyle name="Normal 2 2 2 2 2 3 2 2 5 7 2" xfId="10886"/>
    <cellStyle name="Normal 2 2 2 2 2 3 2 2 5 8" xfId="10887"/>
    <cellStyle name="Normal 2 2 2 2 2 3 2 2 5 8 2" xfId="10888"/>
    <cellStyle name="Normal 2 2 2 2 2 3 2 2 5 9" xfId="10889"/>
    <cellStyle name="Normal 2 2 2 2 2 3 2 2 5 9 2" xfId="10890"/>
    <cellStyle name="Normal 2 2 2 2 2 3 2 2 6" xfId="41852"/>
    <cellStyle name="Normal 2 2 2 2 2 3 2 3" xfId="10891"/>
    <cellStyle name="Normal 2 2 2 2 2 3 2 3 2" xfId="41853"/>
    <cellStyle name="Normal 2 2 2 2 2 3 2 4" xfId="10892"/>
    <cellStyle name="Normal 2 2 2 2 2 3 2 4 2" xfId="41854"/>
    <cellStyle name="Normal 2 2 2 2 2 3 2 5" xfId="10893"/>
    <cellStyle name="Normal 2 2 2 2 2 3 2 5 2" xfId="41855"/>
    <cellStyle name="Normal 2 2 2 2 2 3 2 6" xfId="10894"/>
    <cellStyle name="Normal 2 2 2 2 2 3 2 6 10" xfId="10895"/>
    <cellStyle name="Normal 2 2 2 2 2 3 2 6 10 2" xfId="10896"/>
    <cellStyle name="Normal 2 2 2 2 2 3 2 6 11" xfId="10897"/>
    <cellStyle name="Normal 2 2 2 2 2 3 2 6 11 2" xfId="10898"/>
    <cellStyle name="Normal 2 2 2 2 2 3 2 6 12" xfId="10899"/>
    <cellStyle name="Normal 2 2 2 2 2 3 2 6 2" xfId="10900"/>
    <cellStyle name="Normal 2 2 2 2 2 3 2 6 2 10" xfId="10901"/>
    <cellStyle name="Normal 2 2 2 2 2 3 2 6 2 10 2" xfId="10902"/>
    <cellStyle name="Normal 2 2 2 2 2 3 2 6 2 11" xfId="10903"/>
    <cellStyle name="Normal 2 2 2 2 2 3 2 6 2 2" xfId="10904"/>
    <cellStyle name="Normal 2 2 2 2 2 3 2 6 2 2 2" xfId="10905"/>
    <cellStyle name="Normal 2 2 2 2 2 3 2 6 2 3" xfId="10906"/>
    <cellStyle name="Normal 2 2 2 2 2 3 2 6 2 3 2" xfId="10907"/>
    <cellStyle name="Normal 2 2 2 2 2 3 2 6 2 4" xfId="10908"/>
    <cellStyle name="Normal 2 2 2 2 2 3 2 6 2 4 2" xfId="10909"/>
    <cellStyle name="Normal 2 2 2 2 2 3 2 6 2 5" xfId="10910"/>
    <cellStyle name="Normal 2 2 2 2 2 3 2 6 2 5 2" xfId="10911"/>
    <cellStyle name="Normal 2 2 2 2 2 3 2 6 2 6" xfId="10912"/>
    <cellStyle name="Normal 2 2 2 2 2 3 2 6 2 6 2" xfId="10913"/>
    <cellStyle name="Normal 2 2 2 2 2 3 2 6 2 7" xfId="10914"/>
    <cellStyle name="Normal 2 2 2 2 2 3 2 6 2 7 2" xfId="10915"/>
    <cellStyle name="Normal 2 2 2 2 2 3 2 6 2 8" xfId="10916"/>
    <cellStyle name="Normal 2 2 2 2 2 3 2 6 2 8 2" xfId="10917"/>
    <cellStyle name="Normal 2 2 2 2 2 3 2 6 2 9" xfId="10918"/>
    <cellStyle name="Normal 2 2 2 2 2 3 2 6 2 9 2" xfId="10919"/>
    <cellStyle name="Normal 2 2 2 2 2 3 2 6 3" xfId="10920"/>
    <cellStyle name="Normal 2 2 2 2 2 3 2 6 3 2" xfId="10921"/>
    <cellStyle name="Normal 2 2 2 2 2 3 2 6 4" xfId="10922"/>
    <cellStyle name="Normal 2 2 2 2 2 3 2 6 4 2" xfId="10923"/>
    <cellStyle name="Normal 2 2 2 2 2 3 2 6 5" xfId="10924"/>
    <cellStyle name="Normal 2 2 2 2 2 3 2 6 5 2" xfId="10925"/>
    <cellStyle name="Normal 2 2 2 2 2 3 2 6 6" xfId="10926"/>
    <cellStyle name="Normal 2 2 2 2 2 3 2 6 6 2" xfId="10927"/>
    <cellStyle name="Normal 2 2 2 2 2 3 2 6 7" xfId="10928"/>
    <cellStyle name="Normal 2 2 2 2 2 3 2 6 7 2" xfId="10929"/>
    <cellStyle name="Normal 2 2 2 2 2 3 2 6 8" xfId="10930"/>
    <cellStyle name="Normal 2 2 2 2 2 3 2 6 8 2" xfId="10931"/>
    <cellStyle name="Normal 2 2 2 2 2 3 2 6 9" xfId="10932"/>
    <cellStyle name="Normal 2 2 2 2 2 3 2 6 9 2" xfId="10933"/>
    <cellStyle name="Normal 2 2 2 2 2 3 2 7" xfId="10934"/>
    <cellStyle name="Normal 2 2 2 2 2 3 2 7 10" xfId="10935"/>
    <cellStyle name="Normal 2 2 2 2 2 3 2 7 10 2" xfId="10936"/>
    <cellStyle name="Normal 2 2 2 2 2 3 2 7 11" xfId="10937"/>
    <cellStyle name="Normal 2 2 2 2 2 3 2 7 2" xfId="10938"/>
    <cellStyle name="Normal 2 2 2 2 2 3 2 7 2 2" xfId="10939"/>
    <cellStyle name="Normal 2 2 2 2 2 3 2 7 3" xfId="10940"/>
    <cellStyle name="Normal 2 2 2 2 2 3 2 7 3 2" xfId="10941"/>
    <cellStyle name="Normal 2 2 2 2 2 3 2 7 4" xfId="10942"/>
    <cellStyle name="Normal 2 2 2 2 2 3 2 7 4 2" xfId="10943"/>
    <cellStyle name="Normal 2 2 2 2 2 3 2 7 5" xfId="10944"/>
    <cellStyle name="Normal 2 2 2 2 2 3 2 7 5 2" xfId="10945"/>
    <cellStyle name="Normal 2 2 2 2 2 3 2 7 6" xfId="10946"/>
    <cellStyle name="Normal 2 2 2 2 2 3 2 7 6 2" xfId="10947"/>
    <cellStyle name="Normal 2 2 2 2 2 3 2 7 7" xfId="10948"/>
    <cellStyle name="Normal 2 2 2 2 2 3 2 7 7 2" xfId="10949"/>
    <cellStyle name="Normal 2 2 2 2 2 3 2 7 8" xfId="10950"/>
    <cellStyle name="Normal 2 2 2 2 2 3 2 7 8 2" xfId="10951"/>
    <cellStyle name="Normal 2 2 2 2 2 3 2 7 9" xfId="10952"/>
    <cellStyle name="Normal 2 2 2 2 2 3 2 7 9 2" xfId="10953"/>
    <cellStyle name="Normal 2 2 2 2 2 3 2 8" xfId="10954"/>
    <cellStyle name="Normal 2 2 2 2 2 3 2 8 2" xfId="10955"/>
    <cellStyle name="Normal 2 2 2 2 2 3 2 9" xfId="10956"/>
    <cellStyle name="Normal 2 2 2 2 2 3 2 9 2" xfId="10957"/>
    <cellStyle name="Normal 2 2 2 2 2 3 3" xfId="10958"/>
    <cellStyle name="Normal 2 2 2 2 2 3 3 10" xfId="10959"/>
    <cellStyle name="Normal 2 2 2 2 2 3 3 10 2" xfId="10960"/>
    <cellStyle name="Normal 2 2 2 2 2 3 3 11" xfId="10961"/>
    <cellStyle name="Normal 2 2 2 2 2 3 3 11 2" xfId="10962"/>
    <cellStyle name="Normal 2 2 2 2 2 3 3 12" xfId="10963"/>
    <cellStyle name="Normal 2 2 2 2 2 3 3 12 2" xfId="10964"/>
    <cellStyle name="Normal 2 2 2 2 2 3 3 13" xfId="10965"/>
    <cellStyle name="Normal 2 2 2 2 2 3 3 2" xfId="10966"/>
    <cellStyle name="Normal 2 2 2 2 2 3 3 2 10" xfId="10967"/>
    <cellStyle name="Normal 2 2 2 2 2 3 3 2 10 2" xfId="10968"/>
    <cellStyle name="Normal 2 2 2 2 2 3 3 2 11" xfId="10969"/>
    <cellStyle name="Normal 2 2 2 2 2 3 3 2 11 2" xfId="10970"/>
    <cellStyle name="Normal 2 2 2 2 2 3 3 2 12" xfId="10971"/>
    <cellStyle name="Normal 2 2 2 2 2 3 3 2 2" xfId="10972"/>
    <cellStyle name="Normal 2 2 2 2 2 3 3 2 2 10" xfId="10973"/>
    <cellStyle name="Normal 2 2 2 2 2 3 3 2 2 10 2" xfId="10974"/>
    <cellStyle name="Normal 2 2 2 2 2 3 3 2 2 11" xfId="10975"/>
    <cellStyle name="Normal 2 2 2 2 2 3 3 2 2 2" xfId="10976"/>
    <cellStyle name="Normal 2 2 2 2 2 3 3 2 2 2 2" xfId="10977"/>
    <cellStyle name="Normal 2 2 2 2 2 3 3 2 2 3" xfId="10978"/>
    <cellStyle name="Normal 2 2 2 2 2 3 3 2 2 3 2" xfId="10979"/>
    <cellStyle name="Normal 2 2 2 2 2 3 3 2 2 4" xfId="10980"/>
    <cellStyle name="Normal 2 2 2 2 2 3 3 2 2 4 2" xfId="10981"/>
    <cellStyle name="Normal 2 2 2 2 2 3 3 2 2 5" xfId="10982"/>
    <cellStyle name="Normal 2 2 2 2 2 3 3 2 2 5 2" xfId="10983"/>
    <cellStyle name="Normal 2 2 2 2 2 3 3 2 2 6" xfId="10984"/>
    <cellStyle name="Normal 2 2 2 2 2 3 3 2 2 6 2" xfId="10985"/>
    <cellStyle name="Normal 2 2 2 2 2 3 3 2 2 7" xfId="10986"/>
    <cellStyle name="Normal 2 2 2 2 2 3 3 2 2 7 2" xfId="10987"/>
    <cellStyle name="Normal 2 2 2 2 2 3 3 2 2 8" xfId="10988"/>
    <cellStyle name="Normal 2 2 2 2 2 3 3 2 2 8 2" xfId="10989"/>
    <cellStyle name="Normal 2 2 2 2 2 3 3 2 2 9" xfId="10990"/>
    <cellStyle name="Normal 2 2 2 2 2 3 3 2 2 9 2" xfId="10991"/>
    <cellStyle name="Normal 2 2 2 2 2 3 3 2 3" xfId="10992"/>
    <cellStyle name="Normal 2 2 2 2 2 3 3 2 3 2" xfId="10993"/>
    <cellStyle name="Normal 2 2 2 2 2 3 3 2 4" xfId="10994"/>
    <cellStyle name="Normal 2 2 2 2 2 3 3 2 4 2" xfId="10995"/>
    <cellStyle name="Normal 2 2 2 2 2 3 3 2 5" xfId="10996"/>
    <cellStyle name="Normal 2 2 2 2 2 3 3 2 5 2" xfId="10997"/>
    <cellStyle name="Normal 2 2 2 2 2 3 3 2 6" xfId="10998"/>
    <cellStyle name="Normal 2 2 2 2 2 3 3 2 6 2" xfId="10999"/>
    <cellStyle name="Normal 2 2 2 2 2 3 3 2 7" xfId="11000"/>
    <cellStyle name="Normal 2 2 2 2 2 3 3 2 7 2" xfId="11001"/>
    <cellStyle name="Normal 2 2 2 2 2 3 3 2 8" xfId="11002"/>
    <cellStyle name="Normal 2 2 2 2 2 3 3 2 8 2" xfId="11003"/>
    <cellStyle name="Normal 2 2 2 2 2 3 3 2 9" xfId="11004"/>
    <cellStyle name="Normal 2 2 2 2 2 3 3 2 9 2" xfId="11005"/>
    <cellStyle name="Normal 2 2 2 2 2 3 3 3" xfId="11006"/>
    <cellStyle name="Normal 2 2 2 2 2 3 3 3 10" xfId="11007"/>
    <cellStyle name="Normal 2 2 2 2 2 3 3 3 10 2" xfId="11008"/>
    <cellStyle name="Normal 2 2 2 2 2 3 3 3 11" xfId="11009"/>
    <cellStyle name="Normal 2 2 2 2 2 3 3 3 2" xfId="11010"/>
    <cellStyle name="Normal 2 2 2 2 2 3 3 3 2 2" xfId="11011"/>
    <cellStyle name="Normal 2 2 2 2 2 3 3 3 3" xfId="11012"/>
    <cellStyle name="Normal 2 2 2 2 2 3 3 3 3 2" xfId="11013"/>
    <cellStyle name="Normal 2 2 2 2 2 3 3 3 4" xfId="11014"/>
    <cellStyle name="Normal 2 2 2 2 2 3 3 3 4 2" xfId="11015"/>
    <cellStyle name="Normal 2 2 2 2 2 3 3 3 5" xfId="11016"/>
    <cellStyle name="Normal 2 2 2 2 2 3 3 3 5 2" xfId="11017"/>
    <cellStyle name="Normal 2 2 2 2 2 3 3 3 6" xfId="11018"/>
    <cellStyle name="Normal 2 2 2 2 2 3 3 3 6 2" xfId="11019"/>
    <cellStyle name="Normal 2 2 2 2 2 3 3 3 7" xfId="11020"/>
    <cellStyle name="Normal 2 2 2 2 2 3 3 3 7 2" xfId="11021"/>
    <cellStyle name="Normal 2 2 2 2 2 3 3 3 8" xfId="11022"/>
    <cellStyle name="Normal 2 2 2 2 2 3 3 3 8 2" xfId="11023"/>
    <cellStyle name="Normal 2 2 2 2 2 3 3 3 9" xfId="11024"/>
    <cellStyle name="Normal 2 2 2 2 2 3 3 3 9 2" xfId="11025"/>
    <cellStyle name="Normal 2 2 2 2 2 3 3 4" xfId="11026"/>
    <cellStyle name="Normal 2 2 2 2 2 3 3 4 2" xfId="11027"/>
    <cellStyle name="Normal 2 2 2 2 2 3 3 5" xfId="11028"/>
    <cellStyle name="Normal 2 2 2 2 2 3 3 5 2" xfId="11029"/>
    <cellStyle name="Normal 2 2 2 2 2 3 3 6" xfId="11030"/>
    <cellStyle name="Normal 2 2 2 2 2 3 3 6 2" xfId="11031"/>
    <cellStyle name="Normal 2 2 2 2 2 3 3 7" xfId="11032"/>
    <cellStyle name="Normal 2 2 2 2 2 3 3 7 2" xfId="11033"/>
    <cellStyle name="Normal 2 2 2 2 2 3 3 8" xfId="11034"/>
    <cellStyle name="Normal 2 2 2 2 2 3 3 8 2" xfId="11035"/>
    <cellStyle name="Normal 2 2 2 2 2 3 3 9" xfId="11036"/>
    <cellStyle name="Normal 2 2 2 2 2 3 3 9 2" xfId="11037"/>
    <cellStyle name="Normal 2 2 2 2 2 3 4" xfId="11038"/>
    <cellStyle name="Normal 2 2 2 2 2 3 4 10" xfId="11039"/>
    <cellStyle name="Normal 2 2 2 2 2 3 4 10 2" xfId="11040"/>
    <cellStyle name="Normal 2 2 2 2 2 3 4 11" xfId="11041"/>
    <cellStyle name="Normal 2 2 2 2 2 3 4 11 2" xfId="11042"/>
    <cellStyle name="Normal 2 2 2 2 2 3 4 12" xfId="11043"/>
    <cellStyle name="Normal 2 2 2 2 2 3 4 12 2" xfId="11044"/>
    <cellStyle name="Normal 2 2 2 2 2 3 4 13" xfId="11045"/>
    <cellStyle name="Normal 2 2 2 2 2 3 4 2" xfId="11046"/>
    <cellStyle name="Normal 2 2 2 2 2 3 4 2 10" xfId="11047"/>
    <cellStyle name="Normal 2 2 2 2 2 3 4 2 10 2" xfId="11048"/>
    <cellStyle name="Normal 2 2 2 2 2 3 4 2 11" xfId="11049"/>
    <cellStyle name="Normal 2 2 2 2 2 3 4 2 11 2" xfId="11050"/>
    <cellStyle name="Normal 2 2 2 2 2 3 4 2 12" xfId="11051"/>
    <cellStyle name="Normal 2 2 2 2 2 3 4 2 2" xfId="11052"/>
    <cellStyle name="Normal 2 2 2 2 2 3 4 2 2 10" xfId="11053"/>
    <cellStyle name="Normal 2 2 2 2 2 3 4 2 2 10 2" xfId="11054"/>
    <cellStyle name="Normal 2 2 2 2 2 3 4 2 2 11" xfId="11055"/>
    <cellStyle name="Normal 2 2 2 2 2 3 4 2 2 2" xfId="11056"/>
    <cellStyle name="Normal 2 2 2 2 2 3 4 2 2 2 2" xfId="11057"/>
    <cellStyle name="Normal 2 2 2 2 2 3 4 2 2 3" xfId="11058"/>
    <cellStyle name="Normal 2 2 2 2 2 3 4 2 2 3 2" xfId="11059"/>
    <cellStyle name="Normal 2 2 2 2 2 3 4 2 2 4" xfId="11060"/>
    <cellStyle name="Normal 2 2 2 2 2 3 4 2 2 4 2" xfId="11061"/>
    <cellStyle name="Normal 2 2 2 2 2 3 4 2 2 5" xfId="11062"/>
    <cellStyle name="Normal 2 2 2 2 2 3 4 2 2 5 2" xfId="11063"/>
    <cellStyle name="Normal 2 2 2 2 2 3 4 2 2 6" xfId="11064"/>
    <cellStyle name="Normal 2 2 2 2 2 3 4 2 2 6 2" xfId="11065"/>
    <cellStyle name="Normal 2 2 2 2 2 3 4 2 2 7" xfId="11066"/>
    <cellStyle name="Normal 2 2 2 2 2 3 4 2 2 7 2" xfId="11067"/>
    <cellStyle name="Normal 2 2 2 2 2 3 4 2 2 8" xfId="11068"/>
    <cellStyle name="Normal 2 2 2 2 2 3 4 2 2 8 2" xfId="11069"/>
    <cellStyle name="Normal 2 2 2 2 2 3 4 2 2 9" xfId="11070"/>
    <cellStyle name="Normal 2 2 2 2 2 3 4 2 2 9 2" xfId="11071"/>
    <cellStyle name="Normal 2 2 2 2 2 3 4 2 3" xfId="11072"/>
    <cellStyle name="Normal 2 2 2 2 2 3 4 2 3 2" xfId="11073"/>
    <cellStyle name="Normal 2 2 2 2 2 3 4 2 4" xfId="11074"/>
    <cellStyle name="Normal 2 2 2 2 2 3 4 2 4 2" xfId="11075"/>
    <cellStyle name="Normal 2 2 2 2 2 3 4 2 5" xfId="11076"/>
    <cellStyle name="Normal 2 2 2 2 2 3 4 2 5 2" xfId="11077"/>
    <cellStyle name="Normal 2 2 2 2 2 3 4 2 6" xfId="11078"/>
    <cellStyle name="Normal 2 2 2 2 2 3 4 2 6 2" xfId="11079"/>
    <cellStyle name="Normal 2 2 2 2 2 3 4 2 7" xfId="11080"/>
    <cellStyle name="Normal 2 2 2 2 2 3 4 2 7 2" xfId="11081"/>
    <cellStyle name="Normal 2 2 2 2 2 3 4 2 8" xfId="11082"/>
    <cellStyle name="Normal 2 2 2 2 2 3 4 2 8 2" xfId="11083"/>
    <cellStyle name="Normal 2 2 2 2 2 3 4 2 9" xfId="11084"/>
    <cellStyle name="Normal 2 2 2 2 2 3 4 2 9 2" xfId="11085"/>
    <cellStyle name="Normal 2 2 2 2 2 3 4 3" xfId="11086"/>
    <cellStyle name="Normal 2 2 2 2 2 3 4 3 10" xfId="11087"/>
    <cellStyle name="Normal 2 2 2 2 2 3 4 3 10 2" xfId="11088"/>
    <cellStyle name="Normal 2 2 2 2 2 3 4 3 11" xfId="11089"/>
    <cellStyle name="Normal 2 2 2 2 2 3 4 3 2" xfId="11090"/>
    <cellStyle name="Normal 2 2 2 2 2 3 4 3 2 2" xfId="11091"/>
    <cellStyle name="Normal 2 2 2 2 2 3 4 3 3" xfId="11092"/>
    <cellStyle name="Normal 2 2 2 2 2 3 4 3 3 2" xfId="11093"/>
    <cellStyle name="Normal 2 2 2 2 2 3 4 3 4" xfId="11094"/>
    <cellStyle name="Normal 2 2 2 2 2 3 4 3 4 2" xfId="11095"/>
    <cellStyle name="Normal 2 2 2 2 2 3 4 3 5" xfId="11096"/>
    <cellStyle name="Normal 2 2 2 2 2 3 4 3 5 2" xfId="11097"/>
    <cellStyle name="Normal 2 2 2 2 2 3 4 3 6" xfId="11098"/>
    <cellStyle name="Normal 2 2 2 2 2 3 4 3 6 2" xfId="11099"/>
    <cellStyle name="Normal 2 2 2 2 2 3 4 3 7" xfId="11100"/>
    <cellStyle name="Normal 2 2 2 2 2 3 4 3 7 2" xfId="11101"/>
    <cellStyle name="Normal 2 2 2 2 2 3 4 3 8" xfId="11102"/>
    <cellStyle name="Normal 2 2 2 2 2 3 4 3 8 2" xfId="11103"/>
    <cellStyle name="Normal 2 2 2 2 2 3 4 3 9" xfId="11104"/>
    <cellStyle name="Normal 2 2 2 2 2 3 4 3 9 2" xfId="11105"/>
    <cellStyle name="Normal 2 2 2 2 2 3 4 4" xfId="11106"/>
    <cellStyle name="Normal 2 2 2 2 2 3 4 4 2" xfId="11107"/>
    <cellStyle name="Normal 2 2 2 2 2 3 4 5" xfId="11108"/>
    <cellStyle name="Normal 2 2 2 2 2 3 4 5 2" xfId="11109"/>
    <cellStyle name="Normal 2 2 2 2 2 3 4 6" xfId="11110"/>
    <cellStyle name="Normal 2 2 2 2 2 3 4 6 2" xfId="11111"/>
    <cellStyle name="Normal 2 2 2 2 2 3 4 7" xfId="11112"/>
    <cellStyle name="Normal 2 2 2 2 2 3 4 7 2" xfId="11113"/>
    <cellStyle name="Normal 2 2 2 2 2 3 4 8" xfId="11114"/>
    <cellStyle name="Normal 2 2 2 2 2 3 4 8 2" xfId="11115"/>
    <cellStyle name="Normal 2 2 2 2 2 3 4 9" xfId="11116"/>
    <cellStyle name="Normal 2 2 2 2 2 3 4 9 2" xfId="11117"/>
    <cellStyle name="Normal 2 2 2 2 2 3 5" xfId="11118"/>
    <cellStyle name="Normal 2 2 2 2 2 3 5 10" xfId="11119"/>
    <cellStyle name="Normal 2 2 2 2 2 3 5 10 2" xfId="11120"/>
    <cellStyle name="Normal 2 2 2 2 2 3 5 11" xfId="11121"/>
    <cellStyle name="Normal 2 2 2 2 2 3 5 11 2" xfId="11122"/>
    <cellStyle name="Normal 2 2 2 2 2 3 5 12" xfId="11123"/>
    <cellStyle name="Normal 2 2 2 2 2 3 5 12 2" xfId="11124"/>
    <cellStyle name="Normal 2 2 2 2 2 3 5 13" xfId="11125"/>
    <cellStyle name="Normal 2 2 2 2 2 3 5 2" xfId="11126"/>
    <cellStyle name="Normal 2 2 2 2 2 3 5 2 10" xfId="11127"/>
    <cellStyle name="Normal 2 2 2 2 2 3 5 2 10 2" xfId="11128"/>
    <cellStyle name="Normal 2 2 2 2 2 3 5 2 11" xfId="11129"/>
    <cellStyle name="Normal 2 2 2 2 2 3 5 2 11 2" xfId="11130"/>
    <cellStyle name="Normal 2 2 2 2 2 3 5 2 12" xfId="11131"/>
    <cellStyle name="Normal 2 2 2 2 2 3 5 2 2" xfId="11132"/>
    <cellStyle name="Normal 2 2 2 2 2 3 5 2 2 10" xfId="11133"/>
    <cellStyle name="Normal 2 2 2 2 2 3 5 2 2 10 2" xfId="11134"/>
    <cellStyle name="Normal 2 2 2 2 2 3 5 2 2 11" xfId="11135"/>
    <cellStyle name="Normal 2 2 2 2 2 3 5 2 2 2" xfId="11136"/>
    <cellStyle name="Normal 2 2 2 2 2 3 5 2 2 2 2" xfId="11137"/>
    <cellStyle name="Normal 2 2 2 2 2 3 5 2 2 3" xfId="11138"/>
    <cellStyle name="Normal 2 2 2 2 2 3 5 2 2 3 2" xfId="11139"/>
    <cellStyle name="Normal 2 2 2 2 2 3 5 2 2 4" xfId="11140"/>
    <cellStyle name="Normal 2 2 2 2 2 3 5 2 2 4 2" xfId="11141"/>
    <cellStyle name="Normal 2 2 2 2 2 3 5 2 2 5" xfId="11142"/>
    <cellStyle name="Normal 2 2 2 2 2 3 5 2 2 5 2" xfId="11143"/>
    <cellStyle name="Normal 2 2 2 2 2 3 5 2 2 6" xfId="11144"/>
    <cellStyle name="Normal 2 2 2 2 2 3 5 2 2 6 2" xfId="11145"/>
    <cellStyle name="Normal 2 2 2 2 2 3 5 2 2 7" xfId="11146"/>
    <cellStyle name="Normal 2 2 2 2 2 3 5 2 2 7 2" xfId="11147"/>
    <cellStyle name="Normal 2 2 2 2 2 3 5 2 2 8" xfId="11148"/>
    <cellStyle name="Normal 2 2 2 2 2 3 5 2 2 8 2" xfId="11149"/>
    <cellStyle name="Normal 2 2 2 2 2 3 5 2 2 9" xfId="11150"/>
    <cellStyle name="Normal 2 2 2 2 2 3 5 2 2 9 2" xfId="11151"/>
    <cellStyle name="Normal 2 2 2 2 2 3 5 2 3" xfId="11152"/>
    <cellStyle name="Normal 2 2 2 2 2 3 5 2 3 2" xfId="11153"/>
    <cellStyle name="Normal 2 2 2 2 2 3 5 2 4" xfId="11154"/>
    <cellStyle name="Normal 2 2 2 2 2 3 5 2 4 2" xfId="11155"/>
    <cellStyle name="Normal 2 2 2 2 2 3 5 2 5" xfId="11156"/>
    <cellStyle name="Normal 2 2 2 2 2 3 5 2 5 2" xfId="11157"/>
    <cellStyle name="Normal 2 2 2 2 2 3 5 2 6" xfId="11158"/>
    <cellStyle name="Normal 2 2 2 2 2 3 5 2 6 2" xfId="11159"/>
    <cellStyle name="Normal 2 2 2 2 2 3 5 2 7" xfId="11160"/>
    <cellStyle name="Normal 2 2 2 2 2 3 5 2 7 2" xfId="11161"/>
    <cellStyle name="Normal 2 2 2 2 2 3 5 2 8" xfId="11162"/>
    <cellStyle name="Normal 2 2 2 2 2 3 5 2 8 2" xfId="11163"/>
    <cellStyle name="Normal 2 2 2 2 2 3 5 2 9" xfId="11164"/>
    <cellStyle name="Normal 2 2 2 2 2 3 5 2 9 2" xfId="11165"/>
    <cellStyle name="Normal 2 2 2 2 2 3 5 3" xfId="11166"/>
    <cellStyle name="Normal 2 2 2 2 2 3 5 3 10" xfId="11167"/>
    <cellStyle name="Normal 2 2 2 2 2 3 5 3 10 2" xfId="11168"/>
    <cellStyle name="Normal 2 2 2 2 2 3 5 3 11" xfId="11169"/>
    <cellStyle name="Normal 2 2 2 2 2 3 5 3 2" xfId="11170"/>
    <cellStyle name="Normal 2 2 2 2 2 3 5 3 2 2" xfId="11171"/>
    <cellStyle name="Normal 2 2 2 2 2 3 5 3 3" xfId="11172"/>
    <cellStyle name="Normal 2 2 2 2 2 3 5 3 3 2" xfId="11173"/>
    <cellStyle name="Normal 2 2 2 2 2 3 5 3 4" xfId="11174"/>
    <cellStyle name="Normal 2 2 2 2 2 3 5 3 4 2" xfId="11175"/>
    <cellStyle name="Normal 2 2 2 2 2 3 5 3 5" xfId="11176"/>
    <cellStyle name="Normal 2 2 2 2 2 3 5 3 5 2" xfId="11177"/>
    <cellStyle name="Normal 2 2 2 2 2 3 5 3 6" xfId="11178"/>
    <cellStyle name="Normal 2 2 2 2 2 3 5 3 6 2" xfId="11179"/>
    <cellStyle name="Normal 2 2 2 2 2 3 5 3 7" xfId="11180"/>
    <cellStyle name="Normal 2 2 2 2 2 3 5 3 7 2" xfId="11181"/>
    <cellStyle name="Normal 2 2 2 2 2 3 5 3 8" xfId="11182"/>
    <cellStyle name="Normal 2 2 2 2 2 3 5 3 8 2" xfId="11183"/>
    <cellStyle name="Normal 2 2 2 2 2 3 5 3 9" xfId="11184"/>
    <cellStyle name="Normal 2 2 2 2 2 3 5 3 9 2" xfId="11185"/>
    <cellStyle name="Normal 2 2 2 2 2 3 5 4" xfId="11186"/>
    <cellStyle name="Normal 2 2 2 2 2 3 5 4 2" xfId="11187"/>
    <cellStyle name="Normal 2 2 2 2 2 3 5 5" xfId="11188"/>
    <cellStyle name="Normal 2 2 2 2 2 3 5 5 2" xfId="11189"/>
    <cellStyle name="Normal 2 2 2 2 2 3 5 6" xfId="11190"/>
    <cellStyle name="Normal 2 2 2 2 2 3 5 6 2" xfId="11191"/>
    <cellStyle name="Normal 2 2 2 2 2 3 5 7" xfId="11192"/>
    <cellStyle name="Normal 2 2 2 2 2 3 5 7 2" xfId="11193"/>
    <cellStyle name="Normal 2 2 2 2 2 3 5 8" xfId="11194"/>
    <cellStyle name="Normal 2 2 2 2 2 3 5 8 2" xfId="11195"/>
    <cellStyle name="Normal 2 2 2 2 2 3 5 9" xfId="11196"/>
    <cellStyle name="Normal 2 2 2 2 2 3 5 9 2" xfId="11197"/>
    <cellStyle name="Normal 2 2 2 2 2 3 6" xfId="11198"/>
    <cellStyle name="Normal 2 2 2 2 2 3 6 10" xfId="11199"/>
    <cellStyle name="Normal 2 2 2 2 2 3 6 10 2" xfId="11200"/>
    <cellStyle name="Normal 2 2 2 2 2 3 6 11" xfId="11201"/>
    <cellStyle name="Normal 2 2 2 2 2 3 6 11 2" xfId="11202"/>
    <cellStyle name="Normal 2 2 2 2 2 3 6 12" xfId="11203"/>
    <cellStyle name="Normal 2 2 2 2 2 3 6 12 2" xfId="11204"/>
    <cellStyle name="Normal 2 2 2 2 2 3 6 13" xfId="11205"/>
    <cellStyle name="Normal 2 2 2 2 2 3 6 2" xfId="11206"/>
    <cellStyle name="Normal 2 2 2 2 2 3 6 2 10" xfId="11207"/>
    <cellStyle name="Normal 2 2 2 2 2 3 6 2 10 2" xfId="11208"/>
    <cellStyle name="Normal 2 2 2 2 2 3 6 2 11" xfId="11209"/>
    <cellStyle name="Normal 2 2 2 2 2 3 6 2 11 2" xfId="11210"/>
    <cellStyle name="Normal 2 2 2 2 2 3 6 2 12" xfId="11211"/>
    <cellStyle name="Normal 2 2 2 2 2 3 6 2 2" xfId="11212"/>
    <cellStyle name="Normal 2 2 2 2 2 3 6 2 2 10" xfId="11213"/>
    <cellStyle name="Normal 2 2 2 2 2 3 6 2 2 10 2" xfId="11214"/>
    <cellStyle name="Normal 2 2 2 2 2 3 6 2 2 11" xfId="11215"/>
    <cellStyle name="Normal 2 2 2 2 2 3 6 2 2 2" xfId="11216"/>
    <cellStyle name="Normal 2 2 2 2 2 3 6 2 2 2 2" xfId="11217"/>
    <cellStyle name="Normal 2 2 2 2 2 3 6 2 2 3" xfId="11218"/>
    <cellStyle name="Normal 2 2 2 2 2 3 6 2 2 3 2" xfId="11219"/>
    <cellStyle name="Normal 2 2 2 2 2 3 6 2 2 4" xfId="11220"/>
    <cellStyle name="Normal 2 2 2 2 2 3 6 2 2 4 2" xfId="11221"/>
    <cellStyle name="Normal 2 2 2 2 2 3 6 2 2 5" xfId="11222"/>
    <cellStyle name="Normal 2 2 2 2 2 3 6 2 2 5 2" xfId="11223"/>
    <cellStyle name="Normal 2 2 2 2 2 3 6 2 2 6" xfId="11224"/>
    <cellStyle name="Normal 2 2 2 2 2 3 6 2 2 6 2" xfId="11225"/>
    <cellStyle name="Normal 2 2 2 2 2 3 6 2 2 7" xfId="11226"/>
    <cellStyle name="Normal 2 2 2 2 2 3 6 2 2 7 2" xfId="11227"/>
    <cellStyle name="Normal 2 2 2 2 2 3 6 2 2 8" xfId="11228"/>
    <cellStyle name="Normal 2 2 2 2 2 3 6 2 2 8 2" xfId="11229"/>
    <cellStyle name="Normal 2 2 2 2 2 3 6 2 2 9" xfId="11230"/>
    <cellStyle name="Normal 2 2 2 2 2 3 6 2 2 9 2" xfId="11231"/>
    <cellStyle name="Normal 2 2 2 2 2 3 6 2 3" xfId="11232"/>
    <cellStyle name="Normal 2 2 2 2 2 3 6 2 3 2" xfId="11233"/>
    <cellStyle name="Normal 2 2 2 2 2 3 6 2 4" xfId="11234"/>
    <cellStyle name="Normal 2 2 2 2 2 3 6 2 4 2" xfId="11235"/>
    <cellStyle name="Normal 2 2 2 2 2 3 6 2 5" xfId="11236"/>
    <cellStyle name="Normal 2 2 2 2 2 3 6 2 5 2" xfId="11237"/>
    <cellStyle name="Normal 2 2 2 2 2 3 6 2 6" xfId="11238"/>
    <cellStyle name="Normal 2 2 2 2 2 3 6 2 6 2" xfId="11239"/>
    <cellStyle name="Normal 2 2 2 2 2 3 6 2 7" xfId="11240"/>
    <cellStyle name="Normal 2 2 2 2 2 3 6 2 7 2" xfId="11241"/>
    <cellStyle name="Normal 2 2 2 2 2 3 6 2 8" xfId="11242"/>
    <cellStyle name="Normal 2 2 2 2 2 3 6 2 8 2" xfId="11243"/>
    <cellStyle name="Normal 2 2 2 2 2 3 6 2 9" xfId="11244"/>
    <cellStyle name="Normal 2 2 2 2 2 3 6 2 9 2" xfId="11245"/>
    <cellStyle name="Normal 2 2 2 2 2 3 6 3" xfId="11246"/>
    <cellStyle name="Normal 2 2 2 2 2 3 6 3 10" xfId="11247"/>
    <cellStyle name="Normal 2 2 2 2 2 3 6 3 10 2" xfId="11248"/>
    <cellStyle name="Normal 2 2 2 2 2 3 6 3 11" xfId="11249"/>
    <cellStyle name="Normal 2 2 2 2 2 3 6 3 2" xfId="11250"/>
    <cellStyle name="Normal 2 2 2 2 2 3 6 3 2 2" xfId="11251"/>
    <cellStyle name="Normal 2 2 2 2 2 3 6 3 3" xfId="11252"/>
    <cellStyle name="Normal 2 2 2 2 2 3 6 3 3 2" xfId="11253"/>
    <cellStyle name="Normal 2 2 2 2 2 3 6 3 4" xfId="11254"/>
    <cellStyle name="Normal 2 2 2 2 2 3 6 3 4 2" xfId="11255"/>
    <cellStyle name="Normal 2 2 2 2 2 3 6 3 5" xfId="11256"/>
    <cellStyle name="Normal 2 2 2 2 2 3 6 3 5 2" xfId="11257"/>
    <cellStyle name="Normal 2 2 2 2 2 3 6 3 6" xfId="11258"/>
    <cellStyle name="Normal 2 2 2 2 2 3 6 3 6 2" xfId="11259"/>
    <cellStyle name="Normal 2 2 2 2 2 3 6 3 7" xfId="11260"/>
    <cellStyle name="Normal 2 2 2 2 2 3 6 3 7 2" xfId="11261"/>
    <cellStyle name="Normal 2 2 2 2 2 3 6 3 8" xfId="11262"/>
    <cellStyle name="Normal 2 2 2 2 2 3 6 3 8 2" xfId="11263"/>
    <cellStyle name="Normal 2 2 2 2 2 3 6 3 9" xfId="11264"/>
    <cellStyle name="Normal 2 2 2 2 2 3 6 3 9 2" xfId="11265"/>
    <cellStyle name="Normal 2 2 2 2 2 3 6 4" xfId="11266"/>
    <cellStyle name="Normal 2 2 2 2 2 3 6 4 2" xfId="11267"/>
    <cellStyle name="Normal 2 2 2 2 2 3 6 5" xfId="11268"/>
    <cellStyle name="Normal 2 2 2 2 2 3 6 5 2" xfId="11269"/>
    <cellStyle name="Normal 2 2 2 2 2 3 6 6" xfId="11270"/>
    <cellStyle name="Normal 2 2 2 2 2 3 6 6 2" xfId="11271"/>
    <cellStyle name="Normal 2 2 2 2 2 3 6 7" xfId="11272"/>
    <cellStyle name="Normal 2 2 2 2 2 3 6 7 2" xfId="11273"/>
    <cellStyle name="Normal 2 2 2 2 2 3 6 8" xfId="11274"/>
    <cellStyle name="Normal 2 2 2 2 2 3 6 8 2" xfId="11275"/>
    <cellStyle name="Normal 2 2 2 2 2 3 6 9" xfId="11276"/>
    <cellStyle name="Normal 2 2 2 2 2 3 6 9 2" xfId="11277"/>
    <cellStyle name="Normal 2 2 2 2 2 3 7" xfId="41856"/>
    <cellStyle name="Normal 2 2 2 2 2 4" xfId="11278"/>
    <cellStyle name="Normal 2 2 2 2 2 4 10" xfId="11279"/>
    <cellStyle name="Normal 2 2 2 2 2 4 10 2" xfId="11280"/>
    <cellStyle name="Normal 2 2 2 2 2 4 11" xfId="11281"/>
    <cellStyle name="Normal 2 2 2 2 2 4 11 2" xfId="11282"/>
    <cellStyle name="Normal 2 2 2 2 2 4 12" xfId="11283"/>
    <cellStyle name="Normal 2 2 2 2 2 4 12 2" xfId="11284"/>
    <cellStyle name="Normal 2 2 2 2 2 4 13" xfId="11285"/>
    <cellStyle name="Normal 2 2 2 2 2 4 2" xfId="11286"/>
    <cellStyle name="Normal 2 2 2 2 2 4 2 10" xfId="11287"/>
    <cellStyle name="Normal 2 2 2 2 2 4 2 10 2" xfId="11288"/>
    <cellStyle name="Normal 2 2 2 2 2 4 2 11" xfId="11289"/>
    <cellStyle name="Normal 2 2 2 2 2 4 2 11 2" xfId="11290"/>
    <cellStyle name="Normal 2 2 2 2 2 4 2 12" xfId="11291"/>
    <cellStyle name="Normal 2 2 2 2 2 4 2 2" xfId="11292"/>
    <cellStyle name="Normal 2 2 2 2 2 4 2 2 10" xfId="11293"/>
    <cellStyle name="Normal 2 2 2 2 2 4 2 2 10 2" xfId="11294"/>
    <cellStyle name="Normal 2 2 2 2 2 4 2 2 11" xfId="11295"/>
    <cellStyle name="Normal 2 2 2 2 2 4 2 2 2" xfId="11296"/>
    <cellStyle name="Normal 2 2 2 2 2 4 2 2 2 2" xfId="11297"/>
    <cellStyle name="Normal 2 2 2 2 2 4 2 2 3" xfId="11298"/>
    <cellStyle name="Normal 2 2 2 2 2 4 2 2 3 2" xfId="11299"/>
    <cellStyle name="Normal 2 2 2 2 2 4 2 2 4" xfId="11300"/>
    <cellStyle name="Normal 2 2 2 2 2 4 2 2 4 2" xfId="11301"/>
    <cellStyle name="Normal 2 2 2 2 2 4 2 2 5" xfId="11302"/>
    <cellStyle name="Normal 2 2 2 2 2 4 2 2 5 2" xfId="11303"/>
    <cellStyle name="Normal 2 2 2 2 2 4 2 2 6" xfId="11304"/>
    <cellStyle name="Normal 2 2 2 2 2 4 2 2 6 2" xfId="11305"/>
    <cellStyle name="Normal 2 2 2 2 2 4 2 2 7" xfId="11306"/>
    <cellStyle name="Normal 2 2 2 2 2 4 2 2 7 2" xfId="11307"/>
    <cellStyle name="Normal 2 2 2 2 2 4 2 2 8" xfId="11308"/>
    <cellStyle name="Normal 2 2 2 2 2 4 2 2 8 2" xfId="11309"/>
    <cellStyle name="Normal 2 2 2 2 2 4 2 2 9" xfId="11310"/>
    <cellStyle name="Normal 2 2 2 2 2 4 2 2 9 2" xfId="11311"/>
    <cellStyle name="Normal 2 2 2 2 2 4 2 3" xfId="11312"/>
    <cellStyle name="Normal 2 2 2 2 2 4 2 3 2" xfId="11313"/>
    <cellStyle name="Normal 2 2 2 2 2 4 2 4" xfId="11314"/>
    <cellStyle name="Normal 2 2 2 2 2 4 2 4 2" xfId="11315"/>
    <cellStyle name="Normal 2 2 2 2 2 4 2 5" xfId="11316"/>
    <cellStyle name="Normal 2 2 2 2 2 4 2 5 2" xfId="11317"/>
    <cellStyle name="Normal 2 2 2 2 2 4 2 6" xfId="11318"/>
    <cellStyle name="Normal 2 2 2 2 2 4 2 6 2" xfId="11319"/>
    <cellStyle name="Normal 2 2 2 2 2 4 2 7" xfId="11320"/>
    <cellStyle name="Normal 2 2 2 2 2 4 2 7 2" xfId="11321"/>
    <cellStyle name="Normal 2 2 2 2 2 4 2 8" xfId="11322"/>
    <cellStyle name="Normal 2 2 2 2 2 4 2 8 2" xfId="11323"/>
    <cellStyle name="Normal 2 2 2 2 2 4 2 9" xfId="11324"/>
    <cellStyle name="Normal 2 2 2 2 2 4 2 9 2" xfId="11325"/>
    <cellStyle name="Normal 2 2 2 2 2 4 3" xfId="11326"/>
    <cellStyle name="Normal 2 2 2 2 2 4 3 10" xfId="11327"/>
    <cellStyle name="Normal 2 2 2 2 2 4 3 10 2" xfId="11328"/>
    <cellStyle name="Normal 2 2 2 2 2 4 3 11" xfId="11329"/>
    <cellStyle name="Normal 2 2 2 2 2 4 3 2" xfId="11330"/>
    <cellStyle name="Normal 2 2 2 2 2 4 3 2 2" xfId="11331"/>
    <cellStyle name="Normal 2 2 2 2 2 4 3 3" xfId="11332"/>
    <cellStyle name="Normal 2 2 2 2 2 4 3 3 2" xfId="11333"/>
    <cellStyle name="Normal 2 2 2 2 2 4 3 4" xfId="11334"/>
    <cellStyle name="Normal 2 2 2 2 2 4 3 4 2" xfId="11335"/>
    <cellStyle name="Normal 2 2 2 2 2 4 3 5" xfId="11336"/>
    <cellStyle name="Normal 2 2 2 2 2 4 3 5 2" xfId="11337"/>
    <cellStyle name="Normal 2 2 2 2 2 4 3 6" xfId="11338"/>
    <cellStyle name="Normal 2 2 2 2 2 4 3 6 2" xfId="11339"/>
    <cellStyle name="Normal 2 2 2 2 2 4 3 7" xfId="11340"/>
    <cellStyle name="Normal 2 2 2 2 2 4 3 7 2" xfId="11341"/>
    <cellStyle name="Normal 2 2 2 2 2 4 3 8" xfId="11342"/>
    <cellStyle name="Normal 2 2 2 2 2 4 3 8 2" xfId="11343"/>
    <cellStyle name="Normal 2 2 2 2 2 4 3 9" xfId="11344"/>
    <cellStyle name="Normal 2 2 2 2 2 4 3 9 2" xfId="11345"/>
    <cellStyle name="Normal 2 2 2 2 2 4 4" xfId="11346"/>
    <cellStyle name="Normal 2 2 2 2 2 4 4 2" xfId="11347"/>
    <cellStyle name="Normal 2 2 2 2 2 4 5" xfId="11348"/>
    <cellStyle name="Normal 2 2 2 2 2 4 5 2" xfId="11349"/>
    <cellStyle name="Normal 2 2 2 2 2 4 6" xfId="11350"/>
    <cellStyle name="Normal 2 2 2 2 2 4 6 2" xfId="11351"/>
    <cellStyle name="Normal 2 2 2 2 2 4 7" xfId="11352"/>
    <cellStyle name="Normal 2 2 2 2 2 4 7 2" xfId="11353"/>
    <cellStyle name="Normal 2 2 2 2 2 4 8" xfId="11354"/>
    <cellStyle name="Normal 2 2 2 2 2 4 8 2" xfId="11355"/>
    <cellStyle name="Normal 2 2 2 2 2 4 9" xfId="11356"/>
    <cellStyle name="Normal 2 2 2 2 2 4 9 2" xfId="11357"/>
    <cellStyle name="Normal 2 2 2 2 2 5" xfId="11358"/>
    <cellStyle name="Normal 2 2 2 2 2 5 10" xfId="11359"/>
    <cellStyle name="Normal 2 2 2 2 2 5 10 2" xfId="11360"/>
    <cellStyle name="Normal 2 2 2 2 2 5 11" xfId="11361"/>
    <cellStyle name="Normal 2 2 2 2 2 5 11 2" xfId="11362"/>
    <cellStyle name="Normal 2 2 2 2 2 5 12" xfId="11363"/>
    <cellStyle name="Normal 2 2 2 2 2 5 12 2" xfId="11364"/>
    <cellStyle name="Normal 2 2 2 2 2 5 13" xfId="11365"/>
    <cellStyle name="Normal 2 2 2 2 2 5 2" xfId="11366"/>
    <cellStyle name="Normal 2 2 2 2 2 5 2 10" xfId="11367"/>
    <cellStyle name="Normal 2 2 2 2 2 5 2 10 2" xfId="11368"/>
    <cellStyle name="Normal 2 2 2 2 2 5 2 11" xfId="11369"/>
    <cellStyle name="Normal 2 2 2 2 2 5 2 11 2" xfId="11370"/>
    <cellStyle name="Normal 2 2 2 2 2 5 2 12" xfId="11371"/>
    <cellStyle name="Normal 2 2 2 2 2 5 2 2" xfId="11372"/>
    <cellStyle name="Normal 2 2 2 2 2 5 2 2 10" xfId="11373"/>
    <cellStyle name="Normal 2 2 2 2 2 5 2 2 10 2" xfId="11374"/>
    <cellStyle name="Normal 2 2 2 2 2 5 2 2 11" xfId="11375"/>
    <cellStyle name="Normal 2 2 2 2 2 5 2 2 2" xfId="11376"/>
    <cellStyle name="Normal 2 2 2 2 2 5 2 2 2 2" xfId="11377"/>
    <cellStyle name="Normal 2 2 2 2 2 5 2 2 3" xfId="11378"/>
    <cellStyle name="Normal 2 2 2 2 2 5 2 2 3 2" xfId="11379"/>
    <cellStyle name="Normal 2 2 2 2 2 5 2 2 4" xfId="11380"/>
    <cellStyle name="Normal 2 2 2 2 2 5 2 2 4 2" xfId="11381"/>
    <cellStyle name="Normal 2 2 2 2 2 5 2 2 5" xfId="11382"/>
    <cellStyle name="Normal 2 2 2 2 2 5 2 2 5 2" xfId="11383"/>
    <cellStyle name="Normal 2 2 2 2 2 5 2 2 6" xfId="11384"/>
    <cellStyle name="Normal 2 2 2 2 2 5 2 2 6 2" xfId="11385"/>
    <cellStyle name="Normal 2 2 2 2 2 5 2 2 7" xfId="11386"/>
    <cellStyle name="Normal 2 2 2 2 2 5 2 2 7 2" xfId="11387"/>
    <cellStyle name="Normal 2 2 2 2 2 5 2 2 8" xfId="11388"/>
    <cellStyle name="Normal 2 2 2 2 2 5 2 2 8 2" xfId="11389"/>
    <cellStyle name="Normal 2 2 2 2 2 5 2 2 9" xfId="11390"/>
    <cellStyle name="Normal 2 2 2 2 2 5 2 2 9 2" xfId="11391"/>
    <cellStyle name="Normal 2 2 2 2 2 5 2 3" xfId="11392"/>
    <cellStyle name="Normal 2 2 2 2 2 5 2 3 2" xfId="11393"/>
    <cellStyle name="Normal 2 2 2 2 2 5 2 4" xfId="11394"/>
    <cellStyle name="Normal 2 2 2 2 2 5 2 4 2" xfId="11395"/>
    <cellStyle name="Normal 2 2 2 2 2 5 2 5" xfId="11396"/>
    <cellStyle name="Normal 2 2 2 2 2 5 2 5 2" xfId="11397"/>
    <cellStyle name="Normal 2 2 2 2 2 5 2 6" xfId="11398"/>
    <cellStyle name="Normal 2 2 2 2 2 5 2 6 2" xfId="11399"/>
    <cellStyle name="Normal 2 2 2 2 2 5 2 7" xfId="11400"/>
    <cellStyle name="Normal 2 2 2 2 2 5 2 7 2" xfId="11401"/>
    <cellStyle name="Normal 2 2 2 2 2 5 2 8" xfId="11402"/>
    <cellStyle name="Normal 2 2 2 2 2 5 2 8 2" xfId="11403"/>
    <cellStyle name="Normal 2 2 2 2 2 5 2 9" xfId="11404"/>
    <cellStyle name="Normal 2 2 2 2 2 5 2 9 2" xfId="11405"/>
    <cellStyle name="Normal 2 2 2 2 2 5 3" xfId="11406"/>
    <cellStyle name="Normal 2 2 2 2 2 5 3 10" xfId="11407"/>
    <cellStyle name="Normal 2 2 2 2 2 5 3 10 2" xfId="11408"/>
    <cellStyle name="Normal 2 2 2 2 2 5 3 11" xfId="11409"/>
    <cellStyle name="Normal 2 2 2 2 2 5 3 2" xfId="11410"/>
    <cellStyle name="Normal 2 2 2 2 2 5 3 2 2" xfId="11411"/>
    <cellStyle name="Normal 2 2 2 2 2 5 3 3" xfId="11412"/>
    <cellStyle name="Normal 2 2 2 2 2 5 3 3 2" xfId="11413"/>
    <cellStyle name="Normal 2 2 2 2 2 5 3 4" xfId="11414"/>
    <cellStyle name="Normal 2 2 2 2 2 5 3 4 2" xfId="11415"/>
    <cellStyle name="Normal 2 2 2 2 2 5 3 5" xfId="11416"/>
    <cellStyle name="Normal 2 2 2 2 2 5 3 5 2" xfId="11417"/>
    <cellStyle name="Normal 2 2 2 2 2 5 3 6" xfId="11418"/>
    <cellStyle name="Normal 2 2 2 2 2 5 3 6 2" xfId="11419"/>
    <cellStyle name="Normal 2 2 2 2 2 5 3 7" xfId="11420"/>
    <cellStyle name="Normal 2 2 2 2 2 5 3 7 2" xfId="11421"/>
    <cellStyle name="Normal 2 2 2 2 2 5 3 8" xfId="11422"/>
    <cellStyle name="Normal 2 2 2 2 2 5 3 8 2" xfId="11423"/>
    <cellStyle name="Normal 2 2 2 2 2 5 3 9" xfId="11424"/>
    <cellStyle name="Normal 2 2 2 2 2 5 3 9 2" xfId="11425"/>
    <cellStyle name="Normal 2 2 2 2 2 5 4" xfId="11426"/>
    <cellStyle name="Normal 2 2 2 2 2 5 4 2" xfId="11427"/>
    <cellStyle name="Normal 2 2 2 2 2 5 5" xfId="11428"/>
    <cellStyle name="Normal 2 2 2 2 2 5 5 2" xfId="11429"/>
    <cellStyle name="Normal 2 2 2 2 2 5 6" xfId="11430"/>
    <cellStyle name="Normal 2 2 2 2 2 5 6 2" xfId="11431"/>
    <cellStyle name="Normal 2 2 2 2 2 5 7" xfId="11432"/>
    <cellStyle name="Normal 2 2 2 2 2 5 7 2" xfId="11433"/>
    <cellStyle name="Normal 2 2 2 2 2 5 8" xfId="11434"/>
    <cellStyle name="Normal 2 2 2 2 2 5 8 2" xfId="11435"/>
    <cellStyle name="Normal 2 2 2 2 2 5 9" xfId="11436"/>
    <cellStyle name="Normal 2 2 2 2 2 5 9 2" xfId="11437"/>
    <cellStyle name="Normal 2 2 2 2 2 6" xfId="11438"/>
    <cellStyle name="Normal 2 2 2 2 2 6 2" xfId="11439"/>
    <cellStyle name="Normal 2 2 2 2 2 6 2 10" xfId="11440"/>
    <cellStyle name="Normal 2 2 2 2 2 6 2 10 2" xfId="11441"/>
    <cellStyle name="Normal 2 2 2 2 2 6 2 11" xfId="11442"/>
    <cellStyle name="Normal 2 2 2 2 2 6 2 11 2" xfId="11443"/>
    <cellStyle name="Normal 2 2 2 2 2 6 2 12" xfId="11444"/>
    <cellStyle name="Normal 2 2 2 2 2 6 2 12 2" xfId="11445"/>
    <cellStyle name="Normal 2 2 2 2 2 6 2 13" xfId="11446"/>
    <cellStyle name="Normal 2 2 2 2 2 6 2 2" xfId="11447"/>
    <cellStyle name="Normal 2 2 2 2 2 6 2 2 10" xfId="11448"/>
    <cellStyle name="Normal 2 2 2 2 2 6 2 2 10 2" xfId="11449"/>
    <cellStyle name="Normal 2 2 2 2 2 6 2 2 11" xfId="11450"/>
    <cellStyle name="Normal 2 2 2 2 2 6 2 2 11 2" xfId="11451"/>
    <cellStyle name="Normal 2 2 2 2 2 6 2 2 12" xfId="11452"/>
    <cellStyle name="Normal 2 2 2 2 2 6 2 2 2" xfId="11453"/>
    <cellStyle name="Normal 2 2 2 2 2 6 2 2 2 10" xfId="11454"/>
    <cellStyle name="Normal 2 2 2 2 2 6 2 2 2 10 2" xfId="11455"/>
    <cellStyle name="Normal 2 2 2 2 2 6 2 2 2 11" xfId="11456"/>
    <cellStyle name="Normal 2 2 2 2 2 6 2 2 2 2" xfId="11457"/>
    <cellStyle name="Normal 2 2 2 2 2 6 2 2 2 2 2" xfId="11458"/>
    <cellStyle name="Normal 2 2 2 2 2 6 2 2 2 3" xfId="11459"/>
    <cellStyle name="Normal 2 2 2 2 2 6 2 2 2 3 2" xfId="11460"/>
    <cellStyle name="Normal 2 2 2 2 2 6 2 2 2 4" xfId="11461"/>
    <cellStyle name="Normal 2 2 2 2 2 6 2 2 2 4 2" xfId="11462"/>
    <cellStyle name="Normal 2 2 2 2 2 6 2 2 2 5" xfId="11463"/>
    <cellStyle name="Normal 2 2 2 2 2 6 2 2 2 5 2" xfId="11464"/>
    <cellStyle name="Normal 2 2 2 2 2 6 2 2 2 6" xfId="11465"/>
    <cellStyle name="Normal 2 2 2 2 2 6 2 2 2 6 2" xfId="11466"/>
    <cellStyle name="Normal 2 2 2 2 2 6 2 2 2 7" xfId="11467"/>
    <cellStyle name="Normal 2 2 2 2 2 6 2 2 2 7 2" xfId="11468"/>
    <cellStyle name="Normal 2 2 2 2 2 6 2 2 2 8" xfId="11469"/>
    <cellStyle name="Normal 2 2 2 2 2 6 2 2 2 8 2" xfId="11470"/>
    <cellStyle name="Normal 2 2 2 2 2 6 2 2 2 9" xfId="11471"/>
    <cellStyle name="Normal 2 2 2 2 2 6 2 2 2 9 2" xfId="11472"/>
    <cellStyle name="Normal 2 2 2 2 2 6 2 2 3" xfId="11473"/>
    <cellStyle name="Normal 2 2 2 2 2 6 2 2 3 2" xfId="11474"/>
    <cellStyle name="Normal 2 2 2 2 2 6 2 2 4" xfId="11475"/>
    <cellStyle name="Normal 2 2 2 2 2 6 2 2 4 2" xfId="11476"/>
    <cellStyle name="Normal 2 2 2 2 2 6 2 2 5" xfId="11477"/>
    <cellStyle name="Normal 2 2 2 2 2 6 2 2 5 2" xfId="11478"/>
    <cellStyle name="Normal 2 2 2 2 2 6 2 2 6" xfId="11479"/>
    <cellStyle name="Normal 2 2 2 2 2 6 2 2 6 2" xfId="11480"/>
    <cellStyle name="Normal 2 2 2 2 2 6 2 2 7" xfId="11481"/>
    <cellStyle name="Normal 2 2 2 2 2 6 2 2 7 2" xfId="11482"/>
    <cellStyle name="Normal 2 2 2 2 2 6 2 2 8" xfId="11483"/>
    <cellStyle name="Normal 2 2 2 2 2 6 2 2 8 2" xfId="11484"/>
    <cellStyle name="Normal 2 2 2 2 2 6 2 2 9" xfId="11485"/>
    <cellStyle name="Normal 2 2 2 2 2 6 2 2 9 2" xfId="11486"/>
    <cellStyle name="Normal 2 2 2 2 2 6 2 3" xfId="11487"/>
    <cellStyle name="Normal 2 2 2 2 2 6 2 3 10" xfId="11488"/>
    <cellStyle name="Normal 2 2 2 2 2 6 2 3 10 2" xfId="11489"/>
    <cellStyle name="Normal 2 2 2 2 2 6 2 3 11" xfId="11490"/>
    <cellStyle name="Normal 2 2 2 2 2 6 2 3 2" xfId="11491"/>
    <cellStyle name="Normal 2 2 2 2 2 6 2 3 2 2" xfId="11492"/>
    <cellStyle name="Normal 2 2 2 2 2 6 2 3 3" xfId="11493"/>
    <cellStyle name="Normal 2 2 2 2 2 6 2 3 3 2" xfId="11494"/>
    <cellStyle name="Normal 2 2 2 2 2 6 2 3 4" xfId="11495"/>
    <cellStyle name="Normal 2 2 2 2 2 6 2 3 4 2" xfId="11496"/>
    <cellStyle name="Normal 2 2 2 2 2 6 2 3 5" xfId="11497"/>
    <cellStyle name="Normal 2 2 2 2 2 6 2 3 5 2" xfId="11498"/>
    <cellStyle name="Normal 2 2 2 2 2 6 2 3 6" xfId="11499"/>
    <cellStyle name="Normal 2 2 2 2 2 6 2 3 6 2" xfId="11500"/>
    <cellStyle name="Normal 2 2 2 2 2 6 2 3 7" xfId="11501"/>
    <cellStyle name="Normal 2 2 2 2 2 6 2 3 7 2" xfId="11502"/>
    <cellStyle name="Normal 2 2 2 2 2 6 2 3 8" xfId="11503"/>
    <cellStyle name="Normal 2 2 2 2 2 6 2 3 8 2" xfId="11504"/>
    <cellStyle name="Normal 2 2 2 2 2 6 2 3 9" xfId="11505"/>
    <cellStyle name="Normal 2 2 2 2 2 6 2 3 9 2" xfId="11506"/>
    <cellStyle name="Normal 2 2 2 2 2 6 2 4" xfId="11507"/>
    <cellStyle name="Normal 2 2 2 2 2 6 2 4 2" xfId="11508"/>
    <cellStyle name="Normal 2 2 2 2 2 6 2 5" xfId="11509"/>
    <cellStyle name="Normal 2 2 2 2 2 6 2 5 2" xfId="11510"/>
    <cellStyle name="Normal 2 2 2 2 2 6 2 6" xfId="11511"/>
    <cellStyle name="Normal 2 2 2 2 2 6 2 6 2" xfId="11512"/>
    <cellStyle name="Normal 2 2 2 2 2 6 2 7" xfId="11513"/>
    <cellStyle name="Normal 2 2 2 2 2 6 2 7 2" xfId="11514"/>
    <cellStyle name="Normal 2 2 2 2 2 6 2 8" xfId="11515"/>
    <cellStyle name="Normal 2 2 2 2 2 6 2 8 2" xfId="11516"/>
    <cellStyle name="Normal 2 2 2 2 2 6 2 9" xfId="11517"/>
    <cellStyle name="Normal 2 2 2 2 2 6 2 9 2" xfId="11518"/>
    <cellStyle name="Normal 2 2 2 2 2 6 3" xfId="11519"/>
    <cellStyle name="Normal 2 2 2 2 2 6 3 10" xfId="11520"/>
    <cellStyle name="Normal 2 2 2 2 2 6 3 10 2" xfId="11521"/>
    <cellStyle name="Normal 2 2 2 2 2 6 3 11" xfId="11522"/>
    <cellStyle name="Normal 2 2 2 2 2 6 3 11 2" xfId="11523"/>
    <cellStyle name="Normal 2 2 2 2 2 6 3 12" xfId="11524"/>
    <cellStyle name="Normal 2 2 2 2 2 6 3 12 2" xfId="11525"/>
    <cellStyle name="Normal 2 2 2 2 2 6 3 13" xfId="11526"/>
    <cellStyle name="Normal 2 2 2 2 2 6 3 2" xfId="11527"/>
    <cellStyle name="Normal 2 2 2 2 2 6 3 2 10" xfId="11528"/>
    <cellStyle name="Normal 2 2 2 2 2 6 3 2 10 2" xfId="11529"/>
    <cellStyle name="Normal 2 2 2 2 2 6 3 2 11" xfId="11530"/>
    <cellStyle name="Normal 2 2 2 2 2 6 3 2 11 2" xfId="11531"/>
    <cellStyle name="Normal 2 2 2 2 2 6 3 2 12" xfId="11532"/>
    <cellStyle name="Normal 2 2 2 2 2 6 3 2 2" xfId="11533"/>
    <cellStyle name="Normal 2 2 2 2 2 6 3 2 2 10" xfId="11534"/>
    <cellStyle name="Normal 2 2 2 2 2 6 3 2 2 10 2" xfId="11535"/>
    <cellStyle name="Normal 2 2 2 2 2 6 3 2 2 11" xfId="11536"/>
    <cellStyle name="Normal 2 2 2 2 2 6 3 2 2 2" xfId="11537"/>
    <cellStyle name="Normal 2 2 2 2 2 6 3 2 2 2 2" xfId="11538"/>
    <cellStyle name="Normal 2 2 2 2 2 6 3 2 2 3" xfId="11539"/>
    <cellStyle name="Normal 2 2 2 2 2 6 3 2 2 3 2" xfId="11540"/>
    <cellStyle name="Normal 2 2 2 2 2 6 3 2 2 4" xfId="11541"/>
    <cellStyle name="Normal 2 2 2 2 2 6 3 2 2 4 2" xfId="11542"/>
    <cellStyle name="Normal 2 2 2 2 2 6 3 2 2 5" xfId="11543"/>
    <cellStyle name="Normal 2 2 2 2 2 6 3 2 2 5 2" xfId="11544"/>
    <cellStyle name="Normal 2 2 2 2 2 6 3 2 2 6" xfId="11545"/>
    <cellStyle name="Normal 2 2 2 2 2 6 3 2 2 6 2" xfId="11546"/>
    <cellStyle name="Normal 2 2 2 2 2 6 3 2 2 7" xfId="11547"/>
    <cellStyle name="Normal 2 2 2 2 2 6 3 2 2 7 2" xfId="11548"/>
    <cellStyle name="Normal 2 2 2 2 2 6 3 2 2 8" xfId="11549"/>
    <cellStyle name="Normal 2 2 2 2 2 6 3 2 2 8 2" xfId="11550"/>
    <cellStyle name="Normal 2 2 2 2 2 6 3 2 2 9" xfId="11551"/>
    <cellStyle name="Normal 2 2 2 2 2 6 3 2 2 9 2" xfId="11552"/>
    <cellStyle name="Normal 2 2 2 2 2 6 3 2 3" xfId="11553"/>
    <cellStyle name="Normal 2 2 2 2 2 6 3 2 3 2" xfId="11554"/>
    <cellStyle name="Normal 2 2 2 2 2 6 3 2 4" xfId="11555"/>
    <cellStyle name="Normal 2 2 2 2 2 6 3 2 4 2" xfId="11556"/>
    <cellStyle name="Normal 2 2 2 2 2 6 3 2 5" xfId="11557"/>
    <cellStyle name="Normal 2 2 2 2 2 6 3 2 5 2" xfId="11558"/>
    <cellStyle name="Normal 2 2 2 2 2 6 3 2 6" xfId="11559"/>
    <cellStyle name="Normal 2 2 2 2 2 6 3 2 6 2" xfId="11560"/>
    <cellStyle name="Normal 2 2 2 2 2 6 3 2 7" xfId="11561"/>
    <cellStyle name="Normal 2 2 2 2 2 6 3 2 7 2" xfId="11562"/>
    <cellStyle name="Normal 2 2 2 2 2 6 3 2 8" xfId="11563"/>
    <cellStyle name="Normal 2 2 2 2 2 6 3 2 8 2" xfId="11564"/>
    <cellStyle name="Normal 2 2 2 2 2 6 3 2 9" xfId="11565"/>
    <cellStyle name="Normal 2 2 2 2 2 6 3 2 9 2" xfId="11566"/>
    <cellStyle name="Normal 2 2 2 2 2 6 3 3" xfId="11567"/>
    <cellStyle name="Normal 2 2 2 2 2 6 3 3 10" xfId="11568"/>
    <cellStyle name="Normal 2 2 2 2 2 6 3 3 10 2" xfId="11569"/>
    <cellStyle name="Normal 2 2 2 2 2 6 3 3 11" xfId="11570"/>
    <cellStyle name="Normal 2 2 2 2 2 6 3 3 2" xfId="11571"/>
    <cellStyle name="Normal 2 2 2 2 2 6 3 3 2 2" xfId="11572"/>
    <cellStyle name="Normal 2 2 2 2 2 6 3 3 3" xfId="11573"/>
    <cellStyle name="Normal 2 2 2 2 2 6 3 3 3 2" xfId="11574"/>
    <cellStyle name="Normal 2 2 2 2 2 6 3 3 4" xfId="11575"/>
    <cellStyle name="Normal 2 2 2 2 2 6 3 3 4 2" xfId="11576"/>
    <cellStyle name="Normal 2 2 2 2 2 6 3 3 5" xfId="11577"/>
    <cellStyle name="Normal 2 2 2 2 2 6 3 3 5 2" xfId="11578"/>
    <cellStyle name="Normal 2 2 2 2 2 6 3 3 6" xfId="11579"/>
    <cellStyle name="Normal 2 2 2 2 2 6 3 3 6 2" xfId="11580"/>
    <cellStyle name="Normal 2 2 2 2 2 6 3 3 7" xfId="11581"/>
    <cellStyle name="Normal 2 2 2 2 2 6 3 3 7 2" xfId="11582"/>
    <cellStyle name="Normal 2 2 2 2 2 6 3 3 8" xfId="11583"/>
    <cellStyle name="Normal 2 2 2 2 2 6 3 3 8 2" xfId="11584"/>
    <cellStyle name="Normal 2 2 2 2 2 6 3 3 9" xfId="11585"/>
    <cellStyle name="Normal 2 2 2 2 2 6 3 3 9 2" xfId="11586"/>
    <cellStyle name="Normal 2 2 2 2 2 6 3 4" xfId="11587"/>
    <cellStyle name="Normal 2 2 2 2 2 6 3 4 2" xfId="11588"/>
    <cellStyle name="Normal 2 2 2 2 2 6 3 5" xfId="11589"/>
    <cellStyle name="Normal 2 2 2 2 2 6 3 5 2" xfId="11590"/>
    <cellStyle name="Normal 2 2 2 2 2 6 3 6" xfId="11591"/>
    <cellStyle name="Normal 2 2 2 2 2 6 3 6 2" xfId="11592"/>
    <cellStyle name="Normal 2 2 2 2 2 6 3 7" xfId="11593"/>
    <cellStyle name="Normal 2 2 2 2 2 6 3 7 2" xfId="11594"/>
    <cellStyle name="Normal 2 2 2 2 2 6 3 8" xfId="11595"/>
    <cellStyle name="Normal 2 2 2 2 2 6 3 8 2" xfId="11596"/>
    <cellStyle name="Normal 2 2 2 2 2 6 3 9" xfId="11597"/>
    <cellStyle name="Normal 2 2 2 2 2 6 3 9 2" xfId="11598"/>
    <cellStyle name="Normal 2 2 2 2 2 6 4" xfId="11599"/>
    <cellStyle name="Normal 2 2 2 2 2 6 4 10" xfId="11600"/>
    <cellStyle name="Normal 2 2 2 2 2 6 4 10 2" xfId="11601"/>
    <cellStyle name="Normal 2 2 2 2 2 6 4 11" xfId="11602"/>
    <cellStyle name="Normal 2 2 2 2 2 6 4 11 2" xfId="11603"/>
    <cellStyle name="Normal 2 2 2 2 2 6 4 12" xfId="11604"/>
    <cellStyle name="Normal 2 2 2 2 2 6 4 12 2" xfId="11605"/>
    <cellStyle name="Normal 2 2 2 2 2 6 4 13" xfId="11606"/>
    <cellStyle name="Normal 2 2 2 2 2 6 4 2" xfId="11607"/>
    <cellStyle name="Normal 2 2 2 2 2 6 4 2 10" xfId="11608"/>
    <cellStyle name="Normal 2 2 2 2 2 6 4 2 10 2" xfId="11609"/>
    <cellStyle name="Normal 2 2 2 2 2 6 4 2 11" xfId="11610"/>
    <cellStyle name="Normal 2 2 2 2 2 6 4 2 11 2" xfId="11611"/>
    <cellStyle name="Normal 2 2 2 2 2 6 4 2 12" xfId="11612"/>
    <cellStyle name="Normal 2 2 2 2 2 6 4 2 2" xfId="11613"/>
    <cellStyle name="Normal 2 2 2 2 2 6 4 2 2 10" xfId="11614"/>
    <cellStyle name="Normal 2 2 2 2 2 6 4 2 2 10 2" xfId="11615"/>
    <cellStyle name="Normal 2 2 2 2 2 6 4 2 2 11" xfId="11616"/>
    <cellStyle name="Normal 2 2 2 2 2 6 4 2 2 2" xfId="11617"/>
    <cellStyle name="Normal 2 2 2 2 2 6 4 2 2 2 2" xfId="11618"/>
    <cellStyle name="Normal 2 2 2 2 2 6 4 2 2 3" xfId="11619"/>
    <cellStyle name="Normal 2 2 2 2 2 6 4 2 2 3 2" xfId="11620"/>
    <cellStyle name="Normal 2 2 2 2 2 6 4 2 2 4" xfId="11621"/>
    <cellStyle name="Normal 2 2 2 2 2 6 4 2 2 4 2" xfId="11622"/>
    <cellStyle name="Normal 2 2 2 2 2 6 4 2 2 5" xfId="11623"/>
    <cellStyle name="Normal 2 2 2 2 2 6 4 2 2 5 2" xfId="11624"/>
    <cellStyle name="Normal 2 2 2 2 2 6 4 2 2 6" xfId="11625"/>
    <cellStyle name="Normal 2 2 2 2 2 6 4 2 2 6 2" xfId="11626"/>
    <cellStyle name="Normal 2 2 2 2 2 6 4 2 2 7" xfId="11627"/>
    <cellStyle name="Normal 2 2 2 2 2 6 4 2 2 7 2" xfId="11628"/>
    <cellStyle name="Normal 2 2 2 2 2 6 4 2 2 8" xfId="11629"/>
    <cellStyle name="Normal 2 2 2 2 2 6 4 2 2 8 2" xfId="11630"/>
    <cellStyle name="Normal 2 2 2 2 2 6 4 2 2 9" xfId="11631"/>
    <cellStyle name="Normal 2 2 2 2 2 6 4 2 2 9 2" xfId="11632"/>
    <cellStyle name="Normal 2 2 2 2 2 6 4 2 3" xfId="11633"/>
    <cellStyle name="Normal 2 2 2 2 2 6 4 2 3 2" xfId="11634"/>
    <cellStyle name="Normal 2 2 2 2 2 6 4 2 4" xfId="11635"/>
    <cellStyle name="Normal 2 2 2 2 2 6 4 2 4 2" xfId="11636"/>
    <cellStyle name="Normal 2 2 2 2 2 6 4 2 5" xfId="11637"/>
    <cellStyle name="Normal 2 2 2 2 2 6 4 2 5 2" xfId="11638"/>
    <cellStyle name="Normal 2 2 2 2 2 6 4 2 6" xfId="11639"/>
    <cellStyle name="Normal 2 2 2 2 2 6 4 2 6 2" xfId="11640"/>
    <cellStyle name="Normal 2 2 2 2 2 6 4 2 7" xfId="11641"/>
    <cellStyle name="Normal 2 2 2 2 2 6 4 2 7 2" xfId="11642"/>
    <cellStyle name="Normal 2 2 2 2 2 6 4 2 8" xfId="11643"/>
    <cellStyle name="Normal 2 2 2 2 2 6 4 2 8 2" xfId="11644"/>
    <cellStyle name="Normal 2 2 2 2 2 6 4 2 9" xfId="11645"/>
    <cellStyle name="Normal 2 2 2 2 2 6 4 2 9 2" xfId="11646"/>
    <cellStyle name="Normal 2 2 2 2 2 6 4 3" xfId="11647"/>
    <cellStyle name="Normal 2 2 2 2 2 6 4 3 10" xfId="11648"/>
    <cellStyle name="Normal 2 2 2 2 2 6 4 3 10 2" xfId="11649"/>
    <cellStyle name="Normal 2 2 2 2 2 6 4 3 11" xfId="11650"/>
    <cellStyle name="Normal 2 2 2 2 2 6 4 3 2" xfId="11651"/>
    <cellStyle name="Normal 2 2 2 2 2 6 4 3 2 2" xfId="11652"/>
    <cellStyle name="Normal 2 2 2 2 2 6 4 3 3" xfId="11653"/>
    <cellStyle name="Normal 2 2 2 2 2 6 4 3 3 2" xfId="11654"/>
    <cellStyle name="Normal 2 2 2 2 2 6 4 3 4" xfId="11655"/>
    <cellStyle name="Normal 2 2 2 2 2 6 4 3 4 2" xfId="11656"/>
    <cellStyle name="Normal 2 2 2 2 2 6 4 3 5" xfId="11657"/>
    <cellStyle name="Normal 2 2 2 2 2 6 4 3 5 2" xfId="11658"/>
    <cellStyle name="Normal 2 2 2 2 2 6 4 3 6" xfId="11659"/>
    <cellStyle name="Normal 2 2 2 2 2 6 4 3 6 2" xfId="11660"/>
    <cellStyle name="Normal 2 2 2 2 2 6 4 3 7" xfId="11661"/>
    <cellStyle name="Normal 2 2 2 2 2 6 4 3 7 2" xfId="11662"/>
    <cellStyle name="Normal 2 2 2 2 2 6 4 3 8" xfId="11663"/>
    <cellStyle name="Normal 2 2 2 2 2 6 4 3 8 2" xfId="11664"/>
    <cellStyle name="Normal 2 2 2 2 2 6 4 3 9" xfId="11665"/>
    <cellStyle name="Normal 2 2 2 2 2 6 4 3 9 2" xfId="11666"/>
    <cellStyle name="Normal 2 2 2 2 2 6 4 4" xfId="11667"/>
    <cellStyle name="Normal 2 2 2 2 2 6 4 4 2" xfId="11668"/>
    <cellStyle name="Normal 2 2 2 2 2 6 4 5" xfId="11669"/>
    <cellStyle name="Normal 2 2 2 2 2 6 4 5 2" xfId="11670"/>
    <cellStyle name="Normal 2 2 2 2 2 6 4 6" xfId="11671"/>
    <cellStyle name="Normal 2 2 2 2 2 6 4 6 2" xfId="11672"/>
    <cellStyle name="Normal 2 2 2 2 2 6 4 7" xfId="11673"/>
    <cellStyle name="Normal 2 2 2 2 2 6 4 7 2" xfId="11674"/>
    <cellStyle name="Normal 2 2 2 2 2 6 4 8" xfId="11675"/>
    <cellStyle name="Normal 2 2 2 2 2 6 4 8 2" xfId="11676"/>
    <cellStyle name="Normal 2 2 2 2 2 6 4 9" xfId="11677"/>
    <cellStyle name="Normal 2 2 2 2 2 6 4 9 2" xfId="11678"/>
    <cellStyle name="Normal 2 2 2 2 2 6 5" xfId="11679"/>
    <cellStyle name="Normal 2 2 2 2 2 6 5 10" xfId="11680"/>
    <cellStyle name="Normal 2 2 2 2 2 6 5 10 2" xfId="11681"/>
    <cellStyle name="Normal 2 2 2 2 2 6 5 11" xfId="11682"/>
    <cellStyle name="Normal 2 2 2 2 2 6 5 11 2" xfId="11683"/>
    <cellStyle name="Normal 2 2 2 2 2 6 5 12" xfId="11684"/>
    <cellStyle name="Normal 2 2 2 2 2 6 5 12 2" xfId="11685"/>
    <cellStyle name="Normal 2 2 2 2 2 6 5 13" xfId="11686"/>
    <cellStyle name="Normal 2 2 2 2 2 6 5 2" xfId="11687"/>
    <cellStyle name="Normal 2 2 2 2 2 6 5 2 10" xfId="11688"/>
    <cellStyle name="Normal 2 2 2 2 2 6 5 2 10 2" xfId="11689"/>
    <cellStyle name="Normal 2 2 2 2 2 6 5 2 11" xfId="11690"/>
    <cellStyle name="Normal 2 2 2 2 2 6 5 2 11 2" xfId="11691"/>
    <cellStyle name="Normal 2 2 2 2 2 6 5 2 12" xfId="11692"/>
    <cellStyle name="Normal 2 2 2 2 2 6 5 2 2" xfId="11693"/>
    <cellStyle name="Normal 2 2 2 2 2 6 5 2 2 10" xfId="11694"/>
    <cellStyle name="Normal 2 2 2 2 2 6 5 2 2 10 2" xfId="11695"/>
    <cellStyle name="Normal 2 2 2 2 2 6 5 2 2 11" xfId="11696"/>
    <cellStyle name="Normal 2 2 2 2 2 6 5 2 2 2" xfId="11697"/>
    <cellStyle name="Normal 2 2 2 2 2 6 5 2 2 2 2" xfId="11698"/>
    <cellStyle name="Normal 2 2 2 2 2 6 5 2 2 3" xfId="11699"/>
    <cellStyle name="Normal 2 2 2 2 2 6 5 2 2 3 2" xfId="11700"/>
    <cellStyle name="Normal 2 2 2 2 2 6 5 2 2 4" xfId="11701"/>
    <cellStyle name="Normal 2 2 2 2 2 6 5 2 2 4 2" xfId="11702"/>
    <cellStyle name="Normal 2 2 2 2 2 6 5 2 2 5" xfId="11703"/>
    <cellStyle name="Normal 2 2 2 2 2 6 5 2 2 5 2" xfId="11704"/>
    <cellStyle name="Normal 2 2 2 2 2 6 5 2 2 6" xfId="11705"/>
    <cellStyle name="Normal 2 2 2 2 2 6 5 2 2 6 2" xfId="11706"/>
    <cellStyle name="Normal 2 2 2 2 2 6 5 2 2 7" xfId="11707"/>
    <cellStyle name="Normal 2 2 2 2 2 6 5 2 2 7 2" xfId="11708"/>
    <cellStyle name="Normal 2 2 2 2 2 6 5 2 2 8" xfId="11709"/>
    <cellStyle name="Normal 2 2 2 2 2 6 5 2 2 8 2" xfId="11710"/>
    <cellStyle name="Normal 2 2 2 2 2 6 5 2 2 9" xfId="11711"/>
    <cellStyle name="Normal 2 2 2 2 2 6 5 2 2 9 2" xfId="11712"/>
    <cellStyle name="Normal 2 2 2 2 2 6 5 2 3" xfId="11713"/>
    <cellStyle name="Normal 2 2 2 2 2 6 5 2 3 2" xfId="11714"/>
    <cellStyle name="Normal 2 2 2 2 2 6 5 2 4" xfId="11715"/>
    <cellStyle name="Normal 2 2 2 2 2 6 5 2 4 2" xfId="11716"/>
    <cellStyle name="Normal 2 2 2 2 2 6 5 2 5" xfId="11717"/>
    <cellStyle name="Normal 2 2 2 2 2 6 5 2 5 2" xfId="11718"/>
    <cellStyle name="Normal 2 2 2 2 2 6 5 2 6" xfId="11719"/>
    <cellStyle name="Normal 2 2 2 2 2 6 5 2 6 2" xfId="11720"/>
    <cellStyle name="Normal 2 2 2 2 2 6 5 2 7" xfId="11721"/>
    <cellStyle name="Normal 2 2 2 2 2 6 5 2 7 2" xfId="11722"/>
    <cellStyle name="Normal 2 2 2 2 2 6 5 2 8" xfId="11723"/>
    <cellStyle name="Normal 2 2 2 2 2 6 5 2 8 2" xfId="11724"/>
    <cellStyle name="Normal 2 2 2 2 2 6 5 2 9" xfId="11725"/>
    <cellStyle name="Normal 2 2 2 2 2 6 5 2 9 2" xfId="11726"/>
    <cellStyle name="Normal 2 2 2 2 2 6 5 3" xfId="11727"/>
    <cellStyle name="Normal 2 2 2 2 2 6 5 3 10" xfId="11728"/>
    <cellStyle name="Normal 2 2 2 2 2 6 5 3 10 2" xfId="11729"/>
    <cellStyle name="Normal 2 2 2 2 2 6 5 3 11" xfId="11730"/>
    <cellStyle name="Normal 2 2 2 2 2 6 5 3 2" xfId="11731"/>
    <cellStyle name="Normal 2 2 2 2 2 6 5 3 2 2" xfId="11732"/>
    <cellStyle name="Normal 2 2 2 2 2 6 5 3 3" xfId="11733"/>
    <cellStyle name="Normal 2 2 2 2 2 6 5 3 3 2" xfId="11734"/>
    <cellStyle name="Normal 2 2 2 2 2 6 5 3 4" xfId="11735"/>
    <cellStyle name="Normal 2 2 2 2 2 6 5 3 4 2" xfId="11736"/>
    <cellStyle name="Normal 2 2 2 2 2 6 5 3 5" xfId="11737"/>
    <cellStyle name="Normal 2 2 2 2 2 6 5 3 5 2" xfId="11738"/>
    <cellStyle name="Normal 2 2 2 2 2 6 5 3 6" xfId="11739"/>
    <cellStyle name="Normal 2 2 2 2 2 6 5 3 6 2" xfId="11740"/>
    <cellStyle name="Normal 2 2 2 2 2 6 5 3 7" xfId="11741"/>
    <cellStyle name="Normal 2 2 2 2 2 6 5 3 7 2" xfId="11742"/>
    <cellStyle name="Normal 2 2 2 2 2 6 5 3 8" xfId="11743"/>
    <cellStyle name="Normal 2 2 2 2 2 6 5 3 8 2" xfId="11744"/>
    <cellStyle name="Normal 2 2 2 2 2 6 5 3 9" xfId="11745"/>
    <cellStyle name="Normal 2 2 2 2 2 6 5 3 9 2" xfId="11746"/>
    <cellStyle name="Normal 2 2 2 2 2 6 5 4" xfId="11747"/>
    <cellStyle name="Normal 2 2 2 2 2 6 5 4 2" xfId="11748"/>
    <cellStyle name="Normal 2 2 2 2 2 6 5 5" xfId="11749"/>
    <cellStyle name="Normal 2 2 2 2 2 6 5 5 2" xfId="11750"/>
    <cellStyle name="Normal 2 2 2 2 2 6 5 6" xfId="11751"/>
    <cellStyle name="Normal 2 2 2 2 2 6 5 6 2" xfId="11752"/>
    <cellStyle name="Normal 2 2 2 2 2 6 5 7" xfId="11753"/>
    <cellStyle name="Normal 2 2 2 2 2 6 5 7 2" xfId="11754"/>
    <cellStyle name="Normal 2 2 2 2 2 6 5 8" xfId="11755"/>
    <cellStyle name="Normal 2 2 2 2 2 6 5 8 2" xfId="11756"/>
    <cellStyle name="Normal 2 2 2 2 2 6 5 9" xfId="11757"/>
    <cellStyle name="Normal 2 2 2 2 2 6 5 9 2" xfId="11758"/>
    <cellStyle name="Normal 2 2 2 2 2 6 6" xfId="41857"/>
    <cellStyle name="Normal 2 2 2 2 2 7" xfId="11759"/>
    <cellStyle name="Normal 2 2 2 2 2 7 2" xfId="41858"/>
    <cellStyle name="Normal 2 2 2 2 2 8" xfId="11760"/>
    <cellStyle name="Normal 2 2 2 2 2 8 2" xfId="41859"/>
    <cellStyle name="Normal 2 2 2 2 2 9" xfId="11761"/>
    <cellStyle name="Normal 2 2 2 2 2 9 2" xfId="41860"/>
    <cellStyle name="Normal 2 2 2 2 3" xfId="11762"/>
    <cellStyle name="Normal 2 2 2 2 3 2" xfId="41861"/>
    <cellStyle name="Normal 2 2 2 2 4" xfId="11763"/>
    <cellStyle name="Normal 2 2 2 2 4 2" xfId="41862"/>
    <cellStyle name="Normal 2 2 2 2 5" xfId="11764"/>
    <cellStyle name="Normal 2 2 2 2 5 2" xfId="41863"/>
    <cellStyle name="Normal 2 2 2 2 6" xfId="11765"/>
    <cellStyle name="Normal 2 2 2 2 6 2" xfId="41864"/>
    <cellStyle name="Normal 2 2 2 2 7" xfId="11766"/>
    <cellStyle name="Normal 2 2 2 2 7 2" xfId="41865"/>
    <cellStyle name="Normal 2 2 2 2 8" xfId="11767"/>
    <cellStyle name="Normal 2 2 2 2 8 2" xfId="41866"/>
    <cellStyle name="Normal 2 2 2 2 9" xfId="11768"/>
    <cellStyle name="Normal 2 2 2 2 9 10" xfId="11769"/>
    <cellStyle name="Normal 2 2 2 2 9 10 2" xfId="11770"/>
    <cellStyle name="Normal 2 2 2 2 9 11" xfId="11771"/>
    <cellStyle name="Normal 2 2 2 2 9 11 2" xfId="11772"/>
    <cellStyle name="Normal 2 2 2 2 9 12" xfId="11773"/>
    <cellStyle name="Normal 2 2 2 2 9 12 2" xfId="11774"/>
    <cellStyle name="Normal 2 2 2 2 9 13" xfId="11775"/>
    <cellStyle name="Normal 2 2 2 2 9 13 2" xfId="11776"/>
    <cellStyle name="Normal 2 2 2 2 9 14" xfId="11777"/>
    <cellStyle name="Normal 2 2 2 2 9 14 2" xfId="11778"/>
    <cellStyle name="Normal 2 2 2 2 9 15" xfId="11779"/>
    <cellStyle name="Normal 2 2 2 2 9 15 2" xfId="11780"/>
    <cellStyle name="Normal 2 2 2 2 9 16" xfId="11781"/>
    <cellStyle name="Normal 2 2 2 2 9 16 2" xfId="11782"/>
    <cellStyle name="Normal 2 2 2 2 9 17" xfId="11783"/>
    <cellStyle name="Normal 2 2 2 2 9 17 2" xfId="11784"/>
    <cellStyle name="Normal 2 2 2 2 9 18" xfId="11785"/>
    <cellStyle name="Normal 2 2 2 2 9 2" xfId="11786"/>
    <cellStyle name="Normal 2 2 2 2 9 2 2" xfId="11787"/>
    <cellStyle name="Normal 2 2 2 2 9 2 2 10" xfId="11788"/>
    <cellStyle name="Normal 2 2 2 2 9 2 2 10 2" xfId="11789"/>
    <cellStyle name="Normal 2 2 2 2 9 2 2 11" xfId="11790"/>
    <cellStyle name="Normal 2 2 2 2 9 2 2 11 2" xfId="11791"/>
    <cellStyle name="Normal 2 2 2 2 9 2 2 12" xfId="11792"/>
    <cellStyle name="Normal 2 2 2 2 9 2 2 12 2" xfId="11793"/>
    <cellStyle name="Normal 2 2 2 2 9 2 2 13" xfId="11794"/>
    <cellStyle name="Normal 2 2 2 2 9 2 2 13 2" xfId="11795"/>
    <cellStyle name="Normal 2 2 2 2 9 2 2 14" xfId="11796"/>
    <cellStyle name="Normal 2 2 2 2 9 2 2 14 2" xfId="11797"/>
    <cellStyle name="Normal 2 2 2 2 9 2 2 15" xfId="11798"/>
    <cellStyle name="Normal 2 2 2 2 9 2 2 15 2" xfId="11799"/>
    <cellStyle name="Normal 2 2 2 2 9 2 2 16" xfId="11800"/>
    <cellStyle name="Normal 2 2 2 2 9 2 2 16 2" xfId="11801"/>
    <cellStyle name="Normal 2 2 2 2 9 2 2 17" xfId="11802"/>
    <cellStyle name="Normal 2 2 2 2 9 2 2 2" xfId="11803"/>
    <cellStyle name="Normal 2 2 2 2 9 2 2 2 2" xfId="41867"/>
    <cellStyle name="Normal 2 2 2 2 9 2 2 3" xfId="11804"/>
    <cellStyle name="Normal 2 2 2 2 9 2 2 3 2" xfId="41868"/>
    <cellStyle name="Normal 2 2 2 2 9 2 2 4" xfId="11805"/>
    <cellStyle name="Normal 2 2 2 2 9 2 2 4 2" xfId="41869"/>
    <cellStyle name="Normal 2 2 2 2 9 2 2 5" xfId="11806"/>
    <cellStyle name="Normal 2 2 2 2 9 2 2 5 2" xfId="41870"/>
    <cellStyle name="Normal 2 2 2 2 9 2 2 6" xfId="11807"/>
    <cellStyle name="Normal 2 2 2 2 9 2 2 6 10" xfId="11808"/>
    <cellStyle name="Normal 2 2 2 2 9 2 2 6 10 2" xfId="11809"/>
    <cellStyle name="Normal 2 2 2 2 9 2 2 6 11" xfId="11810"/>
    <cellStyle name="Normal 2 2 2 2 9 2 2 6 11 2" xfId="11811"/>
    <cellStyle name="Normal 2 2 2 2 9 2 2 6 12" xfId="11812"/>
    <cellStyle name="Normal 2 2 2 2 9 2 2 6 2" xfId="11813"/>
    <cellStyle name="Normal 2 2 2 2 9 2 2 6 2 10" xfId="11814"/>
    <cellStyle name="Normal 2 2 2 2 9 2 2 6 2 10 2" xfId="11815"/>
    <cellStyle name="Normal 2 2 2 2 9 2 2 6 2 11" xfId="11816"/>
    <cellStyle name="Normal 2 2 2 2 9 2 2 6 2 2" xfId="11817"/>
    <cellStyle name="Normal 2 2 2 2 9 2 2 6 2 2 2" xfId="11818"/>
    <cellStyle name="Normal 2 2 2 2 9 2 2 6 2 3" xfId="11819"/>
    <cellStyle name="Normal 2 2 2 2 9 2 2 6 2 3 2" xfId="11820"/>
    <cellStyle name="Normal 2 2 2 2 9 2 2 6 2 4" xfId="11821"/>
    <cellStyle name="Normal 2 2 2 2 9 2 2 6 2 4 2" xfId="11822"/>
    <cellStyle name="Normal 2 2 2 2 9 2 2 6 2 5" xfId="11823"/>
    <cellStyle name="Normal 2 2 2 2 9 2 2 6 2 5 2" xfId="11824"/>
    <cellStyle name="Normal 2 2 2 2 9 2 2 6 2 6" xfId="11825"/>
    <cellStyle name="Normal 2 2 2 2 9 2 2 6 2 6 2" xfId="11826"/>
    <cellStyle name="Normal 2 2 2 2 9 2 2 6 2 7" xfId="11827"/>
    <cellStyle name="Normal 2 2 2 2 9 2 2 6 2 7 2" xfId="11828"/>
    <cellStyle name="Normal 2 2 2 2 9 2 2 6 2 8" xfId="11829"/>
    <cellStyle name="Normal 2 2 2 2 9 2 2 6 2 8 2" xfId="11830"/>
    <cellStyle name="Normal 2 2 2 2 9 2 2 6 2 9" xfId="11831"/>
    <cellStyle name="Normal 2 2 2 2 9 2 2 6 2 9 2" xfId="11832"/>
    <cellStyle name="Normal 2 2 2 2 9 2 2 6 3" xfId="11833"/>
    <cellStyle name="Normal 2 2 2 2 9 2 2 6 3 2" xfId="11834"/>
    <cellStyle name="Normal 2 2 2 2 9 2 2 6 4" xfId="11835"/>
    <cellStyle name="Normal 2 2 2 2 9 2 2 6 4 2" xfId="11836"/>
    <cellStyle name="Normal 2 2 2 2 9 2 2 6 5" xfId="11837"/>
    <cellStyle name="Normal 2 2 2 2 9 2 2 6 5 2" xfId="11838"/>
    <cellStyle name="Normal 2 2 2 2 9 2 2 6 6" xfId="11839"/>
    <cellStyle name="Normal 2 2 2 2 9 2 2 6 6 2" xfId="11840"/>
    <cellStyle name="Normal 2 2 2 2 9 2 2 6 7" xfId="11841"/>
    <cellStyle name="Normal 2 2 2 2 9 2 2 6 7 2" xfId="11842"/>
    <cellStyle name="Normal 2 2 2 2 9 2 2 6 8" xfId="11843"/>
    <cellStyle name="Normal 2 2 2 2 9 2 2 6 8 2" xfId="11844"/>
    <cellStyle name="Normal 2 2 2 2 9 2 2 6 9" xfId="11845"/>
    <cellStyle name="Normal 2 2 2 2 9 2 2 6 9 2" xfId="11846"/>
    <cellStyle name="Normal 2 2 2 2 9 2 2 7" xfId="11847"/>
    <cellStyle name="Normal 2 2 2 2 9 2 2 7 10" xfId="11848"/>
    <cellStyle name="Normal 2 2 2 2 9 2 2 7 10 2" xfId="11849"/>
    <cellStyle name="Normal 2 2 2 2 9 2 2 7 11" xfId="11850"/>
    <cellStyle name="Normal 2 2 2 2 9 2 2 7 2" xfId="11851"/>
    <cellStyle name="Normal 2 2 2 2 9 2 2 7 2 2" xfId="11852"/>
    <cellStyle name="Normal 2 2 2 2 9 2 2 7 3" xfId="11853"/>
    <cellStyle name="Normal 2 2 2 2 9 2 2 7 3 2" xfId="11854"/>
    <cellStyle name="Normal 2 2 2 2 9 2 2 7 4" xfId="11855"/>
    <cellStyle name="Normal 2 2 2 2 9 2 2 7 4 2" xfId="11856"/>
    <cellStyle name="Normal 2 2 2 2 9 2 2 7 5" xfId="11857"/>
    <cellStyle name="Normal 2 2 2 2 9 2 2 7 5 2" xfId="11858"/>
    <cellStyle name="Normal 2 2 2 2 9 2 2 7 6" xfId="11859"/>
    <cellStyle name="Normal 2 2 2 2 9 2 2 7 6 2" xfId="11860"/>
    <cellStyle name="Normal 2 2 2 2 9 2 2 7 7" xfId="11861"/>
    <cellStyle name="Normal 2 2 2 2 9 2 2 7 7 2" xfId="11862"/>
    <cellStyle name="Normal 2 2 2 2 9 2 2 7 8" xfId="11863"/>
    <cellStyle name="Normal 2 2 2 2 9 2 2 7 8 2" xfId="11864"/>
    <cellStyle name="Normal 2 2 2 2 9 2 2 7 9" xfId="11865"/>
    <cellStyle name="Normal 2 2 2 2 9 2 2 7 9 2" xfId="11866"/>
    <cellStyle name="Normal 2 2 2 2 9 2 2 8" xfId="11867"/>
    <cellStyle name="Normal 2 2 2 2 9 2 2 8 2" xfId="11868"/>
    <cellStyle name="Normal 2 2 2 2 9 2 2 9" xfId="11869"/>
    <cellStyle name="Normal 2 2 2 2 9 2 2 9 2" xfId="11870"/>
    <cellStyle name="Normal 2 2 2 2 9 2 3" xfId="11871"/>
    <cellStyle name="Normal 2 2 2 2 9 2 3 10" xfId="11872"/>
    <cellStyle name="Normal 2 2 2 2 9 2 3 10 2" xfId="11873"/>
    <cellStyle name="Normal 2 2 2 2 9 2 3 11" xfId="11874"/>
    <cellStyle name="Normal 2 2 2 2 9 2 3 11 2" xfId="11875"/>
    <cellStyle name="Normal 2 2 2 2 9 2 3 12" xfId="11876"/>
    <cellStyle name="Normal 2 2 2 2 9 2 3 12 2" xfId="11877"/>
    <cellStyle name="Normal 2 2 2 2 9 2 3 13" xfId="11878"/>
    <cellStyle name="Normal 2 2 2 2 9 2 3 2" xfId="11879"/>
    <cellStyle name="Normal 2 2 2 2 9 2 3 2 10" xfId="11880"/>
    <cellStyle name="Normal 2 2 2 2 9 2 3 2 10 2" xfId="11881"/>
    <cellStyle name="Normal 2 2 2 2 9 2 3 2 11" xfId="11882"/>
    <cellStyle name="Normal 2 2 2 2 9 2 3 2 11 2" xfId="11883"/>
    <cellStyle name="Normal 2 2 2 2 9 2 3 2 12" xfId="11884"/>
    <cellStyle name="Normal 2 2 2 2 9 2 3 2 2" xfId="11885"/>
    <cellStyle name="Normal 2 2 2 2 9 2 3 2 2 10" xfId="11886"/>
    <cellStyle name="Normal 2 2 2 2 9 2 3 2 2 10 2" xfId="11887"/>
    <cellStyle name="Normal 2 2 2 2 9 2 3 2 2 11" xfId="11888"/>
    <cellStyle name="Normal 2 2 2 2 9 2 3 2 2 2" xfId="11889"/>
    <cellStyle name="Normal 2 2 2 2 9 2 3 2 2 2 2" xfId="11890"/>
    <cellStyle name="Normal 2 2 2 2 9 2 3 2 2 3" xfId="11891"/>
    <cellStyle name="Normal 2 2 2 2 9 2 3 2 2 3 2" xfId="11892"/>
    <cellStyle name="Normal 2 2 2 2 9 2 3 2 2 4" xfId="11893"/>
    <cellStyle name="Normal 2 2 2 2 9 2 3 2 2 4 2" xfId="11894"/>
    <cellStyle name="Normal 2 2 2 2 9 2 3 2 2 5" xfId="11895"/>
    <cellStyle name="Normal 2 2 2 2 9 2 3 2 2 5 2" xfId="11896"/>
    <cellStyle name="Normal 2 2 2 2 9 2 3 2 2 6" xfId="11897"/>
    <cellStyle name="Normal 2 2 2 2 9 2 3 2 2 6 2" xfId="11898"/>
    <cellStyle name="Normal 2 2 2 2 9 2 3 2 2 7" xfId="11899"/>
    <cellStyle name="Normal 2 2 2 2 9 2 3 2 2 7 2" xfId="11900"/>
    <cellStyle name="Normal 2 2 2 2 9 2 3 2 2 8" xfId="11901"/>
    <cellStyle name="Normal 2 2 2 2 9 2 3 2 2 8 2" xfId="11902"/>
    <cellStyle name="Normal 2 2 2 2 9 2 3 2 2 9" xfId="11903"/>
    <cellStyle name="Normal 2 2 2 2 9 2 3 2 2 9 2" xfId="11904"/>
    <cellStyle name="Normal 2 2 2 2 9 2 3 2 3" xfId="11905"/>
    <cellStyle name="Normal 2 2 2 2 9 2 3 2 3 2" xfId="11906"/>
    <cellStyle name="Normal 2 2 2 2 9 2 3 2 4" xfId="11907"/>
    <cellStyle name="Normal 2 2 2 2 9 2 3 2 4 2" xfId="11908"/>
    <cellStyle name="Normal 2 2 2 2 9 2 3 2 5" xfId="11909"/>
    <cellStyle name="Normal 2 2 2 2 9 2 3 2 5 2" xfId="11910"/>
    <cellStyle name="Normal 2 2 2 2 9 2 3 2 6" xfId="11911"/>
    <cellStyle name="Normal 2 2 2 2 9 2 3 2 6 2" xfId="11912"/>
    <cellStyle name="Normal 2 2 2 2 9 2 3 2 7" xfId="11913"/>
    <cellStyle name="Normal 2 2 2 2 9 2 3 2 7 2" xfId="11914"/>
    <cellStyle name="Normal 2 2 2 2 9 2 3 2 8" xfId="11915"/>
    <cellStyle name="Normal 2 2 2 2 9 2 3 2 8 2" xfId="11916"/>
    <cellStyle name="Normal 2 2 2 2 9 2 3 2 9" xfId="11917"/>
    <cellStyle name="Normal 2 2 2 2 9 2 3 2 9 2" xfId="11918"/>
    <cellStyle name="Normal 2 2 2 2 9 2 3 3" xfId="11919"/>
    <cellStyle name="Normal 2 2 2 2 9 2 3 3 10" xfId="11920"/>
    <cellStyle name="Normal 2 2 2 2 9 2 3 3 10 2" xfId="11921"/>
    <cellStyle name="Normal 2 2 2 2 9 2 3 3 11" xfId="11922"/>
    <cellStyle name="Normal 2 2 2 2 9 2 3 3 2" xfId="11923"/>
    <cellStyle name="Normal 2 2 2 2 9 2 3 3 2 2" xfId="11924"/>
    <cellStyle name="Normal 2 2 2 2 9 2 3 3 3" xfId="11925"/>
    <cellStyle name="Normal 2 2 2 2 9 2 3 3 3 2" xfId="11926"/>
    <cellStyle name="Normal 2 2 2 2 9 2 3 3 4" xfId="11927"/>
    <cellStyle name="Normal 2 2 2 2 9 2 3 3 4 2" xfId="11928"/>
    <cellStyle name="Normal 2 2 2 2 9 2 3 3 5" xfId="11929"/>
    <cellStyle name="Normal 2 2 2 2 9 2 3 3 5 2" xfId="11930"/>
    <cellStyle name="Normal 2 2 2 2 9 2 3 3 6" xfId="11931"/>
    <cellStyle name="Normal 2 2 2 2 9 2 3 3 6 2" xfId="11932"/>
    <cellStyle name="Normal 2 2 2 2 9 2 3 3 7" xfId="11933"/>
    <cellStyle name="Normal 2 2 2 2 9 2 3 3 7 2" xfId="11934"/>
    <cellStyle name="Normal 2 2 2 2 9 2 3 3 8" xfId="11935"/>
    <cellStyle name="Normal 2 2 2 2 9 2 3 3 8 2" xfId="11936"/>
    <cellStyle name="Normal 2 2 2 2 9 2 3 3 9" xfId="11937"/>
    <cellStyle name="Normal 2 2 2 2 9 2 3 3 9 2" xfId="11938"/>
    <cellStyle name="Normal 2 2 2 2 9 2 3 4" xfId="11939"/>
    <cellStyle name="Normal 2 2 2 2 9 2 3 4 2" xfId="11940"/>
    <cellStyle name="Normal 2 2 2 2 9 2 3 5" xfId="11941"/>
    <cellStyle name="Normal 2 2 2 2 9 2 3 5 2" xfId="11942"/>
    <cellStyle name="Normal 2 2 2 2 9 2 3 6" xfId="11943"/>
    <cellStyle name="Normal 2 2 2 2 9 2 3 6 2" xfId="11944"/>
    <cellStyle name="Normal 2 2 2 2 9 2 3 7" xfId="11945"/>
    <cellStyle name="Normal 2 2 2 2 9 2 3 7 2" xfId="11946"/>
    <cellStyle name="Normal 2 2 2 2 9 2 3 8" xfId="11947"/>
    <cellStyle name="Normal 2 2 2 2 9 2 3 8 2" xfId="11948"/>
    <cellStyle name="Normal 2 2 2 2 9 2 3 9" xfId="11949"/>
    <cellStyle name="Normal 2 2 2 2 9 2 3 9 2" xfId="11950"/>
    <cellStyle name="Normal 2 2 2 2 9 2 4" xfId="11951"/>
    <cellStyle name="Normal 2 2 2 2 9 2 4 10" xfId="11952"/>
    <cellStyle name="Normal 2 2 2 2 9 2 4 10 2" xfId="11953"/>
    <cellStyle name="Normal 2 2 2 2 9 2 4 11" xfId="11954"/>
    <cellStyle name="Normal 2 2 2 2 9 2 4 11 2" xfId="11955"/>
    <cellStyle name="Normal 2 2 2 2 9 2 4 12" xfId="11956"/>
    <cellStyle name="Normal 2 2 2 2 9 2 4 12 2" xfId="11957"/>
    <cellStyle name="Normal 2 2 2 2 9 2 4 13" xfId="11958"/>
    <cellStyle name="Normal 2 2 2 2 9 2 4 2" xfId="11959"/>
    <cellStyle name="Normal 2 2 2 2 9 2 4 2 10" xfId="11960"/>
    <cellStyle name="Normal 2 2 2 2 9 2 4 2 10 2" xfId="11961"/>
    <cellStyle name="Normal 2 2 2 2 9 2 4 2 11" xfId="11962"/>
    <cellStyle name="Normal 2 2 2 2 9 2 4 2 11 2" xfId="11963"/>
    <cellStyle name="Normal 2 2 2 2 9 2 4 2 12" xfId="11964"/>
    <cellStyle name="Normal 2 2 2 2 9 2 4 2 2" xfId="11965"/>
    <cellStyle name="Normal 2 2 2 2 9 2 4 2 2 10" xfId="11966"/>
    <cellStyle name="Normal 2 2 2 2 9 2 4 2 2 10 2" xfId="11967"/>
    <cellStyle name="Normal 2 2 2 2 9 2 4 2 2 11" xfId="11968"/>
    <cellStyle name="Normal 2 2 2 2 9 2 4 2 2 2" xfId="11969"/>
    <cellStyle name="Normal 2 2 2 2 9 2 4 2 2 2 2" xfId="11970"/>
    <cellStyle name="Normal 2 2 2 2 9 2 4 2 2 3" xfId="11971"/>
    <cellStyle name="Normal 2 2 2 2 9 2 4 2 2 3 2" xfId="11972"/>
    <cellStyle name="Normal 2 2 2 2 9 2 4 2 2 4" xfId="11973"/>
    <cellStyle name="Normal 2 2 2 2 9 2 4 2 2 4 2" xfId="11974"/>
    <cellStyle name="Normal 2 2 2 2 9 2 4 2 2 5" xfId="11975"/>
    <cellStyle name="Normal 2 2 2 2 9 2 4 2 2 5 2" xfId="11976"/>
    <cellStyle name="Normal 2 2 2 2 9 2 4 2 2 6" xfId="11977"/>
    <cellStyle name="Normal 2 2 2 2 9 2 4 2 2 6 2" xfId="11978"/>
    <cellStyle name="Normal 2 2 2 2 9 2 4 2 2 7" xfId="11979"/>
    <cellStyle name="Normal 2 2 2 2 9 2 4 2 2 7 2" xfId="11980"/>
    <cellStyle name="Normal 2 2 2 2 9 2 4 2 2 8" xfId="11981"/>
    <cellStyle name="Normal 2 2 2 2 9 2 4 2 2 8 2" xfId="11982"/>
    <cellStyle name="Normal 2 2 2 2 9 2 4 2 2 9" xfId="11983"/>
    <cellStyle name="Normal 2 2 2 2 9 2 4 2 2 9 2" xfId="11984"/>
    <cellStyle name="Normal 2 2 2 2 9 2 4 2 3" xfId="11985"/>
    <cellStyle name="Normal 2 2 2 2 9 2 4 2 3 2" xfId="11986"/>
    <cellStyle name="Normal 2 2 2 2 9 2 4 2 4" xfId="11987"/>
    <cellStyle name="Normal 2 2 2 2 9 2 4 2 4 2" xfId="11988"/>
    <cellStyle name="Normal 2 2 2 2 9 2 4 2 5" xfId="11989"/>
    <cellStyle name="Normal 2 2 2 2 9 2 4 2 5 2" xfId="11990"/>
    <cellStyle name="Normal 2 2 2 2 9 2 4 2 6" xfId="11991"/>
    <cellStyle name="Normal 2 2 2 2 9 2 4 2 6 2" xfId="11992"/>
    <cellStyle name="Normal 2 2 2 2 9 2 4 2 7" xfId="11993"/>
    <cellStyle name="Normal 2 2 2 2 9 2 4 2 7 2" xfId="11994"/>
    <cellStyle name="Normal 2 2 2 2 9 2 4 2 8" xfId="11995"/>
    <cellStyle name="Normal 2 2 2 2 9 2 4 2 8 2" xfId="11996"/>
    <cellStyle name="Normal 2 2 2 2 9 2 4 2 9" xfId="11997"/>
    <cellStyle name="Normal 2 2 2 2 9 2 4 2 9 2" xfId="11998"/>
    <cellStyle name="Normal 2 2 2 2 9 2 4 3" xfId="11999"/>
    <cellStyle name="Normal 2 2 2 2 9 2 4 3 10" xfId="12000"/>
    <cellStyle name="Normal 2 2 2 2 9 2 4 3 10 2" xfId="12001"/>
    <cellStyle name="Normal 2 2 2 2 9 2 4 3 11" xfId="12002"/>
    <cellStyle name="Normal 2 2 2 2 9 2 4 3 2" xfId="12003"/>
    <cellStyle name="Normal 2 2 2 2 9 2 4 3 2 2" xfId="12004"/>
    <cellStyle name="Normal 2 2 2 2 9 2 4 3 3" xfId="12005"/>
    <cellStyle name="Normal 2 2 2 2 9 2 4 3 3 2" xfId="12006"/>
    <cellStyle name="Normal 2 2 2 2 9 2 4 3 4" xfId="12007"/>
    <cellStyle name="Normal 2 2 2 2 9 2 4 3 4 2" xfId="12008"/>
    <cellStyle name="Normal 2 2 2 2 9 2 4 3 5" xfId="12009"/>
    <cellStyle name="Normal 2 2 2 2 9 2 4 3 5 2" xfId="12010"/>
    <cellStyle name="Normal 2 2 2 2 9 2 4 3 6" xfId="12011"/>
    <cellStyle name="Normal 2 2 2 2 9 2 4 3 6 2" xfId="12012"/>
    <cellStyle name="Normal 2 2 2 2 9 2 4 3 7" xfId="12013"/>
    <cellStyle name="Normal 2 2 2 2 9 2 4 3 7 2" xfId="12014"/>
    <cellStyle name="Normal 2 2 2 2 9 2 4 3 8" xfId="12015"/>
    <cellStyle name="Normal 2 2 2 2 9 2 4 3 8 2" xfId="12016"/>
    <cellStyle name="Normal 2 2 2 2 9 2 4 3 9" xfId="12017"/>
    <cellStyle name="Normal 2 2 2 2 9 2 4 3 9 2" xfId="12018"/>
    <cellStyle name="Normal 2 2 2 2 9 2 4 4" xfId="12019"/>
    <cellStyle name="Normal 2 2 2 2 9 2 4 4 2" xfId="12020"/>
    <cellStyle name="Normal 2 2 2 2 9 2 4 5" xfId="12021"/>
    <cellStyle name="Normal 2 2 2 2 9 2 4 5 2" xfId="12022"/>
    <cellStyle name="Normal 2 2 2 2 9 2 4 6" xfId="12023"/>
    <cellStyle name="Normal 2 2 2 2 9 2 4 6 2" xfId="12024"/>
    <cellStyle name="Normal 2 2 2 2 9 2 4 7" xfId="12025"/>
    <cellStyle name="Normal 2 2 2 2 9 2 4 7 2" xfId="12026"/>
    <cellStyle name="Normal 2 2 2 2 9 2 4 8" xfId="12027"/>
    <cellStyle name="Normal 2 2 2 2 9 2 4 8 2" xfId="12028"/>
    <cellStyle name="Normal 2 2 2 2 9 2 4 9" xfId="12029"/>
    <cellStyle name="Normal 2 2 2 2 9 2 4 9 2" xfId="12030"/>
    <cellStyle name="Normal 2 2 2 2 9 2 5" xfId="12031"/>
    <cellStyle name="Normal 2 2 2 2 9 2 5 10" xfId="12032"/>
    <cellStyle name="Normal 2 2 2 2 9 2 5 10 2" xfId="12033"/>
    <cellStyle name="Normal 2 2 2 2 9 2 5 11" xfId="12034"/>
    <cellStyle name="Normal 2 2 2 2 9 2 5 11 2" xfId="12035"/>
    <cellStyle name="Normal 2 2 2 2 9 2 5 12" xfId="12036"/>
    <cellStyle name="Normal 2 2 2 2 9 2 5 12 2" xfId="12037"/>
    <cellStyle name="Normal 2 2 2 2 9 2 5 13" xfId="12038"/>
    <cellStyle name="Normal 2 2 2 2 9 2 5 2" xfId="12039"/>
    <cellStyle name="Normal 2 2 2 2 9 2 5 2 10" xfId="12040"/>
    <cellStyle name="Normal 2 2 2 2 9 2 5 2 10 2" xfId="12041"/>
    <cellStyle name="Normal 2 2 2 2 9 2 5 2 11" xfId="12042"/>
    <cellStyle name="Normal 2 2 2 2 9 2 5 2 11 2" xfId="12043"/>
    <cellStyle name="Normal 2 2 2 2 9 2 5 2 12" xfId="12044"/>
    <cellStyle name="Normal 2 2 2 2 9 2 5 2 2" xfId="12045"/>
    <cellStyle name="Normal 2 2 2 2 9 2 5 2 2 10" xfId="12046"/>
    <cellStyle name="Normal 2 2 2 2 9 2 5 2 2 10 2" xfId="12047"/>
    <cellStyle name="Normal 2 2 2 2 9 2 5 2 2 11" xfId="12048"/>
    <cellStyle name="Normal 2 2 2 2 9 2 5 2 2 2" xfId="12049"/>
    <cellStyle name="Normal 2 2 2 2 9 2 5 2 2 2 2" xfId="12050"/>
    <cellStyle name="Normal 2 2 2 2 9 2 5 2 2 3" xfId="12051"/>
    <cellStyle name="Normal 2 2 2 2 9 2 5 2 2 3 2" xfId="12052"/>
    <cellStyle name="Normal 2 2 2 2 9 2 5 2 2 4" xfId="12053"/>
    <cellStyle name="Normal 2 2 2 2 9 2 5 2 2 4 2" xfId="12054"/>
    <cellStyle name="Normal 2 2 2 2 9 2 5 2 2 5" xfId="12055"/>
    <cellStyle name="Normal 2 2 2 2 9 2 5 2 2 5 2" xfId="12056"/>
    <cellStyle name="Normal 2 2 2 2 9 2 5 2 2 6" xfId="12057"/>
    <cellStyle name="Normal 2 2 2 2 9 2 5 2 2 6 2" xfId="12058"/>
    <cellStyle name="Normal 2 2 2 2 9 2 5 2 2 7" xfId="12059"/>
    <cellStyle name="Normal 2 2 2 2 9 2 5 2 2 7 2" xfId="12060"/>
    <cellStyle name="Normal 2 2 2 2 9 2 5 2 2 8" xfId="12061"/>
    <cellStyle name="Normal 2 2 2 2 9 2 5 2 2 8 2" xfId="12062"/>
    <cellStyle name="Normal 2 2 2 2 9 2 5 2 2 9" xfId="12063"/>
    <cellStyle name="Normal 2 2 2 2 9 2 5 2 2 9 2" xfId="12064"/>
    <cellStyle name="Normal 2 2 2 2 9 2 5 2 3" xfId="12065"/>
    <cellStyle name="Normal 2 2 2 2 9 2 5 2 3 2" xfId="12066"/>
    <cellStyle name="Normal 2 2 2 2 9 2 5 2 4" xfId="12067"/>
    <cellStyle name="Normal 2 2 2 2 9 2 5 2 4 2" xfId="12068"/>
    <cellStyle name="Normal 2 2 2 2 9 2 5 2 5" xfId="12069"/>
    <cellStyle name="Normal 2 2 2 2 9 2 5 2 5 2" xfId="12070"/>
    <cellStyle name="Normal 2 2 2 2 9 2 5 2 6" xfId="12071"/>
    <cellStyle name="Normal 2 2 2 2 9 2 5 2 6 2" xfId="12072"/>
    <cellStyle name="Normal 2 2 2 2 9 2 5 2 7" xfId="12073"/>
    <cellStyle name="Normal 2 2 2 2 9 2 5 2 7 2" xfId="12074"/>
    <cellStyle name="Normal 2 2 2 2 9 2 5 2 8" xfId="12075"/>
    <cellStyle name="Normal 2 2 2 2 9 2 5 2 8 2" xfId="12076"/>
    <cellStyle name="Normal 2 2 2 2 9 2 5 2 9" xfId="12077"/>
    <cellStyle name="Normal 2 2 2 2 9 2 5 2 9 2" xfId="12078"/>
    <cellStyle name="Normal 2 2 2 2 9 2 5 3" xfId="12079"/>
    <cellStyle name="Normal 2 2 2 2 9 2 5 3 10" xfId="12080"/>
    <cellStyle name="Normal 2 2 2 2 9 2 5 3 10 2" xfId="12081"/>
    <cellStyle name="Normal 2 2 2 2 9 2 5 3 11" xfId="12082"/>
    <cellStyle name="Normal 2 2 2 2 9 2 5 3 2" xfId="12083"/>
    <cellStyle name="Normal 2 2 2 2 9 2 5 3 2 2" xfId="12084"/>
    <cellStyle name="Normal 2 2 2 2 9 2 5 3 3" xfId="12085"/>
    <cellStyle name="Normal 2 2 2 2 9 2 5 3 3 2" xfId="12086"/>
    <cellStyle name="Normal 2 2 2 2 9 2 5 3 4" xfId="12087"/>
    <cellStyle name="Normal 2 2 2 2 9 2 5 3 4 2" xfId="12088"/>
    <cellStyle name="Normal 2 2 2 2 9 2 5 3 5" xfId="12089"/>
    <cellStyle name="Normal 2 2 2 2 9 2 5 3 5 2" xfId="12090"/>
    <cellStyle name="Normal 2 2 2 2 9 2 5 3 6" xfId="12091"/>
    <cellStyle name="Normal 2 2 2 2 9 2 5 3 6 2" xfId="12092"/>
    <cellStyle name="Normal 2 2 2 2 9 2 5 3 7" xfId="12093"/>
    <cellStyle name="Normal 2 2 2 2 9 2 5 3 7 2" xfId="12094"/>
    <cellStyle name="Normal 2 2 2 2 9 2 5 3 8" xfId="12095"/>
    <cellStyle name="Normal 2 2 2 2 9 2 5 3 8 2" xfId="12096"/>
    <cellStyle name="Normal 2 2 2 2 9 2 5 3 9" xfId="12097"/>
    <cellStyle name="Normal 2 2 2 2 9 2 5 3 9 2" xfId="12098"/>
    <cellStyle name="Normal 2 2 2 2 9 2 5 4" xfId="12099"/>
    <cellStyle name="Normal 2 2 2 2 9 2 5 4 2" xfId="12100"/>
    <cellStyle name="Normal 2 2 2 2 9 2 5 5" xfId="12101"/>
    <cellStyle name="Normal 2 2 2 2 9 2 5 5 2" xfId="12102"/>
    <cellStyle name="Normal 2 2 2 2 9 2 5 6" xfId="12103"/>
    <cellStyle name="Normal 2 2 2 2 9 2 5 6 2" xfId="12104"/>
    <cellStyle name="Normal 2 2 2 2 9 2 5 7" xfId="12105"/>
    <cellStyle name="Normal 2 2 2 2 9 2 5 7 2" xfId="12106"/>
    <cellStyle name="Normal 2 2 2 2 9 2 5 8" xfId="12107"/>
    <cellStyle name="Normal 2 2 2 2 9 2 5 8 2" xfId="12108"/>
    <cellStyle name="Normal 2 2 2 2 9 2 5 9" xfId="12109"/>
    <cellStyle name="Normal 2 2 2 2 9 2 5 9 2" xfId="12110"/>
    <cellStyle name="Normal 2 2 2 2 9 2 6" xfId="41871"/>
    <cellStyle name="Normal 2 2 2 2 9 3" xfId="12111"/>
    <cellStyle name="Normal 2 2 2 2 9 3 2" xfId="41872"/>
    <cellStyle name="Normal 2 2 2 2 9 4" xfId="12112"/>
    <cellStyle name="Normal 2 2 2 2 9 4 2" xfId="41873"/>
    <cellStyle name="Normal 2 2 2 2 9 5" xfId="12113"/>
    <cellStyle name="Normal 2 2 2 2 9 5 2" xfId="41874"/>
    <cellStyle name="Normal 2 2 2 2 9 6" xfId="12114"/>
    <cellStyle name="Normal 2 2 2 2 9 6 2" xfId="41875"/>
    <cellStyle name="Normal 2 2 2 2 9 7" xfId="12115"/>
    <cellStyle name="Normal 2 2 2 2 9 7 10" xfId="12116"/>
    <cellStyle name="Normal 2 2 2 2 9 7 10 2" xfId="12117"/>
    <cellStyle name="Normal 2 2 2 2 9 7 11" xfId="12118"/>
    <cellStyle name="Normal 2 2 2 2 9 7 11 2" xfId="12119"/>
    <cellStyle name="Normal 2 2 2 2 9 7 12" xfId="12120"/>
    <cellStyle name="Normal 2 2 2 2 9 7 2" xfId="12121"/>
    <cellStyle name="Normal 2 2 2 2 9 7 2 10" xfId="12122"/>
    <cellStyle name="Normal 2 2 2 2 9 7 2 10 2" xfId="12123"/>
    <cellStyle name="Normal 2 2 2 2 9 7 2 11" xfId="12124"/>
    <cellStyle name="Normal 2 2 2 2 9 7 2 2" xfId="12125"/>
    <cellStyle name="Normal 2 2 2 2 9 7 2 2 2" xfId="12126"/>
    <cellStyle name="Normal 2 2 2 2 9 7 2 3" xfId="12127"/>
    <cellStyle name="Normal 2 2 2 2 9 7 2 3 2" xfId="12128"/>
    <cellStyle name="Normal 2 2 2 2 9 7 2 4" xfId="12129"/>
    <cellStyle name="Normal 2 2 2 2 9 7 2 4 2" xfId="12130"/>
    <cellStyle name="Normal 2 2 2 2 9 7 2 5" xfId="12131"/>
    <cellStyle name="Normal 2 2 2 2 9 7 2 5 2" xfId="12132"/>
    <cellStyle name="Normal 2 2 2 2 9 7 2 6" xfId="12133"/>
    <cellStyle name="Normal 2 2 2 2 9 7 2 6 2" xfId="12134"/>
    <cellStyle name="Normal 2 2 2 2 9 7 2 7" xfId="12135"/>
    <cellStyle name="Normal 2 2 2 2 9 7 2 7 2" xfId="12136"/>
    <cellStyle name="Normal 2 2 2 2 9 7 2 8" xfId="12137"/>
    <cellStyle name="Normal 2 2 2 2 9 7 2 8 2" xfId="12138"/>
    <cellStyle name="Normal 2 2 2 2 9 7 2 9" xfId="12139"/>
    <cellStyle name="Normal 2 2 2 2 9 7 2 9 2" xfId="12140"/>
    <cellStyle name="Normal 2 2 2 2 9 7 3" xfId="12141"/>
    <cellStyle name="Normal 2 2 2 2 9 7 3 2" xfId="12142"/>
    <cellStyle name="Normal 2 2 2 2 9 7 4" xfId="12143"/>
    <cellStyle name="Normal 2 2 2 2 9 7 4 2" xfId="12144"/>
    <cellStyle name="Normal 2 2 2 2 9 7 5" xfId="12145"/>
    <cellStyle name="Normal 2 2 2 2 9 7 5 2" xfId="12146"/>
    <cellStyle name="Normal 2 2 2 2 9 7 6" xfId="12147"/>
    <cellStyle name="Normal 2 2 2 2 9 7 6 2" xfId="12148"/>
    <cellStyle name="Normal 2 2 2 2 9 7 7" xfId="12149"/>
    <cellStyle name="Normal 2 2 2 2 9 7 7 2" xfId="12150"/>
    <cellStyle name="Normal 2 2 2 2 9 7 8" xfId="12151"/>
    <cellStyle name="Normal 2 2 2 2 9 7 8 2" xfId="12152"/>
    <cellStyle name="Normal 2 2 2 2 9 7 9" xfId="12153"/>
    <cellStyle name="Normal 2 2 2 2 9 7 9 2" xfId="12154"/>
    <cellStyle name="Normal 2 2 2 2 9 8" xfId="12155"/>
    <cellStyle name="Normal 2 2 2 2 9 8 10" xfId="12156"/>
    <cellStyle name="Normal 2 2 2 2 9 8 10 2" xfId="12157"/>
    <cellStyle name="Normal 2 2 2 2 9 8 11" xfId="12158"/>
    <cellStyle name="Normal 2 2 2 2 9 8 2" xfId="12159"/>
    <cellStyle name="Normal 2 2 2 2 9 8 2 2" xfId="12160"/>
    <cellStyle name="Normal 2 2 2 2 9 8 3" xfId="12161"/>
    <cellStyle name="Normal 2 2 2 2 9 8 3 2" xfId="12162"/>
    <cellStyle name="Normal 2 2 2 2 9 8 4" xfId="12163"/>
    <cellStyle name="Normal 2 2 2 2 9 8 4 2" xfId="12164"/>
    <cellStyle name="Normal 2 2 2 2 9 8 5" xfId="12165"/>
    <cellStyle name="Normal 2 2 2 2 9 8 5 2" xfId="12166"/>
    <cellStyle name="Normal 2 2 2 2 9 8 6" xfId="12167"/>
    <cellStyle name="Normal 2 2 2 2 9 8 6 2" xfId="12168"/>
    <cellStyle name="Normal 2 2 2 2 9 8 7" xfId="12169"/>
    <cellStyle name="Normal 2 2 2 2 9 8 7 2" xfId="12170"/>
    <cellStyle name="Normal 2 2 2 2 9 8 8" xfId="12171"/>
    <cellStyle name="Normal 2 2 2 2 9 8 8 2" xfId="12172"/>
    <cellStyle name="Normal 2 2 2 2 9 8 9" xfId="12173"/>
    <cellStyle name="Normal 2 2 2 2 9 8 9 2" xfId="12174"/>
    <cellStyle name="Normal 2 2 2 2 9 9" xfId="12175"/>
    <cellStyle name="Normal 2 2 2 2 9 9 2" xfId="12176"/>
    <cellStyle name="Normal 2 2 2 3" xfId="12177"/>
    <cellStyle name="Normal 2 2 2 3 10" xfId="41876"/>
    <cellStyle name="Normal 2 2 2 3 2" xfId="12178"/>
    <cellStyle name="Normal 2 2 2 3 2 10" xfId="12179"/>
    <cellStyle name="Normal 2 2 2 3 2 10 10" xfId="12180"/>
    <cellStyle name="Normal 2 2 2 3 2 10 10 2" xfId="12181"/>
    <cellStyle name="Normal 2 2 2 3 2 10 11" xfId="12182"/>
    <cellStyle name="Normal 2 2 2 3 2 10 11 2" xfId="12183"/>
    <cellStyle name="Normal 2 2 2 3 2 10 12" xfId="12184"/>
    <cellStyle name="Normal 2 2 2 3 2 10 2" xfId="12185"/>
    <cellStyle name="Normal 2 2 2 3 2 10 2 10" xfId="12186"/>
    <cellStyle name="Normal 2 2 2 3 2 10 2 10 2" xfId="12187"/>
    <cellStyle name="Normal 2 2 2 3 2 10 2 11" xfId="12188"/>
    <cellStyle name="Normal 2 2 2 3 2 10 2 2" xfId="12189"/>
    <cellStyle name="Normal 2 2 2 3 2 10 2 2 2" xfId="12190"/>
    <cellStyle name="Normal 2 2 2 3 2 10 2 3" xfId="12191"/>
    <cellStyle name="Normal 2 2 2 3 2 10 2 3 2" xfId="12192"/>
    <cellStyle name="Normal 2 2 2 3 2 10 2 4" xfId="12193"/>
    <cellStyle name="Normal 2 2 2 3 2 10 2 4 2" xfId="12194"/>
    <cellStyle name="Normal 2 2 2 3 2 10 2 5" xfId="12195"/>
    <cellStyle name="Normal 2 2 2 3 2 10 2 5 2" xfId="12196"/>
    <cellStyle name="Normal 2 2 2 3 2 10 2 6" xfId="12197"/>
    <cellStyle name="Normal 2 2 2 3 2 10 2 6 2" xfId="12198"/>
    <cellStyle name="Normal 2 2 2 3 2 10 2 7" xfId="12199"/>
    <cellStyle name="Normal 2 2 2 3 2 10 2 7 2" xfId="12200"/>
    <cellStyle name="Normal 2 2 2 3 2 10 2 8" xfId="12201"/>
    <cellStyle name="Normal 2 2 2 3 2 10 2 8 2" xfId="12202"/>
    <cellStyle name="Normal 2 2 2 3 2 10 2 9" xfId="12203"/>
    <cellStyle name="Normal 2 2 2 3 2 10 2 9 2" xfId="12204"/>
    <cellStyle name="Normal 2 2 2 3 2 10 3" xfId="12205"/>
    <cellStyle name="Normal 2 2 2 3 2 10 3 2" xfId="12206"/>
    <cellStyle name="Normal 2 2 2 3 2 10 4" xfId="12207"/>
    <cellStyle name="Normal 2 2 2 3 2 10 4 2" xfId="12208"/>
    <cellStyle name="Normal 2 2 2 3 2 10 5" xfId="12209"/>
    <cellStyle name="Normal 2 2 2 3 2 10 5 2" xfId="12210"/>
    <cellStyle name="Normal 2 2 2 3 2 10 6" xfId="12211"/>
    <cellStyle name="Normal 2 2 2 3 2 10 6 2" xfId="12212"/>
    <cellStyle name="Normal 2 2 2 3 2 10 7" xfId="12213"/>
    <cellStyle name="Normal 2 2 2 3 2 10 7 2" xfId="12214"/>
    <cellStyle name="Normal 2 2 2 3 2 10 8" xfId="12215"/>
    <cellStyle name="Normal 2 2 2 3 2 10 8 2" xfId="12216"/>
    <cellStyle name="Normal 2 2 2 3 2 10 9" xfId="12217"/>
    <cellStyle name="Normal 2 2 2 3 2 10 9 2" xfId="12218"/>
    <cellStyle name="Normal 2 2 2 3 2 11" xfId="12219"/>
    <cellStyle name="Normal 2 2 2 3 2 11 10" xfId="12220"/>
    <cellStyle name="Normal 2 2 2 3 2 11 10 2" xfId="12221"/>
    <cellStyle name="Normal 2 2 2 3 2 11 11" xfId="12222"/>
    <cellStyle name="Normal 2 2 2 3 2 11 2" xfId="12223"/>
    <cellStyle name="Normal 2 2 2 3 2 11 2 2" xfId="12224"/>
    <cellStyle name="Normal 2 2 2 3 2 11 3" xfId="12225"/>
    <cellStyle name="Normal 2 2 2 3 2 11 3 2" xfId="12226"/>
    <cellStyle name="Normal 2 2 2 3 2 11 4" xfId="12227"/>
    <cellStyle name="Normal 2 2 2 3 2 11 4 2" xfId="12228"/>
    <cellStyle name="Normal 2 2 2 3 2 11 5" xfId="12229"/>
    <cellStyle name="Normal 2 2 2 3 2 11 5 2" xfId="12230"/>
    <cellStyle name="Normal 2 2 2 3 2 11 6" xfId="12231"/>
    <cellStyle name="Normal 2 2 2 3 2 11 6 2" xfId="12232"/>
    <cellStyle name="Normal 2 2 2 3 2 11 7" xfId="12233"/>
    <cellStyle name="Normal 2 2 2 3 2 11 7 2" xfId="12234"/>
    <cellStyle name="Normal 2 2 2 3 2 11 8" xfId="12235"/>
    <cellStyle name="Normal 2 2 2 3 2 11 8 2" xfId="12236"/>
    <cellStyle name="Normal 2 2 2 3 2 11 9" xfId="12237"/>
    <cellStyle name="Normal 2 2 2 3 2 11 9 2" xfId="12238"/>
    <cellStyle name="Normal 2 2 2 3 2 12" xfId="12239"/>
    <cellStyle name="Normal 2 2 2 3 2 12 2" xfId="12240"/>
    <cellStyle name="Normal 2 2 2 3 2 13" xfId="12241"/>
    <cellStyle name="Normal 2 2 2 3 2 13 2" xfId="12242"/>
    <cellStyle name="Normal 2 2 2 3 2 14" xfId="12243"/>
    <cellStyle name="Normal 2 2 2 3 2 14 2" xfId="12244"/>
    <cellStyle name="Normal 2 2 2 3 2 15" xfId="12245"/>
    <cellStyle name="Normal 2 2 2 3 2 15 2" xfId="12246"/>
    <cellStyle name="Normal 2 2 2 3 2 16" xfId="12247"/>
    <cellStyle name="Normal 2 2 2 3 2 16 2" xfId="12248"/>
    <cellStyle name="Normal 2 2 2 3 2 17" xfId="12249"/>
    <cellStyle name="Normal 2 2 2 3 2 17 2" xfId="12250"/>
    <cellStyle name="Normal 2 2 2 3 2 18" xfId="12251"/>
    <cellStyle name="Normal 2 2 2 3 2 18 2" xfId="12252"/>
    <cellStyle name="Normal 2 2 2 3 2 19" xfId="12253"/>
    <cellStyle name="Normal 2 2 2 3 2 19 2" xfId="12254"/>
    <cellStyle name="Normal 2 2 2 3 2 2" xfId="12255"/>
    <cellStyle name="Normal 2 2 2 3 2 2 2" xfId="12256"/>
    <cellStyle name="Normal 2 2 2 3 2 2 2 10" xfId="12257"/>
    <cellStyle name="Normal 2 2 2 3 2 2 2 10 2" xfId="12258"/>
    <cellStyle name="Normal 2 2 2 3 2 2 2 11" xfId="12259"/>
    <cellStyle name="Normal 2 2 2 3 2 2 2 11 2" xfId="12260"/>
    <cellStyle name="Normal 2 2 2 3 2 2 2 12" xfId="12261"/>
    <cellStyle name="Normal 2 2 2 3 2 2 2 12 2" xfId="12262"/>
    <cellStyle name="Normal 2 2 2 3 2 2 2 13" xfId="12263"/>
    <cellStyle name="Normal 2 2 2 3 2 2 2 13 2" xfId="12264"/>
    <cellStyle name="Normal 2 2 2 3 2 2 2 14" xfId="12265"/>
    <cellStyle name="Normal 2 2 2 3 2 2 2 14 2" xfId="12266"/>
    <cellStyle name="Normal 2 2 2 3 2 2 2 15" xfId="12267"/>
    <cellStyle name="Normal 2 2 2 3 2 2 2 15 2" xfId="12268"/>
    <cellStyle name="Normal 2 2 2 3 2 2 2 16" xfId="12269"/>
    <cellStyle name="Normal 2 2 2 3 2 2 2 16 2" xfId="12270"/>
    <cellStyle name="Normal 2 2 2 3 2 2 2 17" xfId="12271"/>
    <cellStyle name="Normal 2 2 2 3 2 2 2 2" xfId="12272"/>
    <cellStyle name="Normal 2 2 2 3 2 2 2 2 2" xfId="12273"/>
    <cellStyle name="Normal 2 2 2 3 2 2 2 2 2 10" xfId="12274"/>
    <cellStyle name="Normal 2 2 2 3 2 2 2 2 2 10 2" xfId="12275"/>
    <cellStyle name="Normal 2 2 2 3 2 2 2 2 2 11" xfId="12276"/>
    <cellStyle name="Normal 2 2 2 3 2 2 2 2 2 11 2" xfId="12277"/>
    <cellStyle name="Normal 2 2 2 3 2 2 2 2 2 12" xfId="12278"/>
    <cellStyle name="Normal 2 2 2 3 2 2 2 2 2 12 2" xfId="12279"/>
    <cellStyle name="Normal 2 2 2 3 2 2 2 2 2 13" xfId="12280"/>
    <cellStyle name="Normal 2 2 2 3 2 2 2 2 2 2" xfId="12281"/>
    <cellStyle name="Normal 2 2 2 3 2 2 2 2 2 2 10" xfId="12282"/>
    <cellStyle name="Normal 2 2 2 3 2 2 2 2 2 2 10 2" xfId="12283"/>
    <cellStyle name="Normal 2 2 2 3 2 2 2 2 2 2 11" xfId="12284"/>
    <cellStyle name="Normal 2 2 2 3 2 2 2 2 2 2 11 2" xfId="12285"/>
    <cellStyle name="Normal 2 2 2 3 2 2 2 2 2 2 12" xfId="12286"/>
    <cellStyle name="Normal 2 2 2 3 2 2 2 2 2 2 2" xfId="12287"/>
    <cellStyle name="Normal 2 2 2 3 2 2 2 2 2 2 2 10" xfId="12288"/>
    <cellStyle name="Normal 2 2 2 3 2 2 2 2 2 2 2 10 2" xfId="12289"/>
    <cellStyle name="Normal 2 2 2 3 2 2 2 2 2 2 2 11" xfId="12290"/>
    <cellStyle name="Normal 2 2 2 3 2 2 2 2 2 2 2 2" xfId="12291"/>
    <cellStyle name="Normal 2 2 2 3 2 2 2 2 2 2 2 2 2" xfId="12292"/>
    <cellStyle name="Normal 2 2 2 3 2 2 2 2 2 2 2 3" xfId="12293"/>
    <cellStyle name="Normal 2 2 2 3 2 2 2 2 2 2 2 3 2" xfId="12294"/>
    <cellStyle name="Normal 2 2 2 3 2 2 2 2 2 2 2 4" xfId="12295"/>
    <cellStyle name="Normal 2 2 2 3 2 2 2 2 2 2 2 4 2" xfId="12296"/>
    <cellStyle name="Normal 2 2 2 3 2 2 2 2 2 2 2 5" xfId="12297"/>
    <cellStyle name="Normal 2 2 2 3 2 2 2 2 2 2 2 5 2" xfId="12298"/>
    <cellStyle name="Normal 2 2 2 3 2 2 2 2 2 2 2 6" xfId="12299"/>
    <cellStyle name="Normal 2 2 2 3 2 2 2 2 2 2 2 6 2" xfId="12300"/>
    <cellStyle name="Normal 2 2 2 3 2 2 2 2 2 2 2 7" xfId="12301"/>
    <cellStyle name="Normal 2 2 2 3 2 2 2 2 2 2 2 7 2" xfId="12302"/>
    <cellStyle name="Normal 2 2 2 3 2 2 2 2 2 2 2 8" xfId="12303"/>
    <cellStyle name="Normal 2 2 2 3 2 2 2 2 2 2 2 8 2" xfId="12304"/>
    <cellStyle name="Normal 2 2 2 3 2 2 2 2 2 2 2 9" xfId="12305"/>
    <cellStyle name="Normal 2 2 2 3 2 2 2 2 2 2 2 9 2" xfId="12306"/>
    <cellStyle name="Normal 2 2 2 3 2 2 2 2 2 2 3" xfId="12307"/>
    <cellStyle name="Normal 2 2 2 3 2 2 2 2 2 2 3 2" xfId="12308"/>
    <cellStyle name="Normal 2 2 2 3 2 2 2 2 2 2 4" xfId="12309"/>
    <cellStyle name="Normal 2 2 2 3 2 2 2 2 2 2 4 2" xfId="12310"/>
    <cellStyle name="Normal 2 2 2 3 2 2 2 2 2 2 5" xfId="12311"/>
    <cellStyle name="Normal 2 2 2 3 2 2 2 2 2 2 5 2" xfId="12312"/>
    <cellStyle name="Normal 2 2 2 3 2 2 2 2 2 2 6" xfId="12313"/>
    <cellStyle name="Normal 2 2 2 3 2 2 2 2 2 2 6 2" xfId="12314"/>
    <cellStyle name="Normal 2 2 2 3 2 2 2 2 2 2 7" xfId="12315"/>
    <cellStyle name="Normal 2 2 2 3 2 2 2 2 2 2 7 2" xfId="12316"/>
    <cellStyle name="Normal 2 2 2 3 2 2 2 2 2 2 8" xfId="12317"/>
    <cellStyle name="Normal 2 2 2 3 2 2 2 2 2 2 8 2" xfId="12318"/>
    <cellStyle name="Normal 2 2 2 3 2 2 2 2 2 2 9" xfId="12319"/>
    <cellStyle name="Normal 2 2 2 3 2 2 2 2 2 2 9 2" xfId="12320"/>
    <cellStyle name="Normal 2 2 2 3 2 2 2 2 2 3" xfId="12321"/>
    <cellStyle name="Normal 2 2 2 3 2 2 2 2 2 3 10" xfId="12322"/>
    <cellStyle name="Normal 2 2 2 3 2 2 2 2 2 3 10 2" xfId="12323"/>
    <cellStyle name="Normal 2 2 2 3 2 2 2 2 2 3 11" xfId="12324"/>
    <cellStyle name="Normal 2 2 2 3 2 2 2 2 2 3 2" xfId="12325"/>
    <cellStyle name="Normal 2 2 2 3 2 2 2 2 2 3 2 2" xfId="12326"/>
    <cellStyle name="Normal 2 2 2 3 2 2 2 2 2 3 3" xfId="12327"/>
    <cellStyle name="Normal 2 2 2 3 2 2 2 2 2 3 3 2" xfId="12328"/>
    <cellStyle name="Normal 2 2 2 3 2 2 2 2 2 3 4" xfId="12329"/>
    <cellStyle name="Normal 2 2 2 3 2 2 2 2 2 3 4 2" xfId="12330"/>
    <cellStyle name="Normal 2 2 2 3 2 2 2 2 2 3 5" xfId="12331"/>
    <cellStyle name="Normal 2 2 2 3 2 2 2 2 2 3 5 2" xfId="12332"/>
    <cellStyle name="Normal 2 2 2 3 2 2 2 2 2 3 6" xfId="12333"/>
    <cellStyle name="Normal 2 2 2 3 2 2 2 2 2 3 6 2" xfId="12334"/>
    <cellStyle name="Normal 2 2 2 3 2 2 2 2 2 3 7" xfId="12335"/>
    <cellStyle name="Normal 2 2 2 3 2 2 2 2 2 3 7 2" xfId="12336"/>
    <cellStyle name="Normal 2 2 2 3 2 2 2 2 2 3 8" xfId="12337"/>
    <cellStyle name="Normal 2 2 2 3 2 2 2 2 2 3 8 2" xfId="12338"/>
    <cellStyle name="Normal 2 2 2 3 2 2 2 2 2 3 9" xfId="12339"/>
    <cellStyle name="Normal 2 2 2 3 2 2 2 2 2 3 9 2" xfId="12340"/>
    <cellStyle name="Normal 2 2 2 3 2 2 2 2 2 4" xfId="12341"/>
    <cellStyle name="Normal 2 2 2 3 2 2 2 2 2 4 2" xfId="12342"/>
    <cellStyle name="Normal 2 2 2 3 2 2 2 2 2 5" xfId="12343"/>
    <cellStyle name="Normal 2 2 2 3 2 2 2 2 2 5 2" xfId="12344"/>
    <cellStyle name="Normal 2 2 2 3 2 2 2 2 2 6" xfId="12345"/>
    <cellStyle name="Normal 2 2 2 3 2 2 2 2 2 6 2" xfId="12346"/>
    <cellStyle name="Normal 2 2 2 3 2 2 2 2 2 7" xfId="12347"/>
    <cellStyle name="Normal 2 2 2 3 2 2 2 2 2 7 2" xfId="12348"/>
    <cellStyle name="Normal 2 2 2 3 2 2 2 2 2 8" xfId="12349"/>
    <cellStyle name="Normal 2 2 2 3 2 2 2 2 2 8 2" xfId="12350"/>
    <cellStyle name="Normal 2 2 2 3 2 2 2 2 2 9" xfId="12351"/>
    <cellStyle name="Normal 2 2 2 3 2 2 2 2 2 9 2" xfId="12352"/>
    <cellStyle name="Normal 2 2 2 3 2 2 2 2 3" xfId="12353"/>
    <cellStyle name="Normal 2 2 2 3 2 2 2 2 3 10" xfId="12354"/>
    <cellStyle name="Normal 2 2 2 3 2 2 2 2 3 10 2" xfId="12355"/>
    <cellStyle name="Normal 2 2 2 3 2 2 2 2 3 11" xfId="12356"/>
    <cellStyle name="Normal 2 2 2 3 2 2 2 2 3 11 2" xfId="12357"/>
    <cellStyle name="Normal 2 2 2 3 2 2 2 2 3 12" xfId="12358"/>
    <cellStyle name="Normal 2 2 2 3 2 2 2 2 3 12 2" xfId="12359"/>
    <cellStyle name="Normal 2 2 2 3 2 2 2 2 3 13" xfId="12360"/>
    <cellStyle name="Normal 2 2 2 3 2 2 2 2 3 2" xfId="12361"/>
    <cellStyle name="Normal 2 2 2 3 2 2 2 2 3 2 10" xfId="12362"/>
    <cellStyle name="Normal 2 2 2 3 2 2 2 2 3 2 10 2" xfId="12363"/>
    <cellStyle name="Normal 2 2 2 3 2 2 2 2 3 2 11" xfId="12364"/>
    <cellStyle name="Normal 2 2 2 3 2 2 2 2 3 2 11 2" xfId="12365"/>
    <cellStyle name="Normal 2 2 2 3 2 2 2 2 3 2 12" xfId="12366"/>
    <cellStyle name="Normal 2 2 2 3 2 2 2 2 3 2 2" xfId="12367"/>
    <cellStyle name="Normal 2 2 2 3 2 2 2 2 3 2 2 10" xfId="12368"/>
    <cellStyle name="Normal 2 2 2 3 2 2 2 2 3 2 2 10 2" xfId="12369"/>
    <cellStyle name="Normal 2 2 2 3 2 2 2 2 3 2 2 11" xfId="12370"/>
    <cellStyle name="Normal 2 2 2 3 2 2 2 2 3 2 2 2" xfId="12371"/>
    <cellStyle name="Normal 2 2 2 3 2 2 2 2 3 2 2 2 2" xfId="12372"/>
    <cellStyle name="Normal 2 2 2 3 2 2 2 2 3 2 2 3" xfId="12373"/>
    <cellStyle name="Normal 2 2 2 3 2 2 2 2 3 2 2 3 2" xfId="12374"/>
    <cellStyle name="Normal 2 2 2 3 2 2 2 2 3 2 2 4" xfId="12375"/>
    <cellStyle name="Normal 2 2 2 3 2 2 2 2 3 2 2 4 2" xfId="12376"/>
    <cellStyle name="Normal 2 2 2 3 2 2 2 2 3 2 2 5" xfId="12377"/>
    <cellStyle name="Normal 2 2 2 3 2 2 2 2 3 2 2 5 2" xfId="12378"/>
    <cellStyle name="Normal 2 2 2 3 2 2 2 2 3 2 2 6" xfId="12379"/>
    <cellStyle name="Normal 2 2 2 3 2 2 2 2 3 2 2 6 2" xfId="12380"/>
    <cellStyle name="Normal 2 2 2 3 2 2 2 2 3 2 2 7" xfId="12381"/>
    <cellStyle name="Normal 2 2 2 3 2 2 2 2 3 2 2 7 2" xfId="12382"/>
    <cellStyle name="Normal 2 2 2 3 2 2 2 2 3 2 2 8" xfId="12383"/>
    <cellStyle name="Normal 2 2 2 3 2 2 2 2 3 2 2 8 2" xfId="12384"/>
    <cellStyle name="Normal 2 2 2 3 2 2 2 2 3 2 2 9" xfId="12385"/>
    <cellStyle name="Normal 2 2 2 3 2 2 2 2 3 2 2 9 2" xfId="12386"/>
    <cellStyle name="Normal 2 2 2 3 2 2 2 2 3 2 3" xfId="12387"/>
    <cellStyle name="Normal 2 2 2 3 2 2 2 2 3 2 3 2" xfId="12388"/>
    <cellStyle name="Normal 2 2 2 3 2 2 2 2 3 2 4" xfId="12389"/>
    <cellStyle name="Normal 2 2 2 3 2 2 2 2 3 2 4 2" xfId="12390"/>
    <cellStyle name="Normal 2 2 2 3 2 2 2 2 3 2 5" xfId="12391"/>
    <cellStyle name="Normal 2 2 2 3 2 2 2 2 3 2 5 2" xfId="12392"/>
    <cellStyle name="Normal 2 2 2 3 2 2 2 2 3 2 6" xfId="12393"/>
    <cellStyle name="Normal 2 2 2 3 2 2 2 2 3 2 6 2" xfId="12394"/>
    <cellStyle name="Normal 2 2 2 3 2 2 2 2 3 2 7" xfId="12395"/>
    <cellStyle name="Normal 2 2 2 3 2 2 2 2 3 2 7 2" xfId="12396"/>
    <cellStyle name="Normal 2 2 2 3 2 2 2 2 3 2 8" xfId="12397"/>
    <cellStyle name="Normal 2 2 2 3 2 2 2 2 3 2 8 2" xfId="12398"/>
    <cellStyle name="Normal 2 2 2 3 2 2 2 2 3 2 9" xfId="12399"/>
    <cellStyle name="Normal 2 2 2 3 2 2 2 2 3 2 9 2" xfId="12400"/>
    <cellStyle name="Normal 2 2 2 3 2 2 2 2 3 3" xfId="12401"/>
    <cellStyle name="Normal 2 2 2 3 2 2 2 2 3 3 10" xfId="12402"/>
    <cellStyle name="Normal 2 2 2 3 2 2 2 2 3 3 10 2" xfId="12403"/>
    <cellStyle name="Normal 2 2 2 3 2 2 2 2 3 3 11" xfId="12404"/>
    <cellStyle name="Normal 2 2 2 3 2 2 2 2 3 3 2" xfId="12405"/>
    <cellStyle name="Normal 2 2 2 3 2 2 2 2 3 3 2 2" xfId="12406"/>
    <cellStyle name="Normal 2 2 2 3 2 2 2 2 3 3 3" xfId="12407"/>
    <cellStyle name="Normal 2 2 2 3 2 2 2 2 3 3 3 2" xfId="12408"/>
    <cellStyle name="Normal 2 2 2 3 2 2 2 2 3 3 4" xfId="12409"/>
    <cellStyle name="Normal 2 2 2 3 2 2 2 2 3 3 4 2" xfId="12410"/>
    <cellStyle name="Normal 2 2 2 3 2 2 2 2 3 3 5" xfId="12411"/>
    <cellStyle name="Normal 2 2 2 3 2 2 2 2 3 3 5 2" xfId="12412"/>
    <cellStyle name="Normal 2 2 2 3 2 2 2 2 3 3 6" xfId="12413"/>
    <cellStyle name="Normal 2 2 2 3 2 2 2 2 3 3 6 2" xfId="12414"/>
    <cellStyle name="Normal 2 2 2 3 2 2 2 2 3 3 7" xfId="12415"/>
    <cellStyle name="Normal 2 2 2 3 2 2 2 2 3 3 7 2" xfId="12416"/>
    <cellStyle name="Normal 2 2 2 3 2 2 2 2 3 3 8" xfId="12417"/>
    <cellStyle name="Normal 2 2 2 3 2 2 2 2 3 3 8 2" xfId="12418"/>
    <cellStyle name="Normal 2 2 2 3 2 2 2 2 3 3 9" xfId="12419"/>
    <cellStyle name="Normal 2 2 2 3 2 2 2 2 3 3 9 2" xfId="12420"/>
    <cellStyle name="Normal 2 2 2 3 2 2 2 2 3 4" xfId="12421"/>
    <cellStyle name="Normal 2 2 2 3 2 2 2 2 3 4 2" xfId="12422"/>
    <cellStyle name="Normal 2 2 2 3 2 2 2 2 3 5" xfId="12423"/>
    <cellStyle name="Normal 2 2 2 3 2 2 2 2 3 5 2" xfId="12424"/>
    <cellStyle name="Normal 2 2 2 3 2 2 2 2 3 6" xfId="12425"/>
    <cellStyle name="Normal 2 2 2 3 2 2 2 2 3 6 2" xfId="12426"/>
    <cellStyle name="Normal 2 2 2 3 2 2 2 2 3 7" xfId="12427"/>
    <cellStyle name="Normal 2 2 2 3 2 2 2 2 3 7 2" xfId="12428"/>
    <cellStyle name="Normal 2 2 2 3 2 2 2 2 3 8" xfId="12429"/>
    <cellStyle name="Normal 2 2 2 3 2 2 2 2 3 8 2" xfId="12430"/>
    <cellStyle name="Normal 2 2 2 3 2 2 2 2 3 9" xfId="12431"/>
    <cellStyle name="Normal 2 2 2 3 2 2 2 2 3 9 2" xfId="12432"/>
    <cellStyle name="Normal 2 2 2 3 2 2 2 2 4" xfId="12433"/>
    <cellStyle name="Normal 2 2 2 3 2 2 2 2 4 10" xfId="12434"/>
    <cellStyle name="Normal 2 2 2 3 2 2 2 2 4 10 2" xfId="12435"/>
    <cellStyle name="Normal 2 2 2 3 2 2 2 2 4 11" xfId="12436"/>
    <cellStyle name="Normal 2 2 2 3 2 2 2 2 4 11 2" xfId="12437"/>
    <cellStyle name="Normal 2 2 2 3 2 2 2 2 4 12" xfId="12438"/>
    <cellStyle name="Normal 2 2 2 3 2 2 2 2 4 12 2" xfId="12439"/>
    <cellStyle name="Normal 2 2 2 3 2 2 2 2 4 13" xfId="12440"/>
    <cellStyle name="Normal 2 2 2 3 2 2 2 2 4 2" xfId="12441"/>
    <cellStyle name="Normal 2 2 2 3 2 2 2 2 4 2 10" xfId="12442"/>
    <cellStyle name="Normal 2 2 2 3 2 2 2 2 4 2 10 2" xfId="12443"/>
    <cellStyle name="Normal 2 2 2 3 2 2 2 2 4 2 11" xfId="12444"/>
    <cellStyle name="Normal 2 2 2 3 2 2 2 2 4 2 11 2" xfId="12445"/>
    <cellStyle name="Normal 2 2 2 3 2 2 2 2 4 2 12" xfId="12446"/>
    <cellStyle name="Normal 2 2 2 3 2 2 2 2 4 2 2" xfId="12447"/>
    <cellStyle name="Normal 2 2 2 3 2 2 2 2 4 2 2 10" xfId="12448"/>
    <cellStyle name="Normal 2 2 2 3 2 2 2 2 4 2 2 10 2" xfId="12449"/>
    <cellStyle name="Normal 2 2 2 3 2 2 2 2 4 2 2 11" xfId="12450"/>
    <cellStyle name="Normal 2 2 2 3 2 2 2 2 4 2 2 2" xfId="12451"/>
    <cellStyle name="Normal 2 2 2 3 2 2 2 2 4 2 2 2 2" xfId="12452"/>
    <cellStyle name="Normal 2 2 2 3 2 2 2 2 4 2 2 3" xfId="12453"/>
    <cellStyle name="Normal 2 2 2 3 2 2 2 2 4 2 2 3 2" xfId="12454"/>
    <cellStyle name="Normal 2 2 2 3 2 2 2 2 4 2 2 4" xfId="12455"/>
    <cellStyle name="Normal 2 2 2 3 2 2 2 2 4 2 2 4 2" xfId="12456"/>
    <cellStyle name="Normal 2 2 2 3 2 2 2 2 4 2 2 5" xfId="12457"/>
    <cellStyle name="Normal 2 2 2 3 2 2 2 2 4 2 2 5 2" xfId="12458"/>
    <cellStyle name="Normal 2 2 2 3 2 2 2 2 4 2 2 6" xfId="12459"/>
    <cellStyle name="Normal 2 2 2 3 2 2 2 2 4 2 2 6 2" xfId="12460"/>
    <cellStyle name="Normal 2 2 2 3 2 2 2 2 4 2 2 7" xfId="12461"/>
    <cellStyle name="Normal 2 2 2 3 2 2 2 2 4 2 2 7 2" xfId="12462"/>
    <cellStyle name="Normal 2 2 2 3 2 2 2 2 4 2 2 8" xfId="12463"/>
    <cellStyle name="Normal 2 2 2 3 2 2 2 2 4 2 2 8 2" xfId="12464"/>
    <cellStyle name="Normal 2 2 2 3 2 2 2 2 4 2 2 9" xfId="12465"/>
    <cellStyle name="Normal 2 2 2 3 2 2 2 2 4 2 2 9 2" xfId="12466"/>
    <cellStyle name="Normal 2 2 2 3 2 2 2 2 4 2 3" xfId="12467"/>
    <cellStyle name="Normal 2 2 2 3 2 2 2 2 4 2 3 2" xfId="12468"/>
    <cellStyle name="Normal 2 2 2 3 2 2 2 2 4 2 4" xfId="12469"/>
    <cellStyle name="Normal 2 2 2 3 2 2 2 2 4 2 4 2" xfId="12470"/>
    <cellStyle name="Normal 2 2 2 3 2 2 2 2 4 2 5" xfId="12471"/>
    <cellStyle name="Normal 2 2 2 3 2 2 2 2 4 2 5 2" xfId="12472"/>
    <cellStyle name="Normal 2 2 2 3 2 2 2 2 4 2 6" xfId="12473"/>
    <cellStyle name="Normal 2 2 2 3 2 2 2 2 4 2 6 2" xfId="12474"/>
    <cellStyle name="Normal 2 2 2 3 2 2 2 2 4 2 7" xfId="12475"/>
    <cellStyle name="Normal 2 2 2 3 2 2 2 2 4 2 7 2" xfId="12476"/>
    <cellStyle name="Normal 2 2 2 3 2 2 2 2 4 2 8" xfId="12477"/>
    <cellStyle name="Normal 2 2 2 3 2 2 2 2 4 2 8 2" xfId="12478"/>
    <cellStyle name="Normal 2 2 2 3 2 2 2 2 4 2 9" xfId="12479"/>
    <cellStyle name="Normal 2 2 2 3 2 2 2 2 4 2 9 2" xfId="12480"/>
    <cellStyle name="Normal 2 2 2 3 2 2 2 2 4 3" xfId="12481"/>
    <cellStyle name="Normal 2 2 2 3 2 2 2 2 4 3 10" xfId="12482"/>
    <cellStyle name="Normal 2 2 2 3 2 2 2 2 4 3 10 2" xfId="12483"/>
    <cellStyle name="Normal 2 2 2 3 2 2 2 2 4 3 11" xfId="12484"/>
    <cellStyle name="Normal 2 2 2 3 2 2 2 2 4 3 2" xfId="12485"/>
    <cellStyle name="Normal 2 2 2 3 2 2 2 2 4 3 2 2" xfId="12486"/>
    <cellStyle name="Normal 2 2 2 3 2 2 2 2 4 3 3" xfId="12487"/>
    <cellStyle name="Normal 2 2 2 3 2 2 2 2 4 3 3 2" xfId="12488"/>
    <cellStyle name="Normal 2 2 2 3 2 2 2 2 4 3 4" xfId="12489"/>
    <cellStyle name="Normal 2 2 2 3 2 2 2 2 4 3 4 2" xfId="12490"/>
    <cellStyle name="Normal 2 2 2 3 2 2 2 2 4 3 5" xfId="12491"/>
    <cellStyle name="Normal 2 2 2 3 2 2 2 2 4 3 5 2" xfId="12492"/>
    <cellStyle name="Normal 2 2 2 3 2 2 2 2 4 3 6" xfId="12493"/>
    <cellStyle name="Normal 2 2 2 3 2 2 2 2 4 3 6 2" xfId="12494"/>
    <cellStyle name="Normal 2 2 2 3 2 2 2 2 4 3 7" xfId="12495"/>
    <cellStyle name="Normal 2 2 2 3 2 2 2 2 4 3 7 2" xfId="12496"/>
    <cellStyle name="Normal 2 2 2 3 2 2 2 2 4 3 8" xfId="12497"/>
    <cellStyle name="Normal 2 2 2 3 2 2 2 2 4 3 8 2" xfId="12498"/>
    <cellStyle name="Normal 2 2 2 3 2 2 2 2 4 3 9" xfId="12499"/>
    <cellStyle name="Normal 2 2 2 3 2 2 2 2 4 3 9 2" xfId="12500"/>
    <cellStyle name="Normal 2 2 2 3 2 2 2 2 4 4" xfId="12501"/>
    <cellStyle name="Normal 2 2 2 3 2 2 2 2 4 4 2" xfId="12502"/>
    <cellStyle name="Normal 2 2 2 3 2 2 2 2 4 5" xfId="12503"/>
    <cellStyle name="Normal 2 2 2 3 2 2 2 2 4 5 2" xfId="12504"/>
    <cellStyle name="Normal 2 2 2 3 2 2 2 2 4 6" xfId="12505"/>
    <cellStyle name="Normal 2 2 2 3 2 2 2 2 4 6 2" xfId="12506"/>
    <cellStyle name="Normal 2 2 2 3 2 2 2 2 4 7" xfId="12507"/>
    <cellStyle name="Normal 2 2 2 3 2 2 2 2 4 7 2" xfId="12508"/>
    <cellStyle name="Normal 2 2 2 3 2 2 2 2 4 8" xfId="12509"/>
    <cellStyle name="Normal 2 2 2 3 2 2 2 2 4 8 2" xfId="12510"/>
    <cellStyle name="Normal 2 2 2 3 2 2 2 2 4 9" xfId="12511"/>
    <cellStyle name="Normal 2 2 2 3 2 2 2 2 4 9 2" xfId="12512"/>
    <cellStyle name="Normal 2 2 2 3 2 2 2 2 5" xfId="12513"/>
    <cellStyle name="Normal 2 2 2 3 2 2 2 2 5 10" xfId="12514"/>
    <cellStyle name="Normal 2 2 2 3 2 2 2 2 5 10 2" xfId="12515"/>
    <cellStyle name="Normal 2 2 2 3 2 2 2 2 5 11" xfId="12516"/>
    <cellStyle name="Normal 2 2 2 3 2 2 2 2 5 11 2" xfId="12517"/>
    <cellStyle name="Normal 2 2 2 3 2 2 2 2 5 12" xfId="12518"/>
    <cellStyle name="Normal 2 2 2 3 2 2 2 2 5 12 2" xfId="12519"/>
    <cellStyle name="Normal 2 2 2 3 2 2 2 2 5 13" xfId="12520"/>
    <cellStyle name="Normal 2 2 2 3 2 2 2 2 5 2" xfId="12521"/>
    <cellStyle name="Normal 2 2 2 3 2 2 2 2 5 2 10" xfId="12522"/>
    <cellStyle name="Normal 2 2 2 3 2 2 2 2 5 2 10 2" xfId="12523"/>
    <cellStyle name="Normal 2 2 2 3 2 2 2 2 5 2 11" xfId="12524"/>
    <cellStyle name="Normal 2 2 2 3 2 2 2 2 5 2 11 2" xfId="12525"/>
    <cellStyle name="Normal 2 2 2 3 2 2 2 2 5 2 12" xfId="12526"/>
    <cellStyle name="Normal 2 2 2 3 2 2 2 2 5 2 2" xfId="12527"/>
    <cellStyle name="Normal 2 2 2 3 2 2 2 2 5 2 2 10" xfId="12528"/>
    <cellStyle name="Normal 2 2 2 3 2 2 2 2 5 2 2 10 2" xfId="12529"/>
    <cellStyle name="Normal 2 2 2 3 2 2 2 2 5 2 2 11" xfId="12530"/>
    <cellStyle name="Normal 2 2 2 3 2 2 2 2 5 2 2 2" xfId="12531"/>
    <cellStyle name="Normal 2 2 2 3 2 2 2 2 5 2 2 2 2" xfId="12532"/>
    <cellStyle name="Normal 2 2 2 3 2 2 2 2 5 2 2 3" xfId="12533"/>
    <cellStyle name="Normal 2 2 2 3 2 2 2 2 5 2 2 3 2" xfId="12534"/>
    <cellStyle name="Normal 2 2 2 3 2 2 2 2 5 2 2 4" xfId="12535"/>
    <cellStyle name="Normal 2 2 2 3 2 2 2 2 5 2 2 4 2" xfId="12536"/>
    <cellStyle name="Normal 2 2 2 3 2 2 2 2 5 2 2 5" xfId="12537"/>
    <cellStyle name="Normal 2 2 2 3 2 2 2 2 5 2 2 5 2" xfId="12538"/>
    <cellStyle name="Normal 2 2 2 3 2 2 2 2 5 2 2 6" xfId="12539"/>
    <cellStyle name="Normal 2 2 2 3 2 2 2 2 5 2 2 6 2" xfId="12540"/>
    <cellStyle name="Normal 2 2 2 3 2 2 2 2 5 2 2 7" xfId="12541"/>
    <cellStyle name="Normal 2 2 2 3 2 2 2 2 5 2 2 7 2" xfId="12542"/>
    <cellStyle name="Normal 2 2 2 3 2 2 2 2 5 2 2 8" xfId="12543"/>
    <cellStyle name="Normal 2 2 2 3 2 2 2 2 5 2 2 8 2" xfId="12544"/>
    <cellStyle name="Normal 2 2 2 3 2 2 2 2 5 2 2 9" xfId="12545"/>
    <cellStyle name="Normal 2 2 2 3 2 2 2 2 5 2 2 9 2" xfId="12546"/>
    <cellStyle name="Normal 2 2 2 3 2 2 2 2 5 2 3" xfId="12547"/>
    <cellStyle name="Normal 2 2 2 3 2 2 2 2 5 2 3 2" xfId="12548"/>
    <cellStyle name="Normal 2 2 2 3 2 2 2 2 5 2 4" xfId="12549"/>
    <cellStyle name="Normal 2 2 2 3 2 2 2 2 5 2 4 2" xfId="12550"/>
    <cellStyle name="Normal 2 2 2 3 2 2 2 2 5 2 5" xfId="12551"/>
    <cellStyle name="Normal 2 2 2 3 2 2 2 2 5 2 5 2" xfId="12552"/>
    <cellStyle name="Normal 2 2 2 3 2 2 2 2 5 2 6" xfId="12553"/>
    <cellStyle name="Normal 2 2 2 3 2 2 2 2 5 2 6 2" xfId="12554"/>
    <cellStyle name="Normal 2 2 2 3 2 2 2 2 5 2 7" xfId="12555"/>
    <cellStyle name="Normal 2 2 2 3 2 2 2 2 5 2 7 2" xfId="12556"/>
    <cellStyle name="Normal 2 2 2 3 2 2 2 2 5 2 8" xfId="12557"/>
    <cellStyle name="Normal 2 2 2 3 2 2 2 2 5 2 8 2" xfId="12558"/>
    <cellStyle name="Normal 2 2 2 3 2 2 2 2 5 2 9" xfId="12559"/>
    <cellStyle name="Normal 2 2 2 3 2 2 2 2 5 2 9 2" xfId="12560"/>
    <cellStyle name="Normal 2 2 2 3 2 2 2 2 5 3" xfId="12561"/>
    <cellStyle name="Normal 2 2 2 3 2 2 2 2 5 3 10" xfId="12562"/>
    <cellStyle name="Normal 2 2 2 3 2 2 2 2 5 3 10 2" xfId="12563"/>
    <cellStyle name="Normal 2 2 2 3 2 2 2 2 5 3 11" xfId="12564"/>
    <cellStyle name="Normal 2 2 2 3 2 2 2 2 5 3 2" xfId="12565"/>
    <cellStyle name="Normal 2 2 2 3 2 2 2 2 5 3 2 2" xfId="12566"/>
    <cellStyle name="Normal 2 2 2 3 2 2 2 2 5 3 3" xfId="12567"/>
    <cellStyle name="Normal 2 2 2 3 2 2 2 2 5 3 3 2" xfId="12568"/>
    <cellStyle name="Normal 2 2 2 3 2 2 2 2 5 3 4" xfId="12569"/>
    <cellStyle name="Normal 2 2 2 3 2 2 2 2 5 3 4 2" xfId="12570"/>
    <cellStyle name="Normal 2 2 2 3 2 2 2 2 5 3 5" xfId="12571"/>
    <cellStyle name="Normal 2 2 2 3 2 2 2 2 5 3 5 2" xfId="12572"/>
    <cellStyle name="Normal 2 2 2 3 2 2 2 2 5 3 6" xfId="12573"/>
    <cellStyle name="Normal 2 2 2 3 2 2 2 2 5 3 6 2" xfId="12574"/>
    <cellStyle name="Normal 2 2 2 3 2 2 2 2 5 3 7" xfId="12575"/>
    <cellStyle name="Normal 2 2 2 3 2 2 2 2 5 3 7 2" xfId="12576"/>
    <cellStyle name="Normal 2 2 2 3 2 2 2 2 5 3 8" xfId="12577"/>
    <cellStyle name="Normal 2 2 2 3 2 2 2 2 5 3 8 2" xfId="12578"/>
    <cellStyle name="Normal 2 2 2 3 2 2 2 2 5 3 9" xfId="12579"/>
    <cellStyle name="Normal 2 2 2 3 2 2 2 2 5 3 9 2" xfId="12580"/>
    <cellStyle name="Normal 2 2 2 3 2 2 2 2 5 4" xfId="12581"/>
    <cellStyle name="Normal 2 2 2 3 2 2 2 2 5 4 2" xfId="12582"/>
    <cellStyle name="Normal 2 2 2 3 2 2 2 2 5 5" xfId="12583"/>
    <cellStyle name="Normal 2 2 2 3 2 2 2 2 5 5 2" xfId="12584"/>
    <cellStyle name="Normal 2 2 2 3 2 2 2 2 5 6" xfId="12585"/>
    <cellStyle name="Normal 2 2 2 3 2 2 2 2 5 6 2" xfId="12586"/>
    <cellStyle name="Normal 2 2 2 3 2 2 2 2 5 7" xfId="12587"/>
    <cellStyle name="Normal 2 2 2 3 2 2 2 2 5 7 2" xfId="12588"/>
    <cellStyle name="Normal 2 2 2 3 2 2 2 2 5 8" xfId="12589"/>
    <cellStyle name="Normal 2 2 2 3 2 2 2 2 5 8 2" xfId="12590"/>
    <cellStyle name="Normal 2 2 2 3 2 2 2 2 5 9" xfId="12591"/>
    <cellStyle name="Normal 2 2 2 3 2 2 2 2 5 9 2" xfId="12592"/>
    <cellStyle name="Normal 2 2 2 3 2 2 2 2 6" xfId="41877"/>
    <cellStyle name="Normal 2 2 2 3 2 2 2 3" xfId="12593"/>
    <cellStyle name="Normal 2 2 2 3 2 2 2 3 2" xfId="41878"/>
    <cellStyle name="Normal 2 2 2 3 2 2 2 4" xfId="12594"/>
    <cellStyle name="Normal 2 2 2 3 2 2 2 4 2" xfId="41879"/>
    <cellStyle name="Normal 2 2 2 3 2 2 2 5" xfId="12595"/>
    <cellStyle name="Normal 2 2 2 3 2 2 2 5 2" xfId="41880"/>
    <cellStyle name="Normal 2 2 2 3 2 2 2 6" xfId="12596"/>
    <cellStyle name="Normal 2 2 2 3 2 2 2 6 10" xfId="12597"/>
    <cellStyle name="Normal 2 2 2 3 2 2 2 6 10 2" xfId="12598"/>
    <cellStyle name="Normal 2 2 2 3 2 2 2 6 11" xfId="12599"/>
    <cellStyle name="Normal 2 2 2 3 2 2 2 6 11 2" xfId="12600"/>
    <cellStyle name="Normal 2 2 2 3 2 2 2 6 12" xfId="12601"/>
    <cellStyle name="Normal 2 2 2 3 2 2 2 6 2" xfId="12602"/>
    <cellStyle name="Normal 2 2 2 3 2 2 2 6 2 10" xfId="12603"/>
    <cellStyle name="Normal 2 2 2 3 2 2 2 6 2 10 2" xfId="12604"/>
    <cellStyle name="Normal 2 2 2 3 2 2 2 6 2 11" xfId="12605"/>
    <cellStyle name="Normal 2 2 2 3 2 2 2 6 2 2" xfId="12606"/>
    <cellStyle name="Normal 2 2 2 3 2 2 2 6 2 2 2" xfId="12607"/>
    <cellStyle name="Normal 2 2 2 3 2 2 2 6 2 3" xfId="12608"/>
    <cellStyle name="Normal 2 2 2 3 2 2 2 6 2 3 2" xfId="12609"/>
    <cellStyle name="Normal 2 2 2 3 2 2 2 6 2 4" xfId="12610"/>
    <cellStyle name="Normal 2 2 2 3 2 2 2 6 2 4 2" xfId="12611"/>
    <cellStyle name="Normal 2 2 2 3 2 2 2 6 2 5" xfId="12612"/>
    <cellStyle name="Normal 2 2 2 3 2 2 2 6 2 5 2" xfId="12613"/>
    <cellStyle name="Normal 2 2 2 3 2 2 2 6 2 6" xfId="12614"/>
    <cellStyle name="Normal 2 2 2 3 2 2 2 6 2 6 2" xfId="12615"/>
    <cellStyle name="Normal 2 2 2 3 2 2 2 6 2 7" xfId="12616"/>
    <cellStyle name="Normal 2 2 2 3 2 2 2 6 2 7 2" xfId="12617"/>
    <cellStyle name="Normal 2 2 2 3 2 2 2 6 2 8" xfId="12618"/>
    <cellStyle name="Normal 2 2 2 3 2 2 2 6 2 8 2" xfId="12619"/>
    <cellStyle name="Normal 2 2 2 3 2 2 2 6 2 9" xfId="12620"/>
    <cellStyle name="Normal 2 2 2 3 2 2 2 6 2 9 2" xfId="12621"/>
    <cellStyle name="Normal 2 2 2 3 2 2 2 6 3" xfId="12622"/>
    <cellStyle name="Normal 2 2 2 3 2 2 2 6 3 2" xfId="12623"/>
    <cellStyle name="Normal 2 2 2 3 2 2 2 6 4" xfId="12624"/>
    <cellStyle name="Normal 2 2 2 3 2 2 2 6 4 2" xfId="12625"/>
    <cellStyle name="Normal 2 2 2 3 2 2 2 6 5" xfId="12626"/>
    <cellStyle name="Normal 2 2 2 3 2 2 2 6 5 2" xfId="12627"/>
    <cellStyle name="Normal 2 2 2 3 2 2 2 6 6" xfId="12628"/>
    <cellStyle name="Normal 2 2 2 3 2 2 2 6 6 2" xfId="12629"/>
    <cellStyle name="Normal 2 2 2 3 2 2 2 6 7" xfId="12630"/>
    <cellStyle name="Normal 2 2 2 3 2 2 2 6 7 2" xfId="12631"/>
    <cellStyle name="Normal 2 2 2 3 2 2 2 6 8" xfId="12632"/>
    <cellStyle name="Normal 2 2 2 3 2 2 2 6 8 2" xfId="12633"/>
    <cellStyle name="Normal 2 2 2 3 2 2 2 6 9" xfId="12634"/>
    <cellStyle name="Normal 2 2 2 3 2 2 2 6 9 2" xfId="12635"/>
    <cellStyle name="Normal 2 2 2 3 2 2 2 7" xfId="12636"/>
    <cellStyle name="Normal 2 2 2 3 2 2 2 7 10" xfId="12637"/>
    <cellStyle name="Normal 2 2 2 3 2 2 2 7 10 2" xfId="12638"/>
    <cellStyle name="Normal 2 2 2 3 2 2 2 7 11" xfId="12639"/>
    <cellStyle name="Normal 2 2 2 3 2 2 2 7 2" xfId="12640"/>
    <cellStyle name="Normal 2 2 2 3 2 2 2 7 2 2" xfId="12641"/>
    <cellStyle name="Normal 2 2 2 3 2 2 2 7 3" xfId="12642"/>
    <cellStyle name="Normal 2 2 2 3 2 2 2 7 3 2" xfId="12643"/>
    <cellStyle name="Normal 2 2 2 3 2 2 2 7 4" xfId="12644"/>
    <cellStyle name="Normal 2 2 2 3 2 2 2 7 4 2" xfId="12645"/>
    <cellStyle name="Normal 2 2 2 3 2 2 2 7 5" xfId="12646"/>
    <cellStyle name="Normal 2 2 2 3 2 2 2 7 5 2" xfId="12647"/>
    <cellStyle name="Normal 2 2 2 3 2 2 2 7 6" xfId="12648"/>
    <cellStyle name="Normal 2 2 2 3 2 2 2 7 6 2" xfId="12649"/>
    <cellStyle name="Normal 2 2 2 3 2 2 2 7 7" xfId="12650"/>
    <cellStyle name="Normal 2 2 2 3 2 2 2 7 7 2" xfId="12651"/>
    <cellStyle name="Normal 2 2 2 3 2 2 2 7 8" xfId="12652"/>
    <cellStyle name="Normal 2 2 2 3 2 2 2 7 8 2" xfId="12653"/>
    <cellStyle name="Normal 2 2 2 3 2 2 2 7 9" xfId="12654"/>
    <cellStyle name="Normal 2 2 2 3 2 2 2 7 9 2" xfId="12655"/>
    <cellStyle name="Normal 2 2 2 3 2 2 2 8" xfId="12656"/>
    <cellStyle name="Normal 2 2 2 3 2 2 2 8 2" xfId="12657"/>
    <cellStyle name="Normal 2 2 2 3 2 2 2 9" xfId="12658"/>
    <cellStyle name="Normal 2 2 2 3 2 2 2 9 2" xfId="12659"/>
    <cellStyle name="Normal 2 2 2 3 2 2 3" xfId="12660"/>
    <cellStyle name="Normal 2 2 2 3 2 2 3 10" xfId="12661"/>
    <cellStyle name="Normal 2 2 2 3 2 2 3 10 2" xfId="12662"/>
    <cellStyle name="Normal 2 2 2 3 2 2 3 11" xfId="12663"/>
    <cellStyle name="Normal 2 2 2 3 2 2 3 11 2" xfId="12664"/>
    <cellStyle name="Normal 2 2 2 3 2 2 3 12" xfId="12665"/>
    <cellStyle name="Normal 2 2 2 3 2 2 3 12 2" xfId="12666"/>
    <cellStyle name="Normal 2 2 2 3 2 2 3 13" xfId="12667"/>
    <cellStyle name="Normal 2 2 2 3 2 2 3 2" xfId="12668"/>
    <cellStyle name="Normal 2 2 2 3 2 2 3 2 10" xfId="12669"/>
    <cellStyle name="Normal 2 2 2 3 2 2 3 2 10 2" xfId="12670"/>
    <cellStyle name="Normal 2 2 2 3 2 2 3 2 11" xfId="12671"/>
    <cellStyle name="Normal 2 2 2 3 2 2 3 2 11 2" xfId="12672"/>
    <cellStyle name="Normal 2 2 2 3 2 2 3 2 12" xfId="12673"/>
    <cellStyle name="Normal 2 2 2 3 2 2 3 2 2" xfId="12674"/>
    <cellStyle name="Normal 2 2 2 3 2 2 3 2 2 10" xfId="12675"/>
    <cellStyle name="Normal 2 2 2 3 2 2 3 2 2 10 2" xfId="12676"/>
    <cellStyle name="Normal 2 2 2 3 2 2 3 2 2 11" xfId="12677"/>
    <cellStyle name="Normal 2 2 2 3 2 2 3 2 2 2" xfId="12678"/>
    <cellStyle name="Normal 2 2 2 3 2 2 3 2 2 2 2" xfId="12679"/>
    <cellStyle name="Normal 2 2 2 3 2 2 3 2 2 3" xfId="12680"/>
    <cellStyle name="Normal 2 2 2 3 2 2 3 2 2 3 2" xfId="12681"/>
    <cellStyle name="Normal 2 2 2 3 2 2 3 2 2 4" xfId="12682"/>
    <cellStyle name="Normal 2 2 2 3 2 2 3 2 2 4 2" xfId="12683"/>
    <cellStyle name="Normal 2 2 2 3 2 2 3 2 2 5" xfId="12684"/>
    <cellStyle name="Normal 2 2 2 3 2 2 3 2 2 5 2" xfId="12685"/>
    <cellStyle name="Normal 2 2 2 3 2 2 3 2 2 6" xfId="12686"/>
    <cellStyle name="Normal 2 2 2 3 2 2 3 2 2 6 2" xfId="12687"/>
    <cellStyle name="Normal 2 2 2 3 2 2 3 2 2 7" xfId="12688"/>
    <cellStyle name="Normal 2 2 2 3 2 2 3 2 2 7 2" xfId="12689"/>
    <cellStyle name="Normal 2 2 2 3 2 2 3 2 2 8" xfId="12690"/>
    <cellStyle name="Normal 2 2 2 3 2 2 3 2 2 8 2" xfId="12691"/>
    <cellStyle name="Normal 2 2 2 3 2 2 3 2 2 9" xfId="12692"/>
    <cellStyle name="Normal 2 2 2 3 2 2 3 2 2 9 2" xfId="12693"/>
    <cellStyle name="Normal 2 2 2 3 2 2 3 2 3" xfId="12694"/>
    <cellStyle name="Normal 2 2 2 3 2 2 3 2 3 2" xfId="12695"/>
    <cellStyle name="Normal 2 2 2 3 2 2 3 2 4" xfId="12696"/>
    <cellStyle name="Normal 2 2 2 3 2 2 3 2 4 2" xfId="12697"/>
    <cellStyle name="Normal 2 2 2 3 2 2 3 2 5" xfId="12698"/>
    <cellStyle name="Normal 2 2 2 3 2 2 3 2 5 2" xfId="12699"/>
    <cellStyle name="Normal 2 2 2 3 2 2 3 2 6" xfId="12700"/>
    <cellStyle name="Normal 2 2 2 3 2 2 3 2 6 2" xfId="12701"/>
    <cellStyle name="Normal 2 2 2 3 2 2 3 2 7" xfId="12702"/>
    <cellStyle name="Normal 2 2 2 3 2 2 3 2 7 2" xfId="12703"/>
    <cellStyle name="Normal 2 2 2 3 2 2 3 2 8" xfId="12704"/>
    <cellStyle name="Normal 2 2 2 3 2 2 3 2 8 2" xfId="12705"/>
    <cellStyle name="Normal 2 2 2 3 2 2 3 2 9" xfId="12706"/>
    <cellStyle name="Normal 2 2 2 3 2 2 3 2 9 2" xfId="12707"/>
    <cellStyle name="Normal 2 2 2 3 2 2 3 3" xfId="12708"/>
    <cellStyle name="Normal 2 2 2 3 2 2 3 3 10" xfId="12709"/>
    <cellStyle name="Normal 2 2 2 3 2 2 3 3 10 2" xfId="12710"/>
    <cellStyle name="Normal 2 2 2 3 2 2 3 3 11" xfId="12711"/>
    <cellStyle name="Normal 2 2 2 3 2 2 3 3 2" xfId="12712"/>
    <cellStyle name="Normal 2 2 2 3 2 2 3 3 2 2" xfId="12713"/>
    <cellStyle name="Normal 2 2 2 3 2 2 3 3 3" xfId="12714"/>
    <cellStyle name="Normal 2 2 2 3 2 2 3 3 3 2" xfId="12715"/>
    <cellStyle name="Normal 2 2 2 3 2 2 3 3 4" xfId="12716"/>
    <cellStyle name="Normal 2 2 2 3 2 2 3 3 4 2" xfId="12717"/>
    <cellStyle name="Normal 2 2 2 3 2 2 3 3 5" xfId="12718"/>
    <cellStyle name="Normal 2 2 2 3 2 2 3 3 5 2" xfId="12719"/>
    <cellStyle name="Normal 2 2 2 3 2 2 3 3 6" xfId="12720"/>
    <cellStyle name="Normal 2 2 2 3 2 2 3 3 6 2" xfId="12721"/>
    <cellStyle name="Normal 2 2 2 3 2 2 3 3 7" xfId="12722"/>
    <cellStyle name="Normal 2 2 2 3 2 2 3 3 7 2" xfId="12723"/>
    <cellStyle name="Normal 2 2 2 3 2 2 3 3 8" xfId="12724"/>
    <cellStyle name="Normal 2 2 2 3 2 2 3 3 8 2" xfId="12725"/>
    <cellStyle name="Normal 2 2 2 3 2 2 3 3 9" xfId="12726"/>
    <cellStyle name="Normal 2 2 2 3 2 2 3 3 9 2" xfId="12727"/>
    <cellStyle name="Normal 2 2 2 3 2 2 3 4" xfId="12728"/>
    <cellStyle name="Normal 2 2 2 3 2 2 3 4 2" xfId="12729"/>
    <cellStyle name="Normal 2 2 2 3 2 2 3 5" xfId="12730"/>
    <cellStyle name="Normal 2 2 2 3 2 2 3 5 2" xfId="12731"/>
    <cellStyle name="Normal 2 2 2 3 2 2 3 6" xfId="12732"/>
    <cellStyle name="Normal 2 2 2 3 2 2 3 6 2" xfId="12733"/>
    <cellStyle name="Normal 2 2 2 3 2 2 3 7" xfId="12734"/>
    <cellStyle name="Normal 2 2 2 3 2 2 3 7 2" xfId="12735"/>
    <cellStyle name="Normal 2 2 2 3 2 2 3 8" xfId="12736"/>
    <cellStyle name="Normal 2 2 2 3 2 2 3 8 2" xfId="12737"/>
    <cellStyle name="Normal 2 2 2 3 2 2 3 9" xfId="12738"/>
    <cellStyle name="Normal 2 2 2 3 2 2 3 9 2" xfId="12739"/>
    <cellStyle name="Normal 2 2 2 3 2 2 4" xfId="12740"/>
    <cellStyle name="Normal 2 2 2 3 2 2 4 10" xfId="12741"/>
    <cellStyle name="Normal 2 2 2 3 2 2 4 10 2" xfId="12742"/>
    <cellStyle name="Normal 2 2 2 3 2 2 4 11" xfId="12743"/>
    <cellStyle name="Normal 2 2 2 3 2 2 4 11 2" xfId="12744"/>
    <cellStyle name="Normal 2 2 2 3 2 2 4 12" xfId="12745"/>
    <cellStyle name="Normal 2 2 2 3 2 2 4 12 2" xfId="12746"/>
    <cellStyle name="Normal 2 2 2 3 2 2 4 13" xfId="12747"/>
    <cellStyle name="Normal 2 2 2 3 2 2 4 2" xfId="12748"/>
    <cellStyle name="Normal 2 2 2 3 2 2 4 2 10" xfId="12749"/>
    <cellStyle name="Normal 2 2 2 3 2 2 4 2 10 2" xfId="12750"/>
    <cellStyle name="Normal 2 2 2 3 2 2 4 2 11" xfId="12751"/>
    <cellStyle name="Normal 2 2 2 3 2 2 4 2 11 2" xfId="12752"/>
    <cellStyle name="Normal 2 2 2 3 2 2 4 2 12" xfId="12753"/>
    <cellStyle name="Normal 2 2 2 3 2 2 4 2 2" xfId="12754"/>
    <cellStyle name="Normal 2 2 2 3 2 2 4 2 2 10" xfId="12755"/>
    <cellStyle name="Normal 2 2 2 3 2 2 4 2 2 10 2" xfId="12756"/>
    <cellStyle name="Normal 2 2 2 3 2 2 4 2 2 11" xfId="12757"/>
    <cellStyle name="Normal 2 2 2 3 2 2 4 2 2 2" xfId="12758"/>
    <cellStyle name="Normal 2 2 2 3 2 2 4 2 2 2 2" xfId="12759"/>
    <cellStyle name="Normal 2 2 2 3 2 2 4 2 2 3" xfId="12760"/>
    <cellStyle name="Normal 2 2 2 3 2 2 4 2 2 3 2" xfId="12761"/>
    <cellStyle name="Normal 2 2 2 3 2 2 4 2 2 4" xfId="12762"/>
    <cellStyle name="Normal 2 2 2 3 2 2 4 2 2 4 2" xfId="12763"/>
    <cellStyle name="Normal 2 2 2 3 2 2 4 2 2 5" xfId="12764"/>
    <cellStyle name="Normal 2 2 2 3 2 2 4 2 2 5 2" xfId="12765"/>
    <cellStyle name="Normal 2 2 2 3 2 2 4 2 2 6" xfId="12766"/>
    <cellStyle name="Normal 2 2 2 3 2 2 4 2 2 6 2" xfId="12767"/>
    <cellStyle name="Normal 2 2 2 3 2 2 4 2 2 7" xfId="12768"/>
    <cellStyle name="Normal 2 2 2 3 2 2 4 2 2 7 2" xfId="12769"/>
    <cellStyle name="Normal 2 2 2 3 2 2 4 2 2 8" xfId="12770"/>
    <cellStyle name="Normal 2 2 2 3 2 2 4 2 2 8 2" xfId="12771"/>
    <cellStyle name="Normal 2 2 2 3 2 2 4 2 2 9" xfId="12772"/>
    <cellStyle name="Normal 2 2 2 3 2 2 4 2 2 9 2" xfId="12773"/>
    <cellStyle name="Normal 2 2 2 3 2 2 4 2 3" xfId="12774"/>
    <cellStyle name="Normal 2 2 2 3 2 2 4 2 3 2" xfId="12775"/>
    <cellStyle name="Normal 2 2 2 3 2 2 4 2 4" xfId="12776"/>
    <cellStyle name="Normal 2 2 2 3 2 2 4 2 4 2" xfId="12777"/>
    <cellStyle name="Normal 2 2 2 3 2 2 4 2 5" xfId="12778"/>
    <cellStyle name="Normal 2 2 2 3 2 2 4 2 5 2" xfId="12779"/>
    <cellStyle name="Normal 2 2 2 3 2 2 4 2 6" xfId="12780"/>
    <cellStyle name="Normal 2 2 2 3 2 2 4 2 6 2" xfId="12781"/>
    <cellStyle name="Normal 2 2 2 3 2 2 4 2 7" xfId="12782"/>
    <cellStyle name="Normal 2 2 2 3 2 2 4 2 7 2" xfId="12783"/>
    <cellStyle name="Normal 2 2 2 3 2 2 4 2 8" xfId="12784"/>
    <cellStyle name="Normal 2 2 2 3 2 2 4 2 8 2" xfId="12785"/>
    <cellStyle name="Normal 2 2 2 3 2 2 4 2 9" xfId="12786"/>
    <cellStyle name="Normal 2 2 2 3 2 2 4 2 9 2" xfId="12787"/>
    <cellStyle name="Normal 2 2 2 3 2 2 4 3" xfId="12788"/>
    <cellStyle name="Normal 2 2 2 3 2 2 4 3 10" xfId="12789"/>
    <cellStyle name="Normal 2 2 2 3 2 2 4 3 10 2" xfId="12790"/>
    <cellStyle name="Normal 2 2 2 3 2 2 4 3 11" xfId="12791"/>
    <cellStyle name="Normal 2 2 2 3 2 2 4 3 2" xfId="12792"/>
    <cellStyle name="Normal 2 2 2 3 2 2 4 3 2 2" xfId="12793"/>
    <cellStyle name="Normal 2 2 2 3 2 2 4 3 3" xfId="12794"/>
    <cellStyle name="Normal 2 2 2 3 2 2 4 3 3 2" xfId="12795"/>
    <cellStyle name="Normal 2 2 2 3 2 2 4 3 4" xfId="12796"/>
    <cellStyle name="Normal 2 2 2 3 2 2 4 3 4 2" xfId="12797"/>
    <cellStyle name="Normal 2 2 2 3 2 2 4 3 5" xfId="12798"/>
    <cellStyle name="Normal 2 2 2 3 2 2 4 3 5 2" xfId="12799"/>
    <cellStyle name="Normal 2 2 2 3 2 2 4 3 6" xfId="12800"/>
    <cellStyle name="Normal 2 2 2 3 2 2 4 3 6 2" xfId="12801"/>
    <cellStyle name="Normal 2 2 2 3 2 2 4 3 7" xfId="12802"/>
    <cellStyle name="Normal 2 2 2 3 2 2 4 3 7 2" xfId="12803"/>
    <cellStyle name="Normal 2 2 2 3 2 2 4 3 8" xfId="12804"/>
    <cellStyle name="Normal 2 2 2 3 2 2 4 3 8 2" xfId="12805"/>
    <cellStyle name="Normal 2 2 2 3 2 2 4 3 9" xfId="12806"/>
    <cellStyle name="Normal 2 2 2 3 2 2 4 3 9 2" xfId="12807"/>
    <cellStyle name="Normal 2 2 2 3 2 2 4 4" xfId="12808"/>
    <cellStyle name="Normal 2 2 2 3 2 2 4 4 2" xfId="12809"/>
    <cellStyle name="Normal 2 2 2 3 2 2 4 5" xfId="12810"/>
    <cellStyle name="Normal 2 2 2 3 2 2 4 5 2" xfId="12811"/>
    <cellStyle name="Normal 2 2 2 3 2 2 4 6" xfId="12812"/>
    <cellStyle name="Normal 2 2 2 3 2 2 4 6 2" xfId="12813"/>
    <cellStyle name="Normal 2 2 2 3 2 2 4 7" xfId="12814"/>
    <cellStyle name="Normal 2 2 2 3 2 2 4 7 2" xfId="12815"/>
    <cellStyle name="Normal 2 2 2 3 2 2 4 8" xfId="12816"/>
    <cellStyle name="Normal 2 2 2 3 2 2 4 8 2" xfId="12817"/>
    <cellStyle name="Normal 2 2 2 3 2 2 4 9" xfId="12818"/>
    <cellStyle name="Normal 2 2 2 3 2 2 4 9 2" xfId="12819"/>
    <cellStyle name="Normal 2 2 2 3 2 2 5" xfId="12820"/>
    <cellStyle name="Normal 2 2 2 3 2 2 5 10" xfId="12821"/>
    <cellStyle name="Normal 2 2 2 3 2 2 5 10 2" xfId="12822"/>
    <cellStyle name="Normal 2 2 2 3 2 2 5 11" xfId="12823"/>
    <cellStyle name="Normal 2 2 2 3 2 2 5 11 2" xfId="12824"/>
    <cellStyle name="Normal 2 2 2 3 2 2 5 12" xfId="12825"/>
    <cellStyle name="Normal 2 2 2 3 2 2 5 12 2" xfId="12826"/>
    <cellStyle name="Normal 2 2 2 3 2 2 5 13" xfId="12827"/>
    <cellStyle name="Normal 2 2 2 3 2 2 5 2" xfId="12828"/>
    <cellStyle name="Normal 2 2 2 3 2 2 5 2 10" xfId="12829"/>
    <cellStyle name="Normal 2 2 2 3 2 2 5 2 10 2" xfId="12830"/>
    <cellStyle name="Normal 2 2 2 3 2 2 5 2 11" xfId="12831"/>
    <cellStyle name="Normal 2 2 2 3 2 2 5 2 11 2" xfId="12832"/>
    <cellStyle name="Normal 2 2 2 3 2 2 5 2 12" xfId="12833"/>
    <cellStyle name="Normal 2 2 2 3 2 2 5 2 2" xfId="12834"/>
    <cellStyle name="Normal 2 2 2 3 2 2 5 2 2 10" xfId="12835"/>
    <cellStyle name="Normal 2 2 2 3 2 2 5 2 2 10 2" xfId="12836"/>
    <cellStyle name="Normal 2 2 2 3 2 2 5 2 2 11" xfId="12837"/>
    <cellStyle name="Normal 2 2 2 3 2 2 5 2 2 2" xfId="12838"/>
    <cellStyle name="Normal 2 2 2 3 2 2 5 2 2 2 2" xfId="12839"/>
    <cellStyle name="Normal 2 2 2 3 2 2 5 2 2 3" xfId="12840"/>
    <cellStyle name="Normal 2 2 2 3 2 2 5 2 2 3 2" xfId="12841"/>
    <cellStyle name="Normal 2 2 2 3 2 2 5 2 2 4" xfId="12842"/>
    <cellStyle name="Normal 2 2 2 3 2 2 5 2 2 4 2" xfId="12843"/>
    <cellStyle name="Normal 2 2 2 3 2 2 5 2 2 5" xfId="12844"/>
    <cellStyle name="Normal 2 2 2 3 2 2 5 2 2 5 2" xfId="12845"/>
    <cellStyle name="Normal 2 2 2 3 2 2 5 2 2 6" xfId="12846"/>
    <cellStyle name="Normal 2 2 2 3 2 2 5 2 2 6 2" xfId="12847"/>
    <cellStyle name="Normal 2 2 2 3 2 2 5 2 2 7" xfId="12848"/>
    <cellStyle name="Normal 2 2 2 3 2 2 5 2 2 7 2" xfId="12849"/>
    <cellStyle name="Normal 2 2 2 3 2 2 5 2 2 8" xfId="12850"/>
    <cellStyle name="Normal 2 2 2 3 2 2 5 2 2 8 2" xfId="12851"/>
    <cellStyle name="Normal 2 2 2 3 2 2 5 2 2 9" xfId="12852"/>
    <cellStyle name="Normal 2 2 2 3 2 2 5 2 2 9 2" xfId="12853"/>
    <cellStyle name="Normal 2 2 2 3 2 2 5 2 3" xfId="12854"/>
    <cellStyle name="Normal 2 2 2 3 2 2 5 2 3 2" xfId="12855"/>
    <cellStyle name="Normal 2 2 2 3 2 2 5 2 4" xfId="12856"/>
    <cellStyle name="Normal 2 2 2 3 2 2 5 2 4 2" xfId="12857"/>
    <cellStyle name="Normal 2 2 2 3 2 2 5 2 5" xfId="12858"/>
    <cellStyle name="Normal 2 2 2 3 2 2 5 2 5 2" xfId="12859"/>
    <cellStyle name="Normal 2 2 2 3 2 2 5 2 6" xfId="12860"/>
    <cellStyle name="Normal 2 2 2 3 2 2 5 2 6 2" xfId="12861"/>
    <cellStyle name="Normal 2 2 2 3 2 2 5 2 7" xfId="12862"/>
    <cellStyle name="Normal 2 2 2 3 2 2 5 2 7 2" xfId="12863"/>
    <cellStyle name="Normal 2 2 2 3 2 2 5 2 8" xfId="12864"/>
    <cellStyle name="Normal 2 2 2 3 2 2 5 2 8 2" xfId="12865"/>
    <cellStyle name="Normal 2 2 2 3 2 2 5 2 9" xfId="12866"/>
    <cellStyle name="Normal 2 2 2 3 2 2 5 2 9 2" xfId="12867"/>
    <cellStyle name="Normal 2 2 2 3 2 2 5 3" xfId="12868"/>
    <cellStyle name="Normal 2 2 2 3 2 2 5 3 10" xfId="12869"/>
    <cellStyle name="Normal 2 2 2 3 2 2 5 3 10 2" xfId="12870"/>
    <cellStyle name="Normal 2 2 2 3 2 2 5 3 11" xfId="12871"/>
    <cellStyle name="Normal 2 2 2 3 2 2 5 3 2" xfId="12872"/>
    <cellStyle name="Normal 2 2 2 3 2 2 5 3 2 2" xfId="12873"/>
    <cellStyle name="Normal 2 2 2 3 2 2 5 3 3" xfId="12874"/>
    <cellStyle name="Normal 2 2 2 3 2 2 5 3 3 2" xfId="12875"/>
    <cellStyle name="Normal 2 2 2 3 2 2 5 3 4" xfId="12876"/>
    <cellStyle name="Normal 2 2 2 3 2 2 5 3 4 2" xfId="12877"/>
    <cellStyle name="Normal 2 2 2 3 2 2 5 3 5" xfId="12878"/>
    <cellStyle name="Normal 2 2 2 3 2 2 5 3 5 2" xfId="12879"/>
    <cellStyle name="Normal 2 2 2 3 2 2 5 3 6" xfId="12880"/>
    <cellStyle name="Normal 2 2 2 3 2 2 5 3 6 2" xfId="12881"/>
    <cellStyle name="Normal 2 2 2 3 2 2 5 3 7" xfId="12882"/>
    <cellStyle name="Normal 2 2 2 3 2 2 5 3 7 2" xfId="12883"/>
    <cellStyle name="Normal 2 2 2 3 2 2 5 3 8" xfId="12884"/>
    <cellStyle name="Normal 2 2 2 3 2 2 5 3 8 2" xfId="12885"/>
    <cellStyle name="Normal 2 2 2 3 2 2 5 3 9" xfId="12886"/>
    <cellStyle name="Normal 2 2 2 3 2 2 5 3 9 2" xfId="12887"/>
    <cellStyle name="Normal 2 2 2 3 2 2 5 4" xfId="12888"/>
    <cellStyle name="Normal 2 2 2 3 2 2 5 4 2" xfId="12889"/>
    <cellStyle name="Normal 2 2 2 3 2 2 5 5" xfId="12890"/>
    <cellStyle name="Normal 2 2 2 3 2 2 5 5 2" xfId="12891"/>
    <cellStyle name="Normal 2 2 2 3 2 2 5 6" xfId="12892"/>
    <cellStyle name="Normal 2 2 2 3 2 2 5 6 2" xfId="12893"/>
    <cellStyle name="Normal 2 2 2 3 2 2 5 7" xfId="12894"/>
    <cellStyle name="Normal 2 2 2 3 2 2 5 7 2" xfId="12895"/>
    <cellStyle name="Normal 2 2 2 3 2 2 5 8" xfId="12896"/>
    <cellStyle name="Normal 2 2 2 3 2 2 5 8 2" xfId="12897"/>
    <cellStyle name="Normal 2 2 2 3 2 2 5 9" xfId="12898"/>
    <cellStyle name="Normal 2 2 2 3 2 2 5 9 2" xfId="12899"/>
    <cellStyle name="Normal 2 2 2 3 2 2 6" xfId="12900"/>
    <cellStyle name="Normal 2 2 2 3 2 2 6 10" xfId="12901"/>
    <cellStyle name="Normal 2 2 2 3 2 2 6 10 2" xfId="12902"/>
    <cellStyle name="Normal 2 2 2 3 2 2 6 11" xfId="12903"/>
    <cellStyle name="Normal 2 2 2 3 2 2 6 11 2" xfId="12904"/>
    <cellStyle name="Normal 2 2 2 3 2 2 6 12" xfId="12905"/>
    <cellStyle name="Normal 2 2 2 3 2 2 6 12 2" xfId="12906"/>
    <cellStyle name="Normal 2 2 2 3 2 2 6 13" xfId="12907"/>
    <cellStyle name="Normal 2 2 2 3 2 2 6 2" xfId="12908"/>
    <cellStyle name="Normal 2 2 2 3 2 2 6 2 10" xfId="12909"/>
    <cellStyle name="Normal 2 2 2 3 2 2 6 2 10 2" xfId="12910"/>
    <cellStyle name="Normal 2 2 2 3 2 2 6 2 11" xfId="12911"/>
    <cellStyle name="Normal 2 2 2 3 2 2 6 2 11 2" xfId="12912"/>
    <cellStyle name="Normal 2 2 2 3 2 2 6 2 12" xfId="12913"/>
    <cellStyle name="Normal 2 2 2 3 2 2 6 2 2" xfId="12914"/>
    <cellStyle name="Normal 2 2 2 3 2 2 6 2 2 10" xfId="12915"/>
    <cellStyle name="Normal 2 2 2 3 2 2 6 2 2 10 2" xfId="12916"/>
    <cellStyle name="Normal 2 2 2 3 2 2 6 2 2 11" xfId="12917"/>
    <cellStyle name="Normal 2 2 2 3 2 2 6 2 2 2" xfId="12918"/>
    <cellStyle name="Normal 2 2 2 3 2 2 6 2 2 2 2" xfId="12919"/>
    <cellStyle name="Normal 2 2 2 3 2 2 6 2 2 3" xfId="12920"/>
    <cellStyle name="Normal 2 2 2 3 2 2 6 2 2 3 2" xfId="12921"/>
    <cellStyle name="Normal 2 2 2 3 2 2 6 2 2 4" xfId="12922"/>
    <cellStyle name="Normal 2 2 2 3 2 2 6 2 2 4 2" xfId="12923"/>
    <cellStyle name="Normal 2 2 2 3 2 2 6 2 2 5" xfId="12924"/>
    <cellStyle name="Normal 2 2 2 3 2 2 6 2 2 5 2" xfId="12925"/>
    <cellStyle name="Normal 2 2 2 3 2 2 6 2 2 6" xfId="12926"/>
    <cellStyle name="Normal 2 2 2 3 2 2 6 2 2 6 2" xfId="12927"/>
    <cellStyle name="Normal 2 2 2 3 2 2 6 2 2 7" xfId="12928"/>
    <cellStyle name="Normal 2 2 2 3 2 2 6 2 2 7 2" xfId="12929"/>
    <cellStyle name="Normal 2 2 2 3 2 2 6 2 2 8" xfId="12930"/>
    <cellStyle name="Normal 2 2 2 3 2 2 6 2 2 8 2" xfId="12931"/>
    <cellStyle name="Normal 2 2 2 3 2 2 6 2 2 9" xfId="12932"/>
    <cellStyle name="Normal 2 2 2 3 2 2 6 2 2 9 2" xfId="12933"/>
    <cellStyle name="Normal 2 2 2 3 2 2 6 2 3" xfId="12934"/>
    <cellStyle name="Normal 2 2 2 3 2 2 6 2 3 2" xfId="12935"/>
    <cellStyle name="Normal 2 2 2 3 2 2 6 2 4" xfId="12936"/>
    <cellStyle name="Normal 2 2 2 3 2 2 6 2 4 2" xfId="12937"/>
    <cellStyle name="Normal 2 2 2 3 2 2 6 2 5" xfId="12938"/>
    <cellStyle name="Normal 2 2 2 3 2 2 6 2 5 2" xfId="12939"/>
    <cellStyle name="Normal 2 2 2 3 2 2 6 2 6" xfId="12940"/>
    <cellStyle name="Normal 2 2 2 3 2 2 6 2 6 2" xfId="12941"/>
    <cellStyle name="Normal 2 2 2 3 2 2 6 2 7" xfId="12942"/>
    <cellStyle name="Normal 2 2 2 3 2 2 6 2 7 2" xfId="12943"/>
    <cellStyle name="Normal 2 2 2 3 2 2 6 2 8" xfId="12944"/>
    <cellStyle name="Normal 2 2 2 3 2 2 6 2 8 2" xfId="12945"/>
    <cellStyle name="Normal 2 2 2 3 2 2 6 2 9" xfId="12946"/>
    <cellStyle name="Normal 2 2 2 3 2 2 6 2 9 2" xfId="12947"/>
    <cellStyle name="Normal 2 2 2 3 2 2 6 3" xfId="12948"/>
    <cellStyle name="Normal 2 2 2 3 2 2 6 3 10" xfId="12949"/>
    <cellStyle name="Normal 2 2 2 3 2 2 6 3 10 2" xfId="12950"/>
    <cellStyle name="Normal 2 2 2 3 2 2 6 3 11" xfId="12951"/>
    <cellStyle name="Normal 2 2 2 3 2 2 6 3 2" xfId="12952"/>
    <cellStyle name="Normal 2 2 2 3 2 2 6 3 2 2" xfId="12953"/>
    <cellStyle name="Normal 2 2 2 3 2 2 6 3 3" xfId="12954"/>
    <cellStyle name="Normal 2 2 2 3 2 2 6 3 3 2" xfId="12955"/>
    <cellStyle name="Normal 2 2 2 3 2 2 6 3 4" xfId="12956"/>
    <cellStyle name="Normal 2 2 2 3 2 2 6 3 4 2" xfId="12957"/>
    <cellStyle name="Normal 2 2 2 3 2 2 6 3 5" xfId="12958"/>
    <cellStyle name="Normal 2 2 2 3 2 2 6 3 5 2" xfId="12959"/>
    <cellStyle name="Normal 2 2 2 3 2 2 6 3 6" xfId="12960"/>
    <cellStyle name="Normal 2 2 2 3 2 2 6 3 6 2" xfId="12961"/>
    <cellStyle name="Normal 2 2 2 3 2 2 6 3 7" xfId="12962"/>
    <cellStyle name="Normal 2 2 2 3 2 2 6 3 7 2" xfId="12963"/>
    <cellStyle name="Normal 2 2 2 3 2 2 6 3 8" xfId="12964"/>
    <cellStyle name="Normal 2 2 2 3 2 2 6 3 8 2" xfId="12965"/>
    <cellStyle name="Normal 2 2 2 3 2 2 6 3 9" xfId="12966"/>
    <cellStyle name="Normal 2 2 2 3 2 2 6 3 9 2" xfId="12967"/>
    <cellStyle name="Normal 2 2 2 3 2 2 6 4" xfId="12968"/>
    <cellStyle name="Normal 2 2 2 3 2 2 6 4 2" xfId="12969"/>
    <cellStyle name="Normal 2 2 2 3 2 2 6 5" xfId="12970"/>
    <cellStyle name="Normal 2 2 2 3 2 2 6 5 2" xfId="12971"/>
    <cellStyle name="Normal 2 2 2 3 2 2 6 6" xfId="12972"/>
    <cellStyle name="Normal 2 2 2 3 2 2 6 6 2" xfId="12973"/>
    <cellStyle name="Normal 2 2 2 3 2 2 6 7" xfId="12974"/>
    <cellStyle name="Normal 2 2 2 3 2 2 6 7 2" xfId="12975"/>
    <cellStyle name="Normal 2 2 2 3 2 2 6 8" xfId="12976"/>
    <cellStyle name="Normal 2 2 2 3 2 2 6 8 2" xfId="12977"/>
    <cellStyle name="Normal 2 2 2 3 2 2 6 9" xfId="12978"/>
    <cellStyle name="Normal 2 2 2 3 2 2 6 9 2" xfId="12979"/>
    <cellStyle name="Normal 2 2 2 3 2 2 7" xfId="41881"/>
    <cellStyle name="Normal 2 2 2 3 2 20" xfId="12980"/>
    <cellStyle name="Normal 2 2 2 3 2 20 2" xfId="12981"/>
    <cellStyle name="Normal 2 2 2 3 2 21" xfId="12982"/>
    <cellStyle name="Normal 2 2 2 3 2 3" xfId="12983"/>
    <cellStyle name="Normal 2 2 2 3 2 3 10" xfId="12984"/>
    <cellStyle name="Normal 2 2 2 3 2 3 10 2" xfId="12985"/>
    <cellStyle name="Normal 2 2 2 3 2 3 11" xfId="12986"/>
    <cellStyle name="Normal 2 2 2 3 2 3 11 2" xfId="12987"/>
    <cellStyle name="Normal 2 2 2 3 2 3 12" xfId="12988"/>
    <cellStyle name="Normal 2 2 2 3 2 3 12 2" xfId="12989"/>
    <cellStyle name="Normal 2 2 2 3 2 3 13" xfId="12990"/>
    <cellStyle name="Normal 2 2 2 3 2 3 2" xfId="12991"/>
    <cellStyle name="Normal 2 2 2 3 2 3 2 10" xfId="12992"/>
    <cellStyle name="Normal 2 2 2 3 2 3 2 10 2" xfId="12993"/>
    <cellStyle name="Normal 2 2 2 3 2 3 2 11" xfId="12994"/>
    <cellStyle name="Normal 2 2 2 3 2 3 2 11 2" xfId="12995"/>
    <cellStyle name="Normal 2 2 2 3 2 3 2 12" xfId="12996"/>
    <cellStyle name="Normal 2 2 2 3 2 3 2 2" xfId="12997"/>
    <cellStyle name="Normal 2 2 2 3 2 3 2 2 10" xfId="12998"/>
    <cellStyle name="Normal 2 2 2 3 2 3 2 2 10 2" xfId="12999"/>
    <cellStyle name="Normal 2 2 2 3 2 3 2 2 11" xfId="13000"/>
    <cellStyle name="Normal 2 2 2 3 2 3 2 2 2" xfId="13001"/>
    <cellStyle name="Normal 2 2 2 3 2 3 2 2 2 2" xfId="13002"/>
    <cellStyle name="Normal 2 2 2 3 2 3 2 2 3" xfId="13003"/>
    <cellStyle name="Normal 2 2 2 3 2 3 2 2 3 2" xfId="13004"/>
    <cellStyle name="Normal 2 2 2 3 2 3 2 2 4" xfId="13005"/>
    <cellStyle name="Normal 2 2 2 3 2 3 2 2 4 2" xfId="13006"/>
    <cellStyle name="Normal 2 2 2 3 2 3 2 2 5" xfId="13007"/>
    <cellStyle name="Normal 2 2 2 3 2 3 2 2 5 2" xfId="13008"/>
    <cellStyle name="Normal 2 2 2 3 2 3 2 2 6" xfId="13009"/>
    <cellStyle name="Normal 2 2 2 3 2 3 2 2 6 2" xfId="13010"/>
    <cellStyle name="Normal 2 2 2 3 2 3 2 2 7" xfId="13011"/>
    <cellStyle name="Normal 2 2 2 3 2 3 2 2 7 2" xfId="13012"/>
    <cellStyle name="Normal 2 2 2 3 2 3 2 2 8" xfId="13013"/>
    <cellStyle name="Normal 2 2 2 3 2 3 2 2 8 2" xfId="13014"/>
    <cellStyle name="Normal 2 2 2 3 2 3 2 2 9" xfId="13015"/>
    <cellStyle name="Normal 2 2 2 3 2 3 2 2 9 2" xfId="13016"/>
    <cellStyle name="Normal 2 2 2 3 2 3 2 3" xfId="13017"/>
    <cellStyle name="Normal 2 2 2 3 2 3 2 3 2" xfId="13018"/>
    <cellStyle name="Normal 2 2 2 3 2 3 2 4" xfId="13019"/>
    <cellStyle name="Normal 2 2 2 3 2 3 2 4 2" xfId="13020"/>
    <cellStyle name="Normal 2 2 2 3 2 3 2 5" xfId="13021"/>
    <cellStyle name="Normal 2 2 2 3 2 3 2 5 2" xfId="13022"/>
    <cellStyle name="Normal 2 2 2 3 2 3 2 6" xfId="13023"/>
    <cellStyle name="Normal 2 2 2 3 2 3 2 6 2" xfId="13024"/>
    <cellStyle name="Normal 2 2 2 3 2 3 2 7" xfId="13025"/>
    <cellStyle name="Normal 2 2 2 3 2 3 2 7 2" xfId="13026"/>
    <cellStyle name="Normal 2 2 2 3 2 3 2 8" xfId="13027"/>
    <cellStyle name="Normal 2 2 2 3 2 3 2 8 2" xfId="13028"/>
    <cellStyle name="Normal 2 2 2 3 2 3 2 9" xfId="13029"/>
    <cellStyle name="Normal 2 2 2 3 2 3 2 9 2" xfId="13030"/>
    <cellStyle name="Normal 2 2 2 3 2 3 3" xfId="13031"/>
    <cellStyle name="Normal 2 2 2 3 2 3 3 10" xfId="13032"/>
    <cellStyle name="Normal 2 2 2 3 2 3 3 10 2" xfId="13033"/>
    <cellStyle name="Normal 2 2 2 3 2 3 3 11" xfId="13034"/>
    <cellStyle name="Normal 2 2 2 3 2 3 3 2" xfId="13035"/>
    <cellStyle name="Normal 2 2 2 3 2 3 3 2 2" xfId="13036"/>
    <cellStyle name="Normal 2 2 2 3 2 3 3 3" xfId="13037"/>
    <cellStyle name="Normal 2 2 2 3 2 3 3 3 2" xfId="13038"/>
    <cellStyle name="Normal 2 2 2 3 2 3 3 4" xfId="13039"/>
    <cellStyle name="Normal 2 2 2 3 2 3 3 4 2" xfId="13040"/>
    <cellStyle name="Normal 2 2 2 3 2 3 3 5" xfId="13041"/>
    <cellStyle name="Normal 2 2 2 3 2 3 3 5 2" xfId="13042"/>
    <cellStyle name="Normal 2 2 2 3 2 3 3 6" xfId="13043"/>
    <cellStyle name="Normal 2 2 2 3 2 3 3 6 2" xfId="13044"/>
    <cellStyle name="Normal 2 2 2 3 2 3 3 7" xfId="13045"/>
    <cellStyle name="Normal 2 2 2 3 2 3 3 7 2" xfId="13046"/>
    <cellStyle name="Normal 2 2 2 3 2 3 3 8" xfId="13047"/>
    <cellStyle name="Normal 2 2 2 3 2 3 3 8 2" xfId="13048"/>
    <cellStyle name="Normal 2 2 2 3 2 3 3 9" xfId="13049"/>
    <cellStyle name="Normal 2 2 2 3 2 3 3 9 2" xfId="13050"/>
    <cellStyle name="Normal 2 2 2 3 2 3 4" xfId="13051"/>
    <cellStyle name="Normal 2 2 2 3 2 3 4 2" xfId="13052"/>
    <cellStyle name="Normal 2 2 2 3 2 3 5" xfId="13053"/>
    <cellStyle name="Normal 2 2 2 3 2 3 5 2" xfId="13054"/>
    <cellStyle name="Normal 2 2 2 3 2 3 6" xfId="13055"/>
    <cellStyle name="Normal 2 2 2 3 2 3 6 2" xfId="13056"/>
    <cellStyle name="Normal 2 2 2 3 2 3 7" xfId="13057"/>
    <cellStyle name="Normal 2 2 2 3 2 3 7 2" xfId="13058"/>
    <cellStyle name="Normal 2 2 2 3 2 3 8" xfId="13059"/>
    <cellStyle name="Normal 2 2 2 3 2 3 8 2" xfId="13060"/>
    <cellStyle name="Normal 2 2 2 3 2 3 9" xfId="13061"/>
    <cellStyle name="Normal 2 2 2 3 2 3 9 2" xfId="13062"/>
    <cellStyle name="Normal 2 2 2 3 2 4" xfId="13063"/>
    <cellStyle name="Normal 2 2 2 3 2 4 10" xfId="13064"/>
    <cellStyle name="Normal 2 2 2 3 2 4 10 2" xfId="13065"/>
    <cellStyle name="Normal 2 2 2 3 2 4 11" xfId="13066"/>
    <cellStyle name="Normal 2 2 2 3 2 4 11 2" xfId="13067"/>
    <cellStyle name="Normal 2 2 2 3 2 4 12" xfId="13068"/>
    <cellStyle name="Normal 2 2 2 3 2 4 12 2" xfId="13069"/>
    <cellStyle name="Normal 2 2 2 3 2 4 13" xfId="13070"/>
    <cellStyle name="Normal 2 2 2 3 2 4 2" xfId="13071"/>
    <cellStyle name="Normal 2 2 2 3 2 4 2 10" xfId="13072"/>
    <cellStyle name="Normal 2 2 2 3 2 4 2 10 2" xfId="13073"/>
    <cellStyle name="Normal 2 2 2 3 2 4 2 11" xfId="13074"/>
    <cellStyle name="Normal 2 2 2 3 2 4 2 11 2" xfId="13075"/>
    <cellStyle name="Normal 2 2 2 3 2 4 2 12" xfId="13076"/>
    <cellStyle name="Normal 2 2 2 3 2 4 2 2" xfId="13077"/>
    <cellStyle name="Normal 2 2 2 3 2 4 2 2 10" xfId="13078"/>
    <cellStyle name="Normal 2 2 2 3 2 4 2 2 10 2" xfId="13079"/>
    <cellStyle name="Normal 2 2 2 3 2 4 2 2 11" xfId="13080"/>
    <cellStyle name="Normal 2 2 2 3 2 4 2 2 2" xfId="13081"/>
    <cellStyle name="Normal 2 2 2 3 2 4 2 2 2 2" xfId="13082"/>
    <cellStyle name="Normal 2 2 2 3 2 4 2 2 3" xfId="13083"/>
    <cellStyle name="Normal 2 2 2 3 2 4 2 2 3 2" xfId="13084"/>
    <cellStyle name="Normal 2 2 2 3 2 4 2 2 4" xfId="13085"/>
    <cellStyle name="Normal 2 2 2 3 2 4 2 2 4 2" xfId="13086"/>
    <cellStyle name="Normal 2 2 2 3 2 4 2 2 5" xfId="13087"/>
    <cellStyle name="Normal 2 2 2 3 2 4 2 2 5 2" xfId="13088"/>
    <cellStyle name="Normal 2 2 2 3 2 4 2 2 6" xfId="13089"/>
    <cellStyle name="Normal 2 2 2 3 2 4 2 2 6 2" xfId="13090"/>
    <cellStyle name="Normal 2 2 2 3 2 4 2 2 7" xfId="13091"/>
    <cellStyle name="Normal 2 2 2 3 2 4 2 2 7 2" xfId="13092"/>
    <cellStyle name="Normal 2 2 2 3 2 4 2 2 8" xfId="13093"/>
    <cellStyle name="Normal 2 2 2 3 2 4 2 2 8 2" xfId="13094"/>
    <cellStyle name="Normal 2 2 2 3 2 4 2 2 9" xfId="13095"/>
    <cellStyle name="Normal 2 2 2 3 2 4 2 2 9 2" xfId="13096"/>
    <cellStyle name="Normal 2 2 2 3 2 4 2 3" xfId="13097"/>
    <cellStyle name="Normal 2 2 2 3 2 4 2 3 2" xfId="13098"/>
    <cellStyle name="Normal 2 2 2 3 2 4 2 4" xfId="13099"/>
    <cellStyle name="Normal 2 2 2 3 2 4 2 4 2" xfId="13100"/>
    <cellStyle name="Normal 2 2 2 3 2 4 2 5" xfId="13101"/>
    <cellStyle name="Normal 2 2 2 3 2 4 2 5 2" xfId="13102"/>
    <cellStyle name="Normal 2 2 2 3 2 4 2 6" xfId="13103"/>
    <cellStyle name="Normal 2 2 2 3 2 4 2 6 2" xfId="13104"/>
    <cellStyle name="Normal 2 2 2 3 2 4 2 7" xfId="13105"/>
    <cellStyle name="Normal 2 2 2 3 2 4 2 7 2" xfId="13106"/>
    <cellStyle name="Normal 2 2 2 3 2 4 2 8" xfId="13107"/>
    <cellStyle name="Normal 2 2 2 3 2 4 2 8 2" xfId="13108"/>
    <cellStyle name="Normal 2 2 2 3 2 4 2 9" xfId="13109"/>
    <cellStyle name="Normal 2 2 2 3 2 4 2 9 2" xfId="13110"/>
    <cellStyle name="Normal 2 2 2 3 2 4 3" xfId="13111"/>
    <cellStyle name="Normal 2 2 2 3 2 4 3 10" xfId="13112"/>
    <cellStyle name="Normal 2 2 2 3 2 4 3 10 2" xfId="13113"/>
    <cellStyle name="Normal 2 2 2 3 2 4 3 11" xfId="13114"/>
    <cellStyle name="Normal 2 2 2 3 2 4 3 2" xfId="13115"/>
    <cellStyle name="Normal 2 2 2 3 2 4 3 2 2" xfId="13116"/>
    <cellStyle name="Normal 2 2 2 3 2 4 3 3" xfId="13117"/>
    <cellStyle name="Normal 2 2 2 3 2 4 3 3 2" xfId="13118"/>
    <cellStyle name="Normal 2 2 2 3 2 4 3 4" xfId="13119"/>
    <cellStyle name="Normal 2 2 2 3 2 4 3 4 2" xfId="13120"/>
    <cellStyle name="Normal 2 2 2 3 2 4 3 5" xfId="13121"/>
    <cellStyle name="Normal 2 2 2 3 2 4 3 5 2" xfId="13122"/>
    <cellStyle name="Normal 2 2 2 3 2 4 3 6" xfId="13123"/>
    <cellStyle name="Normal 2 2 2 3 2 4 3 6 2" xfId="13124"/>
    <cellStyle name="Normal 2 2 2 3 2 4 3 7" xfId="13125"/>
    <cellStyle name="Normal 2 2 2 3 2 4 3 7 2" xfId="13126"/>
    <cellStyle name="Normal 2 2 2 3 2 4 3 8" xfId="13127"/>
    <cellStyle name="Normal 2 2 2 3 2 4 3 8 2" xfId="13128"/>
    <cellStyle name="Normal 2 2 2 3 2 4 3 9" xfId="13129"/>
    <cellStyle name="Normal 2 2 2 3 2 4 3 9 2" xfId="13130"/>
    <cellStyle name="Normal 2 2 2 3 2 4 4" xfId="13131"/>
    <cellStyle name="Normal 2 2 2 3 2 4 4 2" xfId="13132"/>
    <cellStyle name="Normal 2 2 2 3 2 4 5" xfId="13133"/>
    <cellStyle name="Normal 2 2 2 3 2 4 5 2" xfId="13134"/>
    <cellStyle name="Normal 2 2 2 3 2 4 6" xfId="13135"/>
    <cellStyle name="Normal 2 2 2 3 2 4 6 2" xfId="13136"/>
    <cellStyle name="Normal 2 2 2 3 2 4 7" xfId="13137"/>
    <cellStyle name="Normal 2 2 2 3 2 4 7 2" xfId="13138"/>
    <cellStyle name="Normal 2 2 2 3 2 4 8" xfId="13139"/>
    <cellStyle name="Normal 2 2 2 3 2 4 8 2" xfId="13140"/>
    <cellStyle name="Normal 2 2 2 3 2 4 9" xfId="13141"/>
    <cellStyle name="Normal 2 2 2 3 2 4 9 2" xfId="13142"/>
    <cellStyle name="Normal 2 2 2 3 2 5" xfId="13143"/>
    <cellStyle name="Normal 2 2 2 3 2 5 10" xfId="13144"/>
    <cellStyle name="Normal 2 2 2 3 2 5 10 2" xfId="13145"/>
    <cellStyle name="Normal 2 2 2 3 2 5 11" xfId="13146"/>
    <cellStyle name="Normal 2 2 2 3 2 5 11 2" xfId="13147"/>
    <cellStyle name="Normal 2 2 2 3 2 5 12" xfId="13148"/>
    <cellStyle name="Normal 2 2 2 3 2 5 12 2" xfId="13149"/>
    <cellStyle name="Normal 2 2 2 3 2 5 13" xfId="13150"/>
    <cellStyle name="Normal 2 2 2 3 2 5 2" xfId="13151"/>
    <cellStyle name="Normal 2 2 2 3 2 5 2 10" xfId="13152"/>
    <cellStyle name="Normal 2 2 2 3 2 5 2 10 2" xfId="13153"/>
    <cellStyle name="Normal 2 2 2 3 2 5 2 11" xfId="13154"/>
    <cellStyle name="Normal 2 2 2 3 2 5 2 11 2" xfId="13155"/>
    <cellStyle name="Normal 2 2 2 3 2 5 2 12" xfId="13156"/>
    <cellStyle name="Normal 2 2 2 3 2 5 2 2" xfId="13157"/>
    <cellStyle name="Normal 2 2 2 3 2 5 2 2 10" xfId="13158"/>
    <cellStyle name="Normal 2 2 2 3 2 5 2 2 10 2" xfId="13159"/>
    <cellStyle name="Normal 2 2 2 3 2 5 2 2 11" xfId="13160"/>
    <cellStyle name="Normal 2 2 2 3 2 5 2 2 2" xfId="13161"/>
    <cellStyle name="Normal 2 2 2 3 2 5 2 2 2 2" xfId="13162"/>
    <cellStyle name="Normal 2 2 2 3 2 5 2 2 3" xfId="13163"/>
    <cellStyle name="Normal 2 2 2 3 2 5 2 2 3 2" xfId="13164"/>
    <cellStyle name="Normal 2 2 2 3 2 5 2 2 4" xfId="13165"/>
    <cellStyle name="Normal 2 2 2 3 2 5 2 2 4 2" xfId="13166"/>
    <cellStyle name="Normal 2 2 2 3 2 5 2 2 5" xfId="13167"/>
    <cellStyle name="Normal 2 2 2 3 2 5 2 2 5 2" xfId="13168"/>
    <cellStyle name="Normal 2 2 2 3 2 5 2 2 6" xfId="13169"/>
    <cellStyle name="Normal 2 2 2 3 2 5 2 2 6 2" xfId="13170"/>
    <cellStyle name="Normal 2 2 2 3 2 5 2 2 7" xfId="13171"/>
    <cellStyle name="Normal 2 2 2 3 2 5 2 2 7 2" xfId="13172"/>
    <cellStyle name="Normal 2 2 2 3 2 5 2 2 8" xfId="13173"/>
    <cellStyle name="Normal 2 2 2 3 2 5 2 2 8 2" xfId="13174"/>
    <cellStyle name="Normal 2 2 2 3 2 5 2 2 9" xfId="13175"/>
    <cellStyle name="Normal 2 2 2 3 2 5 2 2 9 2" xfId="13176"/>
    <cellStyle name="Normal 2 2 2 3 2 5 2 3" xfId="13177"/>
    <cellStyle name="Normal 2 2 2 3 2 5 2 3 2" xfId="13178"/>
    <cellStyle name="Normal 2 2 2 3 2 5 2 4" xfId="13179"/>
    <cellStyle name="Normal 2 2 2 3 2 5 2 4 2" xfId="13180"/>
    <cellStyle name="Normal 2 2 2 3 2 5 2 5" xfId="13181"/>
    <cellStyle name="Normal 2 2 2 3 2 5 2 5 2" xfId="13182"/>
    <cellStyle name="Normal 2 2 2 3 2 5 2 6" xfId="13183"/>
    <cellStyle name="Normal 2 2 2 3 2 5 2 6 2" xfId="13184"/>
    <cellStyle name="Normal 2 2 2 3 2 5 2 7" xfId="13185"/>
    <cellStyle name="Normal 2 2 2 3 2 5 2 7 2" xfId="13186"/>
    <cellStyle name="Normal 2 2 2 3 2 5 2 8" xfId="13187"/>
    <cellStyle name="Normal 2 2 2 3 2 5 2 8 2" xfId="13188"/>
    <cellStyle name="Normal 2 2 2 3 2 5 2 9" xfId="13189"/>
    <cellStyle name="Normal 2 2 2 3 2 5 2 9 2" xfId="13190"/>
    <cellStyle name="Normal 2 2 2 3 2 5 3" xfId="13191"/>
    <cellStyle name="Normal 2 2 2 3 2 5 3 10" xfId="13192"/>
    <cellStyle name="Normal 2 2 2 3 2 5 3 10 2" xfId="13193"/>
    <cellStyle name="Normal 2 2 2 3 2 5 3 11" xfId="13194"/>
    <cellStyle name="Normal 2 2 2 3 2 5 3 2" xfId="13195"/>
    <cellStyle name="Normal 2 2 2 3 2 5 3 2 2" xfId="13196"/>
    <cellStyle name="Normal 2 2 2 3 2 5 3 3" xfId="13197"/>
    <cellStyle name="Normal 2 2 2 3 2 5 3 3 2" xfId="13198"/>
    <cellStyle name="Normal 2 2 2 3 2 5 3 4" xfId="13199"/>
    <cellStyle name="Normal 2 2 2 3 2 5 3 4 2" xfId="13200"/>
    <cellStyle name="Normal 2 2 2 3 2 5 3 5" xfId="13201"/>
    <cellStyle name="Normal 2 2 2 3 2 5 3 5 2" xfId="13202"/>
    <cellStyle name="Normal 2 2 2 3 2 5 3 6" xfId="13203"/>
    <cellStyle name="Normal 2 2 2 3 2 5 3 6 2" xfId="13204"/>
    <cellStyle name="Normal 2 2 2 3 2 5 3 7" xfId="13205"/>
    <cellStyle name="Normal 2 2 2 3 2 5 3 7 2" xfId="13206"/>
    <cellStyle name="Normal 2 2 2 3 2 5 3 8" xfId="13207"/>
    <cellStyle name="Normal 2 2 2 3 2 5 3 8 2" xfId="13208"/>
    <cellStyle name="Normal 2 2 2 3 2 5 3 9" xfId="13209"/>
    <cellStyle name="Normal 2 2 2 3 2 5 3 9 2" xfId="13210"/>
    <cellStyle name="Normal 2 2 2 3 2 5 4" xfId="13211"/>
    <cellStyle name="Normal 2 2 2 3 2 5 4 2" xfId="13212"/>
    <cellStyle name="Normal 2 2 2 3 2 5 5" xfId="13213"/>
    <cellStyle name="Normal 2 2 2 3 2 5 5 2" xfId="13214"/>
    <cellStyle name="Normal 2 2 2 3 2 5 6" xfId="13215"/>
    <cellStyle name="Normal 2 2 2 3 2 5 6 2" xfId="13216"/>
    <cellStyle name="Normal 2 2 2 3 2 5 7" xfId="13217"/>
    <cellStyle name="Normal 2 2 2 3 2 5 7 2" xfId="13218"/>
    <cellStyle name="Normal 2 2 2 3 2 5 8" xfId="13219"/>
    <cellStyle name="Normal 2 2 2 3 2 5 8 2" xfId="13220"/>
    <cellStyle name="Normal 2 2 2 3 2 5 9" xfId="13221"/>
    <cellStyle name="Normal 2 2 2 3 2 5 9 2" xfId="13222"/>
    <cellStyle name="Normal 2 2 2 3 2 6" xfId="13223"/>
    <cellStyle name="Normal 2 2 2 3 2 6 2" xfId="13224"/>
    <cellStyle name="Normal 2 2 2 3 2 6 2 10" xfId="13225"/>
    <cellStyle name="Normal 2 2 2 3 2 6 2 10 2" xfId="13226"/>
    <cellStyle name="Normal 2 2 2 3 2 6 2 11" xfId="13227"/>
    <cellStyle name="Normal 2 2 2 3 2 6 2 11 2" xfId="13228"/>
    <cellStyle name="Normal 2 2 2 3 2 6 2 12" xfId="13229"/>
    <cellStyle name="Normal 2 2 2 3 2 6 2 12 2" xfId="13230"/>
    <cellStyle name="Normal 2 2 2 3 2 6 2 13" xfId="13231"/>
    <cellStyle name="Normal 2 2 2 3 2 6 2 2" xfId="13232"/>
    <cellStyle name="Normal 2 2 2 3 2 6 2 2 10" xfId="13233"/>
    <cellStyle name="Normal 2 2 2 3 2 6 2 2 10 2" xfId="13234"/>
    <cellStyle name="Normal 2 2 2 3 2 6 2 2 11" xfId="13235"/>
    <cellStyle name="Normal 2 2 2 3 2 6 2 2 11 2" xfId="13236"/>
    <cellStyle name="Normal 2 2 2 3 2 6 2 2 12" xfId="13237"/>
    <cellStyle name="Normal 2 2 2 3 2 6 2 2 2" xfId="13238"/>
    <cellStyle name="Normal 2 2 2 3 2 6 2 2 2 10" xfId="13239"/>
    <cellStyle name="Normal 2 2 2 3 2 6 2 2 2 10 2" xfId="13240"/>
    <cellStyle name="Normal 2 2 2 3 2 6 2 2 2 11" xfId="13241"/>
    <cellStyle name="Normal 2 2 2 3 2 6 2 2 2 2" xfId="13242"/>
    <cellStyle name="Normal 2 2 2 3 2 6 2 2 2 2 2" xfId="13243"/>
    <cellStyle name="Normal 2 2 2 3 2 6 2 2 2 3" xfId="13244"/>
    <cellStyle name="Normal 2 2 2 3 2 6 2 2 2 3 2" xfId="13245"/>
    <cellStyle name="Normal 2 2 2 3 2 6 2 2 2 4" xfId="13246"/>
    <cellStyle name="Normal 2 2 2 3 2 6 2 2 2 4 2" xfId="13247"/>
    <cellStyle name="Normal 2 2 2 3 2 6 2 2 2 5" xfId="13248"/>
    <cellStyle name="Normal 2 2 2 3 2 6 2 2 2 5 2" xfId="13249"/>
    <cellStyle name="Normal 2 2 2 3 2 6 2 2 2 6" xfId="13250"/>
    <cellStyle name="Normal 2 2 2 3 2 6 2 2 2 6 2" xfId="13251"/>
    <cellStyle name="Normal 2 2 2 3 2 6 2 2 2 7" xfId="13252"/>
    <cellStyle name="Normal 2 2 2 3 2 6 2 2 2 7 2" xfId="13253"/>
    <cellStyle name="Normal 2 2 2 3 2 6 2 2 2 8" xfId="13254"/>
    <cellStyle name="Normal 2 2 2 3 2 6 2 2 2 8 2" xfId="13255"/>
    <cellStyle name="Normal 2 2 2 3 2 6 2 2 2 9" xfId="13256"/>
    <cellStyle name="Normal 2 2 2 3 2 6 2 2 2 9 2" xfId="13257"/>
    <cellStyle name="Normal 2 2 2 3 2 6 2 2 3" xfId="13258"/>
    <cellStyle name="Normal 2 2 2 3 2 6 2 2 3 2" xfId="13259"/>
    <cellStyle name="Normal 2 2 2 3 2 6 2 2 4" xfId="13260"/>
    <cellStyle name="Normal 2 2 2 3 2 6 2 2 4 2" xfId="13261"/>
    <cellStyle name="Normal 2 2 2 3 2 6 2 2 5" xfId="13262"/>
    <cellStyle name="Normal 2 2 2 3 2 6 2 2 5 2" xfId="13263"/>
    <cellStyle name="Normal 2 2 2 3 2 6 2 2 6" xfId="13264"/>
    <cellStyle name="Normal 2 2 2 3 2 6 2 2 6 2" xfId="13265"/>
    <cellStyle name="Normal 2 2 2 3 2 6 2 2 7" xfId="13266"/>
    <cellStyle name="Normal 2 2 2 3 2 6 2 2 7 2" xfId="13267"/>
    <cellStyle name="Normal 2 2 2 3 2 6 2 2 8" xfId="13268"/>
    <cellStyle name="Normal 2 2 2 3 2 6 2 2 8 2" xfId="13269"/>
    <cellStyle name="Normal 2 2 2 3 2 6 2 2 9" xfId="13270"/>
    <cellStyle name="Normal 2 2 2 3 2 6 2 2 9 2" xfId="13271"/>
    <cellStyle name="Normal 2 2 2 3 2 6 2 3" xfId="13272"/>
    <cellStyle name="Normal 2 2 2 3 2 6 2 3 10" xfId="13273"/>
    <cellStyle name="Normal 2 2 2 3 2 6 2 3 10 2" xfId="13274"/>
    <cellStyle name="Normal 2 2 2 3 2 6 2 3 11" xfId="13275"/>
    <cellStyle name="Normal 2 2 2 3 2 6 2 3 2" xfId="13276"/>
    <cellStyle name="Normal 2 2 2 3 2 6 2 3 2 2" xfId="13277"/>
    <cellStyle name="Normal 2 2 2 3 2 6 2 3 3" xfId="13278"/>
    <cellStyle name="Normal 2 2 2 3 2 6 2 3 3 2" xfId="13279"/>
    <cellStyle name="Normal 2 2 2 3 2 6 2 3 4" xfId="13280"/>
    <cellStyle name="Normal 2 2 2 3 2 6 2 3 4 2" xfId="13281"/>
    <cellStyle name="Normal 2 2 2 3 2 6 2 3 5" xfId="13282"/>
    <cellStyle name="Normal 2 2 2 3 2 6 2 3 5 2" xfId="13283"/>
    <cellStyle name="Normal 2 2 2 3 2 6 2 3 6" xfId="13284"/>
    <cellStyle name="Normal 2 2 2 3 2 6 2 3 6 2" xfId="13285"/>
    <cellStyle name="Normal 2 2 2 3 2 6 2 3 7" xfId="13286"/>
    <cellStyle name="Normal 2 2 2 3 2 6 2 3 7 2" xfId="13287"/>
    <cellStyle name="Normal 2 2 2 3 2 6 2 3 8" xfId="13288"/>
    <cellStyle name="Normal 2 2 2 3 2 6 2 3 8 2" xfId="13289"/>
    <cellStyle name="Normal 2 2 2 3 2 6 2 3 9" xfId="13290"/>
    <cellStyle name="Normal 2 2 2 3 2 6 2 3 9 2" xfId="13291"/>
    <cellStyle name="Normal 2 2 2 3 2 6 2 4" xfId="13292"/>
    <cellStyle name="Normal 2 2 2 3 2 6 2 4 2" xfId="13293"/>
    <cellStyle name="Normal 2 2 2 3 2 6 2 5" xfId="13294"/>
    <cellStyle name="Normal 2 2 2 3 2 6 2 5 2" xfId="13295"/>
    <cellStyle name="Normal 2 2 2 3 2 6 2 6" xfId="13296"/>
    <cellStyle name="Normal 2 2 2 3 2 6 2 6 2" xfId="13297"/>
    <cellStyle name="Normal 2 2 2 3 2 6 2 7" xfId="13298"/>
    <cellStyle name="Normal 2 2 2 3 2 6 2 7 2" xfId="13299"/>
    <cellStyle name="Normal 2 2 2 3 2 6 2 8" xfId="13300"/>
    <cellStyle name="Normal 2 2 2 3 2 6 2 8 2" xfId="13301"/>
    <cellStyle name="Normal 2 2 2 3 2 6 2 9" xfId="13302"/>
    <cellStyle name="Normal 2 2 2 3 2 6 2 9 2" xfId="13303"/>
    <cellStyle name="Normal 2 2 2 3 2 6 3" xfId="13304"/>
    <cellStyle name="Normal 2 2 2 3 2 6 3 10" xfId="13305"/>
    <cellStyle name="Normal 2 2 2 3 2 6 3 10 2" xfId="13306"/>
    <cellStyle name="Normal 2 2 2 3 2 6 3 11" xfId="13307"/>
    <cellStyle name="Normal 2 2 2 3 2 6 3 11 2" xfId="13308"/>
    <cellStyle name="Normal 2 2 2 3 2 6 3 12" xfId="13309"/>
    <cellStyle name="Normal 2 2 2 3 2 6 3 12 2" xfId="13310"/>
    <cellStyle name="Normal 2 2 2 3 2 6 3 13" xfId="13311"/>
    <cellStyle name="Normal 2 2 2 3 2 6 3 2" xfId="13312"/>
    <cellStyle name="Normal 2 2 2 3 2 6 3 2 10" xfId="13313"/>
    <cellStyle name="Normal 2 2 2 3 2 6 3 2 10 2" xfId="13314"/>
    <cellStyle name="Normal 2 2 2 3 2 6 3 2 11" xfId="13315"/>
    <cellStyle name="Normal 2 2 2 3 2 6 3 2 11 2" xfId="13316"/>
    <cellStyle name="Normal 2 2 2 3 2 6 3 2 12" xfId="13317"/>
    <cellStyle name="Normal 2 2 2 3 2 6 3 2 2" xfId="13318"/>
    <cellStyle name="Normal 2 2 2 3 2 6 3 2 2 10" xfId="13319"/>
    <cellStyle name="Normal 2 2 2 3 2 6 3 2 2 10 2" xfId="13320"/>
    <cellStyle name="Normal 2 2 2 3 2 6 3 2 2 11" xfId="13321"/>
    <cellStyle name="Normal 2 2 2 3 2 6 3 2 2 2" xfId="13322"/>
    <cellStyle name="Normal 2 2 2 3 2 6 3 2 2 2 2" xfId="13323"/>
    <cellStyle name="Normal 2 2 2 3 2 6 3 2 2 3" xfId="13324"/>
    <cellStyle name="Normal 2 2 2 3 2 6 3 2 2 3 2" xfId="13325"/>
    <cellStyle name="Normal 2 2 2 3 2 6 3 2 2 4" xfId="13326"/>
    <cellStyle name="Normal 2 2 2 3 2 6 3 2 2 4 2" xfId="13327"/>
    <cellStyle name="Normal 2 2 2 3 2 6 3 2 2 5" xfId="13328"/>
    <cellStyle name="Normal 2 2 2 3 2 6 3 2 2 5 2" xfId="13329"/>
    <cellStyle name="Normal 2 2 2 3 2 6 3 2 2 6" xfId="13330"/>
    <cellStyle name="Normal 2 2 2 3 2 6 3 2 2 6 2" xfId="13331"/>
    <cellStyle name="Normal 2 2 2 3 2 6 3 2 2 7" xfId="13332"/>
    <cellStyle name="Normal 2 2 2 3 2 6 3 2 2 7 2" xfId="13333"/>
    <cellStyle name="Normal 2 2 2 3 2 6 3 2 2 8" xfId="13334"/>
    <cellStyle name="Normal 2 2 2 3 2 6 3 2 2 8 2" xfId="13335"/>
    <cellStyle name="Normal 2 2 2 3 2 6 3 2 2 9" xfId="13336"/>
    <cellStyle name="Normal 2 2 2 3 2 6 3 2 2 9 2" xfId="13337"/>
    <cellStyle name="Normal 2 2 2 3 2 6 3 2 3" xfId="13338"/>
    <cellStyle name="Normal 2 2 2 3 2 6 3 2 3 2" xfId="13339"/>
    <cellStyle name="Normal 2 2 2 3 2 6 3 2 4" xfId="13340"/>
    <cellStyle name="Normal 2 2 2 3 2 6 3 2 4 2" xfId="13341"/>
    <cellStyle name="Normal 2 2 2 3 2 6 3 2 5" xfId="13342"/>
    <cellStyle name="Normal 2 2 2 3 2 6 3 2 5 2" xfId="13343"/>
    <cellStyle name="Normal 2 2 2 3 2 6 3 2 6" xfId="13344"/>
    <cellStyle name="Normal 2 2 2 3 2 6 3 2 6 2" xfId="13345"/>
    <cellStyle name="Normal 2 2 2 3 2 6 3 2 7" xfId="13346"/>
    <cellStyle name="Normal 2 2 2 3 2 6 3 2 7 2" xfId="13347"/>
    <cellStyle name="Normal 2 2 2 3 2 6 3 2 8" xfId="13348"/>
    <cellStyle name="Normal 2 2 2 3 2 6 3 2 8 2" xfId="13349"/>
    <cellStyle name="Normal 2 2 2 3 2 6 3 2 9" xfId="13350"/>
    <cellStyle name="Normal 2 2 2 3 2 6 3 2 9 2" xfId="13351"/>
    <cellStyle name="Normal 2 2 2 3 2 6 3 3" xfId="13352"/>
    <cellStyle name="Normal 2 2 2 3 2 6 3 3 10" xfId="13353"/>
    <cellStyle name="Normal 2 2 2 3 2 6 3 3 10 2" xfId="13354"/>
    <cellStyle name="Normal 2 2 2 3 2 6 3 3 11" xfId="13355"/>
    <cellStyle name="Normal 2 2 2 3 2 6 3 3 2" xfId="13356"/>
    <cellStyle name="Normal 2 2 2 3 2 6 3 3 2 2" xfId="13357"/>
    <cellStyle name="Normal 2 2 2 3 2 6 3 3 3" xfId="13358"/>
    <cellStyle name="Normal 2 2 2 3 2 6 3 3 3 2" xfId="13359"/>
    <cellStyle name="Normal 2 2 2 3 2 6 3 3 4" xfId="13360"/>
    <cellStyle name="Normal 2 2 2 3 2 6 3 3 4 2" xfId="13361"/>
    <cellStyle name="Normal 2 2 2 3 2 6 3 3 5" xfId="13362"/>
    <cellStyle name="Normal 2 2 2 3 2 6 3 3 5 2" xfId="13363"/>
    <cellStyle name="Normal 2 2 2 3 2 6 3 3 6" xfId="13364"/>
    <cellStyle name="Normal 2 2 2 3 2 6 3 3 6 2" xfId="13365"/>
    <cellStyle name="Normal 2 2 2 3 2 6 3 3 7" xfId="13366"/>
    <cellStyle name="Normal 2 2 2 3 2 6 3 3 7 2" xfId="13367"/>
    <cellStyle name="Normal 2 2 2 3 2 6 3 3 8" xfId="13368"/>
    <cellStyle name="Normal 2 2 2 3 2 6 3 3 8 2" xfId="13369"/>
    <cellStyle name="Normal 2 2 2 3 2 6 3 3 9" xfId="13370"/>
    <cellStyle name="Normal 2 2 2 3 2 6 3 3 9 2" xfId="13371"/>
    <cellStyle name="Normal 2 2 2 3 2 6 3 4" xfId="13372"/>
    <cellStyle name="Normal 2 2 2 3 2 6 3 4 2" xfId="13373"/>
    <cellStyle name="Normal 2 2 2 3 2 6 3 5" xfId="13374"/>
    <cellStyle name="Normal 2 2 2 3 2 6 3 5 2" xfId="13375"/>
    <cellStyle name="Normal 2 2 2 3 2 6 3 6" xfId="13376"/>
    <cellStyle name="Normal 2 2 2 3 2 6 3 6 2" xfId="13377"/>
    <cellStyle name="Normal 2 2 2 3 2 6 3 7" xfId="13378"/>
    <cellStyle name="Normal 2 2 2 3 2 6 3 7 2" xfId="13379"/>
    <cellStyle name="Normal 2 2 2 3 2 6 3 8" xfId="13380"/>
    <cellStyle name="Normal 2 2 2 3 2 6 3 8 2" xfId="13381"/>
    <cellStyle name="Normal 2 2 2 3 2 6 3 9" xfId="13382"/>
    <cellStyle name="Normal 2 2 2 3 2 6 3 9 2" xfId="13383"/>
    <cellStyle name="Normal 2 2 2 3 2 6 4" xfId="13384"/>
    <cellStyle name="Normal 2 2 2 3 2 6 4 10" xfId="13385"/>
    <cellStyle name="Normal 2 2 2 3 2 6 4 10 2" xfId="13386"/>
    <cellStyle name="Normal 2 2 2 3 2 6 4 11" xfId="13387"/>
    <cellStyle name="Normal 2 2 2 3 2 6 4 11 2" xfId="13388"/>
    <cellStyle name="Normal 2 2 2 3 2 6 4 12" xfId="13389"/>
    <cellStyle name="Normal 2 2 2 3 2 6 4 12 2" xfId="13390"/>
    <cellStyle name="Normal 2 2 2 3 2 6 4 13" xfId="13391"/>
    <cellStyle name="Normal 2 2 2 3 2 6 4 2" xfId="13392"/>
    <cellStyle name="Normal 2 2 2 3 2 6 4 2 10" xfId="13393"/>
    <cellStyle name="Normal 2 2 2 3 2 6 4 2 10 2" xfId="13394"/>
    <cellStyle name="Normal 2 2 2 3 2 6 4 2 11" xfId="13395"/>
    <cellStyle name="Normal 2 2 2 3 2 6 4 2 11 2" xfId="13396"/>
    <cellStyle name="Normal 2 2 2 3 2 6 4 2 12" xfId="13397"/>
    <cellStyle name="Normal 2 2 2 3 2 6 4 2 2" xfId="13398"/>
    <cellStyle name="Normal 2 2 2 3 2 6 4 2 2 10" xfId="13399"/>
    <cellStyle name="Normal 2 2 2 3 2 6 4 2 2 10 2" xfId="13400"/>
    <cellStyle name="Normal 2 2 2 3 2 6 4 2 2 11" xfId="13401"/>
    <cellStyle name="Normal 2 2 2 3 2 6 4 2 2 2" xfId="13402"/>
    <cellStyle name="Normal 2 2 2 3 2 6 4 2 2 2 2" xfId="13403"/>
    <cellStyle name="Normal 2 2 2 3 2 6 4 2 2 3" xfId="13404"/>
    <cellStyle name="Normal 2 2 2 3 2 6 4 2 2 3 2" xfId="13405"/>
    <cellStyle name="Normal 2 2 2 3 2 6 4 2 2 4" xfId="13406"/>
    <cellStyle name="Normal 2 2 2 3 2 6 4 2 2 4 2" xfId="13407"/>
    <cellStyle name="Normal 2 2 2 3 2 6 4 2 2 5" xfId="13408"/>
    <cellStyle name="Normal 2 2 2 3 2 6 4 2 2 5 2" xfId="13409"/>
    <cellStyle name="Normal 2 2 2 3 2 6 4 2 2 6" xfId="13410"/>
    <cellStyle name="Normal 2 2 2 3 2 6 4 2 2 6 2" xfId="13411"/>
    <cellStyle name="Normal 2 2 2 3 2 6 4 2 2 7" xfId="13412"/>
    <cellStyle name="Normal 2 2 2 3 2 6 4 2 2 7 2" xfId="13413"/>
    <cellStyle name="Normal 2 2 2 3 2 6 4 2 2 8" xfId="13414"/>
    <cellStyle name="Normal 2 2 2 3 2 6 4 2 2 8 2" xfId="13415"/>
    <cellStyle name="Normal 2 2 2 3 2 6 4 2 2 9" xfId="13416"/>
    <cellStyle name="Normal 2 2 2 3 2 6 4 2 2 9 2" xfId="13417"/>
    <cellStyle name="Normal 2 2 2 3 2 6 4 2 3" xfId="13418"/>
    <cellStyle name="Normal 2 2 2 3 2 6 4 2 3 2" xfId="13419"/>
    <cellStyle name="Normal 2 2 2 3 2 6 4 2 4" xfId="13420"/>
    <cellStyle name="Normal 2 2 2 3 2 6 4 2 4 2" xfId="13421"/>
    <cellStyle name="Normal 2 2 2 3 2 6 4 2 5" xfId="13422"/>
    <cellStyle name="Normal 2 2 2 3 2 6 4 2 5 2" xfId="13423"/>
    <cellStyle name="Normal 2 2 2 3 2 6 4 2 6" xfId="13424"/>
    <cellStyle name="Normal 2 2 2 3 2 6 4 2 6 2" xfId="13425"/>
    <cellStyle name="Normal 2 2 2 3 2 6 4 2 7" xfId="13426"/>
    <cellStyle name="Normal 2 2 2 3 2 6 4 2 7 2" xfId="13427"/>
    <cellStyle name="Normal 2 2 2 3 2 6 4 2 8" xfId="13428"/>
    <cellStyle name="Normal 2 2 2 3 2 6 4 2 8 2" xfId="13429"/>
    <cellStyle name="Normal 2 2 2 3 2 6 4 2 9" xfId="13430"/>
    <cellStyle name="Normal 2 2 2 3 2 6 4 2 9 2" xfId="13431"/>
    <cellStyle name="Normal 2 2 2 3 2 6 4 3" xfId="13432"/>
    <cellStyle name="Normal 2 2 2 3 2 6 4 3 10" xfId="13433"/>
    <cellStyle name="Normal 2 2 2 3 2 6 4 3 10 2" xfId="13434"/>
    <cellStyle name="Normal 2 2 2 3 2 6 4 3 11" xfId="13435"/>
    <cellStyle name="Normal 2 2 2 3 2 6 4 3 2" xfId="13436"/>
    <cellStyle name="Normal 2 2 2 3 2 6 4 3 2 2" xfId="13437"/>
    <cellStyle name="Normal 2 2 2 3 2 6 4 3 3" xfId="13438"/>
    <cellStyle name="Normal 2 2 2 3 2 6 4 3 3 2" xfId="13439"/>
    <cellStyle name="Normal 2 2 2 3 2 6 4 3 4" xfId="13440"/>
    <cellStyle name="Normal 2 2 2 3 2 6 4 3 4 2" xfId="13441"/>
    <cellStyle name="Normal 2 2 2 3 2 6 4 3 5" xfId="13442"/>
    <cellStyle name="Normal 2 2 2 3 2 6 4 3 5 2" xfId="13443"/>
    <cellStyle name="Normal 2 2 2 3 2 6 4 3 6" xfId="13444"/>
    <cellStyle name="Normal 2 2 2 3 2 6 4 3 6 2" xfId="13445"/>
    <cellStyle name="Normal 2 2 2 3 2 6 4 3 7" xfId="13446"/>
    <cellStyle name="Normal 2 2 2 3 2 6 4 3 7 2" xfId="13447"/>
    <cellStyle name="Normal 2 2 2 3 2 6 4 3 8" xfId="13448"/>
    <cellStyle name="Normal 2 2 2 3 2 6 4 3 8 2" xfId="13449"/>
    <cellStyle name="Normal 2 2 2 3 2 6 4 3 9" xfId="13450"/>
    <cellStyle name="Normal 2 2 2 3 2 6 4 3 9 2" xfId="13451"/>
    <cellStyle name="Normal 2 2 2 3 2 6 4 4" xfId="13452"/>
    <cellStyle name="Normal 2 2 2 3 2 6 4 4 2" xfId="13453"/>
    <cellStyle name="Normal 2 2 2 3 2 6 4 5" xfId="13454"/>
    <cellStyle name="Normal 2 2 2 3 2 6 4 5 2" xfId="13455"/>
    <cellStyle name="Normal 2 2 2 3 2 6 4 6" xfId="13456"/>
    <cellStyle name="Normal 2 2 2 3 2 6 4 6 2" xfId="13457"/>
    <cellStyle name="Normal 2 2 2 3 2 6 4 7" xfId="13458"/>
    <cellStyle name="Normal 2 2 2 3 2 6 4 7 2" xfId="13459"/>
    <cellStyle name="Normal 2 2 2 3 2 6 4 8" xfId="13460"/>
    <cellStyle name="Normal 2 2 2 3 2 6 4 8 2" xfId="13461"/>
    <cellStyle name="Normal 2 2 2 3 2 6 4 9" xfId="13462"/>
    <cellStyle name="Normal 2 2 2 3 2 6 4 9 2" xfId="13463"/>
    <cellStyle name="Normal 2 2 2 3 2 6 5" xfId="13464"/>
    <cellStyle name="Normal 2 2 2 3 2 6 5 10" xfId="13465"/>
    <cellStyle name="Normal 2 2 2 3 2 6 5 10 2" xfId="13466"/>
    <cellStyle name="Normal 2 2 2 3 2 6 5 11" xfId="13467"/>
    <cellStyle name="Normal 2 2 2 3 2 6 5 11 2" xfId="13468"/>
    <cellStyle name="Normal 2 2 2 3 2 6 5 12" xfId="13469"/>
    <cellStyle name="Normal 2 2 2 3 2 6 5 12 2" xfId="13470"/>
    <cellStyle name="Normal 2 2 2 3 2 6 5 13" xfId="13471"/>
    <cellStyle name="Normal 2 2 2 3 2 6 5 2" xfId="13472"/>
    <cellStyle name="Normal 2 2 2 3 2 6 5 2 10" xfId="13473"/>
    <cellStyle name="Normal 2 2 2 3 2 6 5 2 10 2" xfId="13474"/>
    <cellStyle name="Normal 2 2 2 3 2 6 5 2 11" xfId="13475"/>
    <cellStyle name="Normal 2 2 2 3 2 6 5 2 11 2" xfId="13476"/>
    <cellStyle name="Normal 2 2 2 3 2 6 5 2 12" xfId="13477"/>
    <cellStyle name="Normal 2 2 2 3 2 6 5 2 2" xfId="13478"/>
    <cellStyle name="Normal 2 2 2 3 2 6 5 2 2 10" xfId="13479"/>
    <cellStyle name="Normal 2 2 2 3 2 6 5 2 2 10 2" xfId="13480"/>
    <cellStyle name="Normal 2 2 2 3 2 6 5 2 2 11" xfId="13481"/>
    <cellStyle name="Normal 2 2 2 3 2 6 5 2 2 2" xfId="13482"/>
    <cellStyle name="Normal 2 2 2 3 2 6 5 2 2 2 2" xfId="13483"/>
    <cellStyle name="Normal 2 2 2 3 2 6 5 2 2 3" xfId="13484"/>
    <cellStyle name="Normal 2 2 2 3 2 6 5 2 2 3 2" xfId="13485"/>
    <cellStyle name="Normal 2 2 2 3 2 6 5 2 2 4" xfId="13486"/>
    <cellStyle name="Normal 2 2 2 3 2 6 5 2 2 4 2" xfId="13487"/>
    <cellStyle name="Normal 2 2 2 3 2 6 5 2 2 5" xfId="13488"/>
    <cellStyle name="Normal 2 2 2 3 2 6 5 2 2 5 2" xfId="13489"/>
    <cellStyle name="Normal 2 2 2 3 2 6 5 2 2 6" xfId="13490"/>
    <cellStyle name="Normal 2 2 2 3 2 6 5 2 2 6 2" xfId="13491"/>
    <cellStyle name="Normal 2 2 2 3 2 6 5 2 2 7" xfId="13492"/>
    <cellStyle name="Normal 2 2 2 3 2 6 5 2 2 7 2" xfId="13493"/>
    <cellStyle name="Normal 2 2 2 3 2 6 5 2 2 8" xfId="13494"/>
    <cellStyle name="Normal 2 2 2 3 2 6 5 2 2 8 2" xfId="13495"/>
    <cellStyle name="Normal 2 2 2 3 2 6 5 2 2 9" xfId="13496"/>
    <cellStyle name="Normal 2 2 2 3 2 6 5 2 2 9 2" xfId="13497"/>
    <cellStyle name="Normal 2 2 2 3 2 6 5 2 3" xfId="13498"/>
    <cellStyle name="Normal 2 2 2 3 2 6 5 2 3 2" xfId="13499"/>
    <cellStyle name="Normal 2 2 2 3 2 6 5 2 4" xfId="13500"/>
    <cellStyle name="Normal 2 2 2 3 2 6 5 2 4 2" xfId="13501"/>
    <cellStyle name="Normal 2 2 2 3 2 6 5 2 5" xfId="13502"/>
    <cellStyle name="Normal 2 2 2 3 2 6 5 2 5 2" xfId="13503"/>
    <cellStyle name="Normal 2 2 2 3 2 6 5 2 6" xfId="13504"/>
    <cellStyle name="Normal 2 2 2 3 2 6 5 2 6 2" xfId="13505"/>
    <cellStyle name="Normal 2 2 2 3 2 6 5 2 7" xfId="13506"/>
    <cellStyle name="Normal 2 2 2 3 2 6 5 2 7 2" xfId="13507"/>
    <cellStyle name="Normal 2 2 2 3 2 6 5 2 8" xfId="13508"/>
    <cellStyle name="Normal 2 2 2 3 2 6 5 2 8 2" xfId="13509"/>
    <cellStyle name="Normal 2 2 2 3 2 6 5 2 9" xfId="13510"/>
    <cellStyle name="Normal 2 2 2 3 2 6 5 2 9 2" xfId="13511"/>
    <cellStyle name="Normal 2 2 2 3 2 6 5 3" xfId="13512"/>
    <cellStyle name="Normal 2 2 2 3 2 6 5 3 10" xfId="13513"/>
    <cellStyle name="Normal 2 2 2 3 2 6 5 3 10 2" xfId="13514"/>
    <cellStyle name="Normal 2 2 2 3 2 6 5 3 11" xfId="13515"/>
    <cellStyle name="Normal 2 2 2 3 2 6 5 3 2" xfId="13516"/>
    <cellStyle name="Normal 2 2 2 3 2 6 5 3 2 2" xfId="13517"/>
    <cellStyle name="Normal 2 2 2 3 2 6 5 3 3" xfId="13518"/>
    <cellStyle name="Normal 2 2 2 3 2 6 5 3 3 2" xfId="13519"/>
    <cellStyle name="Normal 2 2 2 3 2 6 5 3 4" xfId="13520"/>
    <cellStyle name="Normal 2 2 2 3 2 6 5 3 4 2" xfId="13521"/>
    <cellStyle name="Normal 2 2 2 3 2 6 5 3 5" xfId="13522"/>
    <cellStyle name="Normal 2 2 2 3 2 6 5 3 5 2" xfId="13523"/>
    <cellStyle name="Normal 2 2 2 3 2 6 5 3 6" xfId="13524"/>
    <cellStyle name="Normal 2 2 2 3 2 6 5 3 6 2" xfId="13525"/>
    <cellStyle name="Normal 2 2 2 3 2 6 5 3 7" xfId="13526"/>
    <cellStyle name="Normal 2 2 2 3 2 6 5 3 7 2" xfId="13527"/>
    <cellStyle name="Normal 2 2 2 3 2 6 5 3 8" xfId="13528"/>
    <cellStyle name="Normal 2 2 2 3 2 6 5 3 8 2" xfId="13529"/>
    <cellStyle name="Normal 2 2 2 3 2 6 5 3 9" xfId="13530"/>
    <cellStyle name="Normal 2 2 2 3 2 6 5 3 9 2" xfId="13531"/>
    <cellStyle name="Normal 2 2 2 3 2 6 5 4" xfId="13532"/>
    <cellStyle name="Normal 2 2 2 3 2 6 5 4 2" xfId="13533"/>
    <cellStyle name="Normal 2 2 2 3 2 6 5 5" xfId="13534"/>
    <cellStyle name="Normal 2 2 2 3 2 6 5 5 2" xfId="13535"/>
    <cellStyle name="Normal 2 2 2 3 2 6 5 6" xfId="13536"/>
    <cellStyle name="Normal 2 2 2 3 2 6 5 6 2" xfId="13537"/>
    <cellStyle name="Normal 2 2 2 3 2 6 5 7" xfId="13538"/>
    <cellStyle name="Normal 2 2 2 3 2 6 5 7 2" xfId="13539"/>
    <cellStyle name="Normal 2 2 2 3 2 6 5 8" xfId="13540"/>
    <cellStyle name="Normal 2 2 2 3 2 6 5 8 2" xfId="13541"/>
    <cellStyle name="Normal 2 2 2 3 2 6 5 9" xfId="13542"/>
    <cellStyle name="Normal 2 2 2 3 2 6 5 9 2" xfId="13543"/>
    <cellStyle name="Normal 2 2 2 3 2 6 6" xfId="41882"/>
    <cellStyle name="Normal 2 2 2 3 2 7" xfId="13544"/>
    <cellStyle name="Normal 2 2 2 3 2 7 2" xfId="41883"/>
    <cellStyle name="Normal 2 2 2 3 2 8" xfId="13545"/>
    <cellStyle name="Normal 2 2 2 3 2 8 2" xfId="41884"/>
    <cellStyle name="Normal 2 2 2 3 2 9" xfId="13546"/>
    <cellStyle name="Normal 2 2 2 3 2 9 2" xfId="41885"/>
    <cellStyle name="Normal 2 2 2 3 3" xfId="13547"/>
    <cellStyle name="Normal 2 2 2 3 3 10" xfId="13548"/>
    <cellStyle name="Normal 2 2 2 3 3 10 2" xfId="13549"/>
    <cellStyle name="Normal 2 2 2 3 3 11" xfId="13550"/>
    <cellStyle name="Normal 2 2 2 3 3 11 2" xfId="13551"/>
    <cellStyle name="Normal 2 2 2 3 3 12" xfId="13552"/>
    <cellStyle name="Normal 2 2 2 3 3 12 2" xfId="13553"/>
    <cellStyle name="Normal 2 2 2 3 3 13" xfId="13554"/>
    <cellStyle name="Normal 2 2 2 3 3 13 2" xfId="13555"/>
    <cellStyle name="Normal 2 2 2 3 3 14" xfId="13556"/>
    <cellStyle name="Normal 2 2 2 3 3 14 2" xfId="13557"/>
    <cellStyle name="Normal 2 2 2 3 3 15" xfId="13558"/>
    <cellStyle name="Normal 2 2 2 3 3 15 2" xfId="13559"/>
    <cellStyle name="Normal 2 2 2 3 3 16" xfId="13560"/>
    <cellStyle name="Normal 2 2 2 3 3 16 2" xfId="13561"/>
    <cellStyle name="Normal 2 2 2 3 3 17" xfId="13562"/>
    <cellStyle name="Normal 2 2 2 3 3 17 2" xfId="13563"/>
    <cellStyle name="Normal 2 2 2 3 3 18" xfId="13564"/>
    <cellStyle name="Normal 2 2 2 3 3 2" xfId="13565"/>
    <cellStyle name="Normal 2 2 2 3 3 2 2" xfId="13566"/>
    <cellStyle name="Normal 2 2 2 3 3 2 2 10" xfId="13567"/>
    <cellStyle name="Normal 2 2 2 3 3 2 2 10 2" xfId="13568"/>
    <cellStyle name="Normal 2 2 2 3 3 2 2 11" xfId="13569"/>
    <cellStyle name="Normal 2 2 2 3 3 2 2 11 2" xfId="13570"/>
    <cellStyle name="Normal 2 2 2 3 3 2 2 12" xfId="13571"/>
    <cellStyle name="Normal 2 2 2 3 3 2 2 12 2" xfId="13572"/>
    <cellStyle name="Normal 2 2 2 3 3 2 2 13" xfId="13573"/>
    <cellStyle name="Normal 2 2 2 3 3 2 2 13 2" xfId="13574"/>
    <cellStyle name="Normal 2 2 2 3 3 2 2 14" xfId="13575"/>
    <cellStyle name="Normal 2 2 2 3 3 2 2 14 2" xfId="13576"/>
    <cellStyle name="Normal 2 2 2 3 3 2 2 15" xfId="13577"/>
    <cellStyle name="Normal 2 2 2 3 3 2 2 15 2" xfId="13578"/>
    <cellStyle name="Normal 2 2 2 3 3 2 2 16" xfId="13579"/>
    <cellStyle name="Normal 2 2 2 3 3 2 2 16 2" xfId="13580"/>
    <cellStyle name="Normal 2 2 2 3 3 2 2 17" xfId="13581"/>
    <cellStyle name="Normal 2 2 2 3 3 2 2 2" xfId="13582"/>
    <cellStyle name="Normal 2 2 2 3 3 2 2 2 2" xfId="41886"/>
    <cellStyle name="Normal 2 2 2 3 3 2 2 3" xfId="13583"/>
    <cellStyle name="Normal 2 2 2 3 3 2 2 3 2" xfId="41887"/>
    <cellStyle name="Normal 2 2 2 3 3 2 2 4" xfId="13584"/>
    <cellStyle name="Normal 2 2 2 3 3 2 2 4 2" xfId="41888"/>
    <cellStyle name="Normal 2 2 2 3 3 2 2 5" xfId="13585"/>
    <cellStyle name="Normal 2 2 2 3 3 2 2 5 2" xfId="41889"/>
    <cellStyle name="Normal 2 2 2 3 3 2 2 6" xfId="13586"/>
    <cellStyle name="Normal 2 2 2 3 3 2 2 6 10" xfId="13587"/>
    <cellStyle name="Normal 2 2 2 3 3 2 2 6 10 2" xfId="13588"/>
    <cellStyle name="Normal 2 2 2 3 3 2 2 6 11" xfId="13589"/>
    <cellStyle name="Normal 2 2 2 3 3 2 2 6 11 2" xfId="13590"/>
    <cellStyle name="Normal 2 2 2 3 3 2 2 6 12" xfId="13591"/>
    <cellStyle name="Normal 2 2 2 3 3 2 2 6 2" xfId="13592"/>
    <cellStyle name="Normal 2 2 2 3 3 2 2 6 2 10" xfId="13593"/>
    <cellStyle name="Normal 2 2 2 3 3 2 2 6 2 10 2" xfId="13594"/>
    <cellStyle name="Normal 2 2 2 3 3 2 2 6 2 11" xfId="13595"/>
    <cellStyle name="Normal 2 2 2 3 3 2 2 6 2 2" xfId="13596"/>
    <cellStyle name="Normal 2 2 2 3 3 2 2 6 2 2 2" xfId="13597"/>
    <cellStyle name="Normal 2 2 2 3 3 2 2 6 2 3" xfId="13598"/>
    <cellStyle name="Normal 2 2 2 3 3 2 2 6 2 3 2" xfId="13599"/>
    <cellStyle name="Normal 2 2 2 3 3 2 2 6 2 4" xfId="13600"/>
    <cellStyle name="Normal 2 2 2 3 3 2 2 6 2 4 2" xfId="13601"/>
    <cellStyle name="Normal 2 2 2 3 3 2 2 6 2 5" xfId="13602"/>
    <cellStyle name="Normal 2 2 2 3 3 2 2 6 2 5 2" xfId="13603"/>
    <cellStyle name="Normal 2 2 2 3 3 2 2 6 2 6" xfId="13604"/>
    <cellStyle name="Normal 2 2 2 3 3 2 2 6 2 6 2" xfId="13605"/>
    <cellStyle name="Normal 2 2 2 3 3 2 2 6 2 7" xfId="13606"/>
    <cellStyle name="Normal 2 2 2 3 3 2 2 6 2 7 2" xfId="13607"/>
    <cellStyle name="Normal 2 2 2 3 3 2 2 6 2 8" xfId="13608"/>
    <cellStyle name="Normal 2 2 2 3 3 2 2 6 2 8 2" xfId="13609"/>
    <cellStyle name="Normal 2 2 2 3 3 2 2 6 2 9" xfId="13610"/>
    <cellStyle name="Normal 2 2 2 3 3 2 2 6 2 9 2" xfId="13611"/>
    <cellStyle name="Normal 2 2 2 3 3 2 2 6 3" xfId="13612"/>
    <cellStyle name="Normal 2 2 2 3 3 2 2 6 3 2" xfId="13613"/>
    <cellStyle name="Normal 2 2 2 3 3 2 2 6 4" xfId="13614"/>
    <cellStyle name="Normal 2 2 2 3 3 2 2 6 4 2" xfId="13615"/>
    <cellStyle name="Normal 2 2 2 3 3 2 2 6 5" xfId="13616"/>
    <cellStyle name="Normal 2 2 2 3 3 2 2 6 5 2" xfId="13617"/>
    <cellStyle name="Normal 2 2 2 3 3 2 2 6 6" xfId="13618"/>
    <cellStyle name="Normal 2 2 2 3 3 2 2 6 6 2" xfId="13619"/>
    <cellStyle name="Normal 2 2 2 3 3 2 2 6 7" xfId="13620"/>
    <cellStyle name="Normal 2 2 2 3 3 2 2 6 7 2" xfId="13621"/>
    <cellStyle name="Normal 2 2 2 3 3 2 2 6 8" xfId="13622"/>
    <cellStyle name="Normal 2 2 2 3 3 2 2 6 8 2" xfId="13623"/>
    <cellStyle name="Normal 2 2 2 3 3 2 2 6 9" xfId="13624"/>
    <cellStyle name="Normal 2 2 2 3 3 2 2 6 9 2" xfId="13625"/>
    <cellStyle name="Normal 2 2 2 3 3 2 2 7" xfId="13626"/>
    <cellStyle name="Normal 2 2 2 3 3 2 2 7 10" xfId="13627"/>
    <cellStyle name="Normal 2 2 2 3 3 2 2 7 10 2" xfId="13628"/>
    <cellStyle name="Normal 2 2 2 3 3 2 2 7 11" xfId="13629"/>
    <cellStyle name="Normal 2 2 2 3 3 2 2 7 2" xfId="13630"/>
    <cellStyle name="Normal 2 2 2 3 3 2 2 7 2 2" xfId="13631"/>
    <cellStyle name="Normal 2 2 2 3 3 2 2 7 3" xfId="13632"/>
    <cellStyle name="Normal 2 2 2 3 3 2 2 7 3 2" xfId="13633"/>
    <cellStyle name="Normal 2 2 2 3 3 2 2 7 4" xfId="13634"/>
    <cellStyle name="Normal 2 2 2 3 3 2 2 7 4 2" xfId="13635"/>
    <cellStyle name="Normal 2 2 2 3 3 2 2 7 5" xfId="13636"/>
    <cellStyle name="Normal 2 2 2 3 3 2 2 7 5 2" xfId="13637"/>
    <cellStyle name="Normal 2 2 2 3 3 2 2 7 6" xfId="13638"/>
    <cellStyle name="Normal 2 2 2 3 3 2 2 7 6 2" xfId="13639"/>
    <cellStyle name="Normal 2 2 2 3 3 2 2 7 7" xfId="13640"/>
    <cellStyle name="Normal 2 2 2 3 3 2 2 7 7 2" xfId="13641"/>
    <cellStyle name="Normal 2 2 2 3 3 2 2 7 8" xfId="13642"/>
    <cellStyle name="Normal 2 2 2 3 3 2 2 7 8 2" xfId="13643"/>
    <cellStyle name="Normal 2 2 2 3 3 2 2 7 9" xfId="13644"/>
    <cellStyle name="Normal 2 2 2 3 3 2 2 7 9 2" xfId="13645"/>
    <cellStyle name="Normal 2 2 2 3 3 2 2 8" xfId="13646"/>
    <cellStyle name="Normal 2 2 2 3 3 2 2 8 2" xfId="13647"/>
    <cellStyle name="Normal 2 2 2 3 3 2 2 9" xfId="13648"/>
    <cellStyle name="Normal 2 2 2 3 3 2 2 9 2" xfId="13649"/>
    <cellStyle name="Normal 2 2 2 3 3 2 3" xfId="13650"/>
    <cellStyle name="Normal 2 2 2 3 3 2 3 10" xfId="13651"/>
    <cellStyle name="Normal 2 2 2 3 3 2 3 10 2" xfId="13652"/>
    <cellStyle name="Normal 2 2 2 3 3 2 3 11" xfId="13653"/>
    <cellStyle name="Normal 2 2 2 3 3 2 3 11 2" xfId="13654"/>
    <cellStyle name="Normal 2 2 2 3 3 2 3 12" xfId="13655"/>
    <cellStyle name="Normal 2 2 2 3 3 2 3 12 2" xfId="13656"/>
    <cellStyle name="Normal 2 2 2 3 3 2 3 13" xfId="13657"/>
    <cellStyle name="Normal 2 2 2 3 3 2 3 2" xfId="13658"/>
    <cellStyle name="Normal 2 2 2 3 3 2 3 2 10" xfId="13659"/>
    <cellStyle name="Normal 2 2 2 3 3 2 3 2 10 2" xfId="13660"/>
    <cellStyle name="Normal 2 2 2 3 3 2 3 2 11" xfId="13661"/>
    <cellStyle name="Normal 2 2 2 3 3 2 3 2 11 2" xfId="13662"/>
    <cellStyle name="Normal 2 2 2 3 3 2 3 2 12" xfId="13663"/>
    <cellStyle name="Normal 2 2 2 3 3 2 3 2 2" xfId="13664"/>
    <cellStyle name="Normal 2 2 2 3 3 2 3 2 2 10" xfId="13665"/>
    <cellStyle name="Normal 2 2 2 3 3 2 3 2 2 10 2" xfId="13666"/>
    <cellStyle name="Normal 2 2 2 3 3 2 3 2 2 11" xfId="13667"/>
    <cellStyle name="Normal 2 2 2 3 3 2 3 2 2 2" xfId="13668"/>
    <cellStyle name="Normal 2 2 2 3 3 2 3 2 2 2 2" xfId="13669"/>
    <cellStyle name="Normal 2 2 2 3 3 2 3 2 2 3" xfId="13670"/>
    <cellStyle name="Normal 2 2 2 3 3 2 3 2 2 3 2" xfId="13671"/>
    <cellStyle name="Normal 2 2 2 3 3 2 3 2 2 4" xfId="13672"/>
    <cellStyle name="Normal 2 2 2 3 3 2 3 2 2 4 2" xfId="13673"/>
    <cellStyle name="Normal 2 2 2 3 3 2 3 2 2 5" xfId="13674"/>
    <cellStyle name="Normal 2 2 2 3 3 2 3 2 2 5 2" xfId="13675"/>
    <cellStyle name="Normal 2 2 2 3 3 2 3 2 2 6" xfId="13676"/>
    <cellStyle name="Normal 2 2 2 3 3 2 3 2 2 6 2" xfId="13677"/>
    <cellStyle name="Normal 2 2 2 3 3 2 3 2 2 7" xfId="13678"/>
    <cellStyle name="Normal 2 2 2 3 3 2 3 2 2 7 2" xfId="13679"/>
    <cellStyle name="Normal 2 2 2 3 3 2 3 2 2 8" xfId="13680"/>
    <cellStyle name="Normal 2 2 2 3 3 2 3 2 2 8 2" xfId="13681"/>
    <cellStyle name="Normal 2 2 2 3 3 2 3 2 2 9" xfId="13682"/>
    <cellStyle name="Normal 2 2 2 3 3 2 3 2 2 9 2" xfId="13683"/>
    <cellStyle name="Normal 2 2 2 3 3 2 3 2 3" xfId="13684"/>
    <cellStyle name="Normal 2 2 2 3 3 2 3 2 3 2" xfId="13685"/>
    <cellStyle name="Normal 2 2 2 3 3 2 3 2 4" xfId="13686"/>
    <cellStyle name="Normal 2 2 2 3 3 2 3 2 4 2" xfId="13687"/>
    <cellStyle name="Normal 2 2 2 3 3 2 3 2 5" xfId="13688"/>
    <cellStyle name="Normal 2 2 2 3 3 2 3 2 5 2" xfId="13689"/>
    <cellStyle name="Normal 2 2 2 3 3 2 3 2 6" xfId="13690"/>
    <cellStyle name="Normal 2 2 2 3 3 2 3 2 6 2" xfId="13691"/>
    <cellStyle name="Normal 2 2 2 3 3 2 3 2 7" xfId="13692"/>
    <cellStyle name="Normal 2 2 2 3 3 2 3 2 7 2" xfId="13693"/>
    <cellStyle name="Normal 2 2 2 3 3 2 3 2 8" xfId="13694"/>
    <cellStyle name="Normal 2 2 2 3 3 2 3 2 8 2" xfId="13695"/>
    <cellStyle name="Normal 2 2 2 3 3 2 3 2 9" xfId="13696"/>
    <cellStyle name="Normal 2 2 2 3 3 2 3 2 9 2" xfId="13697"/>
    <cellStyle name="Normal 2 2 2 3 3 2 3 3" xfId="13698"/>
    <cellStyle name="Normal 2 2 2 3 3 2 3 3 10" xfId="13699"/>
    <cellStyle name="Normal 2 2 2 3 3 2 3 3 10 2" xfId="13700"/>
    <cellStyle name="Normal 2 2 2 3 3 2 3 3 11" xfId="13701"/>
    <cellStyle name="Normal 2 2 2 3 3 2 3 3 2" xfId="13702"/>
    <cellStyle name="Normal 2 2 2 3 3 2 3 3 2 2" xfId="13703"/>
    <cellStyle name="Normal 2 2 2 3 3 2 3 3 3" xfId="13704"/>
    <cellStyle name="Normal 2 2 2 3 3 2 3 3 3 2" xfId="13705"/>
    <cellStyle name="Normal 2 2 2 3 3 2 3 3 4" xfId="13706"/>
    <cellStyle name="Normal 2 2 2 3 3 2 3 3 4 2" xfId="13707"/>
    <cellStyle name="Normal 2 2 2 3 3 2 3 3 5" xfId="13708"/>
    <cellStyle name="Normal 2 2 2 3 3 2 3 3 5 2" xfId="13709"/>
    <cellStyle name="Normal 2 2 2 3 3 2 3 3 6" xfId="13710"/>
    <cellStyle name="Normal 2 2 2 3 3 2 3 3 6 2" xfId="13711"/>
    <cellStyle name="Normal 2 2 2 3 3 2 3 3 7" xfId="13712"/>
    <cellStyle name="Normal 2 2 2 3 3 2 3 3 7 2" xfId="13713"/>
    <cellStyle name="Normal 2 2 2 3 3 2 3 3 8" xfId="13714"/>
    <cellStyle name="Normal 2 2 2 3 3 2 3 3 8 2" xfId="13715"/>
    <cellStyle name="Normal 2 2 2 3 3 2 3 3 9" xfId="13716"/>
    <cellStyle name="Normal 2 2 2 3 3 2 3 3 9 2" xfId="13717"/>
    <cellStyle name="Normal 2 2 2 3 3 2 3 4" xfId="13718"/>
    <cellStyle name="Normal 2 2 2 3 3 2 3 4 2" xfId="13719"/>
    <cellStyle name="Normal 2 2 2 3 3 2 3 5" xfId="13720"/>
    <cellStyle name="Normal 2 2 2 3 3 2 3 5 2" xfId="13721"/>
    <cellStyle name="Normal 2 2 2 3 3 2 3 6" xfId="13722"/>
    <cellStyle name="Normal 2 2 2 3 3 2 3 6 2" xfId="13723"/>
    <cellStyle name="Normal 2 2 2 3 3 2 3 7" xfId="13724"/>
    <cellStyle name="Normal 2 2 2 3 3 2 3 7 2" xfId="13725"/>
    <cellStyle name="Normal 2 2 2 3 3 2 3 8" xfId="13726"/>
    <cellStyle name="Normal 2 2 2 3 3 2 3 8 2" xfId="13727"/>
    <cellStyle name="Normal 2 2 2 3 3 2 3 9" xfId="13728"/>
    <cellStyle name="Normal 2 2 2 3 3 2 3 9 2" xfId="13729"/>
    <cellStyle name="Normal 2 2 2 3 3 2 4" xfId="13730"/>
    <cellStyle name="Normal 2 2 2 3 3 2 4 10" xfId="13731"/>
    <cellStyle name="Normal 2 2 2 3 3 2 4 10 2" xfId="13732"/>
    <cellStyle name="Normal 2 2 2 3 3 2 4 11" xfId="13733"/>
    <cellStyle name="Normal 2 2 2 3 3 2 4 11 2" xfId="13734"/>
    <cellStyle name="Normal 2 2 2 3 3 2 4 12" xfId="13735"/>
    <cellStyle name="Normal 2 2 2 3 3 2 4 12 2" xfId="13736"/>
    <cellStyle name="Normal 2 2 2 3 3 2 4 13" xfId="13737"/>
    <cellStyle name="Normal 2 2 2 3 3 2 4 2" xfId="13738"/>
    <cellStyle name="Normal 2 2 2 3 3 2 4 2 10" xfId="13739"/>
    <cellStyle name="Normal 2 2 2 3 3 2 4 2 10 2" xfId="13740"/>
    <cellStyle name="Normal 2 2 2 3 3 2 4 2 11" xfId="13741"/>
    <cellStyle name="Normal 2 2 2 3 3 2 4 2 11 2" xfId="13742"/>
    <cellStyle name="Normal 2 2 2 3 3 2 4 2 12" xfId="13743"/>
    <cellStyle name="Normal 2 2 2 3 3 2 4 2 2" xfId="13744"/>
    <cellStyle name="Normal 2 2 2 3 3 2 4 2 2 10" xfId="13745"/>
    <cellStyle name="Normal 2 2 2 3 3 2 4 2 2 10 2" xfId="13746"/>
    <cellStyle name="Normal 2 2 2 3 3 2 4 2 2 11" xfId="13747"/>
    <cellStyle name="Normal 2 2 2 3 3 2 4 2 2 2" xfId="13748"/>
    <cellStyle name="Normal 2 2 2 3 3 2 4 2 2 2 2" xfId="13749"/>
    <cellStyle name="Normal 2 2 2 3 3 2 4 2 2 3" xfId="13750"/>
    <cellStyle name="Normal 2 2 2 3 3 2 4 2 2 3 2" xfId="13751"/>
    <cellStyle name="Normal 2 2 2 3 3 2 4 2 2 4" xfId="13752"/>
    <cellStyle name="Normal 2 2 2 3 3 2 4 2 2 4 2" xfId="13753"/>
    <cellStyle name="Normal 2 2 2 3 3 2 4 2 2 5" xfId="13754"/>
    <cellStyle name="Normal 2 2 2 3 3 2 4 2 2 5 2" xfId="13755"/>
    <cellStyle name="Normal 2 2 2 3 3 2 4 2 2 6" xfId="13756"/>
    <cellStyle name="Normal 2 2 2 3 3 2 4 2 2 6 2" xfId="13757"/>
    <cellStyle name="Normal 2 2 2 3 3 2 4 2 2 7" xfId="13758"/>
    <cellStyle name="Normal 2 2 2 3 3 2 4 2 2 7 2" xfId="13759"/>
    <cellStyle name="Normal 2 2 2 3 3 2 4 2 2 8" xfId="13760"/>
    <cellStyle name="Normal 2 2 2 3 3 2 4 2 2 8 2" xfId="13761"/>
    <cellStyle name="Normal 2 2 2 3 3 2 4 2 2 9" xfId="13762"/>
    <cellStyle name="Normal 2 2 2 3 3 2 4 2 2 9 2" xfId="13763"/>
    <cellStyle name="Normal 2 2 2 3 3 2 4 2 3" xfId="13764"/>
    <cellStyle name="Normal 2 2 2 3 3 2 4 2 3 2" xfId="13765"/>
    <cellStyle name="Normal 2 2 2 3 3 2 4 2 4" xfId="13766"/>
    <cellStyle name="Normal 2 2 2 3 3 2 4 2 4 2" xfId="13767"/>
    <cellStyle name="Normal 2 2 2 3 3 2 4 2 5" xfId="13768"/>
    <cellStyle name="Normal 2 2 2 3 3 2 4 2 5 2" xfId="13769"/>
    <cellStyle name="Normal 2 2 2 3 3 2 4 2 6" xfId="13770"/>
    <cellStyle name="Normal 2 2 2 3 3 2 4 2 6 2" xfId="13771"/>
    <cellStyle name="Normal 2 2 2 3 3 2 4 2 7" xfId="13772"/>
    <cellStyle name="Normal 2 2 2 3 3 2 4 2 7 2" xfId="13773"/>
    <cellStyle name="Normal 2 2 2 3 3 2 4 2 8" xfId="13774"/>
    <cellStyle name="Normal 2 2 2 3 3 2 4 2 8 2" xfId="13775"/>
    <cellStyle name="Normal 2 2 2 3 3 2 4 2 9" xfId="13776"/>
    <cellStyle name="Normal 2 2 2 3 3 2 4 2 9 2" xfId="13777"/>
    <cellStyle name="Normal 2 2 2 3 3 2 4 3" xfId="13778"/>
    <cellStyle name="Normal 2 2 2 3 3 2 4 3 10" xfId="13779"/>
    <cellStyle name="Normal 2 2 2 3 3 2 4 3 10 2" xfId="13780"/>
    <cellStyle name="Normal 2 2 2 3 3 2 4 3 11" xfId="13781"/>
    <cellStyle name="Normal 2 2 2 3 3 2 4 3 2" xfId="13782"/>
    <cellStyle name="Normal 2 2 2 3 3 2 4 3 2 2" xfId="13783"/>
    <cellStyle name="Normal 2 2 2 3 3 2 4 3 3" xfId="13784"/>
    <cellStyle name="Normal 2 2 2 3 3 2 4 3 3 2" xfId="13785"/>
    <cellStyle name="Normal 2 2 2 3 3 2 4 3 4" xfId="13786"/>
    <cellStyle name="Normal 2 2 2 3 3 2 4 3 4 2" xfId="13787"/>
    <cellStyle name="Normal 2 2 2 3 3 2 4 3 5" xfId="13788"/>
    <cellStyle name="Normal 2 2 2 3 3 2 4 3 5 2" xfId="13789"/>
    <cellStyle name="Normal 2 2 2 3 3 2 4 3 6" xfId="13790"/>
    <cellStyle name="Normal 2 2 2 3 3 2 4 3 6 2" xfId="13791"/>
    <cellStyle name="Normal 2 2 2 3 3 2 4 3 7" xfId="13792"/>
    <cellStyle name="Normal 2 2 2 3 3 2 4 3 7 2" xfId="13793"/>
    <cellStyle name="Normal 2 2 2 3 3 2 4 3 8" xfId="13794"/>
    <cellStyle name="Normal 2 2 2 3 3 2 4 3 8 2" xfId="13795"/>
    <cellStyle name="Normal 2 2 2 3 3 2 4 3 9" xfId="13796"/>
    <cellStyle name="Normal 2 2 2 3 3 2 4 3 9 2" xfId="13797"/>
    <cellStyle name="Normal 2 2 2 3 3 2 4 4" xfId="13798"/>
    <cellStyle name="Normal 2 2 2 3 3 2 4 4 2" xfId="13799"/>
    <cellStyle name="Normal 2 2 2 3 3 2 4 5" xfId="13800"/>
    <cellStyle name="Normal 2 2 2 3 3 2 4 5 2" xfId="13801"/>
    <cellStyle name="Normal 2 2 2 3 3 2 4 6" xfId="13802"/>
    <cellStyle name="Normal 2 2 2 3 3 2 4 6 2" xfId="13803"/>
    <cellStyle name="Normal 2 2 2 3 3 2 4 7" xfId="13804"/>
    <cellStyle name="Normal 2 2 2 3 3 2 4 7 2" xfId="13805"/>
    <cellStyle name="Normal 2 2 2 3 3 2 4 8" xfId="13806"/>
    <cellStyle name="Normal 2 2 2 3 3 2 4 8 2" xfId="13807"/>
    <cellStyle name="Normal 2 2 2 3 3 2 4 9" xfId="13808"/>
    <cellStyle name="Normal 2 2 2 3 3 2 4 9 2" xfId="13809"/>
    <cellStyle name="Normal 2 2 2 3 3 2 5" xfId="13810"/>
    <cellStyle name="Normal 2 2 2 3 3 2 5 10" xfId="13811"/>
    <cellStyle name="Normal 2 2 2 3 3 2 5 10 2" xfId="13812"/>
    <cellStyle name="Normal 2 2 2 3 3 2 5 11" xfId="13813"/>
    <cellStyle name="Normal 2 2 2 3 3 2 5 11 2" xfId="13814"/>
    <cellStyle name="Normal 2 2 2 3 3 2 5 12" xfId="13815"/>
    <cellStyle name="Normal 2 2 2 3 3 2 5 12 2" xfId="13816"/>
    <cellStyle name="Normal 2 2 2 3 3 2 5 13" xfId="13817"/>
    <cellStyle name="Normal 2 2 2 3 3 2 5 2" xfId="13818"/>
    <cellStyle name="Normal 2 2 2 3 3 2 5 2 10" xfId="13819"/>
    <cellStyle name="Normal 2 2 2 3 3 2 5 2 10 2" xfId="13820"/>
    <cellStyle name="Normal 2 2 2 3 3 2 5 2 11" xfId="13821"/>
    <cellStyle name="Normal 2 2 2 3 3 2 5 2 11 2" xfId="13822"/>
    <cellStyle name="Normal 2 2 2 3 3 2 5 2 12" xfId="13823"/>
    <cellStyle name="Normal 2 2 2 3 3 2 5 2 2" xfId="13824"/>
    <cellStyle name="Normal 2 2 2 3 3 2 5 2 2 10" xfId="13825"/>
    <cellStyle name="Normal 2 2 2 3 3 2 5 2 2 10 2" xfId="13826"/>
    <cellStyle name="Normal 2 2 2 3 3 2 5 2 2 11" xfId="13827"/>
    <cellStyle name="Normal 2 2 2 3 3 2 5 2 2 2" xfId="13828"/>
    <cellStyle name="Normal 2 2 2 3 3 2 5 2 2 2 2" xfId="13829"/>
    <cellStyle name="Normal 2 2 2 3 3 2 5 2 2 3" xfId="13830"/>
    <cellStyle name="Normal 2 2 2 3 3 2 5 2 2 3 2" xfId="13831"/>
    <cellStyle name="Normal 2 2 2 3 3 2 5 2 2 4" xfId="13832"/>
    <cellStyle name="Normal 2 2 2 3 3 2 5 2 2 4 2" xfId="13833"/>
    <cellStyle name="Normal 2 2 2 3 3 2 5 2 2 5" xfId="13834"/>
    <cellStyle name="Normal 2 2 2 3 3 2 5 2 2 5 2" xfId="13835"/>
    <cellStyle name="Normal 2 2 2 3 3 2 5 2 2 6" xfId="13836"/>
    <cellStyle name="Normal 2 2 2 3 3 2 5 2 2 6 2" xfId="13837"/>
    <cellStyle name="Normal 2 2 2 3 3 2 5 2 2 7" xfId="13838"/>
    <cellStyle name="Normal 2 2 2 3 3 2 5 2 2 7 2" xfId="13839"/>
    <cellStyle name="Normal 2 2 2 3 3 2 5 2 2 8" xfId="13840"/>
    <cellStyle name="Normal 2 2 2 3 3 2 5 2 2 8 2" xfId="13841"/>
    <cellStyle name="Normal 2 2 2 3 3 2 5 2 2 9" xfId="13842"/>
    <cellStyle name="Normal 2 2 2 3 3 2 5 2 2 9 2" xfId="13843"/>
    <cellStyle name="Normal 2 2 2 3 3 2 5 2 3" xfId="13844"/>
    <cellStyle name="Normal 2 2 2 3 3 2 5 2 3 2" xfId="13845"/>
    <cellStyle name="Normal 2 2 2 3 3 2 5 2 4" xfId="13846"/>
    <cellStyle name="Normal 2 2 2 3 3 2 5 2 4 2" xfId="13847"/>
    <cellStyle name="Normal 2 2 2 3 3 2 5 2 5" xfId="13848"/>
    <cellStyle name="Normal 2 2 2 3 3 2 5 2 5 2" xfId="13849"/>
    <cellStyle name="Normal 2 2 2 3 3 2 5 2 6" xfId="13850"/>
    <cellStyle name="Normal 2 2 2 3 3 2 5 2 6 2" xfId="13851"/>
    <cellStyle name="Normal 2 2 2 3 3 2 5 2 7" xfId="13852"/>
    <cellStyle name="Normal 2 2 2 3 3 2 5 2 7 2" xfId="13853"/>
    <cellStyle name="Normal 2 2 2 3 3 2 5 2 8" xfId="13854"/>
    <cellStyle name="Normal 2 2 2 3 3 2 5 2 8 2" xfId="13855"/>
    <cellStyle name="Normal 2 2 2 3 3 2 5 2 9" xfId="13856"/>
    <cellStyle name="Normal 2 2 2 3 3 2 5 2 9 2" xfId="13857"/>
    <cellStyle name="Normal 2 2 2 3 3 2 5 3" xfId="13858"/>
    <cellStyle name="Normal 2 2 2 3 3 2 5 3 10" xfId="13859"/>
    <cellStyle name="Normal 2 2 2 3 3 2 5 3 10 2" xfId="13860"/>
    <cellStyle name="Normal 2 2 2 3 3 2 5 3 11" xfId="13861"/>
    <cellStyle name="Normal 2 2 2 3 3 2 5 3 2" xfId="13862"/>
    <cellStyle name="Normal 2 2 2 3 3 2 5 3 2 2" xfId="13863"/>
    <cellStyle name="Normal 2 2 2 3 3 2 5 3 3" xfId="13864"/>
    <cellStyle name="Normal 2 2 2 3 3 2 5 3 3 2" xfId="13865"/>
    <cellStyle name="Normal 2 2 2 3 3 2 5 3 4" xfId="13866"/>
    <cellStyle name="Normal 2 2 2 3 3 2 5 3 4 2" xfId="13867"/>
    <cellStyle name="Normal 2 2 2 3 3 2 5 3 5" xfId="13868"/>
    <cellStyle name="Normal 2 2 2 3 3 2 5 3 5 2" xfId="13869"/>
    <cellStyle name="Normal 2 2 2 3 3 2 5 3 6" xfId="13870"/>
    <cellStyle name="Normal 2 2 2 3 3 2 5 3 6 2" xfId="13871"/>
    <cellStyle name="Normal 2 2 2 3 3 2 5 3 7" xfId="13872"/>
    <cellStyle name="Normal 2 2 2 3 3 2 5 3 7 2" xfId="13873"/>
    <cellStyle name="Normal 2 2 2 3 3 2 5 3 8" xfId="13874"/>
    <cellStyle name="Normal 2 2 2 3 3 2 5 3 8 2" xfId="13875"/>
    <cellStyle name="Normal 2 2 2 3 3 2 5 3 9" xfId="13876"/>
    <cellStyle name="Normal 2 2 2 3 3 2 5 3 9 2" xfId="13877"/>
    <cellStyle name="Normal 2 2 2 3 3 2 5 4" xfId="13878"/>
    <cellStyle name="Normal 2 2 2 3 3 2 5 4 2" xfId="13879"/>
    <cellStyle name="Normal 2 2 2 3 3 2 5 5" xfId="13880"/>
    <cellStyle name="Normal 2 2 2 3 3 2 5 5 2" xfId="13881"/>
    <cellStyle name="Normal 2 2 2 3 3 2 5 6" xfId="13882"/>
    <cellStyle name="Normal 2 2 2 3 3 2 5 6 2" xfId="13883"/>
    <cellStyle name="Normal 2 2 2 3 3 2 5 7" xfId="13884"/>
    <cellStyle name="Normal 2 2 2 3 3 2 5 7 2" xfId="13885"/>
    <cellStyle name="Normal 2 2 2 3 3 2 5 8" xfId="13886"/>
    <cellStyle name="Normal 2 2 2 3 3 2 5 8 2" xfId="13887"/>
    <cellStyle name="Normal 2 2 2 3 3 2 5 9" xfId="13888"/>
    <cellStyle name="Normal 2 2 2 3 3 2 5 9 2" xfId="13889"/>
    <cellStyle name="Normal 2 2 2 3 3 2 6" xfId="41890"/>
    <cellStyle name="Normal 2 2 2 3 3 3" xfId="13890"/>
    <cellStyle name="Normal 2 2 2 3 3 3 2" xfId="41891"/>
    <cellStyle name="Normal 2 2 2 3 3 4" xfId="13891"/>
    <cellStyle name="Normal 2 2 2 3 3 4 2" xfId="41892"/>
    <cellStyle name="Normal 2 2 2 3 3 5" xfId="13892"/>
    <cellStyle name="Normal 2 2 2 3 3 5 2" xfId="41893"/>
    <cellStyle name="Normal 2 2 2 3 3 6" xfId="13893"/>
    <cellStyle name="Normal 2 2 2 3 3 6 2" xfId="41894"/>
    <cellStyle name="Normal 2 2 2 3 3 7" xfId="13894"/>
    <cellStyle name="Normal 2 2 2 3 3 7 10" xfId="13895"/>
    <cellStyle name="Normal 2 2 2 3 3 7 10 2" xfId="13896"/>
    <cellStyle name="Normal 2 2 2 3 3 7 11" xfId="13897"/>
    <cellStyle name="Normal 2 2 2 3 3 7 11 2" xfId="13898"/>
    <cellStyle name="Normal 2 2 2 3 3 7 12" xfId="13899"/>
    <cellStyle name="Normal 2 2 2 3 3 7 2" xfId="13900"/>
    <cellStyle name="Normal 2 2 2 3 3 7 2 10" xfId="13901"/>
    <cellStyle name="Normal 2 2 2 3 3 7 2 10 2" xfId="13902"/>
    <cellStyle name="Normal 2 2 2 3 3 7 2 11" xfId="13903"/>
    <cellStyle name="Normal 2 2 2 3 3 7 2 2" xfId="13904"/>
    <cellStyle name="Normal 2 2 2 3 3 7 2 2 2" xfId="13905"/>
    <cellStyle name="Normal 2 2 2 3 3 7 2 3" xfId="13906"/>
    <cellStyle name="Normal 2 2 2 3 3 7 2 3 2" xfId="13907"/>
    <cellStyle name="Normal 2 2 2 3 3 7 2 4" xfId="13908"/>
    <cellStyle name="Normal 2 2 2 3 3 7 2 4 2" xfId="13909"/>
    <cellStyle name="Normal 2 2 2 3 3 7 2 5" xfId="13910"/>
    <cellStyle name="Normal 2 2 2 3 3 7 2 5 2" xfId="13911"/>
    <cellStyle name="Normal 2 2 2 3 3 7 2 6" xfId="13912"/>
    <cellStyle name="Normal 2 2 2 3 3 7 2 6 2" xfId="13913"/>
    <cellStyle name="Normal 2 2 2 3 3 7 2 7" xfId="13914"/>
    <cellStyle name="Normal 2 2 2 3 3 7 2 7 2" xfId="13915"/>
    <cellStyle name="Normal 2 2 2 3 3 7 2 8" xfId="13916"/>
    <cellStyle name="Normal 2 2 2 3 3 7 2 8 2" xfId="13917"/>
    <cellStyle name="Normal 2 2 2 3 3 7 2 9" xfId="13918"/>
    <cellStyle name="Normal 2 2 2 3 3 7 2 9 2" xfId="13919"/>
    <cellStyle name="Normal 2 2 2 3 3 7 3" xfId="13920"/>
    <cellStyle name="Normal 2 2 2 3 3 7 3 2" xfId="13921"/>
    <cellStyle name="Normal 2 2 2 3 3 7 4" xfId="13922"/>
    <cellStyle name="Normal 2 2 2 3 3 7 4 2" xfId="13923"/>
    <cellStyle name="Normal 2 2 2 3 3 7 5" xfId="13924"/>
    <cellStyle name="Normal 2 2 2 3 3 7 5 2" xfId="13925"/>
    <cellStyle name="Normal 2 2 2 3 3 7 6" xfId="13926"/>
    <cellStyle name="Normal 2 2 2 3 3 7 6 2" xfId="13927"/>
    <cellStyle name="Normal 2 2 2 3 3 7 7" xfId="13928"/>
    <cellStyle name="Normal 2 2 2 3 3 7 7 2" xfId="13929"/>
    <cellStyle name="Normal 2 2 2 3 3 7 8" xfId="13930"/>
    <cellStyle name="Normal 2 2 2 3 3 7 8 2" xfId="13931"/>
    <cellStyle name="Normal 2 2 2 3 3 7 9" xfId="13932"/>
    <cellStyle name="Normal 2 2 2 3 3 7 9 2" xfId="13933"/>
    <cellStyle name="Normal 2 2 2 3 3 8" xfId="13934"/>
    <cellStyle name="Normal 2 2 2 3 3 8 10" xfId="13935"/>
    <cellStyle name="Normal 2 2 2 3 3 8 10 2" xfId="13936"/>
    <cellStyle name="Normal 2 2 2 3 3 8 11" xfId="13937"/>
    <cellStyle name="Normal 2 2 2 3 3 8 2" xfId="13938"/>
    <cellStyle name="Normal 2 2 2 3 3 8 2 2" xfId="13939"/>
    <cellStyle name="Normal 2 2 2 3 3 8 3" xfId="13940"/>
    <cellStyle name="Normal 2 2 2 3 3 8 3 2" xfId="13941"/>
    <cellStyle name="Normal 2 2 2 3 3 8 4" xfId="13942"/>
    <cellStyle name="Normal 2 2 2 3 3 8 4 2" xfId="13943"/>
    <cellStyle name="Normal 2 2 2 3 3 8 5" xfId="13944"/>
    <cellStyle name="Normal 2 2 2 3 3 8 5 2" xfId="13945"/>
    <cellStyle name="Normal 2 2 2 3 3 8 6" xfId="13946"/>
    <cellStyle name="Normal 2 2 2 3 3 8 6 2" xfId="13947"/>
    <cellStyle name="Normal 2 2 2 3 3 8 7" xfId="13948"/>
    <cellStyle name="Normal 2 2 2 3 3 8 7 2" xfId="13949"/>
    <cellStyle name="Normal 2 2 2 3 3 8 8" xfId="13950"/>
    <cellStyle name="Normal 2 2 2 3 3 8 8 2" xfId="13951"/>
    <cellStyle name="Normal 2 2 2 3 3 8 9" xfId="13952"/>
    <cellStyle name="Normal 2 2 2 3 3 8 9 2" xfId="13953"/>
    <cellStyle name="Normal 2 2 2 3 3 9" xfId="13954"/>
    <cellStyle name="Normal 2 2 2 3 3 9 2" xfId="13955"/>
    <cellStyle name="Normal 2 2 2 3 4" xfId="13956"/>
    <cellStyle name="Normal 2 2 2 3 4 2" xfId="41895"/>
    <cellStyle name="Normal 2 2 2 3 5" xfId="13957"/>
    <cellStyle name="Normal 2 2 2 3 5 2" xfId="41896"/>
    <cellStyle name="Normal 2 2 2 3 6" xfId="13958"/>
    <cellStyle name="Normal 2 2 2 3 6 10" xfId="13959"/>
    <cellStyle name="Normal 2 2 2 3 6 10 2" xfId="13960"/>
    <cellStyle name="Normal 2 2 2 3 6 11" xfId="13961"/>
    <cellStyle name="Normal 2 2 2 3 6 11 2" xfId="13962"/>
    <cellStyle name="Normal 2 2 2 3 6 12" xfId="13963"/>
    <cellStyle name="Normal 2 2 2 3 6 12 2" xfId="13964"/>
    <cellStyle name="Normal 2 2 2 3 6 13" xfId="13965"/>
    <cellStyle name="Normal 2 2 2 3 6 13 2" xfId="13966"/>
    <cellStyle name="Normal 2 2 2 3 6 14" xfId="13967"/>
    <cellStyle name="Normal 2 2 2 3 6 14 2" xfId="13968"/>
    <cellStyle name="Normal 2 2 2 3 6 15" xfId="13969"/>
    <cellStyle name="Normal 2 2 2 3 6 15 2" xfId="13970"/>
    <cellStyle name="Normal 2 2 2 3 6 16" xfId="13971"/>
    <cellStyle name="Normal 2 2 2 3 6 16 2" xfId="13972"/>
    <cellStyle name="Normal 2 2 2 3 6 17" xfId="13973"/>
    <cellStyle name="Normal 2 2 2 3 6 2" xfId="13974"/>
    <cellStyle name="Normal 2 2 2 3 6 2 2" xfId="41897"/>
    <cellStyle name="Normal 2 2 2 3 6 3" xfId="13975"/>
    <cellStyle name="Normal 2 2 2 3 6 3 2" xfId="41898"/>
    <cellStyle name="Normal 2 2 2 3 6 4" xfId="13976"/>
    <cellStyle name="Normal 2 2 2 3 6 4 2" xfId="41899"/>
    <cellStyle name="Normal 2 2 2 3 6 5" xfId="13977"/>
    <cellStyle name="Normal 2 2 2 3 6 5 2" xfId="41900"/>
    <cellStyle name="Normal 2 2 2 3 6 6" xfId="13978"/>
    <cellStyle name="Normal 2 2 2 3 6 6 10" xfId="13979"/>
    <cellStyle name="Normal 2 2 2 3 6 6 10 2" xfId="13980"/>
    <cellStyle name="Normal 2 2 2 3 6 6 11" xfId="13981"/>
    <cellStyle name="Normal 2 2 2 3 6 6 11 2" xfId="13982"/>
    <cellStyle name="Normal 2 2 2 3 6 6 12" xfId="13983"/>
    <cellStyle name="Normal 2 2 2 3 6 6 2" xfId="13984"/>
    <cellStyle name="Normal 2 2 2 3 6 6 2 10" xfId="13985"/>
    <cellStyle name="Normal 2 2 2 3 6 6 2 10 2" xfId="13986"/>
    <cellStyle name="Normal 2 2 2 3 6 6 2 11" xfId="13987"/>
    <cellStyle name="Normal 2 2 2 3 6 6 2 2" xfId="13988"/>
    <cellStyle name="Normal 2 2 2 3 6 6 2 2 2" xfId="13989"/>
    <cellStyle name="Normal 2 2 2 3 6 6 2 3" xfId="13990"/>
    <cellStyle name="Normal 2 2 2 3 6 6 2 3 2" xfId="13991"/>
    <cellStyle name="Normal 2 2 2 3 6 6 2 4" xfId="13992"/>
    <cellStyle name="Normal 2 2 2 3 6 6 2 4 2" xfId="13993"/>
    <cellStyle name="Normal 2 2 2 3 6 6 2 5" xfId="13994"/>
    <cellStyle name="Normal 2 2 2 3 6 6 2 5 2" xfId="13995"/>
    <cellStyle name="Normal 2 2 2 3 6 6 2 6" xfId="13996"/>
    <cellStyle name="Normal 2 2 2 3 6 6 2 6 2" xfId="13997"/>
    <cellStyle name="Normal 2 2 2 3 6 6 2 7" xfId="13998"/>
    <cellStyle name="Normal 2 2 2 3 6 6 2 7 2" xfId="13999"/>
    <cellStyle name="Normal 2 2 2 3 6 6 2 8" xfId="14000"/>
    <cellStyle name="Normal 2 2 2 3 6 6 2 8 2" xfId="14001"/>
    <cellStyle name="Normal 2 2 2 3 6 6 2 9" xfId="14002"/>
    <cellStyle name="Normal 2 2 2 3 6 6 2 9 2" xfId="14003"/>
    <cellStyle name="Normal 2 2 2 3 6 6 3" xfId="14004"/>
    <cellStyle name="Normal 2 2 2 3 6 6 3 2" xfId="14005"/>
    <cellStyle name="Normal 2 2 2 3 6 6 4" xfId="14006"/>
    <cellStyle name="Normal 2 2 2 3 6 6 4 2" xfId="14007"/>
    <cellStyle name="Normal 2 2 2 3 6 6 5" xfId="14008"/>
    <cellStyle name="Normal 2 2 2 3 6 6 5 2" xfId="14009"/>
    <cellStyle name="Normal 2 2 2 3 6 6 6" xfId="14010"/>
    <cellStyle name="Normal 2 2 2 3 6 6 6 2" xfId="14011"/>
    <cellStyle name="Normal 2 2 2 3 6 6 7" xfId="14012"/>
    <cellStyle name="Normal 2 2 2 3 6 6 7 2" xfId="14013"/>
    <cellStyle name="Normal 2 2 2 3 6 6 8" xfId="14014"/>
    <cellStyle name="Normal 2 2 2 3 6 6 8 2" xfId="14015"/>
    <cellStyle name="Normal 2 2 2 3 6 6 9" xfId="14016"/>
    <cellStyle name="Normal 2 2 2 3 6 6 9 2" xfId="14017"/>
    <cellStyle name="Normal 2 2 2 3 6 7" xfId="14018"/>
    <cellStyle name="Normal 2 2 2 3 6 7 10" xfId="14019"/>
    <cellStyle name="Normal 2 2 2 3 6 7 10 2" xfId="14020"/>
    <cellStyle name="Normal 2 2 2 3 6 7 11" xfId="14021"/>
    <cellStyle name="Normal 2 2 2 3 6 7 2" xfId="14022"/>
    <cellStyle name="Normal 2 2 2 3 6 7 2 2" xfId="14023"/>
    <cellStyle name="Normal 2 2 2 3 6 7 3" xfId="14024"/>
    <cellStyle name="Normal 2 2 2 3 6 7 3 2" xfId="14025"/>
    <cellStyle name="Normal 2 2 2 3 6 7 4" xfId="14026"/>
    <cellStyle name="Normal 2 2 2 3 6 7 4 2" xfId="14027"/>
    <cellStyle name="Normal 2 2 2 3 6 7 5" xfId="14028"/>
    <cellStyle name="Normal 2 2 2 3 6 7 5 2" xfId="14029"/>
    <cellStyle name="Normal 2 2 2 3 6 7 6" xfId="14030"/>
    <cellStyle name="Normal 2 2 2 3 6 7 6 2" xfId="14031"/>
    <cellStyle name="Normal 2 2 2 3 6 7 7" xfId="14032"/>
    <cellStyle name="Normal 2 2 2 3 6 7 7 2" xfId="14033"/>
    <cellStyle name="Normal 2 2 2 3 6 7 8" xfId="14034"/>
    <cellStyle name="Normal 2 2 2 3 6 7 8 2" xfId="14035"/>
    <cellStyle name="Normal 2 2 2 3 6 7 9" xfId="14036"/>
    <cellStyle name="Normal 2 2 2 3 6 7 9 2" xfId="14037"/>
    <cellStyle name="Normal 2 2 2 3 6 8" xfId="14038"/>
    <cellStyle name="Normal 2 2 2 3 6 8 2" xfId="14039"/>
    <cellStyle name="Normal 2 2 2 3 6 9" xfId="14040"/>
    <cellStyle name="Normal 2 2 2 3 6 9 2" xfId="14041"/>
    <cellStyle name="Normal 2 2 2 3 7" xfId="14042"/>
    <cellStyle name="Normal 2 2 2 3 7 10" xfId="14043"/>
    <cellStyle name="Normal 2 2 2 3 7 10 2" xfId="14044"/>
    <cellStyle name="Normal 2 2 2 3 7 11" xfId="14045"/>
    <cellStyle name="Normal 2 2 2 3 7 11 2" xfId="14046"/>
    <cellStyle name="Normal 2 2 2 3 7 12" xfId="14047"/>
    <cellStyle name="Normal 2 2 2 3 7 12 2" xfId="14048"/>
    <cellStyle name="Normal 2 2 2 3 7 13" xfId="14049"/>
    <cellStyle name="Normal 2 2 2 3 7 2" xfId="14050"/>
    <cellStyle name="Normal 2 2 2 3 7 2 10" xfId="14051"/>
    <cellStyle name="Normal 2 2 2 3 7 2 10 2" xfId="14052"/>
    <cellStyle name="Normal 2 2 2 3 7 2 11" xfId="14053"/>
    <cellStyle name="Normal 2 2 2 3 7 2 11 2" xfId="14054"/>
    <cellStyle name="Normal 2 2 2 3 7 2 12" xfId="14055"/>
    <cellStyle name="Normal 2 2 2 3 7 2 2" xfId="14056"/>
    <cellStyle name="Normal 2 2 2 3 7 2 2 10" xfId="14057"/>
    <cellStyle name="Normal 2 2 2 3 7 2 2 10 2" xfId="14058"/>
    <cellStyle name="Normal 2 2 2 3 7 2 2 11" xfId="14059"/>
    <cellStyle name="Normal 2 2 2 3 7 2 2 2" xfId="14060"/>
    <cellStyle name="Normal 2 2 2 3 7 2 2 2 2" xfId="14061"/>
    <cellStyle name="Normal 2 2 2 3 7 2 2 3" xfId="14062"/>
    <cellStyle name="Normal 2 2 2 3 7 2 2 3 2" xfId="14063"/>
    <cellStyle name="Normal 2 2 2 3 7 2 2 4" xfId="14064"/>
    <cellStyle name="Normal 2 2 2 3 7 2 2 4 2" xfId="14065"/>
    <cellStyle name="Normal 2 2 2 3 7 2 2 5" xfId="14066"/>
    <cellStyle name="Normal 2 2 2 3 7 2 2 5 2" xfId="14067"/>
    <cellStyle name="Normal 2 2 2 3 7 2 2 6" xfId="14068"/>
    <cellStyle name="Normal 2 2 2 3 7 2 2 6 2" xfId="14069"/>
    <cellStyle name="Normal 2 2 2 3 7 2 2 7" xfId="14070"/>
    <cellStyle name="Normal 2 2 2 3 7 2 2 7 2" xfId="14071"/>
    <cellStyle name="Normal 2 2 2 3 7 2 2 8" xfId="14072"/>
    <cellStyle name="Normal 2 2 2 3 7 2 2 8 2" xfId="14073"/>
    <cellStyle name="Normal 2 2 2 3 7 2 2 9" xfId="14074"/>
    <cellStyle name="Normal 2 2 2 3 7 2 2 9 2" xfId="14075"/>
    <cellStyle name="Normal 2 2 2 3 7 2 3" xfId="14076"/>
    <cellStyle name="Normal 2 2 2 3 7 2 3 2" xfId="14077"/>
    <cellStyle name="Normal 2 2 2 3 7 2 4" xfId="14078"/>
    <cellStyle name="Normal 2 2 2 3 7 2 4 2" xfId="14079"/>
    <cellStyle name="Normal 2 2 2 3 7 2 5" xfId="14080"/>
    <cellStyle name="Normal 2 2 2 3 7 2 5 2" xfId="14081"/>
    <cellStyle name="Normal 2 2 2 3 7 2 6" xfId="14082"/>
    <cellStyle name="Normal 2 2 2 3 7 2 6 2" xfId="14083"/>
    <cellStyle name="Normal 2 2 2 3 7 2 7" xfId="14084"/>
    <cellStyle name="Normal 2 2 2 3 7 2 7 2" xfId="14085"/>
    <cellStyle name="Normal 2 2 2 3 7 2 8" xfId="14086"/>
    <cellStyle name="Normal 2 2 2 3 7 2 8 2" xfId="14087"/>
    <cellStyle name="Normal 2 2 2 3 7 2 9" xfId="14088"/>
    <cellStyle name="Normal 2 2 2 3 7 2 9 2" xfId="14089"/>
    <cellStyle name="Normal 2 2 2 3 7 3" xfId="14090"/>
    <cellStyle name="Normal 2 2 2 3 7 3 10" xfId="14091"/>
    <cellStyle name="Normal 2 2 2 3 7 3 10 2" xfId="14092"/>
    <cellStyle name="Normal 2 2 2 3 7 3 11" xfId="14093"/>
    <cellStyle name="Normal 2 2 2 3 7 3 2" xfId="14094"/>
    <cellStyle name="Normal 2 2 2 3 7 3 2 2" xfId="14095"/>
    <cellStyle name="Normal 2 2 2 3 7 3 3" xfId="14096"/>
    <cellStyle name="Normal 2 2 2 3 7 3 3 2" xfId="14097"/>
    <cellStyle name="Normal 2 2 2 3 7 3 4" xfId="14098"/>
    <cellStyle name="Normal 2 2 2 3 7 3 4 2" xfId="14099"/>
    <cellStyle name="Normal 2 2 2 3 7 3 5" xfId="14100"/>
    <cellStyle name="Normal 2 2 2 3 7 3 5 2" xfId="14101"/>
    <cellStyle name="Normal 2 2 2 3 7 3 6" xfId="14102"/>
    <cellStyle name="Normal 2 2 2 3 7 3 6 2" xfId="14103"/>
    <cellStyle name="Normal 2 2 2 3 7 3 7" xfId="14104"/>
    <cellStyle name="Normal 2 2 2 3 7 3 7 2" xfId="14105"/>
    <cellStyle name="Normal 2 2 2 3 7 3 8" xfId="14106"/>
    <cellStyle name="Normal 2 2 2 3 7 3 8 2" xfId="14107"/>
    <cellStyle name="Normal 2 2 2 3 7 3 9" xfId="14108"/>
    <cellStyle name="Normal 2 2 2 3 7 3 9 2" xfId="14109"/>
    <cellStyle name="Normal 2 2 2 3 7 4" xfId="14110"/>
    <cellStyle name="Normal 2 2 2 3 7 4 2" xfId="14111"/>
    <cellStyle name="Normal 2 2 2 3 7 5" xfId="14112"/>
    <cellStyle name="Normal 2 2 2 3 7 5 2" xfId="14113"/>
    <cellStyle name="Normal 2 2 2 3 7 6" xfId="14114"/>
    <cellStyle name="Normal 2 2 2 3 7 6 2" xfId="14115"/>
    <cellStyle name="Normal 2 2 2 3 7 7" xfId="14116"/>
    <cellStyle name="Normal 2 2 2 3 7 7 2" xfId="14117"/>
    <cellStyle name="Normal 2 2 2 3 7 8" xfId="14118"/>
    <cellStyle name="Normal 2 2 2 3 7 8 2" xfId="14119"/>
    <cellStyle name="Normal 2 2 2 3 7 9" xfId="14120"/>
    <cellStyle name="Normal 2 2 2 3 7 9 2" xfId="14121"/>
    <cellStyle name="Normal 2 2 2 3 8" xfId="14122"/>
    <cellStyle name="Normal 2 2 2 3 8 10" xfId="14123"/>
    <cellStyle name="Normal 2 2 2 3 8 10 2" xfId="14124"/>
    <cellStyle name="Normal 2 2 2 3 8 11" xfId="14125"/>
    <cellStyle name="Normal 2 2 2 3 8 11 2" xfId="14126"/>
    <cellStyle name="Normal 2 2 2 3 8 12" xfId="14127"/>
    <cellStyle name="Normal 2 2 2 3 8 12 2" xfId="14128"/>
    <cellStyle name="Normal 2 2 2 3 8 13" xfId="14129"/>
    <cellStyle name="Normal 2 2 2 3 8 2" xfId="14130"/>
    <cellStyle name="Normal 2 2 2 3 8 2 10" xfId="14131"/>
    <cellStyle name="Normal 2 2 2 3 8 2 10 2" xfId="14132"/>
    <cellStyle name="Normal 2 2 2 3 8 2 11" xfId="14133"/>
    <cellStyle name="Normal 2 2 2 3 8 2 11 2" xfId="14134"/>
    <cellStyle name="Normal 2 2 2 3 8 2 12" xfId="14135"/>
    <cellStyle name="Normal 2 2 2 3 8 2 2" xfId="14136"/>
    <cellStyle name="Normal 2 2 2 3 8 2 2 10" xfId="14137"/>
    <cellStyle name="Normal 2 2 2 3 8 2 2 10 2" xfId="14138"/>
    <cellStyle name="Normal 2 2 2 3 8 2 2 11" xfId="14139"/>
    <cellStyle name="Normal 2 2 2 3 8 2 2 2" xfId="14140"/>
    <cellStyle name="Normal 2 2 2 3 8 2 2 2 2" xfId="14141"/>
    <cellStyle name="Normal 2 2 2 3 8 2 2 3" xfId="14142"/>
    <cellStyle name="Normal 2 2 2 3 8 2 2 3 2" xfId="14143"/>
    <cellStyle name="Normal 2 2 2 3 8 2 2 4" xfId="14144"/>
    <cellStyle name="Normal 2 2 2 3 8 2 2 4 2" xfId="14145"/>
    <cellStyle name="Normal 2 2 2 3 8 2 2 5" xfId="14146"/>
    <cellStyle name="Normal 2 2 2 3 8 2 2 5 2" xfId="14147"/>
    <cellStyle name="Normal 2 2 2 3 8 2 2 6" xfId="14148"/>
    <cellStyle name="Normal 2 2 2 3 8 2 2 6 2" xfId="14149"/>
    <cellStyle name="Normal 2 2 2 3 8 2 2 7" xfId="14150"/>
    <cellStyle name="Normal 2 2 2 3 8 2 2 7 2" xfId="14151"/>
    <cellStyle name="Normal 2 2 2 3 8 2 2 8" xfId="14152"/>
    <cellStyle name="Normal 2 2 2 3 8 2 2 8 2" xfId="14153"/>
    <cellStyle name="Normal 2 2 2 3 8 2 2 9" xfId="14154"/>
    <cellStyle name="Normal 2 2 2 3 8 2 2 9 2" xfId="14155"/>
    <cellStyle name="Normal 2 2 2 3 8 2 3" xfId="14156"/>
    <cellStyle name="Normal 2 2 2 3 8 2 3 2" xfId="14157"/>
    <cellStyle name="Normal 2 2 2 3 8 2 4" xfId="14158"/>
    <cellStyle name="Normal 2 2 2 3 8 2 4 2" xfId="14159"/>
    <cellStyle name="Normal 2 2 2 3 8 2 5" xfId="14160"/>
    <cellStyle name="Normal 2 2 2 3 8 2 5 2" xfId="14161"/>
    <cellStyle name="Normal 2 2 2 3 8 2 6" xfId="14162"/>
    <cellStyle name="Normal 2 2 2 3 8 2 6 2" xfId="14163"/>
    <cellStyle name="Normal 2 2 2 3 8 2 7" xfId="14164"/>
    <cellStyle name="Normal 2 2 2 3 8 2 7 2" xfId="14165"/>
    <cellStyle name="Normal 2 2 2 3 8 2 8" xfId="14166"/>
    <cellStyle name="Normal 2 2 2 3 8 2 8 2" xfId="14167"/>
    <cellStyle name="Normal 2 2 2 3 8 2 9" xfId="14168"/>
    <cellStyle name="Normal 2 2 2 3 8 2 9 2" xfId="14169"/>
    <cellStyle name="Normal 2 2 2 3 8 3" xfId="14170"/>
    <cellStyle name="Normal 2 2 2 3 8 3 10" xfId="14171"/>
    <cellStyle name="Normal 2 2 2 3 8 3 10 2" xfId="14172"/>
    <cellStyle name="Normal 2 2 2 3 8 3 11" xfId="14173"/>
    <cellStyle name="Normal 2 2 2 3 8 3 2" xfId="14174"/>
    <cellStyle name="Normal 2 2 2 3 8 3 2 2" xfId="14175"/>
    <cellStyle name="Normal 2 2 2 3 8 3 3" xfId="14176"/>
    <cellStyle name="Normal 2 2 2 3 8 3 3 2" xfId="14177"/>
    <cellStyle name="Normal 2 2 2 3 8 3 4" xfId="14178"/>
    <cellStyle name="Normal 2 2 2 3 8 3 4 2" xfId="14179"/>
    <cellStyle name="Normal 2 2 2 3 8 3 5" xfId="14180"/>
    <cellStyle name="Normal 2 2 2 3 8 3 5 2" xfId="14181"/>
    <cellStyle name="Normal 2 2 2 3 8 3 6" xfId="14182"/>
    <cellStyle name="Normal 2 2 2 3 8 3 6 2" xfId="14183"/>
    <cellStyle name="Normal 2 2 2 3 8 3 7" xfId="14184"/>
    <cellStyle name="Normal 2 2 2 3 8 3 7 2" xfId="14185"/>
    <cellStyle name="Normal 2 2 2 3 8 3 8" xfId="14186"/>
    <cellStyle name="Normal 2 2 2 3 8 3 8 2" xfId="14187"/>
    <cellStyle name="Normal 2 2 2 3 8 3 9" xfId="14188"/>
    <cellStyle name="Normal 2 2 2 3 8 3 9 2" xfId="14189"/>
    <cellStyle name="Normal 2 2 2 3 8 4" xfId="14190"/>
    <cellStyle name="Normal 2 2 2 3 8 4 2" xfId="14191"/>
    <cellStyle name="Normal 2 2 2 3 8 5" xfId="14192"/>
    <cellStyle name="Normal 2 2 2 3 8 5 2" xfId="14193"/>
    <cellStyle name="Normal 2 2 2 3 8 6" xfId="14194"/>
    <cellStyle name="Normal 2 2 2 3 8 6 2" xfId="14195"/>
    <cellStyle name="Normal 2 2 2 3 8 7" xfId="14196"/>
    <cellStyle name="Normal 2 2 2 3 8 7 2" xfId="14197"/>
    <cellStyle name="Normal 2 2 2 3 8 8" xfId="14198"/>
    <cellStyle name="Normal 2 2 2 3 8 8 2" xfId="14199"/>
    <cellStyle name="Normal 2 2 2 3 8 9" xfId="14200"/>
    <cellStyle name="Normal 2 2 2 3 8 9 2" xfId="14201"/>
    <cellStyle name="Normal 2 2 2 3 9" xfId="14202"/>
    <cellStyle name="Normal 2 2 2 3 9 10" xfId="14203"/>
    <cellStyle name="Normal 2 2 2 3 9 10 2" xfId="14204"/>
    <cellStyle name="Normal 2 2 2 3 9 11" xfId="14205"/>
    <cellStyle name="Normal 2 2 2 3 9 11 2" xfId="14206"/>
    <cellStyle name="Normal 2 2 2 3 9 12" xfId="14207"/>
    <cellStyle name="Normal 2 2 2 3 9 12 2" xfId="14208"/>
    <cellStyle name="Normal 2 2 2 3 9 13" xfId="14209"/>
    <cellStyle name="Normal 2 2 2 3 9 2" xfId="14210"/>
    <cellStyle name="Normal 2 2 2 3 9 2 10" xfId="14211"/>
    <cellStyle name="Normal 2 2 2 3 9 2 10 2" xfId="14212"/>
    <cellStyle name="Normal 2 2 2 3 9 2 11" xfId="14213"/>
    <cellStyle name="Normal 2 2 2 3 9 2 11 2" xfId="14214"/>
    <cellStyle name="Normal 2 2 2 3 9 2 12" xfId="14215"/>
    <cellStyle name="Normal 2 2 2 3 9 2 2" xfId="14216"/>
    <cellStyle name="Normal 2 2 2 3 9 2 2 10" xfId="14217"/>
    <cellStyle name="Normal 2 2 2 3 9 2 2 10 2" xfId="14218"/>
    <cellStyle name="Normal 2 2 2 3 9 2 2 11" xfId="14219"/>
    <cellStyle name="Normal 2 2 2 3 9 2 2 2" xfId="14220"/>
    <cellStyle name="Normal 2 2 2 3 9 2 2 2 2" xfId="14221"/>
    <cellStyle name="Normal 2 2 2 3 9 2 2 3" xfId="14222"/>
    <cellStyle name="Normal 2 2 2 3 9 2 2 3 2" xfId="14223"/>
    <cellStyle name="Normal 2 2 2 3 9 2 2 4" xfId="14224"/>
    <cellStyle name="Normal 2 2 2 3 9 2 2 4 2" xfId="14225"/>
    <cellStyle name="Normal 2 2 2 3 9 2 2 5" xfId="14226"/>
    <cellStyle name="Normal 2 2 2 3 9 2 2 5 2" xfId="14227"/>
    <cellStyle name="Normal 2 2 2 3 9 2 2 6" xfId="14228"/>
    <cellStyle name="Normal 2 2 2 3 9 2 2 6 2" xfId="14229"/>
    <cellStyle name="Normal 2 2 2 3 9 2 2 7" xfId="14230"/>
    <cellStyle name="Normal 2 2 2 3 9 2 2 7 2" xfId="14231"/>
    <cellStyle name="Normal 2 2 2 3 9 2 2 8" xfId="14232"/>
    <cellStyle name="Normal 2 2 2 3 9 2 2 8 2" xfId="14233"/>
    <cellStyle name="Normal 2 2 2 3 9 2 2 9" xfId="14234"/>
    <cellStyle name="Normal 2 2 2 3 9 2 2 9 2" xfId="14235"/>
    <cellStyle name="Normal 2 2 2 3 9 2 3" xfId="14236"/>
    <cellStyle name="Normal 2 2 2 3 9 2 3 2" xfId="14237"/>
    <cellStyle name="Normal 2 2 2 3 9 2 4" xfId="14238"/>
    <cellStyle name="Normal 2 2 2 3 9 2 4 2" xfId="14239"/>
    <cellStyle name="Normal 2 2 2 3 9 2 5" xfId="14240"/>
    <cellStyle name="Normal 2 2 2 3 9 2 5 2" xfId="14241"/>
    <cellStyle name="Normal 2 2 2 3 9 2 6" xfId="14242"/>
    <cellStyle name="Normal 2 2 2 3 9 2 6 2" xfId="14243"/>
    <cellStyle name="Normal 2 2 2 3 9 2 7" xfId="14244"/>
    <cellStyle name="Normal 2 2 2 3 9 2 7 2" xfId="14245"/>
    <cellStyle name="Normal 2 2 2 3 9 2 8" xfId="14246"/>
    <cellStyle name="Normal 2 2 2 3 9 2 8 2" xfId="14247"/>
    <cellStyle name="Normal 2 2 2 3 9 2 9" xfId="14248"/>
    <cellStyle name="Normal 2 2 2 3 9 2 9 2" xfId="14249"/>
    <cellStyle name="Normal 2 2 2 3 9 3" xfId="14250"/>
    <cellStyle name="Normal 2 2 2 3 9 3 10" xfId="14251"/>
    <cellStyle name="Normal 2 2 2 3 9 3 10 2" xfId="14252"/>
    <cellStyle name="Normal 2 2 2 3 9 3 11" xfId="14253"/>
    <cellStyle name="Normal 2 2 2 3 9 3 2" xfId="14254"/>
    <cellStyle name="Normal 2 2 2 3 9 3 2 2" xfId="14255"/>
    <cellStyle name="Normal 2 2 2 3 9 3 3" xfId="14256"/>
    <cellStyle name="Normal 2 2 2 3 9 3 3 2" xfId="14257"/>
    <cellStyle name="Normal 2 2 2 3 9 3 4" xfId="14258"/>
    <cellStyle name="Normal 2 2 2 3 9 3 4 2" xfId="14259"/>
    <cellStyle name="Normal 2 2 2 3 9 3 5" xfId="14260"/>
    <cellStyle name="Normal 2 2 2 3 9 3 5 2" xfId="14261"/>
    <cellStyle name="Normal 2 2 2 3 9 3 6" xfId="14262"/>
    <cellStyle name="Normal 2 2 2 3 9 3 6 2" xfId="14263"/>
    <cellStyle name="Normal 2 2 2 3 9 3 7" xfId="14264"/>
    <cellStyle name="Normal 2 2 2 3 9 3 7 2" xfId="14265"/>
    <cellStyle name="Normal 2 2 2 3 9 3 8" xfId="14266"/>
    <cellStyle name="Normal 2 2 2 3 9 3 8 2" xfId="14267"/>
    <cellStyle name="Normal 2 2 2 3 9 3 9" xfId="14268"/>
    <cellStyle name="Normal 2 2 2 3 9 3 9 2" xfId="14269"/>
    <cellStyle name="Normal 2 2 2 3 9 4" xfId="14270"/>
    <cellStyle name="Normal 2 2 2 3 9 4 2" xfId="14271"/>
    <cellStyle name="Normal 2 2 2 3 9 5" xfId="14272"/>
    <cellStyle name="Normal 2 2 2 3 9 5 2" xfId="14273"/>
    <cellStyle name="Normal 2 2 2 3 9 6" xfId="14274"/>
    <cellStyle name="Normal 2 2 2 3 9 6 2" xfId="14275"/>
    <cellStyle name="Normal 2 2 2 3 9 7" xfId="14276"/>
    <cellStyle name="Normal 2 2 2 3 9 7 2" xfId="14277"/>
    <cellStyle name="Normal 2 2 2 3 9 8" xfId="14278"/>
    <cellStyle name="Normal 2 2 2 3 9 8 2" xfId="14279"/>
    <cellStyle name="Normal 2 2 2 3 9 9" xfId="14280"/>
    <cellStyle name="Normal 2 2 2 3 9 9 2" xfId="14281"/>
    <cellStyle name="Normal 2 2 2 4" xfId="14282"/>
    <cellStyle name="Normal 2 2 2 4 10" xfId="14283"/>
    <cellStyle name="Normal 2 2 2 4 10 2" xfId="14284"/>
    <cellStyle name="Normal 2 2 2 4 11" xfId="14285"/>
    <cellStyle name="Normal 2 2 2 4 11 2" xfId="14286"/>
    <cellStyle name="Normal 2 2 2 4 12" xfId="14287"/>
    <cellStyle name="Normal 2 2 2 4 12 2" xfId="14288"/>
    <cellStyle name="Normal 2 2 2 4 13" xfId="14289"/>
    <cellStyle name="Normal 2 2 2 4 2" xfId="14290"/>
    <cellStyle name="Normal 2 2 2 4 2 10" xfId="14291"/>
    <cellStyle name="Normal 2 2 2 4 2 10 2" xfId="14292"/>
    <cellStyle name="Normal 2 2 2 4 2 11" xfId="14293"/>
    <cellStyle name="Normal 2 2 2 4 2 11 2" xfId="14294"/>
    <cellStyle name="Normal 2 2 2 4 2 12" xfId="14295"/>
    <cellStyle name="Normal 2 2 2 4 2 2" xfId="14296"/>
    <cellStyle name="Normal 2 2 2 4 2 2 10" xfId="14297"/>
    <cellStyle name="Normal 2 2 2 4 2 2 10 2" xfId="14298"/>
    <cellStyle name="Normal 2 2 2 4 2 2 11" xfId="14299"/>
    <cellStyle name="Normal 2 2 2 4 2 2 2" xfId="14300"/>
    <cellStyle name="Normal 2 2 2 4 2 2 2 2" xfId="14301"/>
    <cellStyle name="Normal 2 2 2 4 2 2 3" xfId="14302"/>
    <cellStyle name="Normal 2 2 2 4 2 2 3 2" xfId="14303"/>
    <cellStyle name="Normal 2 2 2 4 2 2 4" xfId="14304"/>
    <cellStyle name="Normal 2 2 2 4 2 2 4 2" xfId="14305"/>
    <cellStyle name="Normal 2 2 2 4 2 2 5" xfId="14306"/>
    <cellStyle name="Normal 2 2 2 4 2 2 5 2" xfId="14307"/>
    <cellStyle name="Normal 2 2 2 4 2 2 6" xfId="14308"/>
    <cellStyle name="Normal 2 2 2 4 2 2 6 2" xfId="14309"/>
    <cellStyle name="Normal 2 2 2 4 2 2 7" xfId="14310"/>
    <cellStyle name="Normal 2 2 2 4 2 2 7 2" xfId="14311"/>
    <cellStyle name="Normal 2 2 2 4 2 2 8" xfId="14312"/>
    <cellStyle name="Normal 2 2 2 4 2 2 8 2" xfId="14313"/>
    <cellStyle name="Normal 2 2 2 4 2 2 9" xfId="14314"/>
    <cellStyle name="Normal 2 2 2 4 2 2 9 2" xfId="14315"/>
    <cellStyle name="Normal 2 2 2 4 2 3" xfId="14316"/>
    <cellStyle name="Normal 2 2 2 4 2 3 2" xfId="14317"/>
    <cellStyle name="Normal 2 2 2 4 2 4" xfId="14318"/>
    <cellStyle name="Normal 2 2 2 4 2 4 2" xfId="14319"/>
    <cellStyle name="Normal 2 2 2 4 2 5" xfId="14320"/>
    <cellStyle name="Normal 2 2 2 4 2 5 2" xfId="14321"/>
    <cellStyle name="Normal 2 2 2 4 2 6" xfId="14322"/>
    <cellStyle name="Normal 2 2 2 4 2 6 2" xfId="14323"/>
    <cellStyle name="Normal 2 2 2 4 2 7" xfId="14324"/>
    <cellStyle name="Normal 2 2 2 4 2 7 2" xfId="14325"/>
    <cellStyle name="Normal 2 2 2 4 2 8" xfId="14326"/>
    <cellStyle name="Normal 2 2 2 4 2 8 2" xfId="14327"/>
    <cellStyle name="Normal 2 2 2 4 2 9" xfId="14328"/>
    <cellStyle name="Normal 2 2 2 4 2 9 2" xfId="14329"/>
    <cellStyle name="Normal 2 2 2 4 3" xfId="14330"/>
    <cellStyle name="Normal 2 2 2 4 3 10" xfId="14331"/>
    <cellStyle name="Normal 2 2 2 4 3 10 2" xfId="14332"/>
    <cellStyle name="Normal 2 2 2 4 3 11" xfId="14333"/>
    <cellStyle name="Normal 2 2 2 4 3 2" xfId="14334"/>
    <cellStyle name="Normal 2 2 2 4 3 2 2" xfId="14335"/>
    <cellStyle name="Normal 2 2 2 4 3 3" xfId="14336"/>
    <cellStyle name="Normal 2 2 2 4 3 3 2" xfId="14337"/>
    <cellStyle name="Normal 2 2 2 4 3 4" xfId="14338"/>
    <cellStyle name="Normal 2 2 2 4 3 4 2" xfId="14339"/>
    <cellStyle name="Normal 2 2 2 4 3 5" xfId="14340"/>
    <cellStyle name="Normal 2 2 2 4 3 5 2" xfId="14341"/>
    <cellStyle name="Normal 2 2 2 4 3 6" xfId="14342"/>
    <cellStyle name="Normal 2 2 2 4 3 6 2" xfId="14343"/>
    <cellStyle name="Normal 2 2 2 4 3 7" xfId="14344"/>
    <cellStyle name="Normal 2 2 2 4 3 7 2" xfId="14345"/>
    <cellStyle name="Normal 2 2 2 4 3 8" xfId="14346"/>
    <cellStyle name="Normal 2 2 2 4 3 8 2" xfId="14347"/>
    <cellStyle name="Normal 2 2 2 4 3 9" xfId="14348"/>
    <cellStyle name="Normal 2 2 2 4 3 9 2" xfId="14349"/>
    <cellStyle name="Normal 2 2 2 4 4" xfId="14350"/>
    <cellStyle name="Normal 2 2 2 4 4 2" xfId="14351"/>
    <cellStyle name="Normal 2 2 2 4 5" xfId="14352"/>
    <cellStyle name="Normal 2 2 2 4 5 2" xfId="14353"/>
    <cellStyle name="Normal 2 2 2 4 6" xfId="14354"/>
    <cellStyle name="Normal 2 2 2 4 6 2" xfId="14355"/>
    <cellStyle name="Normal 2 2 2 4 7" xfId="14356"/>
    <cellStyle name="Normal 2 2 2 4 7 2" xfId="14357"/>
    <cellStyle name="Normal 2 2 2 4 8" xfId="14358"/>
    <cellStyle name="Normal 2 2 2 4 8 2" xfId="14359"/>
    <cellStyle name="Normal 2 2 2 4 9" xfId="14360"/>
    <cellStyle name="Normal 2 2 2 4 9 2" xfId="14361"/>
    <cellStyle name="Normal 2 2 2 5" xfId="14362"/>
    <cellStyle name="Normal 2 2 2 5 10" xfId="14363"/>
    <cellStyle name="Normal 2 2 2 5 10 2" xfId="14364"/>
    <cellStyle name="Normal 2 2 2 5 11" xfId="14365"/>
    <cellStyle name="Normal 2 2 2 5 11 2" xfId="14366"/>
    <cellStyle name="Normal 2 2 2 5 12" xfId="14367"/>
    <cellStyle name="Normal 2 2 2 5 12 2" xfId="14368"/>
    <cellStyle name="Normal 2 2 2 5 13" xfId="14369"/>
    <cellStyle name="Normal 2 2 2 5 2" xfId="14370"/>
    <cellStyle name="Normal 2 2 2 5 2 10" xfId="14371"/>
    <cellStyle name="Normal 2 2 2 5 2 10 2" xfId="14372"/>
    <cellStyle name="Normal 2 2 2 5 2 11" xfId="14373"/>
    <cellStyle name="Normal 2 2 2 5 2 11 2" xfId="14374"/>
    <cellStyle name="Normal 2 2 2 5 2 12" xfId="14375"/>
    <cellStyle name="Normal 2 2 2 5 2 2" xfId="14376"/>
    <cellStyle name="Normal 2 2 2 5 2 2 10" xfId="14377"/>
    <cellStyle name="Normal 2 2 2 5 2 2 10 2" xfId="14378"/>
    <cellStyle name="Normal 2 2 2 5 2 2 11" xfId="14379"/>
    <cellStyle name="Normal 2 2 2 5 2 2 2" xfId="14380"/>
    <cellStyle name="Normal 2 2 2 5 2 2 2 2" xfId="14381"/>
    <cellStyle name="Normal 2 2 2 5 2 2 3" xfId="14382"/>
    <cellStyle name="Normal 2 2 2 5 2 2 3 2" xfId="14383"/>
    <cellStyle name="Normal 2 2 2 5 2 2 4" xfId="14384"/>
    <cellStyle name="Normal 2 2 2 5 2 2 4 2" xfId="14385"/>
    <cellStyle name="Normal 2 2 2 5 2 2 5" xfId="14386"/>
    <cellStyle name="Normal 2 2 2 5 2 2 5 2" xfId="14387"/>
    <cellStyle name="Normal 2 2 2 5 2 2 6" xfId="14388"/>
    <cellStyle name="Normal 2 2 2 5 2 2 6 2" xfId="14389"/>
    <cellStyle name="Normal 2 2 2 5 2 2 7" xfId="14390"/>
    <cellStyle name="Normal 2 2 2 5 2 2 7 2" xfId="14391"/>
    <cellStyle name="Normal 2 2 2 5 2 2 8" xfId="14392"/>
    <cellStyle name="Normal 2 2 2 5 2 2 8 2" xfId="14393"/>
    <cellStyle name="Normal 2 2 2 5 2 2 9" xfId="14394"/>
    <cellStyle name="Normal 2 2 2 5 2 2 9 2" xfId="14395"/>
    <cellStyle name="Normal 2 2 2 5 2 3" xfId="14396"/>
    <cellStyle name="Normal 2 2 2 5 2 3 2" xfId="14397"/>
    <cellStyle name="Normal 2 2 2 5 2 4" xfId="14398"/>
    <cellStyle name="Normal 2 2 2 5 2 4 2" xfId="14399"/>
    <cellStyle name="Normal 2 2 2 5 2 5" xfId="14400"/>
    <cellStyle name="Normal 2 2 2 5 2 5 2" xfId="14401"/>
    <cellStyle name="Normal 2 2 2 5 2 6" xfId="14402"/>
    <cellStyle name="Normal 2 2 2 5 2 6 2" xfId="14403"/>
    <cellStyle name="Normal 2 2 2 5 2 7" xfId="14404"/>
    <cellStyle name="Normal 2 2 2 5 2 7 2" xfId="14405"/>
    <cellStyle name="Normal 2 2 2 5 2 8" xfId="14406"/>
    <cellStyle name="Normal 2 2 2 5 2 8 2" xfId="14407"/>
    <cellStyle name="Normal 2 2 2 5 2 9" xfId="14408"/>
    <cellStyle name="Normal 2 2 2 5 2 9 2" xfId="14409"/>
    <cellStyle name="Normal 2 2 2 5 3" xfId="14410"/>
    <cellStyle name="Normal 2 2 2 5 3 10" xfId="14411"/>
    <cellStyle name="Normal 2 2 2 5 3 10 2" xfId="14412"/>
    <cellStyle name="Normal 2 2 2 5 3 11" xfId="14413"/>
    <cellStyle name="Normal 2 2 2 5 3 2" xfId="14414"/>
    <cellStyle name="Normal 2 2 2 5 3 2 2" xfId="14415"/>
    <cellStyle name="Normal 2 2 2 5 3 3" xfId="14416"/>
    <cellStyle name="Normal 2 2 2 5 3 3 2" xfId="14417"/>
    <cellStyle name="Normal 2 2 2 5 3 4" xfId="14418"/>
    <cellStyle name="Normal 2 2 2 5 3 4 2" xfId="14419"/>
    <cellStyle name="Normal 2 2 2 5 3 5" xfId="14420"/>
    <cellStyle name="Normal 2 2 2 5 3 5 2" xfId="14421"/>
    <cellStyle name="Normal 2 2 2 5 3 6" xfId="14422"/>
    <cellStyle name="Normal 2 2 2 5 3 6 2" xfId="14423"/>
    <cellStyle name="Normal 2 2 2 5 3 7" xfId="14424"/>
    <cellStyle name="Normal 2 2 2 5 3 7 2" xfId="14425"/>
    <cellStyle name="Normal 2 2 2 5 3 8" xfId="14426"/>
    <cellStyle name="Normal 2 2 2 5 3 8 2" xfId="14427"/>
    <cellStyle name="Normal 2 2 2 5 3 9" xfId="14428"/>
    <cellStyle name="Normal 2 2 2 5 3 9 2" xfId="14429"/>
    <cellStyle name="Normal 2 2 2 5 4" xfId="14430"/>
    <cellStyle name="Normal 2 2 2 5 4 2" xfId="14431"/>
    <cellStyle name="Normal 2 2 2 5 5" xfId="14432"/>
    <cellStyle name="Normal 2 2 2 5 5 2" xfId="14433"/>
    <cellStyle name="Normal 2 2 2 5 6" xfId="14434"/>
    <cellStyle name="Normal 2 2 2 5 6 2" xfId="14435"/>
    <cellStyle name="Normal 2 2 2 5 7" xfId="14436"/>
    <cellStyle name="Normal 2 2 2 5 7 2" xfId="14437"/>
    <cellStyle name="Normal 2 2 2 5 8" xfId="14438"/>
    <cellStyle name="Normal 2 2 2 5 8 2" xfId="14439"/>
    <cellStyle name="Normal 2 2 2 5 9" xfId="14440"/>
    <cellStyle name="Normal 2 2 2 5 9 2" xfId="14441"/>
    <cellStyle name="Normal 2 2 2 6" xfId="14442"/>
    <cellStyle name="Normal 2 2 2 6 10" xfId="14443"/>
    <cellStyle name="Normal 2 2 2 6 10 2" xfId="14444"/>
    <cellStyle name="Normal 2 2 2 6 11" xfId="14445"/>
    <cellStyle name="Normal 2 2 2 6 11 2" xfId="14446"/>
    <cellStyle name="Normal 2 2 2 6 12" xfId="14447"/>
    <cellStyle name="Normal 2 2 2 6 12 2" xfId="14448"/>
    <cellStyle name="Normal 2 2 2 6 13" xfId="14449"/>
    <cellStyle name="Normal 2 2 2 6 2" xfId="14450"/>
    <cellStyle name="Normal 2 2 2 6 2 10" xfId="14451"/>
    <cellStyle name="Normal 2 2 2 6 2 10 2" xfId="14452"/>
    <cellStyle name="Normal 2 2 2 6 2 11" xfId="14453"/>
    <cellStyle name="Normal 2 2 2 6 2 11 2" xfId="14454"/>
    <cellStyle name="Normal 2 2 2 6 2 12" xfId="14455"/>
    <cellStyle name="Normal 2 2 2 6 2 2" xfId="14456"/>
    <cellStyle name="Normal 2 2 2 6 2 2 10" xfId="14457"/>
    <cellStyle name="Normal 2 2 2 6 2 2 10 2" xfId="14458"/>
    <cellStyle name="Normal 2 2 2 6 2 2 11" xfId="14459"/>
    <cellStyle name="Normal 2 2 2 6 2 2 2" xfId="14460"/>
    <cellStyle name="Normal 2 2 2 6 2 2 2 2" xfId="14461"/>
    <cellStyle name="Normal 2 2 2 6 2 2 3" xfId="14462"/>
    <cellStyle name="Normal 2 2 2 6 2 2 3 2" xfId="14463"/>
    <cellStyle name="Normal 2 2 2 6 2 2 4" xfId="14464"/>
    <cellStyle name="Normal 2 2 2 6 2 2 4 2" xfId="14465"/>
    <cellStyle name="Normal 2 2 2 6 2 2 5" xfId="14466"/>
    <cellStyle name="Normal 2 2 2 6 2 2 5 2" xfId="14467"/>
    <cellStyle name="Normal 2 2 2 6 2 2 6" xfId="14468"/>
    <cellStyle name="Normal 2 2 2 6 2 2 6 2" xfId="14469"/>
    <cellStyle name="Normal 2 2 2 6 2 2 7" xfId="14470"/>
    <cellStyle name="Normal 2 2 2 6 2 2 7 2" xfId="14471"/>
    <cellStyle name="Normal 2 2 2 6 2 2 8" xfId="14472"/>
    <cellStyle name="Normal 2 2 2 6 2 2 8 2" xfId="14473"/>
    <cellStyle name="Normal 2 2 2 6 2 2 9" xfId="14474"/>
    <cellStyle name="Normal 2 2 2 6 2 2 9 2" xfId="14475"/>
    <cellStyle name="Normal 2 2 2 6 2 3" xfId="14476"/>
    <cellStyle name="Normal 2 2 2 6 2 3 2" xfId="14477"/>
    <cellStyle name="Normal 2 2 2 6 2 4" xfId="14478"/>
    <cellStyle name="Normal 2 2 2 6 2 4 2" xfId="14479"/>
    <cellStyle name="Normal 2 2 2 6 2 5" xfId="14480"/>
    <cellStyle name="Normal 2 2 2 6 2 5 2" xfId="14481"/>
    <cellStyle name="Normal 2 2 2 6 2 6" xfId="14482"/>
    <cellStyle name="Normal 2 2 2 6 2 6 2" xfId="14483"/>
    <cellStyle name="Normal 2 2 2 6 2 7" xfId="14484"/>
    <cellStyle name="Normal 2 2 2 6 2 7 2" xfId="14485"/>
    <cellStyle name="Normal 2 2 2 6 2 8" xfId="14486"/>
    <cellStyle name="Normal 2 2 2 6 2 8 2" xfId="14487"/>
    <cellStyle name="Normal 2 2 2 6 2 9" xfId="14488"/>
    <cellStyle name="Normal 2 2 2 6 2 9 2" xfId="14489"/>
    <cellStyle name="Normal 2 2 2 6 3" xfId="14490"/>
    <cellStyle name="Normal 2 2 2 6 3 10" xfId="14491"/>
    <cellStyle name="Normal 2 2 2 6 3 10 2" xfId="14492"/>
    <cellStyle name="Normal 2 2 2 6 3 11" xfId="14493"/>
    <cellStyle name="Normal 2 2 2 6 3 2" xfId="14494"/>
    <cellStyle name="Normal 2 2 2 6 3 2 2" xfId="14495"/>
    <cellStyle name="Normal 2 2 2 6 3 3" xfId="14496"/>
    <cellStyle name="Normal 2 2 2 6 3 3 2" xfId="14497"/>
    <cellStyle name="Normal 2 2 2 6 3 4" xfId="14498"/>
    <cellStyle name="Normal 2 2 2 6 3 4 2" xfId="14499"/>
    <cellStyle name="Normal 2 2 2 6 3 5" xfId="14500"/>
    <cellStyle name="Normal 2 2 2 6 3 5 2" xfId="14501"/>
    <cellStyle name="Normal 2 2 2 6 3 6" xfId="14502"/>
    <cellStyle name="Normal 2 2 2 6 3 6 2" xfId="14503"/>
    <cellStyle name="Normal 2 2 2 6 3 7" xfId="14504"/>
    <cellStyle name="Normal 2 2 2 6 3 7 2" xfId="14505"/>
    <cellStyle name="Normal 2 2 2 6 3 8" xfId="14506"/>
    <cellStyle name="Normal 2 2 2 6 3 8 2" xfId="14507"/>
    <cellStyle name="Normal 2 2 2 6 3 9" xfId="14508"/>
    <cellStyle name="Normal 2 2 2 6 3 9 2" xfId="14509"/>
    <cellStyle name="Normal 2 2 2 6 4" xfId="14510"/>
    <cellStyle name="Normal 2 2 2 6 4 2" xfId="14511"/>
    <cellStyle name="Normal 2 2 2 6 5" xfId="14512"/>
    <cellStyle name="Normal 2 2 2 6 5 2" xfId="14513"/>
    <cellStyle name="Normal 2 2 2 6 6" xfId="14514"/>
    <cellStyle name="Normal 2 2 2 6 6 2" xfId="14515"/>
    <cellStyle name="Normal 2 2 2 6 7" xfId="14516"/>
    <cellStyle name="Normal 2 2 2 6 7 2" xfId="14517"/>
    <cellStyle name="Normal 2 2 2 6 8" xfId="14518"/>
    <cellStyle name="Normal 2 2 2 6 8 2" xfId="14519"/>
    <cellStyle name="Normal 2 2 2 6 9" xfId="14520"/>
    <cellStyle name="Normal 2 2 2 6 9 2" xfId="14521"/>
    <cellStyle name="Normal 2 2 2 7" xfId="14522"/>
    <cellStyle name="Normal 2 2 2 7 10" xfId="14523"/>
    <cellStyle name="Normal 2 2 2 7 10 2" xfId="14524"/>
    <cellStyle name="Normal 2 2 2 7 11" xfId="14525"/>
    <cellStyle name="Normal 2 2 2 7 11 2" xfId="14526"/>
    <cellStyle name="Normal 2 2 2 7 12" xfId="14527"/>
    <cellStyle name="Normal 2 2 2 7 12 2" xfId="14528"/>
    <cellStyle name="Normal 2 2 2 7 13" xfId="14529"/>
    <cellStyle name="Normal 2 2 2 7 2" xfId="14530"/>
    <cellStyle name="Normal 2 2 2 7 2 10" xfId="14531"/>
    <cellStyle name="Normal 2 2 2 7 2 10 2" xfId="14532"/>
    <cellStyle name="Normal 2 2 2 7 2 11" xfId="14533"/>
    <cellStyle name="Normal 2 2 2 7 2 11 2" xfId="14534"/>
    <cellStyle name="Normal 2 2 2 7 2 12" xfId="14535"/>
    <cellStyle name="Normal 2 2 2 7 2 2" xfId="14536"/>
    <cellStyle name="Normal 2 2 2 7 2 2 10" xfId="14537"/>
    <cellStyle name="Normal 2 2 2 7 2 2 10 2" xfId="14538"/>
    <cellStyle name="Normal 2 2 2 7 2 2 11" xfId="14539"/>
    <cellStyle name="Normal 2 2 2 7 2 2 2" xfId="14540"/>
    <cellStyle name="Normal 2 2 2 7 2 2 2 2" xfId="14541"/>
    <cellStyle name="Normal 2 2 2 7 2 2 3" xfId="14542"/>
    <cellStyle name="Normal 2 2 2 7 2 2 3 2" xfId="14543"/>
    <cellStyle name="Normal 2 2 2 7 2 2 4" xfId="14544"/>
    <cellStyle name="Normal 2 2 2 7 2 2 4 2" xfId="14545"/>
    <cellStyle name="Normal 2 2 2 7 2 2 5" xfId="14546"/>
    <cellStyle name="Normal 2 2 2 7 2 2 5 2" xfId="14547"/>
    <cellStyle name="Normal 2 2 2 7 2 2 6" xfId="14548"/>
    <cellStyle name="Normal 2 2 2 7 2 2 6 2" xfId="14549"/>
    <cellStyle name="Normal 2 2 2 7 2 2 7" xfId="14550"/>
    <cellStyle name="Normal 2 2 2 7 2 2 7 2" xfId="14551"/>
    <cellStyle name="Normal 2 2 2 7 2 2 8" xfId="14552"/>
    <cellStyle name="Normal 2 2 2 7 2 2 8 2" xfId="14553"/>
    <cellStyle name="Normal 2 2 2 7 2 2 9" xfId="14554"/>
    <cellStyle name="Normal 2 2 2 7 2 2 9 2" xfId="14555"/>
    <cellStyle name="Normal 2 2 2 7 2 3" xfId="14556"/>
    <cellStyle name="Normal 2 2 2 7 2 3 2" xfId="14557"/>
    <cellStyle name="Normal 2 2 2 7 2 4" xfId="14558"/>
    <cellStyle name="Normal 2 2 2 7 2 4 2" xfId="14559"/>
    <cellStyle name="Normal 2 2 2 7 2 5" xfId="14560"/>
    <cellStyle name="Normal 2 2 2 7 2 5 2" xfId="14561"/>
    <cellStyle name="Normal 2 2 2 7 2 6" xfId="14562"/>
    <cellStyle name="Normal 2 2 2 7 2 6 2" xfId="14563"/>
    <cellStyle name="Normal 2 2 2 7 2 7" xfId="14564"/>
    <cellStyle name="Normal 2 2 2 7 2 7 2" xfId="14565"/>
    <cellStyle name="Normal 2 2 2 7 2 8" xfId="14566"/>
    <cellStyle name="Normal 2 2 2 7 2 8 2" xfId="14567"/>
    <cellStyle name="Normal 2 2 2 7 2 9" xfId="14568"/>
    <cellStyle name="Normal 2 2 2 7 2 9 2" xfId="14569"/>
    <cellStyle name="Normal 2 2 2 7 3" xfId="14570"/>
    <cellStyle name="Normal 2 2 2 7 3 10" xfId="14571"/>
    <cellStyle name="Normal 2 2 2 7 3 10 2" xfId="14572"/>
    <cellStyle name="Normal 2 2 2 7 3 11" xfId="14573"/>
    <cellStyle name="Normal 2 2 2 7 3 2" xfId="14574"/>
    <cellStyle name="Normal 2 2 2 7 3 2 2" xfId="14575"/>
    <cellStyle name="Normal 2 2 2 7 3 3" xfId="14576"/>
    <cellStyle name="Normal 2 2 2 7 3 3 2" xfId="14577"/>
    <cellStyle name="Normal 2 2 2 7 3 4" xfId="14578"/>
    <cellStyle name="Normal 2 2 2 7 3 4 2" xfId="14579"/>
    <cellStyle name="Normal 2 2 2 7 3 5" xfId="14580"/>
    <cellStyle name="Normal 2 2 2 7 3 5 2" xfId="14581"/>
    <cellStyle name="Normal 2 2 2 7 3 6" xfId="14582"/>
    <cellStyle name="Normal 2 2 2 7 3 6 2" xfId="14583"/>
    <cellStyle name="Normal 2 2 2 7 3 7" xfId="14584"/>
    <cellStyle name="Normal 2 2 2 7 3 7 2" xfId="14585"/>
    <cellStyle name="Normal 2 2 2 7 3 8" xfId="14586"/>
    <cellStyle name="Normal 2 2 2 7 3 8 2" xfId="14587"/>
    <cellStyle name="Normal 2 2 2 7 3 9" xfId="14588"/>
    <cellStyle name="Normal 2 2 2 7 3 9 2" xfId="14589"/>
    <cellStyle name="Normal 2 2 2 7 4" xfId="14590"/>
    <cellStyle name="Normal 2 2 2 7 4 2" xfId="14591"/>
    <cellStyle name="Normal 2 2 2 7 5" xfId="14592"/>
    <cellStyle name="Normal 2 2 2 7 5 2" xfId="14593"/>
    <cellStyle name="Normal 2 2 2 7 6" xfId="14594"/>
    <cellStyle name="Normal 2 2 2 7 6 2" xfId="14595"/>
    <cellStyle name="Normal 2 2 2 7 7" xfId="14596"/>
    <cellStyle name="Normal 2 2 2 7 7 2" xfId="14597"/>
    <cellStyle name="Normal 2 2 2 7 8" xfId="14598"/>
    <cellStyle name="Normal 2 2 2 7 8 2" xfId="14599"/>
    <cellStyle name="Normal 2 2 2 7 9" xfId="14600"/>
    <cellStyle name="Normal 2 2 2 7 9 2" xfId="14601"/>
    <cellStyle name="Normal 2 2 2 8" xfId="14602"/>
    <cellStyle name="Normal 2 2 2 8 10" xfId="14603"/>
    <cellStyle name="Normal 2 2 2 8 10 2" xfId="14604"/>
    <cellStyle name="Normal 2 2 2 8 11" xfId="14605"/>
    <cellStyle name="Normal 2 2 2 8 11 2" xfId="14606"/>
    <cellStyle name="Normal 2 2 2 8 12" xfId="14607"/>
    <cellStyle name="Normal 2 2 2 8 12 2" xfId="14608"/>
    <cellStyle name="Normal 2 2 2 8 13" xfId="14609"/>
    <cellStyle name="Normal 2 2 2 8 2" xfId="14610"/>
    <cellStyle name="Normal 2 2 2 8 2 10" xfId="14611"/>
    <cellStyle name="Normal 2 2 2 8 2 10 2" xfId="14612"/>
    <cellStyle name="Normal 2 2 2 8 2 11" xfId="14613"/>
    <cellStyle name="Normal 2 2 2 8 2 11 2" xfId="14614"/>
    <cellStyle name="Normal 2 2 2 8 2 12" xfId="14615"/>
    <cellStyle name="Normal 2 2 2 8 2 2" xfId="14616"/>
    <cellStyle name="Normal 2 2 2 8 2 2 10" xfId="14617"/>
    <cellStyle name="Normal 2 2 2 8 2 2 10 2" xfId="14618"/>
    <cellStyle name="Normal 2 2 2 8 2 2 11" xfId="14619"/>
    <cellStyle name="Normal 2 2 2 8 2 2 2" xfId="14620"/>
    <cellStyle name="Normal 2 2 2 8 2 2 2 2" xfId="14621"/>
    <cellStyle name="Normal 2 2 2 8 2 2 3" xfId="14622"/>
    <cellStyle name="Normal 2 2 2 8 2 2 3 2" xfId="14623"/>
    <cellStyle name="Normal 2 2 2 8 2 2 4" xfId="14624"/>
    <cellStyle name="Normal 2 2 2 8 2 2 4 2" xfId="14625"/>
    <cellStyle name="Normal 2 2 2 8 2 2 5" xfId="14626"/>
    <cellStyle name="Normal 2 2 2 8 2 2 5 2" xfId="14627"/>
    <cellStyle name="Normal 2 2 2 8 2 2 6" xfId="14628"/>
    <cellStyle name="Normal 2 2 2 8 2 2 6 2" xfId="14629"/>
    <cellStyle name="Normal 2 2 2 8 2 2 7" xfId="14630"/>
    <cellStyle name="Normal 2 2 2 8 2 2 7 2" xfId="14631"/>
    <cellStyle name="Normal 2 2 2 8 2 2 8" xfId="14632"/>
    <cellStyle name="Normal 2 2 2 8 2 2 8 2" xfId="14633"/>
    <cellStyle name="Normal 2 2 2 8 2 2 9" xfId="14634"/>
    <cellStyle name="Normal 2 2 2 8 2 2 9 2" xfId="14635"/>
    <cellStyle name="Normal 2 2 2 8 2 3" xfId="14636"/>
    <cellStyle name="Normal 2 2 2 8 2 3 2" xfId="14637"/>
    <cellStyle name="Normal 2 2 2 8 2 4" xfId="14638"/>
    <cellStyle name="Normal 2 2 2 8 2 4 2" xfId="14639"/>
    <cellStyle name="Normal 2 2 2 8 2 5" xfId="14640"/>
    <cellStyle name="Normal 2 2 2 8 2 5 2" xfId="14641"/>
    <cellStyle name="Normal 2 2 2 8 2 6" xfId="14642"/>
    <cellStyle name="Normal 2 2 2 8 2 6 2" xfId="14643"/>
    <cellStyle name="Normal 2 2 2 8 2 7" xfId="14644"/>
    <cellStyle name="Normal 2 2 2 8 2 7 2" xfId="14645"/>
    <cellStyle name="Normal 2 2 2 8 2 8" xfId="14646"/>
    <cellStyle name="Normal 2 2 2 8 2 8 2" xfId="14647"/>
    <cellStyle name="Normal 2 2 2 8 2 9" xfId="14648"/>
    <cellStyle name="Normal 2 2 2 8 2 9 2" xfId="14649"/>
    <cellStyle name="Normal 2 2 2 8 3" xfId="14650"/>
    <cellStyle name="Normal 2 2 2 8 3 10" xfId="14651"/>
    <cellStyle name="Normal 2 2 2 8 3 10 2" xfId="14652"/>
    <cellStyle name="Normal 2 2 2 8 3 11" xfId="14653"/>
    <cellStyle name="Normal 2 2 2 8 3 2" xfId="14654"/>
    <cellStyle name="Normal 2 2 2 8 3 2 2" xfId="14655"/>
    <cellStyle name="Normal 2 2 2 8 3 3" xfId="14656"/>
    <cellStyle name="Normal 2 2 2 8 3 3 2" xfId="14657"/>
    <cellStyle name="Normal 2 2 2 8 3 4" xfId="14658"/>
    <cellStyle name="Normal 2 2 2 8 3 4 2" xfId="14659"/>
    <cellStyle name="Normal 2 2 2 8 3 5" xfId="14660"/>
    <cellStyle name="Normal 2 2 2 8 3 5 2" xfId="14661"/>
    <cellStyle name="Normal 2 2 2 8 3 6" xfId="14662"/>
    <cellStyle name="Normal 2 2 2 8 3 6 2" xfId="14663"/>
    <cellStyle name="Normal 2 2 2 8 3 7" xfId="14664"/>
    <cellStyle name="Normal 2 2 2 8 3 7 2" xfId="14665"/>
    <cellStyle name="Normal 2 2 2 8 3 8" xfId="14666"/>
    <cellStyle name="Normal 2 2 2 8 3 8 2" xfId="14667"/>
    <cellStyle name="Normal 2 2 2 8 3 9" xfId="14668"/>
    <cellStyle name="Normal 2 2 2 8 3 9 2" xfId="14669"/>
    <cellStyle name="Normal 2 2 2 8 4" xfId="14670"/>
    <cellStyle name="Normal 2 2 2 8 4 2" xfId="14671"/>
    <cellStyle name="Normal 2 2 2 8 5" xfId="14672"/>
    <cellStyle name="Normal 2 2 2 8 5 2" xfId="14673"/>
    <cellStyle name="Normal 2 2 2 8 6" xfId="14674"/>
    <cellStyle name="Normal 2 2 2 8 6 2" xfId="14675"/>
    <cellStyle name="Normal 2 2 2 8 7" xfId="14676"/>
    <cellStyle name="Normal 2 2 2 8 7 2" xfId="14677"/>
    <cellStyle name="Normal 2 2 2 8 8" xfId="14678"/>
    <cellStyle name="Normal 2 2 2 8 8 2" xfId="14679"/>
    <cellStyle name="Normal 2 2 2 8 9" xfId="14680"/>
    <cellStyle name="Normal 2 2 2 8 9 2" xfId="14681"/>
    <cellStyle name="Normal 2 2 2 9" xfId="14682"/>
    <cellStyle name="Normal 2 2 2 9 2" xfId="14683"/>
    <cellStyle name="Normal 2 2 2 9 2 10" xfId="14684"/>
    <cellStyle name="Normal 2 2 2 9 2 10 2" xfId="14685"/>
    <cellStyle name="Normal 2 2 2 9 2 11" xfId="14686"/>
    <cellStyle name="Normal 2 2 2 9 2 11 2" xfId="14687"/>
    <cellStyle name="Normal 2 2 2 9 2 12" xfId="14688"/>
    <cellStyle name="Normal 2 2 2 9 2 12 2" xfId="14689"/>
    <cellStyle name="Normal 2 2 2 9 2 13" xfId="14690"/>
    <cellStyle name="Normal 2 2 2 9 2 13 2" xfId="14691"/>
    <cellStyle name="Normal 2 2 2 9 2 14" xfId="14692"/>
    <cellStyle name="Normal 2 2 2 9 2 14 2" xfId="14693"/>
    <cellStyle name="Normal 2 2 2 9 2 15" xfId="14694"/>
    <cellStyle name="Normal 2 2 2 9 2 15 2" xfId="14695"/>
    <cellStyle name="Normal 2 2 2 9 2 16" xfId="14696"/>
    <cellStyle name="Normal 2 2 2 9 2 16 2" xfId="14697"/>
    <cellStyle name="Normal 2 2 2 9 2 17" xfId="14698"/>
    <cellStyle name="Normal 2 2 2 9 2 2" xfId="14699"/>
    <cellStyle name="Normal 2 2 2 9 2 2 2" xfId="14700"/>
    <cellStyle name="Normal 2 2 2 9 2 2 2 10" xfId="14701"/>
    <cellStyle name="Normal 2 2 2 9 2 2 2 10 2" xfId="14702"/>
    <cellStyle name="Normal 2 2 2 9 2 2 2 11" xfId="14703"/>
    <cellStyle name="Normal 2 2 2 9 2 2 2 11 2" xfId="14704"/>
    <cellStyle name="Normal 2 2 2 9 2 2 2 12" xfId="14705"/>
    <cellStyle name="Normal 2 2 2 9 2 2 2 12 2" xfId="14706"/>
    <cellStyle name="Normal 2 2 2 9 2 2 2 13" xfId="14707"/>
    <cellStyle name="Normal 2 2 2 9 2 2 2 2" xfId="14708"/>
    <cellStyle name="Normal 2 2 2 9 2 2 2 2 10" xfId="14709"/>
    <cellStyle name="Normal 2 2 2 9 2 2 2 2 10 2" xfId="14710"/>
    <cellStyle name="Normal 2 2 2 9 2 2 2 2 11" xfId="14711"/>
    <cellStyle name="Normal 2 2 2 9 2 2 2 2 11 2" xfId="14712"/>
    <cellStyle name="Normal 2 2 2 9 2 2 2 2 12" xfId="14713"/>
    <cellStyle name="Normal 2 2 2 9 2 2 2 2 2" xfId="14714"/>
    <cellStyle name="Normal 2 2 2 9 2 2 2 2 2 10" xfId="14715"/>
    <cellStyle name="Normal 2 2 2 9 2 2 2 2 2 10 2" xfId="14716"/>
    <cellStyle name="Normal 2 2 2 9 2 2 2 2 2 11" xfId="14717"/>
    <cellStyle name="Normal 2 2 2 9 2 2 2 2 2 2" xfId="14718"/>
    <cellStyle name="Normal 2 2 2 9 2 2 2 2 2 2 2" xfId="14719"/>
    <cellStyle name="Normal 2 2 2 9 2 2 2 2 2 3" xfId="14720"/>
    <cellStyle name="Normal 2 2 2 9 2 2 2 2 2 3 2" xfId="14721"/>
    <cellStyle name="Normal 2 2 2 9 2 2 2 2 2 4" xfId="14722"/>
    <cellStyle name="Normal 2 2 2 9 2 2 2 2 2 4 2" xfId="14723"/>
    <cellStyle name="Normal 2 2 2 9 2 2 2 2 2 5" xfId="14724"/>
    <cellStyle name="Normal 2 2 2 9 2 2 2 2 2 5 2" xfId="14725"/>
    <cellStyle name="Normal 2 2 2 9 2 2 2 2 2 6" xfId="14726"/>
    <cellStyle name="Normal 2 2 2 9 2 2 2 2 2 6 2" xfId="14727"/>
    <cellStyle name="Normal 2 2 2 9 2 2 2 2 2 7" xfId="14728"/>
    <cellStyle name="Normal 2 2 2 9 2 2 2 2 2 7 2" xfId="14729"/>
    <cellStyle name="Normal 2 2 2 9 2 2 2 2 2 8" xfId="14730"/>
    <cellStyle name="Normal 2 2 2 9 2 2 2 2 2 8 2" xfId="14731"/>
    <cellStyle name="Normal 2 2 2 9 2 2 2 2 2 9" xfId="14732"/>
    <cellStyle name="Normal 2 2 2 9 2 2 2 2 2 9 2" xfId="14733"/>
    <cellStyle name="Normal 2 2 2 9 2 2 2 2 3" xfId="14734"/>
    <cellStyle name="Normal 2 2 2 9 2 2 2 2 3 2" xfId="14735"/>
    <cellStyle name="Normal 2 2 2 9 2 2 2 2 4" xfId="14736"/>
    <cellStyle name="Normal 2 2 2 9 2 2 2 2 4 2" xfId="14737"/>
    <cellStyle name="Normal 2 2 2 9 2 2 2 2 5" xfId="14738"/>
    <cellStyle name="Normal 2 2 2 9 2 2 2 2 5 2" xfId="14739"/>
    <cellStyle name="Normal 2 2 2 9 2 2 2 2 6" xfId="14740"/>
    <cellStyle name="Normal 2 2 2 9 2 2 2 2 6 2" xfId="14741"/>
    <cellStyle name="Normal 2 2 2 9 2 2 2 2 7" xfId="14742"/>
    <cellStyle name="Normal 2 2 2 9 2 2 2 2 7 2" xfId="14743"/>
    <cellStyle name="Normal 2 2 2 9 2 2 2 2 8" xfId="14744"/>
    <cellStyle name="Normal 2 2 2 9 2 2 2 2 8 2" xfId="14745"/>
    <cellStyle name="Normal 2 2 2 9 2 2 2 2 9" xfId="14746"/>
    <cellStyle name="Normal 2 2 2 9 2 2 2 2 9 2" xfId="14747"/>
    <cellStyle name="Normal 2 2 2 9 2 2 2 3" xfId="14748"/>
    <cellStyle name="Normal 2 2 2 9 2 2 2 3 10" xfId="14749"/>
    <cellStyle name="Normal 2 2 2 9 2 2 2 3 10 2" xfId="14750"/>
    <cellStyle name="Normal 2 2 2 9 2 2 2 3 11" xfId="14751"/>
    <cellStyle name="Normal 2 2 2 9 2 2 2 3 2" xfId="14752"/>
    <cellStyle name="Normal 2 2 2 9 2 2 2 3 2 2" xfId="14753"/>
    <cellStyle name="Normal 2 2 2 9 2 2 2 3 3" xfId="14754"/>
    <cellStyle name="Normal 2 2 2 9 2 2 2 3 3 2" xfId="14755"/>
    <cellStyle name="Normal 2 2 2 9 2 2 2 3 4" xfId="14756"/>
    <cellStyle name="Normal 2 2 2 9 2 2 2 3 4 2" xfId="14757"/>
    <cellStyle name="Normal 2 2 2 9 2 2 2 3 5" xfId="14758"/>
    <cellStyle name="Normal 2 2 2 9 2 2 2 3 5 2" xfId="14759"/>
    <cellStyle name="Normal 2 2 2 9 2 2 2 3 6" xfId="14760"/>
    <cellStyle name="Normal 2 2 2 9 2 2 2 3 6 2" xfId="14761"/>
    <cellStyle name="Normal 2 2 2 9 2 2 2 3 7" xfId="14762"/>
    <cellStyle name="Normal 2 2 2 9 2 2 2 3 7 2" xfId="14763"/>
    <cellStyle name="Normal 2 2 2 9 2 2 2 3 8" xfId="14764"/>
    <cellStyle name="Normal 2 2 2 9 2 2 2 3 8 2" xfId="14765"/>
    <cellStyle name="Normal 2 2 2 9 2 2 2 3 9" xfId="14766"/>
    <cellStyle name="Normal 2 2 2 9 2 2 2 3 9 2" xfId="14767"/>
    <cellStyle name="Normal 2 2 2 9 2 2 2 4" xfId="14768"/>
    <cellStyle name="Normal 2 2 2 9 2 2 2 4 2" xfId="14769"/>
    <cellStyle name="Normal 2 2 2 9 2 2 2 5" xfId="14770"/>
    <cellStyle name="Normal 2 2 2 9 2 2 2 5 2" xfId="14771"/>
    <cellStyle name="Normal 2 2 2 9 2 2 2 6" xfId="14772"/>
    <cellStyle name="Normal 2 2 2 9 2 2 2 6 2" xfId="14773"/>
    <cellStyle name="Normal 2 2 2 9 2 2 2 7" xfId="14774"/>
    <cellStyle name="Normal 2 2 2 9 2 2 2 7 2" xfId="14775"/>
    <cellStyle name="Normal 2 2 2 9 2 2 2 8" xfId="14776"/>
    <cellStyle name="Normal 2 2 2 9 2 2 2 8 2" xfId="14777"/>
    <cellStyle name="Normal 2 2 2 9 2 2 2 9" xfId="14778"/>
    <cellStyle name="Normal 2 2 2 9 2 2 2 9 2" xfId="14779"/>
    <cellStyle name="Normal 2 2 2 9 2 2 3" xfId="14780"/>
    <cellStyle name="Normal 2 2 2 9 2 2 3 10" xfId="14781"/>
    <cellStyle name="Normal 2 2 2 9 2 2 3 10 2" xfId="14782"/>
    <cellStyle name="Normal 2 2 2 9 2 2 3 11" xfId="14783"/>
    <cellStyle name="Normal 2 2 2 9 2 2 3 11 2" xfId="14784"/>
    <cellStyle name="Normal 2 2 2 9 2 2 3 12" xfId="14785"/>
    <cellStyle name="Normal 2 2 2 9 2 2 3 12 2" xfId="14786"/>
    <cellStyle name="Normal 2 2 2 9 2 2 3 13" xfId="14787"/>
    <cellStyle name="Normal 2 2 2 9 2 2 3 2" xfId="14788"/>
    <cellStyle name="Normal 2 2 2 9 2 2 3 2 10" xfId="14789"/>
    <cellStyle name="Normal 2 2 2 9 2 2 3 2 10 2" xfId="14790"/>
    <cellStyle name="Normal 2 2 2 9 2 2 3 2 11" xfId="14791"/>
    <cellStyle name="Normal 2 2 2 9 2 2 3 2 11 2" xfId="14792"/>
    <cellStyle name="Normal 2 2 2 9 2 2 3 2 12" xfId="14793"/>
    <cellStyle name="Normal 2 2 2 9 2 2 3 2 2" xfId="14794"/>
    <cellStyle name="Normal 2 2 2 9 2 2 3 2 2 10" xfId="14795"/>
    <cellStyle name="Normal 2 2 2 9 2 2 3 2 2 10 2" xfId="14796"/>
    <cellStyle name="Normal 2 2 2 9 2 2 3 2 2 11" xfId="14797"/>
    <cellStyle name="Normal 2 2 2 9 2 2 3 2 2 2" xfId="14798"/>
    <cellStyle name="Normal 2 2 2 9 2 2 3 2 2 2 2" xfId="14799"/>
    <cellStyle name="Normal 2 2 2 9 2 2 3 2 2 3" xfId="14800"/>
    <cellStyle name="Normal 2 2 2 9 2 2 3 2 2 3 2" xfId="14801"/>
    <cellStyle name="Normal 2 2 2 9 2 2 3 2 2 4" xfId="14802"/>
    <cellStyle name="Normal 2 2 2 9 2 2 3 2 2 4 2" xfId="14803"/>
    <cellStyle name="Normal 2 2 2 9 2 2 3 2 2 5" xfId="14804"/>
    <cellStyle name="Normal 2 2 2 9 2 2 3 2 2 5 2" xfId="14805"/>
    <cellStyle name="Normal 2 2 2 9 2 2 3 2 2 6" xfId="14806"/>
    <cellStyle name="Normal 2 2 2 9 2 2 3 2 2 6 2" xfId="14807"/>
    <cellStyle name="Normal 2 2 2 9 2 2 3 2 2 7" xfId="14808"/>
    <cellStyle name="Normal 2 2 2 9 2 2 3 2 2 7 2" xfId="14809"/>
    <cellStyle name="Normal 2 2 2 9 2 2 3 2 2 8" xfId="14810"/>
    <cellStyle name="Normal 2 2 2 9 2 2 3 2 2 8 2" xfId="14811"/>
    <cellStyle name="Normal 2 2 2 9 2 2 3 2 2 9" xfId="14812"/>
    <cellStyle name="Normal 2 2 2 9 2 2 3 2 2 9 2" xfId="14813"/>
    <cellStyle name="Normal 2 2 2 9 2 2 3 2 3" xfId="14814"/>
    <cellStyle name="Normal 2 2 2 9 2 2 3 2 3 2" xfId="14815"/>
    <cellStyle name="Normal 2 2 2 9 2 2 3 2 4" xfId="14816"/>
    <cellStyle name="Normal 2 2 2 9 2 2 3 2 4 2" xfId="14817"/>
    <cellStyle name="Normal 2 2 2 9 2 2 3 2 5" xfId="14818"/>
    <cellStyle name="Normal 2 2 2 9 2 2 3 2 5 2" xfId="14819"/>
    <cellStyle name="Normal 2 2 2 9 2 2 3 2 6" xfId="14820"/>
    <cellStyle name="Normal 2 2 2 9 2 2 3 2 6 2" xfId="14821"/>
    <cellStyle name="Normal 2 2 2 9 2 2 3 2 7" xfId="14822"/>
    <cellStyle name="Normal 2 2 2 9 2 2 3 2 7 2" xfId="14823"/>
    <cellStyle name="Normal 2 2 2 9 2 2 3 2 8" xfId="14824"/>
    <cellStyle name="Normal 2 2 2 9 2 2 3 2 8 2" xfId="14825"/>
    <cellStyle name="Normal 2 2 2 9 2 2 3 2 9" xfId="14826"/>
    <cellStyle name="Normal 2 2 2 9 2 2 3 2 9 2" xfId="14827"/>
    <cellStyle name="Normal 2 2 2 9 2 2 3 3" xfId="14828"/>
    <cellStyle name="Normal 2 2 2 9 2 2 3 3 10" xfId="14829"/>
    <cellStyle name="Normal 2 2 2 9 2 2 3 3 10 2" xfId="14830"/>
    <cellStyle name="Normal 2 2 2 9 2 2 3 3 11" xfId="14831"/>
    <cellStyle name="Normal 2 2 2 9 2 2 3 3 2" xfId="14832"/>
    <cellStyle name="Normal 2 2 2 9 2 2 3 3 2 2" xfId="14833"/>
    <cellStyle name="Normal 2 2 2 9 2 2 3 3 3" xfId="14834"/>
    <cellStyle name="Normal 2 2 2 9 2 2 3 3 3 2" xfId="14835"/>
    <cellStyle name="Normal 2 2 2 9 2 2 3 3 4" xfId="14836"/>
    <cellStyle name="Normal 2 2 2 9 2 2 3 3 4 2" xfId="14837"/>
    <cellStyle name="Normal 2 2 2 9 2 2 3 3 5" xfId="14838"/>
    <cellStyle name="Normal 2 2 2 9 2 2 3 3 5 2" xfId="14839"/>
    <cellStyle name="Normal 2 2 2 9 2 2 3 3 6" xfId="14840"/>
    <cellStyle name="Normal 2 2 2 9 2 2 3 3 6 2" xfId="14841"/>
    <cellStyle name="Normal 2 2 2 9 2 2 3 3 7" xfId="14842"/>
    <cellStyle name="Normal 2 2 2 9 2 2 3 3 7 2" xfId="14843"/>
    <cellStyle name="Normal 2 2 2 9 2 2 3 3 8" xfId="14844"/>
    <cellStyle name="Normal 2 2 2 9 2 2 3 3 8 2" xfId="14845"/>
    <cellStyle name="Normal 2 2 2 9 2 2 3 3 9" xfId="14846"/>
    <cellStyle name="Normal 2 2 2 9 2 2 3 3 9 2" xfId="14847"/>
    <cellStyle name="Normal 2 2 2 9 2 2 3 4" xfId="14848"/>
    <cellStyle name="Normal 2 2 2 9 2 2 3 4 2" xfId="14849"/>
    <cellStyle name="Normal 2 2 2 9 2 2 3 5" xfId="14850"/>
    <cellStyle name="Normal 2 2 2 9 2 2 3 5 2" xfId="14851"/>
    <cellStyle name="Normal 2 2 2 9 2 2 3 6" xfId="14852"/>
    <cellStyle name="Normal 2 2 2 9 2 2 3 6 2" xfId="14853"/>
    <cellStyle name="Normal 2 2 2 9 2 2 3 7" xfId="14854"/>
    <cellStyle name="Normal 2 2 2 9 2 2 3 7 2" xfId="14855"/>
    <cellStyle name="Normal 2 2 2 9 2 2 3 8" xfId="14856"/>
    <cellStyle name="Normal 2 2 2 9 2 2 3 8 2" xfId="14857"/>
    <cellStyle name="Normal 2 2 2 9 2 2 3 9" xfId="14858"/>
    <cellStyle name="Normal 2 2 2 9 2 2 3 9 2" xfId="14859"/>
    <cellStyle name="Normal 2 2 2 9 2 2 4" xfId="14860"/>
    <cellStyle name="Normal 2 2 2 9 2 2 4 10" xfId="14861"/>
    <cellStyle name="Normal 2 2 2 9 2 2 4 10 2" xfId="14862"/>
    <cellStyle name="Normal 2 2 2 9 2 2 4 11" xfId="14863"/>
    <cellStyle name="Normal 2 2 2 9 2 2 4 11 2" xfId="14864"/>
    <cellStyle name="Normal 2 2 2 9 2 2 4 12" xfId="14865"/>
    <cellStyle name="Normal 2 2 2 9 2 2 4 12 2" xfId="14866"/>
    <cellStyle name="Normal 2 2 2 9 2 2 4 13" xfId="14867"/>
    <cellStyle name="Normal 2 2 2 9 2 2 4 2" xfId="14868"/>
    <cellStyle name="Normal 2 2 2 9 2 2 4 2 10" xfId="14869"/>
    <cellStyle name="Normal 2 2 2 9 2 2 4 2 10 2" xfId="14870"/>
    <cellStyle name="Normal 2 2 2 9 2 2 4 2 11" xfId="14871"/>
    <cellStyle name="Normal 2 2 2 9 2 2 4 2 11 2" xfId="14872"/>
    <cellStyle name="Normal 2 2 2 9 2 2 4 2 12" xfId="14873"/>
    <cellStyle name="Normal 2 2 2 9 2 2 4 2 2" xfId="14874"/>
    <cellStyle name="Normal 2 2 2 9 2 2 4 2 2 10" xfId="14875"/>
    <cellStyle name="Normal 2 2 2 9 2 2 4 2 2 10 2" xfId="14876"/>
    <cellStyle name="Normal 2 2 2 9 2 2 4 2 2 11" xfId="14877"/>
    <cellStyle name="Normal 2 2 2 9 2 2 4 2 2 2" xfId="14878"/>
    <cellStyle name="Normal 2 2 2 9 2 2 4 2 2 2 2" xfId="14879"/>
    <cellStyle name="Normal 2 2 2 9 2 2 4 2 2 3" xfId="14880"/>
    <cellStyle name="Normal 2 2 2 9 2 2 4 2 2 3 2" xfId="14881"/>
    <cellStyle name="Normal 2 2 2 9 2 2 4 2 2 4" xfId="14882"/>
    <cellStyle name="Normal 2 2 2 9 2 2 4 2 2 4 2" xfId="14883"/>
    <cellStyle name="Normal 2 2 2 9 2 2 4 2 2 5" xfId="14884"/>
    <cellStyle name="Normal 2 2 2 9 2 2 4 2 2 5 2" xfId="14885"/>
    <cellStyle name="Normal 2 2 2 9 2 2 4 2 2 6" xfId="14886"/>
    <cellStyle name="Normal 2 2 2 9 2 2 4 2 2 6 2" xfId="14887"/>
    <cellStyle name="Normal 2 2 2 9 2 2 4 2 2 7" xfId="14888"/>
    <cellStyle name="Normal 2 2 2 9 2 2 4 2 2 7 2" xfId="14889"/>
    <cellStyle name="Normal 2 2 2 9 2 2 4 2 2 8" xfId="14890"/>
    <cellStyle name="Normal 2 2 2 9 2 2 4 2 2 8 2" xfId="14891"/>
    <cellStyle name="Normal 2 2 2 9 2 2 4 2 2 9" xfId="14892"/>
    <cellStyle name="Normal 2 2 2 9 2 2 4 2 2 9 2" xfId="14893"/>
    <cellStyle name="Normal 2 2 2 9 2 2 4 2 3" xfId="14894"/>
    <cellStyle name="Normal 2 2 2 9 2 2 4 2 3 2" xfId="14895"/>
    <cellStyle name="Normal 2 2 2 9 2 2 4 2 4" xfId="14896"/>
    <cellStyle name="Normal 2 2 2 9 2 2 4 2 4 2" xfId="14897"/>
    <cellStyle name="Normal 2 2 2 9 2 2 4 2 5" xfId="14898"/>
    <cellStyle name="Normal 2 2 2 9 2 2 4 2 5 2" xfId="14899"/>
    <cellStyle name="Normal 2 2 2 9 2 2 4 2 6" xfId="14900"/>
    <cellStyle name="Normal 2 2 2 9 2 2 4 2 6 2" xfId="14901"/>
    <cellStyle name="Normal 2 2 2 9 2 2 4 2 7" xfId="14902"/>
    <cellStyle name="Normal 2 2 2 9 2 2 4 2 7 2" xfId="14903"/>
    <cellStyle name="Normal 2 2 2 9 2 2 4 2 8" xfId="14904"/>
    <cellStyle name="Normal 2 2 2 9 2 2 4 2 8 2" xfId="14905"/>
    <cellStyle name="Normal 2 2 2 9 2 2 4 2 9" xfId="14906"/>
    <cellStyle name="Normal 2 2 2 9 2 2 4 2 9 2" xfId="14907"/>
    <cellStyle name="Normal 2 2 2 9 2 2 4 3" xfId="14908"/>
    <cellStyle name="Normal 2 2 2 9 2 2 4 3 10" xfId="14909"/>
    <cellStyle name="Normal 2 2 2 9 2 2 4 3 10 2" xfId="14910"/>
    <cellStyle name="Normal 2 2 2 9 2 2 4 3 11" xfId="14911"/>
    <cellStyle name="Normal 2 2 2 9 2 2 4 3 2" xfId="14912"/>
    <cellStyle name="Normal 2 2 2 9 2 2 4 3 2 2" xfId="14913"/>
    <cellStyle name="Normal 2 2 2 9 2 2 4 3 3" xfId="14914"/>
    <cellStyle name="Normal 2 2 2 9 2 2 4 3 3 2" xfId="14915"/>
    <cellStyle name="Normal 2 2 2 9 2 2 4 3 4" xfId="14916"/>
    <cellStyle name="Normal 2 2 2 9 2 2 4 3 4 2" xfId="14917"/>
    <cellStyle name="Normal 2 2 2 9 2 2 4 3 5" xfId="14918"/>
    <cellStyle name="Normal 2 2 2 9 2 2 4 3 5 2" xfId="14919"/>
    <cellStyle name="Normal 2 2 2 9 2 2 4 3 6" xfId="14920"/>
    <cellStyle name="Normal 2 2 2 9 2 2 4 3 6 2" xfId="14921"/>
    <cellStyle name="Normal 2 2 2 9 2 2 4 3 7" xfId="14922"/>
    <cellStyle name="Normal 2 2 2 9 2 2 4 3 7 2" xfId="14923"/>
    <cellStyle name="Normal 2 2 2 9 2 2 4 3 8" xfId="14924"/>
    <cellStyle name="Normal 2 2 2 9 2 2 4 3 8 2" xfId="14925"/>
    <cellStyle name="Normal 2 2 2 9 2 2 4 3 9" xfId="14926"/>
    <cellStyle name="Normal 2 2 2 9 2 2 4 3 9 2" xfId="14927"/>
    <cellStyle name="Normal 2 2 2 9 2 2 4 4" xfId="14928"/>
    <cellStyle name="Normal 2 2 2 9 2 2 4 4 2" xfId="14929"/>
    <cellStyle name="Normal 2 2 2 9 2 2 4 5" xfId="14930"/>
    <cellStyle name="Normal 2 2 2 9 2 2 4 5 2" xfId="14931"/>
    <cellStyle name="Normal 2 2 2 9 2 2 4 6" xfId="14932"/>
    <cellStyle name="Normal 2 2 2 9 2 2 4 6 2" xfId="14933"/>
    <cellStyle name="Normal 2 2 2 9 2 2 4 7" xfId="14934"/>
    <cellStyle name="Normal 2 2 2 9 2 2 4 7 2" xfId="14935"/>
    <cellStyle name="Normal 2 2 2 9 2 2 4 8" xfId="14936"/>
    <cellStyle name="Normal 2 2 2 9 2 2 4 8 2" xfId="14937"/>
    <cellStyle name="Normal 2 2 2 9 2 2 4 9" xfId="14938"/>
    <cellStyle name="Normal 2 2 2 9 2 2 4 9 2" xfId="14939"/>
    <cellStyle name="Normal 2 2 2 9 2 2 5" xfId="14940"/>
    <cellStyle name="Normal 2 2 2 9 2 2 5 10" xfId="14941"/>
    <cellStyle name="Normal 2 2 2 9 2 2 5 10 2" xfId="14942"/>
    <cellStyle name="Normal 2 2 2 9 2 2 5 11" xfId="14943"/>
    <cellStyle name="Normal 2 2 2 9 2 2 5 11 2" xfId="14944"/>
    <cellStyle name="Normal 2 2 2 9 2 2 5 12" xfId="14945"/>
    <cellStyle name="Normal 2 2 2 9 2 2 5 12 2" xfId="14946"/>
    <cellStyle name="Normal 2 2 2 9 2 2 5 13" xfId="14947"/>
    <cellStyle name="Normal 2 2 2 9 2 2 5 2" xfId="14948"/>
    <cellStyle name="Normal 2 2 2 9 2 2 5 2 10" xfId="14949"/>
    <cellStyle name="Normal 2 2 2 9 2 2 5 2 10 2" xfId="14950"/>
    <cellStyle name="Normal 2 2 2 9 2 2 5 2 11" xfId="14951"/>
    <cellStyle name="Normal 2 2 2 9 2 2 5 2 11 2" xfId="14952"/>
    <cellStyle name="Normal 2 2 2 9 2 2 5 2 12" xfId="14953"/>
    <cellStyle name="Normal 2 2 2 9 2 2 5 2 2" xfId="14954"/>
    <cellStyle name="Normal 2 2 2 9 2 2 5 2 2 10" xfId="14955"/>
    <cellStyle name="Normal 2 2 2 9 2 2 5 2 2 10 2" xfId="14956"/>
    <cellStyle name="Normal 2 2 2 9 2 2 5 2 2 11" xfId="14957"/>
    <cellStyle name="Normal 2 2 2 9 2 2 5 2 2 2" xfId="14958"/>
    <cellStyle name="Normal 2 2 2 9 2 2 5 2 2 2 2" xfId="14959"/>
    <cellStyle name="Normal 2 2 2 9 2 2 5 2 2 3" xfId="14960"/>
    <cellStyle name="Normal 2 2 2 9 2 2 5 2 2 3 2" xfId="14961"/>
    <cellStyle name="Normal 2 2 2 9 2 2 5 2 2 4" xfId="14962"/>
    <cellStyle name="Normal 2 2 2 9 2 2 5 2 2 4 2" xfId="14963"/>
    <cellStyle name="Normal 2 2 2 9 2 2 5 2 2 5" xfId="14964"/>
    <cellStyle name="Normal 2 2 2 9 2 2 5 2 2 5 2" xfId="14965"/>
    <cellStyle name="Normal 2 2 2 9 2 2 5 2 2 6" xfId="14966"/>
    <cellStyle name="Normal 2 2 2 9 2 2 5 2 2 6 2" xfId="14967"/>
    <cellStyle name="Normal 2 2 2 9 2 2 5 2 2 7" xfId="14968"/>
    <cellStyle name="Normal 2 2 2 9 2 2 5 2 2 7 2" xfId="14969"/>
    <cellStyle name="Normal 2 2 2 9 2 2 5 2 2 8" xfId="14970"/>
    <cellStyle name="Normal 2 2 2 9 2 2 5 2 2 8 2" xfId="14971"/>
    <cellStyle name="Normal 2 2 2 9 2 2 5 2 2 9" xfId="14972"/>
    <cellStyle name="Normal 2 2 2 9 2 2 5 2 2 9 2" xfId="14973"/>
    <cellStyle name="Normal 2 2 2 9 2 2 5 2 3" xfId="14974"/>
    <cellStyle name="Normal 2 2 2 9 2 2 5 2 3 2" xfId="14975"/>
    <cellStyle name="Normal 2 2 2 9 2 2 5 2 4" xfId="14976"/>
    <cellStyle name="Normal 2 2 2 9 2 2 5 2 4 2" xfId="14977"/>
    <cellStyle name="Normal 2 2 2 9 2 2 5 2 5" xfId="14978"/>
    <cellStyle name="Normal 2 2 2 9 2 2 5 2 5 2" xfId="14979"/>
    <cellStyle name="Normal 2 2 2 9 2 2 5 2 6" xfId="14980"/>
    <cellStyle name="Normal 2 2 2 9 2 2 5 2 6 2" xfId="14981"/>
    <cellStyle name="Normal 2 2 2 9 2 2 5 2 7" xfId="14982"/>
    <cellStyle name="Normal 2 2 2 9 2 2 5 2 7 2" xfId="14983"/>
    <cellStyle name="Normal 2 2 2 9 2 2 5 2 8" xfId="14984"/>
    <cellStyle name="Normal 2 2 2 9 2 2 5 2 8 2" xfId="14985"/>
    <cellStyle name="Normal 2 2 2 9 2 2 5 2 9" xfId="14986"/>
    <cellStyle name="Normal 2 2 2 9 2 2 5 2 9 2" xfId="14987"/>
    <cellStyle name="Normal 2 2 2 9 2 2 5 3" xfId="14988"/>
    <cellStyle name="Normal 2 2 2 9 2 2 5 3 10" xfId="14989"/>
    <cellStyle name="Normal 2 2 2 9 2 2 5 3 10 2" xfId="14990"/>
    <cellStyle name="Normal 2 2 2 9 2 2 5 3 11" xfId="14991"/>
    <cellStyle name="Normal 2 2 2 9 2 2 5 3 2" xfId="14992"/>
    <cellStyle name="Normal 2 2 2 9 2 2 5 3 2 2" xfId="14993"/>
    <cellStyle name="Normal 2 2 2 9 2 2 5 3 3" xfId="14994"/>
    <cellStyle name="Normal 2 2 2 9 2 2 5 3 3 2" xfId="14995"/>
    <cellStyle name="Normal 2 2 2 9 2 2 5 3 4" xfId="14996"/>
    <cellStyle name="Normal 2 2 2 9 2 2 5 3 4 2" xfId="14997"/>
    <cellStyle name="Normal 2 2 2 9 2 2 5 3 5" xfId="14998"/>
    <cellStyle name="Normal 2 2 2 9 2 2 5 3 5 2" xfId="14999"/>
    <cellStyle name="Normal 2 2 2 9 2 2 5 3 6" xfId="15000"/>
    <cellStyle name="Normal 2 2 2 9 2 2 5 3 6 2" xfId="15001"/>
    <cellStyle name="Normal 2 2 2 9 2 2 5 3 7" xfId="15002"/>
    <cellStyle name="Normal 2 2 2 9 2 2 5 3 7 2" xfId="15003"/>
    <cellStyle name="Normal 2 2 2 9 2 2 5 3 8" xfId="15004"/>
    <cellStyle name="Normal 2 2 2 9 2 2 5 3 8 2" xfId="15005"/>
    <cellStyle name="Normal 2 2 2 9 2 2 5 3 9" xfId="15006"/>
    <cellStyle name="Normal 2 2 2 9 2 2 5 3 9 2" xfId="15007"/>
    <cellStyle name="Normal 2 2 2 9 2 2 5 4" xfId="15008"/>
    <cellStyle name="Normal 2 2 2 9 2 2 5 4 2" xfId="15009"/>
    <cellStyle name="Normal 2 2 2 9 2 2 5 5" xfId="15010"/>
    <cellStyle name="Normal 2 2 2 9 2 2 5 5 2" xfId="15011"/>
    <cellStyle name="Normal 2 2 2 9 2 2 5 6" xfId="15012"/>
    <cellStyle name="Normal 2 2 2 9 2 2 5 6 2" xfId="15013"/>
    <cellStyle name="Normal 2 2 2 9 2 2 5 7" xfId="15014"/>
    <cellStyle name="Normal 2 2 2 9 2 2 5 7 2" xfId="15015"/>
    <cellStyle name="Normal 2 2 2 9 2 2 5 8" xfId="15016"/>
    <cellStyle name="Normal 2 2 2 9 2 2 5 8 2" xfId="15017"/>
    <cellStyle name="Normal 2 2 2 9 2 2 5 9" xfId="15018"/>
    <cellStyle name="Normal 2 2 2 9 2 2 5 9 2" xfId="15019"/>
    <cellStyle name="Normal 2 2 2 9 2 2 6" xfId="41901"/>
    <cellStyle name="Normal 2 2 2 9 2 3" xfId="15020"/>
    <cellStyle name="Normal 2 2 2 9 2 3 2" xfId="41902"/>
    <cellStyle name="Normal 2 2 2 9 2 4" xfId="15021"/>
    <cellStyle name="Normal 2 2 2 9 2 4 2" xfId="41903"/>
    <cellStyle name="Normal 2 2 2 9 2 5" xfId="15022"/>
    <cellStyle name="Normal 2 2 2 9 2 5 2" xfId="41904"/>
    <cellStyle name="Normal 2 2 2 9 2 6" xfId="15023"/>
    <cellStyle name="Normal 2 2 2 9 2 6 10" xfId="15024"/>
    <cellStyle name="Normal 2 2 2 9 2 6 10 2" xfId="15025"/>
    <cellStyle name="Normal 2 2 2 9 2 6 11" xfId="15026"/>
    <cellStyle name="Normal 2 2 2 9 2 6 11 2" xfId="15027"/>
    <cellStyle name="Normal 2 2 2 9 2 6 12" xfId="15028"/>
    <cellStyle name="Normal 2 2 2 9 2 6 2" xfId="15029"/>
    <cellStyle name="Normal 2 2 2 9 2 6 2 10" xfId="15030"/>
    <cellStyle name="Normal 2 2 2 9 2 6 2 10 2" xfId="15031"/>
    <cellStyle name="Normal 2 2 2 9 2 6 2 11" xfId="15032"/>
    <cellStyle name="Normal 2 2 2 9 2 6 2 2" xfId="15033"/>
    <cellStyle name="Normal 2 2 2 9 2 6 2 2 2" xfId="15034"/>
    <cellStyle name="Normal 2 2 2 9 2 6 2 3" xfId="15035"/>
    <cellStyle name="Normal 2 2 2 9 2 6 2 3 2" xfId="15036"/>
    <cellStyle name="Normal 2 2 2 9 2 6 2 4" xfId="15037"/>
    <cellStyle name="Normal 2 2 2 9 2 6 2 4 2" xfId="15038"/>
    <cellStyle name="Normal 2 2 2 9 2 6 2 5" xfId="15039"/>
    <cellStyle name="Normal 2 2 2 9 2 6 2 5 2" xfId="15040"/>
    <cellStyle name="Normal 2 2 2 9 2 6 2 6" xfId="15041"/>
    <cellStyle name="Normal 2 2 2 9 2 6 2 6 2" xfId="15042"/>
    <cellStyle name="Normal 2 2 2 9 2 6 2 7" xfId="15043"/>
    <cellStyle name="Normal 2 2 2 9 2 6 2 7 2" xfId="15044"/>
    <cellStyle name="Normal 2 2 2 9 2 6 2 8" xfId="15045"/>
    <cellStyle name="Normal 2 2 2 9 2 6 2 8 2" xfId="15046"/>
    <cellStyle name="Normal 2 2 2 9 2 6 2 9" xfId="15047"/>
    <cellStyle name="Normal 2 2 2 9 2 6 2 9 2" xfId="15048"/>
    <cellStyle name="Normal 2 2 2 9 2 6 3" xfId="15049"/>
    <cellStyle name="Normal 2 2 2 9 2 6 3 2" xfId="15050"/>
    <cellStyle name="Normal 2 2 2 9 2 6 4" xfId="15051"/>
    <cellStyle name="Normal 2 2 2 9 2 6 4 2" xfId="15052"/>
    <cellStyle name="Normal 2 2 2 9 2 6 5" xfId="15053"/>
    <cellStyle name="Normal 2 2 2 9 2 6 5 2" xfId="15054"/>
    <cellStyle name="Normal 2 2 2 9 2 6 6" xfId="15055"/>
    <cellStyle name="Normal 2 2 2 9 2 6 6 2" xfId="15056"/>
    <cellStyle name="Normal 2 2 2 9 2 6 7" xfId="15057"/>
    <cellStyle name="Normal 2 2 2 9 2 6 7 2" xfId="15058"/>
    <cellStyle name="Normal 2 2 2 9 2 6 8" xfId="15059"/>
    <cellStyle name="Normal 2 2 2 9 2 6 8 2" xfId="15060"/>
    <cellStyle name="Normal 2 2 2 9 2 6 9" xfId="15061"/>
    <cellStyle name="Normal 2 2 2 9 2 6 9 2" xfId="15062"/>
    <cellStyle name="Normal 2 2 2 9 2 7" xfId="15063"/>
    <cellStyle name="Normal 2 2 2 9 2 7 10" xfId="15064"/>
    <cellStyle name="Normal 2 2 2 9 2 7 10 2" xfId="15065"/>
    <cellStyle name="Normal 2 2 2 9 2 7 11" xfId="15066"/>
    <cellStyle name="Normal 2 2 2 9 2 7 2" xfId="15067"/>
    <cellStyle name="Normal 2 2 2 9 2 7 2 2" xfId="15068"/>
    <cellStyle name="Normal 2 2 2 9 2 7 3" xfId="15069"/>
    <cellStyle name="Normal 2 2 2 9 2 7 3 2" xfId="15070"/>
    <cellStyle name="Normal 2 2 2 9 2 7 4" xfId="15071"/>
    <cellStyle name="Normal 2 2 2 9 2 7 4 2" xfId="15072"/>
    <cellStyle name="Normal 2 2 2 9 2 7 5" xfId="15073"/>
    <cellStyle name="Normal 2 2 2 9 2 7 5 2" xfId="15074"/>
    <cellStyle name="Normal 2 2 2 9 2 7 6" xfId="15075"/>
    <cellStyle name="Normal 2 2 2 9 2 7 6 2" xfId="15076"/>
    <cellStyle name="Normal 2 2 2 9 2 7 7" xfId="15077"/>
    <cellStyle name="Normal 2 2 2 9 2 7 7 2" xfId="15078"/>
    <cellStyle name="Normal 2 2 2 9 2 7 8" xfId="15079"/>
    <cellStyle name="Normal 2 2 2 9 2 7 8 2" xfId="15080"/>
    <cellStyle name="Normal 2 2 2 9 2 7 9" xfId="15081"/>
    <cellStyle name="Normal 2 2 2 9 2 7 9 2" xfId="15082"/>
    <cellStyle name="Normal 2 2 2 9 2 8" xfId="15083"/>
    <cellStyle name="Normal 2 2 2 9 2 8 2" xfId="15084"/>
    <cellStyle name="Normal 2 2 2 9 2 9" xfId="15085"/>
    <cellStyle name="Normal 2 2 2 9 2 9 2" xfId="15086"/>
    <cellStyle name="Normal 2 2 2 9 3" xfId="15087"/>
    <cellStyle name="Normal 2 2 2 9 3 10" xfId="15088"/>
    <cellStyle name="Normal 2 2 2 9 3 10 2" xfId="15089"/>
    <cellStyle name="Normal 2 2 2 9 3 11" xfId="15090"/>
    <cellStyle name="Normal 2 2 2 9 3 11 2" xfId="15091"/>
    <cellStyle name="Normal 2 2 2 9 3 12" xfId="15092"/>
    <cellStyle name="Normal 2 2 2 9 3 12 2" xfId="15093"/>
    <cellStyle name="Normal 2 2 2 9 3 13" xfId="15094"/>
    <cellStyle name="Normal 2 2 2 9 3 2" xfId="15095"/>
    <cellStyle name="Normal 2 2 2 9 3 2 10" xfId="15096"/>
    <cellStyle name="Normal 2 2 2 9 3 2 10 2" xfId="15097"/>
    <cellStyle name="Normal 2 2 2 9 3 2 11" xfId="15098"/>
    <cellStyle name="Normal 2 2 2 9 3 2 11 2" xfId="15099"/>
    <cellStyle name="Normal 2 2 2 9 3 2 12" xfId="15100"/>
    <cellStyle name="Normal 2 2 2 9 3 2 2" xfId="15101"/>
    <cellStyle name="Normal 2 2 2 9 3 2 2 10" xfId="15102"/>
    <cellStyle name="Normal 2 2 2 9 3 2 2 10 2" xfId="15103"/>
    <cellStyle name="Normal 2 2 2 9 3 2 2 11" xfId="15104"/>
    <cellStyle name="Normal 2 2 2 9 3 2 2 2" xfId="15105"/>
    <cellStyle name="Normal 2 2 2 9 3 2 2 2 2" xfId="15106"/>
    <cellStyle name="Normal 2 2 2 9 3 2 2 3" xfId="15107"/>
    <cellStyle name="Normal 2 2 2 9 3 2 2 3 2" xfId="15108"/>
    <cellStyle name="Normal 2 2 2 9 3 2 2 4" xfId="15109"/>
    <cellStyle name="Normal 2 2 2 9 3 2 2 4 2" xfId="15110"/>
    <cellStyle name="Normal 2 2 2 9 3 2 2 5" xfId="15111"/>
    <cellStyle name="Normal 2 2 2 9 3 2 2 5 2" xfId="15112"/>
    <cellStyle name="Normal 2 2 2 9 3 2 2 6" xfId="15113"/>
    <cellStyle name="Normal 2 2 2 9 3 2 2 6 2" xfId="15114"/>
    <cellStyle name="Normal 2 2 2 9 3 2 2 7" xfId="15115"/>
    <cellStyle name="Normal 2 2 2 9 3 2 2 7 2" xfId="15116"/>
    <cellStyle name="Normal 2 2 2 9 3 2 2 8" xfId="15117"/>
    <cellStyle name="Normal 2 2 2 9 3 2 2 8 2" xfId="15118"/>
    <cellStyle name="Normal 2 2 2 9 3 2 2 9" xfId="15119"/>
    <cellStyle name="Normal 2 2 2 9 3 2 2 9 2" xfId="15120"/>
    <cellStyle name="Normal 2 2 2 9 3 2 3" xfId="15121"/>
    <cellStyle name="Normal 2 2 2 9 3 2 3 2" xfId="15122"/>
    <cellStyle name="Normal 2 2 2 9 3 2 4" xfId="15123"/>
    <cellStyle name="Normal 2 2 2 9 3 2 4 2" xfId="15124"/>
    <cellStyle name="Normal 2 2 2 9 3 2 5" xfId="15125"/>
    <cellStyle name="Normal 2 2 2 9 3 2 5 2" xfId="15126"/>
    <cellStyle name="Normal 2 2 2 9 3 2 6" xfId="15127"/>
    <cellStyle name="Normal 2 2 2 9 3 2 6 2" xfId="15128"/>
    <cellStyle name="Normal 2 2 2 9 3 2 7" xfId="15129"/>
    <cellStyle name="Normal 2 2 2 9 3 2 7 2" xfId="15130"/>
    <cellStyle name="Normal 2 2 2 9 3 2 8" xfId="15131"/>
    <cellStyle name="Normal 2 2 2 9 3 2 8 2" xfId="15132"/>
    <cellStyle name="Normal 2 2 2 9 3 2 9" xfId="15133"/>
    <cellStyle name="Normal 2 2 2 9 3 2 9 2" xfId="15134"/>
    <cellStyle name="Normal 2 2 2 9 3 3" xfId="15135"/>
    <cellStyle name="Normal 2 2 2 9 3 3 10" xfId="15136"/>
    <cellStyle name="Normal 2 2 2 9 3 3 10 2" xfId="15137"/>
    <cellStyle name="Normal 2 2 2 9 3 3 11" xfId="15138"/>
    <cellStyle name="Normal 2 2 2 9 3 3 2" xfId="15139"/>
    <cellStyle name="Normal 2 2 2 9 3 3 2 2" xfId="15140"/>
    <cellStyle name="Normal 2 2 2 9 3 3 3" xfId="15141"/>
    <cellStyle name="Normal 2 2 2 9 3 3 3 2" xfId="15142"/>
    <cellStyle name="Normal 2 2 2 9 3 3 4" xfId="15143"/>
    <cellStyle name="Normal 2 2 2 9 3 3 4 2" xfId="15144"/>
    <cellStyle name="Normal 2 2 2 9 3 3 5" xfId="15145"/>
    <cellStyle name="Normal 2 2 2 9 3 3 5 2" xfId="15146"/>
    <cellStyle name="Normal 2 2 2 9 3 3 6" xfId="15147"/>
    <cellStyle name="Normal 2 2 2 9 3 3 6 2" xfId="15148"/>
    <cellStyle name="Normal 2 2 2 9 3 3 7" xfId="15149"/>
    <cellStyle name="Normal 2 2 2 9 3 3 7 2" xfId="15150"/>
    <cellStyle name="Normal 2 2 2 9 3 3 8" xfId="15151"/>
    <cellStyle name="Normal 2 2 2 9 3 3 8 2" xfId="15152"/>
    <cellStyle name="Normal 2 2 2 9 3 3 9" xfId="15153"/>
    <cellStyle name="Normal 2 2 2 9 3 3 9 2" xfId="15154"/>
    <cellStyle name="Normal 2 2 2 9 3 4" xfId="15155"/>
    <cellStyle name="Normal 2 2 2 9 3 4 2" xfId="15156"/>
    <cellStyle name="Normal 2 2 2 9 3 5" xfId="15157"/>
    <cellStyle name="Normal 2 2 2 9 3 5 2" xfId="15158"/>
    <cellStyle name="Normal 2 2 2 9 3 6" xfId="15159"/>
    <cellStyle name="Normal 2 2 2 9 3 6 2" xfId="15160"/>
    <cellStyle name="Normal 2 2 2 9 3 7" xfId="15161"/>
    <cellStyle name="Normal 2 2 2 9 3 7 2" xfId="15162"/>
    <cellStyle name="Normal 2 2 2 9 3 8" xfId="15163"/>
    <cellStyle name="Normal 2 2 2 9 3 8 2" xfId="15164"/>
    <cellStyle name="Normal 2 2 2 9 3 9" xfId="15165"/>
    <cellStyle name="Normal 2 2 2 9 3 9 2" xfId="15166"/>
    <cellStyle name="Normal 2 2 2 9 4" xfId="15167"/>
    <cellStyle name="Normal 2 2 2 9 4 10" xfId="15168"/>
    <cellStyle name="Normal 2 2 2 9 4 10 2" xfId="15169"/>
    <cellStyle name="Normal 2 2 2 9 4 11" xfId="15170"/>
    <cellStyle name="Normal 2 2 2 9 4 11 2" xfId="15171"/>
    <cellStyle name="Normal 2 2 2 9 4 12" xfId="15172"/>
    <cellStyle name="Normal 2 2 2 9 4 12 2" xfId="15173"/>
    <cellStyle name="Normal 2 2 2 9 4 13" xfId="15174"/>
    <cellStyle name="Normal 2 2 2 9 4 2" xfId="15175"/>
    <cellStyle name="Normal 2 2 2 9 4 2 10" xfId="15176"/>
    <cellStyle name="Normal 2 2 2 9 4 2 10 2" xfId="15177"/>
    <cellStyle name="Normal 2 2 2 9 4 2 11" xfId="15178"/>
    <cellStyle name="Normal 2 2 2 9 4 2 11 2" xfId="15179"/>
    <cellStyle name="Normal 2 2 2 9 4 2 12" xfId="15180"/>
    <cellStyle name="Normal 2 2 2 9 4 2 2" xfId="15181"/>
    <cellStyle name="Normal 2 2 2 9 4 2 2 10" xfId="15182"/>
    <cellStyle name="Normal 2 2 2 9 4 2 2 10 2" xfId="15183"/>
    <cellStyle name="Normal 2 2 2 9 4 2 2 11" xfId="15184"/>
    <cellStyle name="Normal 2 2 2 9 4 2 2 2" xfId="15185"/>
    <cellStyle name="Normal 2 2 2 9 4 2 2 2 2" xfId="15186"/>
    <cellStyle name="Normal 2 2 2 9 4 2 2 3" xfId="15187"/>
    <cellStyle name="Normal 2 2 2 9 4 2 2 3 2" xfId="15188"/>
    <cellStyle name="Normal 2 2 2 9 4 2 2 4" xfId="15189"/>
    <cellStyle name="Normal 2 2 2 9 4 2 2 4 2" xfId="15190"/>
    <cellStyle name="Normal 2 2 2 9 4 2 2 5" xfId="15191"/>
    <cellStyle name="Normal 2 2 2 9 4 2 2 5 2" xfId="15192"/>
    <cellStyle name="Normal 2 2 2 9 4 2 2 6" xfId="15193"/>
    <cellStyle name="Normal 2 2 2 9 4 2 2 6 2" xfId="15194"/>
    <cellStyle name="Normal 2 2 2 9 4 2 2 7" xfId="15195"/>
    <cellStyle name="Normal 2 2 2 9 4 2 2 7 2" xfId="15196"/>
    <cellStyle name="Normal 2 2 2 9 4 2 2 8" xfId="15197"/>
    <cellStyle name="Normal 2 2 2 9 4 2 2 8 2" xfId="15198"/>
    <cellStyle name="Normal 2 2 2 9 4 2 2 9" xfId="15199"/>
    <cellStyle name="Normal 2 2 2 9 4 2 2 9 2" xfId="15200"/>
    <cellStyle name="Normal 2 2 2 9 4 2 3" xfId="15201"/>
    <cellStyle name="Normal 2 2 2 9 4 2 3 2" xfId="15202"/>
    <cellStyle name="Normal 2 2 2 9 4 2 4" xfId="15203"/>
    <cellStyle name="Normal 2 2 2 9 4 2 4 2" xfId="15204"/>
    <cellStyle name="Normal 2 2 2 9 4 2 5" xfId="15205"/>
    <cellStyle name="Normal 2 2 2 9 4 2 5 2" xfId="15206"/>
    <cellStyle name="Normal 2 2 2 9 4 2 6" xfId="15207"/>
    <cellStyle name="Normal 2 2 2 9 4 2 6 2" xfId="15208"/>
    <cellStyle name="Normal 2 2 2 9 4 2 7" xfId="15209"/>
    <cellStyle name="Normal 2 2 2 9 4 2 7 2" xfId="15210"/>
    <cellStyle name="Normal 2 2 2 9 4 2 8" xfId="15211"/>
    <cellStyle name="Normal 2 2 2 9 4 2 8 2" xfId="15212"/>
    <cellStyle name="Normal 2 2 2 9 4 2 9" xfId="15213"/>
    <cellStyle name="Normal 2 2 2 9 4 2 9 2" xfId="15214"/>
    <cellStyle name="Normal 2 2 2 9 4 3" xfId="15215"/>
    <cellStyle name="Normal 2 2 2 9 4 3 10" xfId="15216"/>
    <cellStyle name="Normal 2 2 2 9 4 3 10 2" xfId="15217"/>
    <cellStyle name="Normal 2 2 2 9 4 3 11" xfId="15218"/>
    <cellStyle name="Normal 2 2 2 9 4 3 2" xfId="15219"/>
    <cellStyle name="Normal 2 2 2 9 4 3 2 2" xfId="15220"/>
    <cellStyle name="Normal 2 2 2 9 4 3 3" xfId="15221"/>
    <cellStyle name="Normal 2 2 2 9 4 3 3 2" xfId="15222"/>
    <cellStyle name="Normal 2 2 2 9 4 3 4" xfId="15223"/>
    <cellStyle name="Normal 2 2 2 9 4 3 4 2" xfId="15224"/>
    <cellStyle name="Normal 2 2 2 9 4 3 5" xfId="15225"/>
    <cellStyle name="Normal 2 2 2 9 4 3 5 2" xfId="15226"/>
    <cellStyle name="Normal 2 2 2 9 4 3 6" xfId="15227"/>
    <cellStyle name="Normal 2 2 2 9 4 3 6 2" xfId="15228"/>
    <cellStyle name="Normal 2 2 2 9 4 3 7" xfId="15229"/>
    <cellStyle name="Normal 2 2 2 9 4 3 7 2" xfId="15230"/>
    <cellStyle name="Normal 2 2 2 9 4 3 8" xfId="15231"/>
    <cellStyle name="Normal 2 2 2 9 4 3 8 2" xfId="15232"/>
    <cellStyle name="Normal 2 2 2 9 4 3 9" xfId="15233"/>
    <cellStyle name="Normal 2 2 2 9 4 3 9 2" xfId="15234"/>
    <cellStyle name="Normal 2 2 2 9 4 4" xfId="15235"/>
    <cellStyle name="Normal 2 2 2 9 4 4 2" xfId="15236"/>
    <cellStyle name="Normal 2 2 2 9 4 5" xfId="15237"/>
    <cellStyle name="Normal 2 2 2 9 4 5 2" xfId="15238"/>
    <cellStyle name="Normal 2 2 2 9 4 6" xfId="15239"/>
    <cellStyle name="Normal 2 2 2 9 4 6 2" xfId="15240"/>
    <cellStyle name="Normal 2 2 2 9 4 7" xfId="15241"/>
    <cellStyle name="Normal 2 2 2 9 4 7 2" xfId="15242"/>
    <cellStyle name="Normal 2 2 2 9 4 8" xfId="15243"/>
    <cellStyle name="Normal 2 2 2 9 4 8 2" xfId="15244"/>
    <cellStyle name="Normal 2 2 2 9 4 9" xfId="15245"/>
    <cellStyle name="Normal 2 2 2 9 4 9 2" xfId="15246"/>
    <cellStyle name="Normal 2 2 2 9 5" xfId="15247"/>
    <cellStyle name="Normal 2 2 2 9 5 10" xfId="15248"/>
    <cellStyle name="Normal 2 2 2 9 5 10 2" xfId="15249"/>
    <cellStyle name="Normal 2 2 2 9 5 11" xfId="15250"/>
    <cellStyle name="Normal 2 2 2 9 5 11 2" xfId="15251"/>
    <cellStyle name="Normal 2 2 2 9 5 12" xfId="15252"/>
    <cellStyle name="Normal 2 2 2 9 5 12 2" xfId="15253"/>
    <cellStyle name="Normal 2 2 2 9 5 13" xfId="15254"/>
    <cellStyle name="Normal 2 2 2 9 5 2" xfId="15255"/>
    <cellStyle name="Normal 2 2 2 9 5 2 10" xfId="15256"/>
    <cellStyle name="Normal 2 2 2 9 5 2 10 2" xfId="15257"/>
    <cellStyle name="Normal 2 2 2 9 5 2 11" xfId="15258"/>
    <cellStyle name="Normal 2 2 2 9 5 2 11 2" xfId="15259"/>
    <cellStyle name="Normal 2 2 2 9 5 2 12" xfId="15260"/>
    <cellStyle name="Normal 2 2 2 9 5 2 2" xfId="15261"/>
    <cellStyle name="Normal 2 2 2 9 5 2 2 10" xfId="15262"/>
    <cellStyle name="Normal 2 2 2 9 5 2 2 10 2" xfId="15263"/>
    <cellStyle name="Normal 2 2 2 9 5 2 2 11" xfId="15264"/>
    <cellStyle name="Normal 2 2 2 9 5 2 2 2" xfId="15265"/>
    <cellStyle name="Normal 2 2 2 9 5 2 2 2 2" xfId="15266"/>
    <cellStyle name="Normal 2 2 2 9 5 2 2 3" xfId="15267"/>
    <cellStyle name="Normal 2 2 2 9 5 2 2 3 2" xfId="15268"/>
    <cellStyle name="Normal 2 2 2 9 5 2 2 4" xfId="15269"/>
    <cellStyle name="Normal 2 2 2 9 5 2 2 4 2" xfId="15270"/>
    <cellStyle name="Normal 2 2 2 9 5 2 2 5" xfId="15271"/>
    <cellStyle name="Normal 2 2 2 9 5 2 2 5 2" xfId="15272"/>
    <cellStyle name="Normal 2 2 2 9 5 2 2 6" xfId="15273"/>
    <cellStyle name="Normal 2 2 2 9 5 2 2 6 2" xfId="15274"/>
    <cellStyle name="Normal 2 2 2 9 5 2 2 7" xfId="15275"/>
    <cellStyle name="Normal 2 2 2 9 5 2 2 7 2" xfId="15276"/>
    <cellStyle name="Normal 2 2 2 9 5 2 2 8" xfId="15277"/>
    <cellStyle name="Normal 2 2 2 9 5 2 2 8 2" xfId="15278"/>
    <cellStyle name="Normal 2 2 2 9 5 2 2 9" xfId="15279"/>
    <cellStyle name="Normal 2 2 2 9 5 2 2 9 2" xfId="15280"/>
    <cellStyle name="Normal 2 2 2 9 5 2 3" xfId="15281"/>
    <cellStyle name="Normal 2 2 2 9 5 2 3 2" xfId="15282"/>
    <cellStyle name="Normal 2 2 2 9 5 2 4" xfId="15283"/>
    <cellStyle name="Normal 2 2 2 9 5 2 4 2" xfId="15284"/>
    <cellStyle name="Normal 2 2 2 9 5 2 5" xfId="15285"/>
    <cellStyle name="Normal 2 2 2 9 5 2 5 2" xfId="15286"/>
    <cellStyle name="Normal 2 2 2 9 5 2 6" xfId="15287"/>
    <cellStyle name="Normal 2 2 2 9 5 2 6 2" xfId="15288"/>
    <cellStyle name="Normal 2 2 2 9 5 2 7" xfId="15289"/>
    <cellStyle name="Normal 2 2 2 9 5 2 7 2" xfId="15290"/>
    <cellStyle name="Normal 2 2 2 9 5 2 8" xfId="15291"/>
    <cellStyle name="Normal 2 2 2 9 5 2 8 2" xfId="15292"/>
    <cellStyle name="Normal 2 2 2 9 5 2 9" xfId="15293"/>
    <cellStyle name="Normal 2 2 2 9 5 2 9 2" xfId="15294"/>
    <cellStyle name="Normal 2 2 2 9 5 3" xfId="15295"/>
    <cellStyle name="Normal 2 2 2 9 5 3 10" xfId="15296"/>
    <cellStyle name="Normal 2 2 2 9 5 3 10 2" xfId="15297"/>
    <cellStyle name="Normal 2 2 2 9 5 3 11" xfId="15298"/>
    <cellStyle name="Normal 2 2 2 9 5 3 2" xfId="15299"/>
    <cellStyle name="Normal 2 2 2 9 5 3 2 2" xfId="15300"/>
    <cellStyle name="Normal 2 2 2 9 5 3 3" xfId="15301"/>
    <cellStyle name="Normal 2 2 2 9 5 3 3 2" xfId="15302"/>
    <cellStyle name="Normal 2 2 2 9 5 3 4" xfId="15303"/>
    <cellStyle name="Normal 2 2 2 9 5 3 4 2" xfId="15304"/>
    <cellStyle name="Normal 2 2 2 9 5 3 5" xfId="15305"/>
    <cellStyle name="Normal 2 2 2 9 5 3 5 2" xfId="15306"/>
    <cellStyle name="Normal 2 2 2 9 5 3 6" xfId="15307"/>
    <cellStyle name="Normal 2 2 2 9 5 3 6 2" xfId="15308"/>
    <cellStyle name="Normal 2 2 2 9 5 3 7" xfId="15309"/>
    <cellStyle name="Normal 2 2 2 9 5 3 7 2" xfId="15310"/>
    <cellStyle name="Normal 2 2 2 9 5 3 8" xfId="15311"/>
    <cellStyle name="Normal 2 2 2 9 5 3 8 2" xfId="15312"/>
    <cellStyle name="Normal 2 2 2 9 5 3 9" xfId="15313"/>
    <cellStyle name="Normal 2 2 2 9 5 3 9 2" xfId="15314"/>
    <cellStyle name="Normal 2 2 2 9 5 4" xfId="15315"/>
    <cellStyle name="Normal 2 2 2 9 5 4 2" xfId="15316"/>
    <cellStyle name="Normal 2 2 2 9 5 5" xfId="15317"/>
    <cellStyle name="Normal 2 2 2 9 5 5 2" xfId="15318"/>
    <cellStyle name="Normal 2 2 2 9 5 6" xfId="15319"/>
    <cellStyle name="Normal 2 2 2 9 5 6 2" xfId="15320"/>
    <cellStyle name="Normal 2 2 2 9 5 7" xfId="15321"/>
    <cellStyle name="Normal 2 2 2 9 5 7 2" xfId="15322"/>
    <cellStyle name="Normal 2 2 2 9 5 8" xfId="15323"/>
    <cellStyle name="Normal 2 2 2 9 5 8 2" xfId="15324"/>
    <cellStyle name="Normal 2 2 2 9 5 9" xfId="15325"/>
    <cellStyle name="Normal 2 2 2 9 5 9 2" xfId="15326"/>
    <cellStyle name="Normal 2 2 2 9 6" xfId="15327"/>
    <cellStyle name="Normal 2 2 2 9 6 10" xfId="15328"/>
    <cellStyle name="Normal 2 2 2 9 6 10 2" xfId="15329"/>
    <cellStyle name="Normal 2 2 2 9 6 11" xfId="15330"/>
    <cellStyle name="Normal 2 2 2 9 6 11 2" xfId="15331"/>
    <cellStyle name="Normal 2 2 2 9 6 12" xfId="15332"/>
    <cellStyle name="Normal 2 2 2 9 6 12 2" xfId="15333"/>
    <cellStyle name="Normal 2 2 2 9 6 13" xfId="15334"/>
    <cellStyle name="Normal 2 2 2 9 6 2" xfId="15335"/>
    <cellStyle name="Normal 2 2 2 9 6 2 10" xfId="15336"/>
    <cellStyle name="Normal 2 2 2 9 6 2 10 2" xfId="15337"/>
    <cellStyle name="Normal 2 2 2 9 6 2 11" xfId="15338"/>
    <cellStyle name="Normal 2 2 2 9 6 2 11 2" xfId="15339"/>
    <cellStyle name="Normal 2 2 2 9 6 2 12" xfId="15340"/>
    <cellStyle name="Normal 2 2 2 9 6 2 2" xfId="15341"/>
    <cellStyle name="Normal 2 2 2 9 6 2 2 10" xfId="15342"/>
    <cellStyle name="Normal 2 2 2 9 6 2 2 10 2" xfId="15343"/>
    <cellStyle name="Normal 2 2 2 9 6 2 2 11" xfId="15344"/>
    <cellStyle name="Normal 2 2 2 9 6 2 2 2" xfId="15345"/>
    <cellStyle name="Normal 2 2 2 9 6 2 2 2 2" xfId="15346"/>
    <cellStyle name="Normal 2 2 2 9 6 2 2 3" xfId="15347"/>
    <cellStyle name="Normal 2 2 2 9 6 2 2 3 2" xfId="15348"/>
    <cellStyle name="Normal 2 2 2 9 6 2 2 4" xfId="15349"/>
    <cellStyle name="Normal 2 2 2 9 6 2 2 4 2" xfId="15350"/>
    <cellStyle name="Normal 2 2 2 9 6 2 2 5" xfId="15351"/>
    <cellStyle name="Normal 2 2 2 9 6 2 2 5 2" xfId="15352"/>
    <cellStyle name="Normal 2 2 2 9 6 2 2 6" xfId="15353"/>
    <cellStyle name="Normal 2 2 2 9 6 2 2 6 2" xfId="15354"/>
    <cellStyle name="Normal 2 2 2 9 6 2 2 7" xfId="15355"/>
    <cellStyle name="Normal 2 2 2 9 6 2 2 7 2" xfId="15356"/>
    <cellStyle name="Normal 2 2 2 9 6 2 2 8" xfId="15357"/>
    <cellStyle name="Normal 2 2 2 9 6 2 2 8 2" xfId="15358"/>
    <cellStyle name="Normal 2 2 2 9 6 2 2 9" xfId="15359"/>
    <cellStyle name="Normal 2 2 2 9 6 2 2 9 2" xfId="15360"/>
    <cellStyle name="Normal 2 2 2 9 6 2 3" xfId="15361"/>
    <cellStyle name="Normal 2 2 2 9 6 2 3 2" xfId="15362"/>
    <cellStyle name="Normal 2 2 2 9 6 2 4" xfId="15363"/>
    <cellStyle name="Normal 2 2 2 9 6 2 4 2" xfId="15364"/>
    <cellStyle name="Normal 2 2 2 9 6 2 5" xfId="15365"/>
    <cellStyle name="Normal 2 2 2 9 6 2 5 2" xfId="15366"/>
    <cellStyle name="Normal 2 2 2 9 6 2 6" xfId="15367"/>
    <cellStyle name="Normal 2 2 2 9 6 2 6 2" xfId="15368"/>
    <cellStyle name="Normal 2 2 2 9 6 2 7" xfId="15369"/>
    <cellStyle name="Normal 2 2 2 9 6 2 7 2" xfId="15370"/>
    <cellStyle name="Normal 2 2 2 9 6 2 8" xfId="15371"/>
    <cellStyle name="Normal 2 2 2 9 6 2 8 2" xfId="15372"/>
    <cellStyle name="Normal 2 2 2 9 6 2 9" xfId="15373"/>
    <cellStyle name="Normal 2 2 2 9 6 2 9 2" xfId="15374"/>
    <cellStyle name="Normal 2 2 2 9 6 3" xfId="15375"/>
    <cellStyle name="Normal 2 2 2 9 6 3 10" xfId="15376"/>
    <cellStyle name="Normal 2 2 2 9 6 3 10 2" xfId="15377"/>
    <cellStyle name="Normal 2 2 2 9 6 3 11" xfId="15378"/>
    <cellStyle name="Normal 2 2 2 9 6 3 2" xfId="15379"/>
    <cellStyle name="Normal 2 2 2 9 6 3 2 2" xfId="15380"/>
    <cellStyle name="Normal 2 2 2 9 6 3 3" xfId="15381"/>
    <cellStyle name="Normal 2 2 2 9 6 3 3 2" xfId="15382"/>
    <cellStyle name="Normal 2 2 2 9 6 3 4" xfId="15383"/>
    <cellStyle name="Normal 2 2 2 9 6 3 4 2" xfId="15384"/>
    <cellStyle name="Normal 2 2 2 9 6 3 5" xfId="15385"/>
    <cellStyle name="Normal 2 2 2 9 6 3 5 2" xfId="15386"/>
    <cellStyle name="Normal 2 2 2 9 6 3 6" xfId="15387"/>
    <cellStyle name="Normal 2 2 2 9 6 3 6 2" xfId="15388"/>
    <cellStyle name="Normal 2 2 2 9 6 3 7" xfId="15389"/>
    <cellStyle name="Normal 2 2 2 9 6 3 7 2" xfId="15390"/>
    <cellStyle name="Normal 2 2 2 9 6 3 8" xfId="15391"/>
    <cellStyle name="Normal 2 2 2 9 6 3 8 2" xfId="15392"/>
    <cellStyle name="Normal 2 2 2 9 6 3 9" xfId="15393"/>
    <cellStyle name="Normal 2 2 2 9 6 3 9 2" xfId="15394"/>
    <cellStyle name="Normal 2 2 2 9 6 4" xfId="15395"/>
    <cellStyle name="Normal 2 2 2 9 6 4 2" xfId="15396"/>
    <cellStyle name="Normal 2 2 2 9 6 5" xfId="15397"/>
    <cellStyle name="Normal 2 2 2 9 6 5 2" xfId="15398"/>
    <cellStyle name="Normal 2 2 2 9 6 6" xfId="15399"/>
    <cellStyle name="Normal 2 2 2 9 6 6 2" xfId="15400"/>
    <cellStyle name="Normal 2 2 2 9 6 7" xfId="15401"/>
    <cellStyle name="Normal 2 2 2 9 6 7 2" xfId="15402"/>
    <cellStyle name="Normal 2 2 2 9 6 8" xfId="15403"/>
    <cellStyle name="Normal 2 2 2 9 6 8 2" xfId="15404"/>
    <cellStyle name="Normal 2 2 2 9 6 9" xfId="15405"/>
    <cellStyle name="Normal 2 2 2 9 6 9 2" xfId="15406"/>
    <cellStyle name="Normal 2 2 2 9 7" xfId="41905"/>
    <cellStyle name="Normal 2 2 20" xfId="15407"/>
    <cellStyle name="Normal 2 2 21" xfId="15408"/>
    <cellStyle name="Normal 2 2 22" xfId="15409"/>
    <cellStyle name="Normal 2 2 23" xfId="15410"/>
    <cellStyle name="Normal 2 2 24" xfId="15411"/>
    <cellStyle name="Normal 2 2 25" xfId="15412"/>
    <cellStyle name="Normal 2 2 26" xfId="15413"/>
    <cellStyle name="Normal 2 2 27" xfId="15414"/>
    <cellStyle name="Normal 2 2 28" xfId="15415"/>
    <cellStyle name="Normal 2 2 29" xfId="15416"/>
    <cellStyle name="Normal 2 2 3" xfId="341"/>
    <cellStyle name="Normal 2 2 3 2" xfId="41906"/>
    <cellStyle name="Normal 2 2 3 3" xfId="15417"/>
    <cellStyle name="Normal 2 2 30" xfId="15418"/>
    <cellStyle name="Normal 2 2 31" xfId="15419"/>
    <cellStyle name="Normal 2 2 4" xfId="15420"/>
    <cellStyle name="Normal 2 2 4 10" xfId="15421"/>
    <cellStyle name="Normal 2 2 4 10 10" xfId="15422"/>
    <cellStyle name="Normal 2 2 4 10 10 2" xfId="15423"/>
    <cellStyle name="Normal 2 2 4 10 11" xfId="15424"/>
    <cellStyle name="Normal 2 2 4 10 11 2" xfId="15425"/>
    <cellStyle name="Normal 2 2 4 10 12" xfId="15426"/>
    <cellStyle name="Normal 2 2 4 10 2" xfId="15427"/>
    <cellStyle name="Normal 2 2 4 10 2 10" xfId="15428"/>
    <cellStyle name="Normal 2 2 4 10 2 10 2" xfId="15429"/>
    <cellStyle name="Normal 2 2 4 10 2 11" xfId="15430"/>
    <cellStyle name="Normal 2 2 4 10 2 2" xfId="15431"/>
    <cellStyle name="Normal 2 2 4 10 2 2 2" xfId="15432"/>
    <cellStyle name="Normal 2 2 4 10 2 3" xfId="15433"/>
    <cellStyle name="Normal 2 2 4 10 2 3 2" xfId="15434"/>
    <cellStyle name="Normal 2 2 4 10 2 4" xfId="15435"/>
    <cellStyle name="Normal 2 2 4 10 2 4 2" xfId="15436"/>
    <cellStyle name="Normal 2 2 4 10 2 5" xfId="15437"/>
    <cellStyle name="Normal 2 2 4 10 2 5 2" xfId="15438"/>
    <cellStyle name="Normal 2 2 4 10 2 6" xfId="15439"/>
    <cellStyle name="Normal 2 2 4 10 2 6 2" xfId="15440"/>
    <cellStyle name="Normal 2 2 4 10 2 7" xfId="15441"/>
    <cellStyle name="Normal 2 2 4 10 2 7 2" xfId="15442"/>
    <cellStyle name="Normal 2 2 4 10 2 8" xfId="15443"/>
    <cellStyle name="Normal 2 2 4 10 2 8 2" xfId="15444"/>
    <cellStyle name="Normal 2 2 4 10 2 9" xfId="15445"/>
    <cellStyle name="Normal 2 2 4 10 2 9 2" xfId="15446"/>
    <cellStyle name="Normal 2 2 4 10 3" xfId="15447"/>
    <cellStyle name="Normal 2 2 4 10 3 2" xfId="15448"/>
    <cellStyle name="Normal 2 2 4 10 4" xfId="15449"/>
    <cellStyle name="Normal 2 2 4 10 4 2" xfId="15450"/>
    <cellStyle name="Normal 2 2 4 10 5" xfId="15451"/>
    <cellStyle name="Normal 2 2 4 10 5 2" xfId="15452"/>
    <cellStyle name="Normal 2 2 4 10 6" xfId="15453"/>
    <cellStyle name="Normal 2 2 4 10 6 2" xfId="15454"/>
    <cellStyle name="Normal 2 2 4 10 7" xfId="15455"/>
    <cellStyle name="Normal 2 2 4 10 7 2" xfId="15456"/>
    <cellStyle name="Normal 2 2 4 10 8" xfId="15457"/>
    <cellStyle name="Normal 2 2 4 10 8 2" xfId="15458"/>
    <cellStyle name="Normal 2 2 4 10 9" xfId="15459"/>
    <cellStyle name="Normal 2 2 4 10 9 2" xfId="15460"/>
    <cellStyle name="Normal 2 2 4 11" xfId="15461"/>
    <cellStyle name="Normal 2 2 4 11 10" xfId="15462"/>
    <cellStyle name="Normal 2 2 4 11 10 2" xfId="15463"/>
    <cellStyle name="Normal 2 2 4 11 11" xfId="15464"/>
    <cellStyle name="Normal 2 2 4 11 2" xfId="15465"/>
    <cellStyle name="Normal 2 2 4 11 2 2" xfId="15466"/>
    <cellStyle name="Normal 2 2 4 11 3" xfId="15467"/>
    <cellStyle name="Normal 2 2 4 11 3 2" xfId="15468"/>
    <cellStyle name="Normal 2 2 4 11 4" xfId="15469"/>
    <cellStyle name="Normal 2 2 4 11 4 2" xfId="15470"/>
    <cellStyle name="Normal 2 2 4 11 5" xfId="15471"/>
    <cellStyle name="Normal 2 2 4 11 5 2" xfId="15472"/>
    <cellStyle name="Normal 2 2 4 11 6" xfId="15473"/>
    <cellStyle name="Normal 2 2 4 11 6 2" xfId="15474"/>
    <cellStyle name="Normal 2 2 4 11 7" xfId="15475"/>
    <cellStyle name="Normal 2 2 4 11 7 2" xfId="15476"/>
    <cellStyle name="Normal 2 2 4 11 8" xfId="15477"/>
    <cellStyle name="Normal 2 2 4 11 8 2" xfId="15478"/>
    <cellStyle name="Normal 2 2 4 11 9" xfId="15479"/>
    <cellStyle name="Normal 2 2 4 11 9 2" xfId="15480"/>
    <cellStyle name="Normal 2 2 4 12" xfId="15481"/>
    <cellStyle name="Normal 2 2 4 12 2" xfId="15482"/>
    <cellStyle name="Normal 2 2 4 13" xfId="15483"/>
    <cellStyle name="Normal 2 2 4 13 2" xfId="15484"/>
    <cellStyle name="Normal 2 2 4 14" xfId="15485"/>
    <cellStyle name="Normal 2 2 4 14 2" xfId="15486"/>
    <cellStyle name="Normal 2 2 4 15" xfId="15487"/>
    <cellStyle name="Normal 2 2 4 15 2" xfId="15488"/>
    <cellStyle name="Normal 2 2 4 16" xfId="15489"/>
    <cellStyle name="Normal 2 2 4 16 2" xfId="15490"/>
    <cellStyle name="Normal 2 2 4 17" xfId="15491"/>
    <cellStyle name="Normal 2 2 4 17 2" xfId="15492"/>
    <cellStyle name="Normal 2 2 4 18" xfId="15493"/>
    <cellStyle name="Normal 2 2 4 18 2" xfId="15494"/>
    <cellStyle name="Normal 2 2 4 19" xfId="15495"/>
    <cellStyle name="Normal 2 2 4 19 2" xfId="15496"/>
    <cellStyle name="Normal 2 2 4 2" xfId="15497"/>
    <cellStyle name="Normal 2 2 4 2 10" xfId="41907"/>
    <cellStyle name="Normal 2 2 4 2 2" xfId="15498"/>
    <cellStyle name="Normal 2 2 4 2 2 10" xfId="15499"/>
    <cellStyle name="Normal 2 2 4 2 2 10 2" xfId="15500"/>
    <cellStyle name="Normal 2 2 4 2 2 11" xfId="15501"/>
    <cellStyle name="Normal 2 2 4 2 2 11 2" xfId="15502"/>
    <cellStyle name="Normal 2 2 4 2 2 12" xfId="15503"/>
    <cellStyle name="Normal 2 2 4 2 2 12 2" xfId="15504"/>
    <cellStyle name="Normal 2 2 4 2 2 13" xfId="15505"/>
    <cellStyle name="Normal 2 2 4 2 2 13 2" xfId="15506"/>
    <cellStyle name="Normal 2 2 4 2 2 14" xfId="15507"/>
    <cellStyle name="Normal 2 2 4 2 2 14 2" xfId="15508"/>
    <cellStyle name="Normal 2 2 4 2 2 15" xfId="15509"/>
    <cellStyle name="Normal 2 2 4 2 2 15 2" xfId="15510"/>
    <cellStyle name="Normal 2 2 4 2 2 16" xfId="15511"/>
    <cellStyle name="Normal 2 2 4 2 2 16 2" xfId="15512"/>
    <cellStyle name="Normal 2 2 4 2 2 17" xfId="15513"/>
    <cellStyle name="Normal 2 2 4 2 2 17 2" xfId="15514"/>
    <cellStyle name="Normal 2 2 4 2 2 18" xfId="15515"/>
    <cellStyle name="Normal 2 2 4 2 2 2" xfId="15516"/>
    <cellStyle name="Normal 2 2 4 2 2 2 2" xfId="15517"/>
    <cellStyle name="Normal 2 2 4 2 2 2 2 10" xfId="15518"/>
    <cellStyle name="Normal 2 2 4 2 2 2 2 10 2" xfId="15519"/>
    <cellStyle name="Normal 2 2 4 2 2 2 2 11" xfId="15520"/>
    <cellStyle name="Normal 2 2 4 2 2 2 2 11 2" xfId="15521"/>
    <cellStyle name="Normal 2 2 4 2 2 2 2 12" xfId="15522"/>
    <cellStyle name="Normal 2 2 4 2 2 2 2 12 2" xfId="15523"/>
    <cellStyle name="Normal 2 2 4 2 2 2 2 13" xfId="15524"/>
    <cellStyle name="Normal 2 2 4 2 2 2 2 13 2" xfId="15525"/>
    <cellStyle name="Normal 2 2 4 2 2 2 2 14" xfId="15526"/>
    <cellStyle name="Normal 2 2 4 2 2 2 2 14 2" xfId="15527"/>
    <cellStyle name="Normal 2 2 4 2 2 2 2 15" xfId="15528"/>
    <cellStyle name="Normal 2 2 4 2 2 2 2 15 2" xfId="15529"/>
    <cellStyle name="Normal 2 2 4 2 2 2 2 16" xfId="15530"/>
    <cellStyle name="Normal 2 2 4 2 2 2 2 16 2" xfId="15531"/>
    <cellStyle name="Normal 2 2 4 2 2 2 2 17" xfId="15532"/>
    <cellStyle name="Normal 2 2 4 2 2 2 2 2" xfId="15533"/>
    <cellStyle name="Normal 2 2 4 2 2 2 2 2 2" xfId="41908"/>
    <cellStyle name="Normal 2 2 4 2 2 2 2 3" xfId="15534"/>
    <cellStyle name="Normal 2 2 4 2 2 2 2 3 2" xfId="41909"/>
    <cellStyle name="Normal 2 2 4 2 2 2 2 4" xfId="15535"/>
    <cellStyle name="Normal 2 2 4 2 2 2 2 4 2" xfId="41910"/>
    <cellStyle name="Normal 2 2 4 2 2 2 2 5" xfId="15536"/>
    <cellStyle name="Normal 2 2 4 2 2 2 2 5 2" xfId="41911"/>
    <cellStyle name="Normal 2 2 4 2 2 2 2 6" xfId="15537"/>
    <cellStyle name="Normal 2 2 4 2 2 2 2 6 10" xfId="15538"/>
    <cellStyle name="Normal 2 2 4 2 2 2 2 6 10 2" xfId="15539"/>
    <cellStyle name="Normal 2 2 4 2 2 2 2 6 11" xfId="15540"/>
    <cellStyle name="Normal 2 2 4 2 2 2 2 6 11 2" xfId="15541"/>
    <cellStyle name="Normal 2 2 4 2 2 2 2 6 12" xfId="15542"/>
    <cellStyle name="Normal 2 2 4 2 2 2 2 6 2" xfId="15543"/>
    <cellStyle name="Normal 2 2 4 2 2 2 2 6 2 10" xfId="15544"/>
    <cellStyle name="Normal 2 2 4 2 2 2 2 6 2 10 2" xfId="15545"/>
    <cellStyle name="Normal 2 2 4 2 2 2 2 6 2 11" xfId="15546"/>
    <cellStyle name="Normal 2 2 4 2 2 2 2 6 2 2" xfId="15547"/>
    <cellStyle name="Normal 2 2 4 2 2 2 2 6 2 2 2" xfId="15548"/>
    <cellStyle name="Normal 2 2 4 2 2 2 2 6 2 3" xfId="15549"/>
    <cellStyle name="Normal 2 2 4 2 2 2 2 6 2 3 2" xfId="15550"/>
    <cellStyle name="Normal 2 2 4 2 2 2 2 6 2 4" xfId="15551"/>
    <cellStyle name="Normal 2 2 4 2 2 2 2 6 2 4 2" xfId="15552"/>
    <cellStyle name="Normal 2 2 4 2 2 2 2 6 2 5" xfId="15553"/>
    <cellStyle name="Normal 2 2 4 2 2 2 2 6 2 5 2" xfId="15554"/>
    <cellStyle name="Normal 2 2 4 2 2 2 2 6 2 6" xfId="15555"/>
    <cellStyle name="Normal 2 2 4 2 2 2 2 6 2 6 2" xfId="15556"/>
    <cellStyle name="Normal 2 2 4 2 2 2 2 6 2 7" xfId="15557"/>
    <cellStyle name="Normal 2 2 4 2 2 2 2 6 2 7 2" xfId="15558"/>
    <cellStyle name="Normal 2 2 4 2 2 2 2 6 2 8" xfId="15559"/>
    <cellStyle name="Normal 2 2 4 2 2 2 2 6 2 8 2" xfId="15560"/>
    <cellStyle name="Normal 2 2 4 2 2 2 2 6 2 9" xfId="15561"/>
    <cellStyle name="Normal 2 2 4 2 2 2 2 6 2 9 2" xfId="15562"/>
    <cellStyle name="Normal 2 2 4 2 2 2 2 6 3" xfId="15563"/>
    <cellStyle name="Normal 2 2 4 2 2 2 2 6 3 2" xfId="15564"/>
    <cellStyle name="Normal 2 2 4 2 2 2 2 6 4" xfId="15565"/>
    <cellStyle name="Normal 2 2 4 2 2 2 2 6 4 2" xfId="15566"/>
    <cellStyle name="Normal 2 2 4 2 2 2 2 6 5" xfId="15567"/>
    <cellStyle name="Normal 2 2 4 2 2 2 2 6 5 2" xfId="15568"/>
    <cellStyle name="Normal 2 2 4 2 2 2 2 6 6" xfId="15569"/>
    <cellStyle name="Normal 2 2 4 2 2 2 2 6 6 2" xfId="15570"/>
    <cellStyle name="Normal 2 2 4 2 2 2 2 6 7" xfId="15571"/>
    <cellStyle name="Normal 2 2 4 2 2 2 2 6 7 2" xfId="15572"/>
    <cellStyle name="Normal 2 2 4 2 2 2 2 6 8" xfId="15573"/>
    <cellStyle name="Normal 2 2 4 2 2 2 2 6 8 2" xfId="15574"/>
    <cellStyle name="Normal 2 2 4 2 2 2 2 6 9" xfId="15575"/>
    <cellStyle name="Normal 2 2 4 2 2 2 2 6 9 2" xfId="15576"/>
    <cellStyle name="Normal 2 2 4 2 2 2 2 7" xfId="15577"/>
    <cellStyle name="Normal 2 2 4 2 2 2 2 7 10" xfId="15578"/>
    <cellStyle name="Normal 2 2 4 2 2 2 2 7 10 2" xfId="15579"/>
    <cellStyle name="Normal 2 2 4 2 2 2 2 7 11" xfId="15580"/>
    <cellStyle name="Normal 2 2 4 2 2 2 2 7 2" xfId="15581"/>
    <cellStyle name="Normal 2 2 4 2 2 2 2 7 2 2" xfId="15582"/>
    <cellStyle name="Normal 2 2 4 2 2 2 2 7 3" xfId="15583"/>
    <cellStyle name="Normal 2 2 4 2 2 2 2 7 3 2" xfId="15584"/>
    <cellStyle name="Normal 2 2 4 2 2 2 2 7 4" xfId="15585"/>
    <cellStyle name="Normal 2 2 4 2 2 2 2 7 4 2" xfId="15586"/>
    <cellStyle name="Normal 2 2 4 2 2 2 2 7 5" xfId="15587"/>
    <cellStyle name="Normal 2 2 4 2 2 2 2 7 5 2" xfId="15588"/>
    <cellStyle name="Normal 2 2 4 2 2 2 2 7 6" xfId="15589"/>
    <cellStyle name="Normal 2 2 4 2 2 2 2 7 6 2" xfId="15590"/>
    <cellStyle name="Normal 2 2 4 2 2 2 2 7 7" xfId="15591"/>
    <cellStyle name="Normal 2 2 4 2 2 2 2 7 7 2" xfId="15592"/>
    <cellStyle name="Normal 2 2 4 2 2 2 2 7 8" xfId="15593"/>
    <cellStyle name="Normal 2 2 4 2 2 2 2 7 8 2" xfId="15594"/>
    <cellStyle name="Normal 2 2 4 2 2 2 2 7 9" xfId="15595"/>
    <cellStyle name="Normal 2 2 4 2 2 2 2 7 9 2" xfId="15596"/>
    <cellStyle name="Normal 2 2 4 2 2 2 2 8" xfId="15597"/>
    <cellStyle name="Normal 2 2 4 2 2 2 2 8 2" xfId="15598"/>
    <cellStyle name="Normal 2 2 4 2 2 2 2 9" xfId="15599"/>
    <cellStyle name="Normal 2 2 4 2 2 2 2 9 2" xfId="15600"/>
    <cellStyle name="Normal 2 2 4 2 2 2 3" xfId="15601"/>
    <cellStyle name="Normal 2 2 4 2 2 2 3 10" xfId="15602"/>
    <cellStyle name="Normal 2 2 4 2 2 2 3 10 2" xfId="15603"/>
    <cellStyle name="Normal 2 2 4 2 2 2 3 11" xfId="15604"/>
    <cellStyle name="Normal 2 2 4 2 2 2 3 11 2" xfId="15605"/>
    <cellStyle name="Normal 2 2 4 2 2 2 3 12" xfId="15606"/>
    <cellStyle name="Normal 2 2 4 2 2 2 3 12 2" xfId="15607"/>
    <cellStyle name="Normal 2 2 4 2 2 2 3 13" xfId="15608"/>
    <cellStyle name="Normal 2 2 4 2 2 2 3 2" xfId="15609"/>
    <cellStyle name="Normal 2 2 4 2 2 2 3 2 10" xfId="15610"/>
    <cellStyle name="Normal 2 2 4 2 2 2 3 2 10 2" xfId="15611"/>
    <cellStyle name="Normal 2 2 4 2 2 2 3 2 11" xfId="15612"/>
    <cellStyle name="Normal 2 2 4 2 2 2 3 2 11 2" xfId="15613"/>
    <cellStyle name="Normal 2 2 4 2 2 2 3 2 12" xfId="15614"/>
    <cellStyle name="Normal 2 2 4 2 2 2 3 2 2" xfId="15615"/>
    <cellStyle name="Normal 2 2 4 2 2 2 3 2 2 10" xfId="15616"/>
    <cellStyle name="Normal 2 2 4 2 2 2 3 2 2 10 2" xfId="15617"/>
    <cellStyle name="Normal 2 2 4 2 2 2 3 2 2 11" xfId="15618"/>
    <cellStyle name="Normal 2 2 4 2 2 2 3 2 2 2" xfId="15619"/>
    <cellStyle name="Normal 2 2 4 2 2 2 3 2 2 2 2" xfId="15620"/>
    <cellStyle name="Normal 2 2 4 2 2 2 3 2 2 3" xfId="15621"/>
    <cellStyle name="Normal 2 2 4 2 2 2 3 2 2 3 2" xfId="15622"/>
    <cellStyle name="Normal 2 2 4 2 2 2 3 2 2 4" xfId="15623"/>
    <cellStyle name="Normal 2 2 4 2 2 2 3 2 2 4 2" xfId="15624"/>
    <cellStyle name="Normal 2 2 4 2 2 2 3 2 2 5" xfId="15625"/>
    <cellStyle name="Normal 2 2 4 2 2 2 3 2 2 5 2" xfId="15626"/>
    <cellStyle name="Normal 2 2 4 2 2 2 3 2 2 6" xfId="15627"/>
    <cellStyle name="Normal 2 2 4 2 2 2 3 2 2 6 2" xfId="15628"/>
    <cellStyle name="Normal 2 2 4 2 2 2 3 2 2 7" xfId="15629"/>
    <cellStyle name="Normal 2 2 4 2 2 2 3 2 2 7 2" xfId="15630"/>
    <cellStyle name="Normal 2 2 4 2 2 2 3 2 2 8" xfId="15631"/>
    <cellStyle name="Normal 2 2 4 2 2 2 3 2 2 8 2" xfId="15632"/>
    <cellStyle name="Normal 2 2 4 2 2 2 3 2 2 9" xfId="15633"/>
    <cellStyle name="Normal 2 2 4 2 2 2 3 2 2 9 2" xfId="15634"/>
    <cellStyle name="Normal 2 2 4 2 2 2 3 2 3" xfId="15635"/>
    <cellStyle name="Normal 2 2 4 2 2 2 3 2 3 2" xfId="15636"/>
    <cellStyle name="Normal 2 2 4 2 2 2 3 2 4" xfId="15637"/>
    <cellStyle name="Normal 2 2 4 2 2 2 3 2 4 2" xfId="15638"/>
    <cellStyle name="Normal 2 2 4 2 2 2 3 2 5" xfId="15639"/>
    <cellStyle name="Normal 2 2 4 2 2 2 3 2 5 2" xfId="15640"/>
    <cellStyle name="Normal 2 2 4 2 2 2 3 2 6" xfId="15641"/>
    <cellStyle name="Normal 2 2 4 2 2 2 3 2 6 2" xfId="15642"/>
    <cellStyle name="Normal 2 2 4 2 2 2 3 2 7" xfId="15643"/>
    <cellStyle name="Normal 2 2 4 2 2 2 3 2 7 2" xfId="15644"/>
    <cellStyle name="Normal 2 2 4 2 2 2 3 2 8" xfId="15645"/>
    <cellStyle name="Normal 2 2 4 2 2 2 3 2 8 2" xfId="15646"/>
    <cellStyle name="Normal 2 2 4 2 2 2 3 2 9" xfId="15647"/>
    <cellStyle name="Normal 2 2 4 2 2 2 3 2 9 2" xfId="15648"/>
    <cellStyle name="Normal 2 2 4 2 2 2 3 3" xfId="15649"/>
    <cellStyle name="Normal 2 2 4 2 2 2 3 3 10" xfId="15650"/>
    <cellStyle name="Normal 2 2 4 2 2 2 3 3 10 2" xfId="15651"/>
    <cellStyle name="Normal 2 2 4 2 2 2 3 3 11" xfId="15652"/>
    <cellStyle name="Normal 2 2 4 2 2 2 3 3 2" xfId="15653"/>
    <cellStyle name="Normal 2 2 4 2 2 2 3 3 2 2" xfId="15654"/>
    <cellStyle name="Normal 2 2 4 2 2 2 3 3 3" xfId="15655"/>
    <cellStyle name="Normal 2 2 4 2 2 2 3 3 3 2" xfId="15656"/>
    <cellStyle name="Normal 2 2 4 2 2 2 3 3 4" xfId="15657"/>
    <cellStyle name="Normal 2 2 4 2 2 2 3 3 4 2" xfId="15658"/>
    <cellStyle name="Normal 2 2 4 2 2 2 3 3 5" xfId="15659"/>
    <cellStyle name="Normal 2 2 4 2 2 2 3 3 5 2" xfId="15660"/>
    <cellStyle name="Normal 2 2 4 2 2 2 3 3 6" xfId="15661"/>
    <cellStyle name="Normal 2 2 4 2 2 2 3 3 6 2" xfId="15662"/>
    <cellStyle name="Normal 2 2 4 2 2 2 3 3 7" xfId="15663"/>
    <cellStyle name="Normal 2 2 4 2 2 2 3 3 7 2" xfId="15664"/>
    <cellStyle name="Normal 2 2 4 2 2 2 3 3 8" xfId="15665"/>
    <cellStyle name="Normal 2 2 4 2 2 2 3 3 8 2" xfId="15666"/>
    <cellStyle name="Normal 2 2 4 2 2 2 3 3 9" xfId="15667"/>
    <cellStyle name="Normal 2 2 4 2 2 2 3 3 9 2" xfId="15668"/>
    <cellStyle name="Normal 2 2 4 2 2 2 3 4" xfId="15669"/>
    <cellStyle name="Normal 2 2 4 2 2 2 3 4 2" xfId="15670"/>
    <cellStyle name="Normal 2 2 4 2 2 2 3 5" xfId="15671"/>
    <cellStyle name="Normal 2 2 4 2 2 2 3 5 2" xfId="15672"/>
    <cellStyle name="Normal 2 2 4 2 2 2 3 6" xfId="15673"/>
    <cellStyle name="Normal 2 2 4 2 2 2 3 6 2" xfId="15674"/>
    <cellStyle name="Normal 2 2 4 2 2 2 3 7" xfId="15675"/>
    <cellStyle name="Normal 2 2 4 2 2 2 3 7 2" xfId="15676"/>
    <cellStyle name="Normal 2 2 4 2 2 2 3 8" xfId="15677"/>
    <cellStyle name="Normal 2 2 4 2 2 2 3 8 2" xfId="15678"/>
    <cellStyle name="Normal 2 2 4 2 2 2 3 9" xfId="15679"/>
    <cellStyle name="Normal 2 2 4 2 2 2 3 9 2" xfId="15680"/>
    <cellStyle name="Normal 2 2 4 2 2 2 4" xfId="15681"/>
    <cellStyle name="Normal 2 2 4 2 2 2 4 10" xfId="15682"/>
    <cellStyle name="Normal 2 2 4 2 2 2 4 10 2" xfId="15683"/>
    <cellStyle name="Normal 2 2 4 2 2 2 4 11" xfId="15684"/>
    <cellStyle name="Normal 2 2 4 2 2 2 4 11 2" xfId="15685"/>
    <cellStyle name="Normal 2 2 4 2 2 2 4 12" xfId="15686"/>
    <cellStyle name="Normal 2 2 4 2 2 2 4 12 2" xfId="15687"/>
    <cellStyle name="Normal 2 2 4 2 2 2 4 13" xfId="15688"/>
    <cellStyle name="Normal 2 2 4 2 2 2 4 2" xfId="15689"/>
    <cellStyle name="Normal 2 2 4 2 2 2 4 2 10" xfId="15690"/>
    <cellStyle name="Normal 2 2 4 2 2 2 4 2 10 2" xfId="15691"/>
    <cellStyle name="Normal 2 2 4 2 2 2 4 2 11" xfId="15692"/>
    <cellStyle name="Normal 2 2 4 2 2 2 4 2 11 2" xfId="15693"/>
    <cellStyle name="Normal 2 2 4 2 2 2 4 2 12" xfId="15694"/>
    <cellStyle name="Normal 2 2 4 2 2 2 4 2 2" xfId="15695"/>
    <cellStyle name="Normal 2 2 4 2 2 2 4 2 2 10" xfId="15696"/>
    <cellStyle name="Normal 2 2 4 2 2 2 4 2 2 10 2" xfId="15697"/>
    <cellStyle name="Normal 2 2 4 2 2 2 4 2 2 11" xfId="15698"/>
    <cellStyle name="Normal 2 2 4 2 2 2 4 2 2 2" xfId="15699"/>
    <cellStyle name="Normal 2 2 4 2 2 2 4 2 2 2 2" xfId="15700"/>
    <cellStyle name="Normal 2 2 4 2 2 2 4 2 2 3" xfId="15701"/>
    <cellStyle name="Normal 2 2 4 2 2 2 4 2 2 3 2" xfId="15702"/>
    <cellStyle name="Normal 2 2 4 2 2 2 4 2 2 4" xfId="15703"/>
    <cellStyle name="Normal 2 2 4 2 2 2 4 2 2 4 2" xfId="15704"/>
    <cellStyle name="Normal 2 2 4 2 2 2 4 2 2 5" xfId="15705"/>
    <cellStyle name="Normal 2 2 4 2 2 2 4 2 2 5 2" xfId="15706"/>
    <cellStyle name="Normal 2 2 4 2 2 2 4 2 2 6" xfId="15707"/>
    <cellStyle name="Normal 2 2 4 2 2 2 4 2 2 6 2" xfId="15708"/>
    <cellStyle name="Normal 2 2 4 2 2 2 4 2 2 7" xfId="15709"/>
    <cellStyle name="Normal 2 2 4 2 2 2 4 2 2 7 2" xfId="15710"/>
    <cellStyle name="Normal 2 2 4 2 2 2 4 2 2 8" xfId="15711"/>
    <cellStyle name="Normal 2 2 4 2 2 2 4 2 2 8 2" xfId="15712"/>
    <cellStyle name="Normal 2 2 4 2 2 2 4 2 2 9" xfId="15713"/>
    <cellStyle name="Normal 2 2 4 2 2 2 4 2 2 9 2" xfId="15714"/>
    <cellStyle name="Normal 2 2 4 2 2 2 4 2 3" xfId="15715"/>
    <cellStyle name="Normal 2 2 4 2 2 2 4 2 3 2" xfId="15716"/>
    <cellStyle name="Normal 2 2 4 2 2 2 4 2 4" xfId="15717"/>
    <cellStyle name="Normal 2 2 4 2 2 2 4 2 4 2" xfId="15718"/>
    <cellStyle name="Normal 2 2 4 2 2 2 4 2 5" xfId="15719"/>
    <cellStyle name="Normal 2 2 4 2 2 2 4 2 5 2" xfId="15720"/>
    <cellStyle name="Normal 2 2 4 2 2 2 4 2 6" xfId="15721"/>
    <cellStyle name="Normal 2 2 4 2 2 2 4 2 6 2" xfId="15722"/>
    <cellStyle name="Normal 2 2 4 2 2 2 4 2 7" xfId="15723"/>
    <cellStyle name="Normal 2 2 4 2 2 2 4 2 7 2" xfId="15724"/>
    <cellStyle name="Normal 2 2 4 2 2 2 4 2 8" xfId="15725"/>
    <cellStyle name="Normal 2 2 4 2 2 2 4 2 8 2" xfId="15726"/>
    <cellStyle name="Normal 2 2 4 2 2 2 4 2 9" xfId="15727"/>
    <cellStyle name="Normal 2 2 4 2 2 2 4 2 9 2" xfId="15728"/>
    <cellStyle name="Normal 2 2 4 2 2 2 4 3" xfId="15729"/>
    <cellStyle name="Normal 2 2 4 2 2 2 4 3 10" xfId="15730"/>
    <cellStyle name="Normal 2 2 4 2 2 2 4 3 10 2" xfId="15731"/>
    <cellStyle name="Normal 2 2 4 2 2 2 4 3 11" xfId="15732"/>
    <cellStyle name="Normal 2 2 4 2 2 2 4 3 2" xfId="15733"/>
    <cellStyle name="Normal 2 2 4 2 2 2 4 3 2 2" xfId="15734"/>
    <cellStyle name="Normal 2 2 4 2 2 2 4 3 3" xfId="15735"/>
    <cellStyle name="Normal 2 2 4 2 2 2 4 3 3 2" xfId="15736"/>
    <cellStyle name="Normal 2 2 4 2 2 2 4 3 4" xfId="15737"/>
    <cellStyle name="Normal 2 2 4 2 2 2 4 3 4 2" xfId="15738"/>
    <cellStyle name="Normal 2 2 4 2 2 2 4 3 5" xfId="15739"/>
    <cellStyle name="Normal 2 2 4 2 2 2 4 3 5 2" xfId="15740"/>
    <cellStyle name="Normal 2 2 4 2 2 2 4 3 6" xfId="15741"/>
    <cellStyle name="Normal 2 2 4 2 2 2 4 3 6 2" xfId="15742"/>
    <cellStyle name="Normal 2 2 4 2 2 2 4 3 7" xfId="15743"/>
    <cellStyle name="Normal 2 2 4 2 2 2 4 3 7 2" xfId="15744"/>
    <cellStyle name="Normal 2 2 4 2 2 2 4 3 8" xfId="15745"/>
    <cellStyle name="Normal 2 2 4 2 2 2 4 3 8 2" xfId="15746"/>
    <cellStyle name="Normal 2 2 4 2 2 2 4 3 9" xfId="15747"/>
    <cellStyle name="Normal 2 2 4 2 2 2 4 3 9 2" xfId="15748"/>
    <cellStyle name="Normal 2 2 4 2 2 2 4 4" xfId="15749"/>
    <cellStyle name="Normal 2 2 4 2 2 2 4 4 2" xfId="15750"/>
    <cellStyle name="Normal 2 2 4 2 2 2 4 5" xfId="15751"/>
    <cellStyle name="Normal 2 2 4 2 2 2 4 5 2" xfId="15752"/>
    <cellStyle name="Normal 2 2 4 2 2 2 4 6" xfId="15753"/>
    <cellStyle name="Normal 2 2 4 2 2 2 4 6 2" xfId="15754"/>
    <cellStyle name="Normal 2 2 4 2 2 2 4 7" xfId="15755"/>
    <cellStyle name="Normal 2 2 4 2 2 2 4 7 2" xfId="15756"/>
    <cellStyle name="Normal 2 2 4 2 2 2 4 8" xfId="15757"/>
    <cellStyle name="Normal 2 2 4 2 2 2 4 8 2" xfId="15758"/>
    <cellStyle name="Normal 2 2 4 2 2 2 4 9" xfId="15759"/>
    <cellStyle name="Normal 2 2 4 2 2 2 4 9 2" xfId="15760"/>
    <cellStyle name="Normal 2 2 4 2 2 2 5" xfId="15761"/>
    <cellStyle name="Normal 2 2 4 2 2 2 5 10" xfId="15762"/>
    <cellStyle name="Normal 2 2 4 2 2 2 5 10 2" xfId="15763"/>
    <cellStyle name="Normal 2 2 4 2 2 2 5 11" xfId="15764"/>
    <cellStyle name="Normal 2 2 4 2 2 2 5 11 2" xfId="15765"/>
    <cellStyle name="Normal 2 2 4 2 2 2 5 12" xfId="15766"/>
    <cellStyle name="Normal 2 2 4 2 2 2 5 12 2" xfId="15767"/>
    <cellStyle name="Normal 2 2 4 2 2 2 5 13" xfId="15768"/>
    <cellStyle name="Normal 2 2 4 2 2 2 5 2" xfId="15769"/>
    <cellStyle name="Normal 2 2 4 2 2 2 5 2 10" xfId="15770"/>
    <cellStyle name="Normal 2 2 4 2 2 2 5 2 10 2" xfId="15771"/>
    <cellStyle name="Normal 2 2 4 2 2 2 5 2 11" xfId="15772"/>
    <cellStyle name="Normal 2 2 4 2 2 2 5 2 11 2" xfId="15773"/>
    <cellStyle name="Normal 2 2 4 2 2 2 5 2 12" xfId="15774"/>
    <cellStyle name="Normal 2 2 4 2 2 2 5 2 2" xfId="15775"/>
    <cellStyle name="Normal 2 2 4 2 2 2 5 2 2 10" xfId="15776"/>
    <cellStyle name="Normal 2 2 4 2 2 2 5 2 2 10 2" xfId="15777"/>
    <cellStyle name="Normal 2 2 4 2 2 2 5 2 2 11" xfId="15778"/>
    <cellStyle name="Normal 2 2 4 2 2 2 5 2 2 2" xfId="15779"/>
    <cellStyle name="Normal 2 2 4 2 2 2 5 2 2 2 2" xfId="15780"/>
    <cellStyle name="Normal 2 2 4 2 2 2 5 2 2 3" xfId="15781"/>
    <cellStyle name="Normal 2 2 4 2 2 2 5 2 2 3 2" xfId="15782"/>
    <cellStyle name="Normal 2 2 4 2 2 2 5 2 2 4" xfId="15783"/>
    <cellStyle name="Normal 2 2 4 2 2 2 5 2 2 4 2" xfId="15784"/>
    <cellStyle name="Normal 2 2 4 2 2 2 5 2 2 5" xfId="15785"/>
    <cellStyle name="Normal 2 2 4 2 2 2 5 2 2 5 2" xfId="15786"/>
    <cellStyle name="Normal 2 2 4 2 2 2 5 2 2 6" xfId="15787"/>
    <cellStyle name="Normal 2 2 4 2 2 2 5 2 2 6 2" xfId="15788"/>
    <cellStyle name="Normal 2 2 4 2 2 2 5 2 2 7" xfId="15789"/>
    <cellStyle name="Normal 2 2 4 2 2 2 5 2 2 7 2" xfId="15790"/>
    <cellStyle name="Normal 2 2 4 2 2 2 5 2 2 8" xfId="15791"/>
    <cellStyle name="Normal 2 2 4 2 2 2 5 2 2 8 2" xfId="15792"/>
    <cellStyle name="Normal 2 2 4 2 2 2 5 2 2 9" xfId="15793"/>
    <cellStyle name="Normal 2 2 4 2 2 2 5 2 2 9 2" xfId="15794"/>
    <cellStyle name="Normal 2 2 4 2 2 2 5 2 3" xfId="15795"/>
    <cellStyle name="Normal 2 2 4 2 2 2 5 2 3 2" xfId="15796"/>
    <cellStyle name="Normal 2 2 4 2 2 2 5 2 4" xfId="15797"/>
    <cellStyle name="Normal 2 2 4 2 2 2 5 2 4 2" xfId="15798"/>
    <cellStyle name="Normal 2 2 4 2 2 2 5 2 5" xfId="15799"/>
    <cellStyle name="Normal 2 2 4 2 2 2 5 2 5 2" xfId="15800"/>
    <cellStyle name="Normal 2 2 4 2 2 2 5 2 6" xfId="15801"/>
    <cellStyle name="Normal 2 2 4 2 2 2 5 2 6 2" xfId="15802"/>
    <cellStyle name="Normal 2 2 4 2 2 2 5 2 7" xfId="15803"/>
    <cellStyle name="Normal 2 2 4 2 2 2 5 2 7 2" xfId="15804"/>
    <cellStyle name="Normal 2 2 4 2 2 2 5 2 8" xfId="15805"/>
    <cellStyle name="Normal 2 2 4 2 2 2 5 2 8 2" xfId="15806"/>
    <cellStyle name="Normal 2 2 4 2 2 2 5 2 9" xfId="15807"/>
    <cellStyle name="Normal 2 2 4 2 2 2 5 2 9 2" xfId="15808"/>
    <cellStyle name="Normal 2 2 4 2 2 2 5 3" xfId="15809"/>
    <cellStyle name="Normal 2 2 4 2 2 2 5 3 10" xfId="15810"/>
    <cellStyle name="Normal 2 2 4 2 2 2 5 3 10 2" xfId="15811"/>
    <cellStyle name="Normal 2 2 4 2 2 2 5 3 11" xfId="15812"/>
    <cellStyle name="Normal 2 2 4 2 2 2 5 3 2" xfId="15813"/>
    <cellStyle name="Normal 2 2 4 2 2 2 5 3 2 2" xfId="15814"/>
    <cellStyle name="Normal 2 2 4 2 2 2 5 3 3" xfId="15815"/>
    <cellStyle name="Normal 2 2 4 2 2 2 5 3 3 2" xfId="15816"/>
    <cellStyle name="Normal 2 2 4 2 2 2 5 3 4" xfId="15817"/>
    <cellStyle name="Normal 2 2 4 2 2 2 5 3 4 2" xfId="15818"/>
    <cellStyle name="Normal 2 2 4 2 2 2 5 3 5" xfId="15819"/>
    <cellStyle name="Normal 2 2 4 2 2 2 5 3 5 2" xfId="15820"/>
    <cellStyle name="Normal 2 2 4 2 2 2 5 3 6" xfId="15821"/>
    <cellStyle name="Normal 2 2 4 2 2 2 5 3 6 2" xfId="15822"/>
    <cellStyle name="Normal 2 2 4 2 2 2 5 3 7" xfId="15823"/>
    <cellStyle name="Normal 2 2 4 2 2 2 5 3 7 2" xfId="15824"/>
    <cellStyle name="Normal 2 2 4 2 2 2 5 3 8" xfId="15825"/>
    <cellStyle name="Normal 2 2 4 2 2 2 5 3 8 2" xfId="15826"/>
    <cellStyle name="Normal 2 2 4 2 2 2 5 3 9" xfId="15827"/>
    <cellStyle name="Normal 2 2 4 2 2 2 5 3 9 2" xfId="15828"/>
    <cellStyle name="Normal 2 2 4 2 2 2 5 4" xfId="15829"/>
    <cellStyle name="Normal 2 2 4 2 2 2 5 4 2" xfId="15830"/>
    <cellStyle name="Normal 2 2 4 2 2 2 5 5" xfId="15831"/>
    <cellStyle name="Normal 2 2 4 2 2 2 5 5 2" xfId="15832"/>
    <cellStyle name="Normal 2 2 4 2 2 2 5 6" xfId="15833"/>
    <cellStyle name="Normal 2 2 4 2 2 2 5 6 2" xfId="15834"/>
    <cellStyle name="Normal 2 2 4 2 2 2 5 7" xfId="15835"/>
    <cellStyle name="Normal 2 2 4 2 2 2 5 7 2" xfId="15836"/>
    <cellStyle name="Normal 2 2 4 2 2 2 5 8" xfId="15837"/>
    <cellStyle name="Normal 2 2 4 2 2 2 5 8 2" xfId="15838"/>
    <cellStyle name="Normal 2 2 4 2 2 2 5 9" xfId="15839"/>
    <cellStyle name="Normal 2 2 4 2 2 2 5 9 2" xfId="15840"/>
    <cellStyle name="Normal 2 2 4 2 2 2 6" xfId="41912"/>
    <cellStyle name="Normal 2 2 4 2 2 3" xfId="15841"/>
    <cellStyle name="Normal 2 2 4 2 2 3 2" xfId="41913"/>
    <cellStyle name="Normal 2 2 4 2 2 4" xfId="15842"/>
    <cellStyle name="Normal 2 2 4 2 2 4 2" xfId="41914"/>
    <cellStyle name="Normal 2 2 4 2 2 5" xfId="15843"/>
    <cellStyle name="Normal 2 2 4 2 2 5 2" xfId="41915"/>
    <cellStyle name="Normal 2 2 4 2 2 6" xfId="15844"/>
    <cellStyle name="Normal 2 2 4 2 2 6 2" xfId="41916"/>
    <cellStyle name="Normal 2 2 4 2 2 7" xfId="15845"/>
    <cellStyle name="Normal 2 2 4 2 2 7 10" xfId="15846"/>
    <cellStyle name="Normal 2 2 4 2 2 7 10 2" xfId="15847"/>
    <cellStyle name="Normal 2 2 4 2 2 7 11" xfId="15848"/>
    <cellStyle name="Normal 2 2 4 2 2 7 11 2" xfId="15849"/>
    <cellStyle name="Normal 2 2 4 2 2 7 12" xfId="15850"/>
    <cellStyle name="Normal 2 2 4 2 2 7 2" xfId="15851"/>
    <cellStyle name="Normal 2 2 4 2 2 7 2 10" xfId="15852"/>
    <cellStyle name="Normal 2 2 4 2 2 7 2 10 2" xfId="15853"/>
    <cellStyle name="Normal 2 2 4 2 2 7 2 11" xfId="15854"/>
    <cellStyle name="Normal 2 2 4 2 2 7 2 2" xfId="15855"/>
    <cellStyle name="Normal 2 2 4 2 2 7 2 2 2" xfId="15856"/>
    <cellStyle name="Normal 2 2 4 2 2 7 2 3" xfId="15857"/>
    <cellStyle name="Normal 2 2 4 2 2 7 2 3 2" xfId="15858"/>
    <cellStyle name="Normal 2 2 4 2 2 7 2 4" xfId="15859"/>
    <cellStyle name="Normal 2 2 4 2 2 7 2 4 2" xfId="15860"/>
    <cellStyle name="Normal 2 2 4 2 2 7 2 5" xfId="15861"/>
    <cellStyle name="Normal 2 2 4 2 2 7 2 5 2" xfId="15862"/>
    <cellStyle name="Normal 2 2 4 2 2 7 2 6" xfId="15863"/>
    <cellStyle name="Normal 2 2 4 2 2 7 2 6 2" xfId="15864"/>
    <cellStyle name="Normal 2 2 4 2 2 7 2 7" xfId="15865"/>
    <cellStyle name="Normal 2 2 4 2 2 7 2 7 2" xfId="15866"/>
    <cellStyle name="Normal 2 2 4 2 2 7 2 8" xfId="15867"/>
    <cellStyle name="Normal 2 2 4 2 2 7 2 8 2" xfId="15868"/>
    <cellStyle name="Normal 2 2 4 2 2 7 2 9" xfId="15869"/>
    <cellStyle name="Normal 2 2 4 2 2 7 2 9 2" xfId="15870"/>
    <cellStyle name="Normal 2 2 4 2 2 7 3" xfId="15871"/>
    <cellStyle name="Normal 2 2 4 2 2 7 3 2" xfId="15872"/>
    <cellStyle name="Normal 2 2 4 2 2 7 4" xfId="15873"/>
    <cellStyle name="Normal 2 2 4 2 2 7 4 2" xfId="15874"/>
    <cellStyle name="Normal 2 2 4 2 2 7 5" xfId="15875"/>
    <cellStyle name="Normal 2 2 4 2 2 7 5 2" xfId="15876"/>
    <cellStyle name="Normal 2 2 4 2 2 7 6" xfId="15877"/>
    <cellStyle name="Normal 2 2 4 2 2 7 6 2" xfId="15878"/>
    <cellStyle name="Normal 2 2 4 2 2 7 7" xfId="15879"/>
    <cellStyle name="Normal 2 2 4 2 2 7 7 2" xfId="15880"/>
    <cellStyle name="Normal 2 2 4 2 2 7 8" xfId="15881"/>
    <cellStyle name="Normal 2 2 4 2 2 7 8 2" xfId="15882"/>
    <cellStyle name="Normal 2 2 4 2 2 7 9" xfId="15883"/>
    <cellStyle name="Normal 2 2 4 2 2 7 9 2" xfId="15884"/>
    <cellStyle name="Normal 2 2 4 2 2 8" xfId="15885"/>
    <cellStyle name="Normal 2 2 4 2 2 8 10" xfId="15886"/>
    <cellStyle name="Normal 2 2 4 2 2 8 10 2" xfId="15887"/>
    <cellStyle name="Normal 2 2 4 2 2 8 11" xfId="15888"/>
    <cellStyle name="Normal 2 2 4 2 2 8 2" xfId="15889"/>
    <cellStyle name="Normal 2 2 4 2 2 8 2 2" xfId="15890"/>
    <cellStyle name="Normal 2 2 4 2 2 8 3" xfId="15891"/>
    <cellStyle name="Normal 2 2 4 2 2 8 3 2" xfId="15892"/>
    <cellStyle name="Normal 2 2 4 2 2 8 4" xfId="15893"/>
    <cellStyle name="Normal 2 2 4 2 2 8 4 2" xfId="15894"/>
    <cellStyle name="Normal 2 2 4 2 2 8 5" xfId="15895"/>
    <cellStyle name="Normal 2 2 4 2 2 8 5 2" xfId="15896"/>
    <cellStyle name="Normal 2 2 4 2 2 8 6" xfId="15897"/>
    <cellStyle name="Normal 2 2 4 2 2 8 6 2" xfId="15898"/>
    <cellStyle name="Normal 2 2 4 2 2 8 7" xfId="15899"/>
    <cellStyle name="Normal 2 2 4 2 2 8 7 2" xfId="15900"/>
    <cellStyle name="Normal 2 2 4 2 2 8 8" xfId="15901"/>
    <cellStyle name="Normal 2 2 4 2 2 8 8 2" xfId="15902"/>
    <cellStyle name="Normal 2 2 4 2 2 8 9" xfId="15903"/>
    <cellStyle name="Normal 2 2 4 2 2 8 9 2" xfId="15904"/>
    <cellStyle name="Normal 2 2 4 2 2 9" xfId="15905"/>
    <cellStyle name="Normal 2 2 4 2 2 9 2" xfId="15906"/>
    <cellStyle name="Normal 2 2 4 2 3" xfId="15907"/>
    <cellStyle name="Normal 2 2 4 2 3 2" xfId="41917"/>
    <cellStyle name="Normal 2 2 4 2 4" xfId="15908"/>
    <cellStyle name="Normal 2 2 4 2 4 2" xfId="41918"/>
    <cellStyle name="Normal 2 2 4 2 5" xfId="15909"/>
    <cellStyle name="Normal 2 2 4 2 5 2" xfId="41919"/>
    <cellStyle name="Normal 2 2 4 2 6" xfId="15910"/>
    <cellStyle name="Normal 2 2 4 2 6 10" xfId="15911"/>
    <cellStyle name="Normal 2 2 4 2 6 10 2" xfId="15912"/>
    <cellStyle name="Normal 2 2 4 2 6 11" xfId="15913"/>
    <cellStyle name="Normal 2 2 4 2 6 11 2" xfId="15914"/>
    <cellStyle name="Normal 2 2 4 2 6 12" xfId="15915"/>
    <cellStyle name="Normal 2 2 4 2 6 12 2" xfId="15916"/>
    <cellStyle name="Normal 2 2 4 2 6 13" xfId="15917"/>
    <cellStyle name="Normal 2 2 4 2 6 13 2" xfId="15918"/>
    <cellStyle name="Normal 2 2 4 2 6 14" xfId="15919"/>
    <cellStyle name="Normal 2 2 4 2 6 14 2" xfId="15920"/>
    <cellStyle name="Normal 2 2 4 2 6 15" xfId="15921"/>
    <cellStyle name="Normal 2 2 4 2 6 15 2" xfId="15922"/>
    <cellStyle name="Normal 2 2 4 2 6 16" xfId="15923"/>
    <cellStyle name="Normal 2 2 4 2 6 16 2" xfId="15924"/>
    <cellStyle name="Normal 2 2 4 2 6 17" xfId="15925"/>
    <cellStyle name="Normal 2 2 4 2 6 2" xfId="15926"/>
    <cellStyle name="Normal 2 2 4 2 6 2 2" xfId="41920"/>
    <cellStyle name="Normal 2 2 4 2 6 3" xfId="15927"/>
    <cellStyle name="Normal 2 2 4 2 6 3 2" xfId="41921"/>
    <cellStyle name="Normal 2 2 4 2 6 4" xfId="15928"/>
    <cellStyle name="Normal 2 2 4 2 6 4 2" xfId="41922"/>
    <cellStyle name="Normal 2 2 4 2 6 5" xfId="15929"/>
    <cellStyle name="Normal 2 2 4 2 6 5 2" xfId="41923"/>
    <cellStyle name="Normal 2 2 4 2 6 6" xfId="15930"/>
    <cellStyle name="Normal 2 2 4 2 6 6 10" xfId="15931"/>
    <cellStyle name="Normal 2 2 4 2 6 6 10 2" xfId="15932"/>
    <cellStyle name="Normal 2 2 4 2 6 6 11" xfId="15933"/>
    <cellStyle name="Normal 2 2 4 2 6 6 11 2" xfId="15934"/>
    <cellStyle name="Normal 2 2 4 2 6 6 12" xfId="15935"/>
    <cellStyle name="Normal 2 2 4 2 6 6 2" xfId="15936"/>
    <cellStyle name="Normal 2 2 4 2 6 6 2 10" xfId="15937"/>
    <cellStyle name="Normal 2 2 4 2 6 6 2 10 2" xfId="15938"/>
    <cellStyle name="Normal 2 2 4 2 6 6 2 11" xfId="15939"/>
    <cellStyle name="Normal 2 2 4 2 6 6 2 2" xfId="15940"/>
    <cellStyle name="Normal 2 2 4 2 6 6 2 2 2" xfId="15941"/>
    <cellStyle name="Normal 2 2 4 2 6 6 2 3" xfId="15942"/>
    <cellStyle name="Normal 2 2 4 2 6 6 2 3 2" xfId="15943"/>
    <cellStyle name="Normal 2 2 4 2 6 6 2 4" xfId="15944"/>
    <cellStyle name="Normal 2 2 4 2 6 6 2 4 2" xfId="15945"/>
    <cellStyle name="Normal 2 2 4 2 6 6 2 5" xfId="15946"/>
    <cellStyle name="Normal 2 2 4 2 6 6 2 5 2" xfId="15947"/>
    <cellStyle name="Normal 2 2 4 2 6 6 2 6" xfId="15948"/>
    <cellStyle name="Normal 2 2 4 2 6 6 2 6 2" xfId="15949"/>
    <cellStyle name="Normal 2 2 4 2 6 6 2 7" xfId="15950"/>
    <cellStyle name="Normal 2 2 4 2 6 6 2 7 2" xfId="15951"/>
    <cellStyle name="Normal 2 2 4 2 6 6 2 8" xfId="15952"/>
    <cellStyle name="Normal 2 2 4 2 6 6 2 8 2" xfId="15953"/>
    <cellStyle name="Normal 2 2 4 2 6 6 2 9" xfId="15954"/>
    <cellStyle name="Normal 2 2 4 2 6 6 2 9 2" xfId="15955"/>
    <cellStyle name="Normal 2 2 4 2 6 6 3" xfId="15956"/>
    <cellStyle name="Normal 2 2 4 2 6 6 3 2" xfId="15957"/>
    <cellStyle name="Normal 2 2 4 2 6 6 4" xfId="15958"/>
    <cellStyle name="Normal 2 2 4 2 6 6 4 2" xfId="15959"/>
    <cellStyle name="Normal 2 2 4 2 6 6 5" xfId="15960"/>
    <cellStyle name="Normal 2 2 4 2 6 6 5 2" xfId="15961"/>
    <cellStyle name="Normal 2 2 4 2 6 6 6" xfId="15962"/>
    <cellStyle name="Normal 2 2 4 2 6 6 6 2" xfId="15963"/>
    <cellStyle name="Normal 2 2 4 2 6 6 7" xfId="15964"/>
    <cellStyle name="Normal 2 2 4 2 6 6 7 2" xfId="15965"/>
    <cellStyle name="Normal 2 2 4 2 6 6 8" xfId="15966"/>
    <cellStyle name="Normal 2 2 4 2 6 6 8 2" xfId="15967"/>
    <cellStyle name="Normal 2 2 4 2 6 6 9" xfId="15968"/>
    <cellStyle name="Normal 2 2 4 2 6 6 9 2" xfId="15969"/>
    <cellStyle name="Normal 2 2 4 2 6 7" xfId="15970"/>
    <cellStyle name="Normal 2 2 4 2 6 7 10" xfId="15971"/>
    <cellStyle name="Normal 2 2 4 2 6 7 10 2" xfId="15972"/>
    <cellStyle name="Normal 2 2 4 2 6 7 11" xfId="15973"/>
    <cellStyle name="Normal 2 2 4 2 6 7 2" xfId="15974"/>
    <cellStyle name="Normal 2 2 4 2 6 7 2 2" xfId="15975"/>
    <cellStyle name="Normal 2 2 4 2 6 7 3" xfId="15976"/>
    <cellStyle name="Normal 2 2 4 2 6 7 3 2" xfId="15977"/>
    <cellStyle name="Normal 2 2 4 2 6 7 4" xfId="15978"/>
    <cellStyle name="Normal 2 2 4 2 6 7 4 2" xfId="15979"/>
    <cellStyle name="Normal 2 2 4 2 6 7 5" xfId="15980"/>
    <cellStyle name="Normal 2 2 4 2 6 7 5 2" xfId="15981"/>
    <cellStyle name="Normal 2 2 4 2 6 7 6" xfId="15982"/>
    <cellStyle name="Normal 2 2 4 2 6 7 6 2" xfId="15983"/>
    <cellStyle name="Normal 2 2 4 2 6 7 7" xfId="15984"/>
    <cellStyle name="Normal 2 2 4 2 6 7 7 2" xfId="15985"/>
    <cellStyle name="Normal 2 2 4 2 6 7 8" xfId="15986"/>
    <cellStyle name="Normal 2 2 4 2 6 7 8 2" xfId="15987"/>
    <cellStyle name="Normal 2 2 4 2 6 7 9" xfId="15988"/>
    <cellStyle name="Normal 2 2 4 2 6 7 9 2" xfId="15989"/>
    <cellStyle name="Normal 2 2 4 2 6 8" xfId="15990"/>
    <cellStyle name="Normal 2 2 4 2 6 8 2" xfId="15991"/>
    <cellStyle name="Normal 2 2 4 2 6 9" xfId="15992"/>
    <cellStyle name="Normal 2 2 4 2 6 9 2" xfId="15993"/>
    <cellStyle name="Normal 2 2 4 2 7" xfId="15994"/>
    <cellStyle name="Normal 2 2 4 2 7 10" xfId="15995"/>
    <cellStyle name="Normal 2 2 4 2 7 10 2" xfId="15996"/>
    <cellStyle name="Normal 2 2 4 2 7 11" xfId="15997"/>
    <cellStyle name="Normal 2 2 4 2 7 11 2" xfId="15998"/>
    <cellStyle name="Normal 2 2 4 2 7 12" xfId="15999"/>
    <cellStyle name="Normal 2 2 4 2 7 12 2" xfId="16000"/>
    <cellStyle name="Normal 2 2 4 2 7 13" xfId="16001"/>
    <cellStyle name="Normal 2 2 4 2 7 2" xfId="16002"/>
    <cellStyle name="Normal 2 2 4 2 7 2 10" xfId="16003"/>
    <cellStyle name="Normal 2 2 4 2 7 2 10 2" xfId="16004"/>
    <cellStyle name="Normal 2 2 4 2 7 2 11" xfId="16005"/>
    <cellStyle name="Normal 2 2 4 2 7 2 11 2" xfId="16006"/>
    <cellStyle name="Normal 2 2 4 2 7 2 12" xfId="16007"/>
    <cellStyle name="Normal 2 2 4 2 7 2 2" xfId="16008"/>
    <cellStyle name="Normal 2 2 4 2 7 2 2 10" xfId="16009"/>
    <cellStyle name="Normal 2 2 4 2 7 2 2 10 2" xfId="16010"/>
    <cellStyle name="Normal 2 2 4 2 7 2 2 11" xfId="16011"/>
    <cellStyle name="Normal 2 2 4 2 7 2 2 2" xfId="16012"/>
    <cellStyle name="Normal 2 2 4 2 7 2 2 2 2" xfId="16013"/>
    <cellStyle name="Normal 2 2 4 2 7 2 2 3" xfId="16014"/>
    <cellStyle name="Normal 2 2 4 2 7 2 2 3 2" xfId="16015"/>
    <cellStyle name="Normal 2 2 4 2 7 2 2 4" xfId="16016"/>
    <cellStyle name="Normal 2 2 4 2 7 2 2 4 2" xfId="16017"/>
    <cellStyle name="Normal 2 2 4 2 7 2 2 5" xfId="16018"/>
    <cellStyle name="Normal 2 2 4 2 7 2 2 5 2" xfId="16019"/>
    <cellStyle name="Normal 2 2 4 2 7 2 2 6" xfId="16020"/>
    <cellStyle name="Normal 2 2 4 2 7 2 2 6 2" xfId="16021"/>
    <cellStyle name="Normal 2 2 4 2 7 2 2 7" xfId="16022"/>
    <cellStyle name="Normal 2 2 4 2 7 2 2 7 2" xfId="16023"/>
    <cellStyle name="Normal 2 2 4 2 7 2 2 8" xfId="16024"/>
    <cellStyle name="Normal 2 2 4 2 7 2 2 8 2" xfId="16025"/>
    <cellStyle name="Normal 2 2 4 2 7 2 2 9" xfId="16026"/>
    <cellStyle name="Normal 2 2 4 2 7 2 2 9 2" xfId="16027"/>
    <cellStyle name="Normal 2 2 4 2 7 2 3" xfId="16028"/>
    <cellStyle name="Normal 2 2 4 2 7 2 3 2" xfId="16029"/>
    <cellStyle name="Normal 2 2 4 2 7 2 4" xfId="16030"/>
    <cellStyle name="Normal 2 2 4 2 7 2 4 2" xfId="16031"/>
    <cellStyle name="Normal 2 2 4 2 7 2 5" xfId="16032"/>
    <cellStyle name="Normal 2 2 4 2 7 2 5 2" xfId="16033"/>
    <cellStyle name="Normal 2 2 4 2 7 2 6" xfId="16034"/>
    <cellStyle name="Normal 2 2 4 2 7 2 6 2" xfId="16035"/>
    <cellStyle name="Normal 2 2 4 2 7 2 7" xfId="16036"/>
    <cellStyle name="Normal 2 2 4 2 7 2 7 2" xfId="16037"/>
    <cellStyle name="Normal 2 2 4 2 7 2 8" xfId="16038"/>
    <cellStyle name="Normal 2 2 4 2 7 2 8 2" xfId="16039"/>
    <cellStyle name="Normal 2 2 4 2 7 2 9" xfId="16040"/>
    <cellStyle name="Normal 2 2 4 2 7 2 9 2" xfId="16041"/>
    <cellStyle name="Normal 2 2 4 2 7 3" xfId="16042"/>
    <cellStyle name="Normal 2 2 4 2 7 3 10" xfId="16043"/>
    <cellStyle name="Normal 2 2 4 2 7 3 10 2" xfId="16044"/>
    <cellStyle name="Normal 2 2 4 2 7 3 11" xfId="16045"/>
    <cellStyle name="Normal 2 2 4 2 7 3 2" xfId="16046"/>
    <cellStyle name="Normal 2 2 4 2 7 3 2 2" xfId="16047"/>
    <cellStyle name="Normal 2 2 4 2 7 3 3" xfId="16048"/>
    <cellStyle name="Normal 2 2 4 2 7 3 3 2" xfId="16049"/>
    <cellStyle name="Normal 2 2 4 2 7 3 4" xfId="16050"/>
    <cellStyle name="Normal 2 2 4 2 7 3 4 2" xfId="16051"/>
    <cellStyle name="Normal 2 2 4 2 7 3 5" xfId="16052"/>
    <cellStyle name="Normal 2 2 4 2 7 3 5 2" xfId="16053"/>
    <cellStyle name="Normal 2 2 4 2 7 3 6" xfId="16054"/>
    <cellStyle name="Normal 2 2 4 2 7 3 6 2" xfId="16055"/>
    <cellStyle name="Normal 2 2 4 2 7 3 7" xfId="16056"/>
    <cellStyle name="Normal 2 2 4 2 7 3 7 2" xfId="16057"/>
    <cellStyle name="Normal 2 2 4 2 7 3 8" xfId="16058"/>
    <cellStyle name="Normal 2 2 4 2 7 3 8 2" xfId="16059"/>
    <cellStyle name="Normal 2 2 4 2 7 3 9" xfId="16060"/>
    <cellStyle name="Normal 2 2 4 2 7 3 9 2" xfId="16061"/>
    <cellStyle name="Normal 2 2 4 2 7 4" xfId="16062"/>
    <cellStyle name="Normal 2 2 4 2 7 4 2" xfId="16063"/>
    <cellStyle name="Normal 2 2 4 2 7 5" xfId="16064"/>
    <cellStyle name="Normal 2 2 4 2 7 5 2" xfId="16065"/>
    <cellStyle name="Normal 2 2 4 2 7 6" xfId="16066"/>
    <cellStyle name="Normal 2 2 4 2 7 6 2" xfId="16067"/>
    <cellStyle name="Normal 2 2 4 2 7 7" xfId="16068"/>
    <cellStyle name="Normal 2 2 4 2 7 7 2" xfId="16069"/>
    <cellStyle name="Normal 2 2 4 2 7 8" xfId="16070"/>
    <cellStyle name="Normal 2 2 4 2 7 8 2" xfId="16071"/>
    <cellStyle name="Normal 2 2 4 2 7 9" xfId="16072"/>
    <cellStyle name="Normal 2 2 4 2 7 9 2" xfId="16073"/>
    <cellStyle name="Normal 2 2 4 2 8" xfId="16074"/>
    <cellStyle name="Normal 2 2 4 2 8 10" xfId="16075"/>
    <cellStyle name="Normal 2 2 4 2 8 10 2" xfId="16076"/>
    <cellStyle name="Normal 2 2 4 2 8 11" xfId="16077"/>
    <cellStyle name="Normal 2 2 4 2 8 11 2" xfId="16078"/>
    <cellStyle name="Normal 2 2 4 2 8 12" xfId="16079"/>
    <cellStyle name="Normal 2 2 4 2 8 12 2" xfId="16080"/>
    <cellStyle name="Normal 2 2 4 2 8 13" xfId="16081"/>
    <cellStyle name="Normal 2 2 4 2 8 2" xfId="16082"/>
    <cellStyle name="Normal 2 2 4 2 8 2 10" xfId="16083"/>
    <cellStyle name="Normal 2 2 4 2 8 2 10 2" xfId="16084"/>
    <cellStyle name="Normal 2 2 4 2 8 2 11" xfId="16085"/>
    <cellStyle name="Normal 2 2 4 2 8 2 11 2" xfId="16086"/>
    <cellStyle name="Normal 2 2 4 2 8 2 12" xfId="16087"/>
    <cellStyle name="Normal 2 2 4 2 8 2 2" xfId="16088"/>
    <cellStyle name="Normal 2 2 4 2 8 2 2 10" xfId="16089"/>
    <cellStyle name="Normal 2 2 4 2 8 2 2 10 2" xfId="16090"/>
    <cellStyle name="Normal 2 2 4 2 8 2 2 11" xfId="16091"/>
    <cellStyle name="Normal 2 2 4 2 8 2 2 2" xfId="16092"/>
    <cellStyle name="Normal 2 2 4 2 8 2 2 2 2" xfId="16093"/>
    <cellStyle name="Normal 2 2 4 2 8 2 2 3" xfId="16094"/>
    <cellStyle name="Normal 2 2 4 2 8 2 2 3 2" xfId="16095"/>
    <cellStyle name="Normal 2 2 4 2 8 2 2 4" xfId="16096"/>
    <cellStyle name="Normal 2 2 4 2 8 2 2 4 2" xfId="16097"/>
    <cellStyle name="Normal 2 2 4 2 8 2 2 5" xfId="16098"/>
    <cellStyle name="Normal 2 2 4 2 8 2 2 5 2" xfId="16099"/>
    <cellStyle name="Normal 2 2 4 2 8 2 2 6" xfId="16100"/>
    <cellStyle name="Normal 2 2 4 2 8 2 2 6 2" xfId="16101"/>
    <cellStyle name="Normal 2 2 4 2 8 2 2 7" xfId="16102"/>
    <cellStyle name="Normal 2 2 4 2 8 2 2 7 2" xfId="16103"/>
    <cellStyle name="Normal 2 2 4 2 8 2 2 8" xfId="16104"/>
    <cellStyle name="Normal 2 2 4 2 8 2 2 8 2" xfId="16105"/>
    <cellStyle name="Normal 2 2 4 2 8 2 2 9" xfId="16106"/>
    <cellStyle name="Normal 2 2 4 2 8 2 2 9 2" xfId="16107"/>
    <cellStyle name="Normal 2 2 4 2 8 2 3" xfId="16108"/>
    <cellStyle name="Normal 2 2 4 2 8 2 3 2" xfId="16109"/>
    <cellStyle name="Normal 2 2 4 2 8 2 4" xfId="16110"/>
    <cellStyle name="Normal 2 2 4 2 8 2 4 2" xfId="16111"/>
    <cellStyle name="Normal 2 2 4 2 8 2 5" xfId="16112"/>
    <cellStyle name="Normal 2 2 4 2 8 2 5 2" xfId="16113"/>
    <cellStyle name="Normal 2 2 4 2 8 2 6" xfId="16114"/>
    <cellStyle name="Normal 2 2 4 2 8 2 6 2" xfId="16115"/>
    <cellStyle name="Normal 2 2 4 2 8 2 7" xfId="16116"/>
    <cellStyle name="Normal 2 2 4 2 8 2 7 2" xfId="16117"/>
    <cellStyle name="Normal 2 2 4 2 8 2 8" xfId="16118"/>
    <cellStyle name="Normal 2 2 4 2 8 2 8 2" xfId="16119"/>
    <cellStyle name="Normal 2 2 4 2 8 2 9" xfId="16120"/>
    <cellStyle name="Normal 2 2 4 2 8 2 9 2" xfId="16121"/>
    <cellStyle name="Normal 2 2 4 2 8 3" xfId="16122"/>
    <cellStyle name="Normal 2 2 4 2 8 3 10" xfId="16123"/>
    <cellStyle name="Normal 2 2 4 2 8 3 10 2" xfId="16124"/>
    <cellStyle name="Normal 2 2 4 2 8 3 11" xfId="16125"/>
    <cellStyle name="Normal 2 2 4 2 8 3 2" xfId="16126"/>
    <cellStyle name="Normal 2 2 4 2 8 3 2 2" xfId="16127"/>
    <cellStyle name="Normal 2 2 4 2 8 3 3" xfId="16128"/>
    <cellStyle name="Normal 2 2 4 2 8 3 3 2" xfId="16129"/>
    <cellStyle name="Normal 2 2 4 2 8 3 4" xfId="16130"/>
    <cellStyle name="Normal 2 2 4 2 8 3 4 2" xfId="16131"/>
    <cellStyle name="Normal 2 2 4 2 8 3 5" xfId="16132"/>
    <cellStyle name="Normal 2 2 4 2 8 3 5 2" xfId="16133"/>
    <cellStyle name="Normal 2 2 4 2 8 3 6" xfId="16134"/>
    <cellStyle name="Normal 2 2 4 2 8 3 6 2" xfId="16135"/>
    <cellStyle name="Normal 2 2 4 2 8 3 7" xfId="16136"/>
    <cellStyle name="Normal 2 2 4 2 8 3 7 2" xfId="16137"/>
    <cellStyle name="Normal 2 2 4 2 8 3 8" xfId="16138"/>
    <cellStyle name="Normal 2 2 4 2 8 3 8 2" xfId="16139"/>
    <cellStyle name="Normal 2 2 4 2 8 3 9" xfId="16140"/>
    <cellStyle name="Normal 2 2 4 2 8 3 9 2" xfId="16141"/>
    <cellStyle name="Normal 2 2 4 2 8 4" xfId="16142"/>
    <cellStyle name="Normal 2 2 4 2 8 4 2" xfId="16143"/>
    <cellStyle name="Normal 2 2 4 2 8 5" xfId="16144"/>
    <cellStyle name="Normal 2 2 4 2 8 5 2" xfId="16145"/>
    <cellStyle name="Normal 2 2 4 2 8 6" xfId="16146"/>
    <cellStyle name="Normal 2 2 4 2 8 6 2" xfId="16147"/>
    <cellStyle name="Normal 2 2 4 2 8 7" xfId="16148"/>
    <cellStyle name="Normal 2 2 4 2 8 7 2" xfId="16149"/>
    <cellStyle name="Normal 2 2 4 2 8 8" xfId="16150"/>
    <cellStyle name="Normal 2 2 4 2 8 8 2" xfId="16151"/>
    <cellStyle name="Normal 2 2 4 2 8 9" xfId="16152"/>
    <cellStyle name="Normal 2 2 4 2 8 9 2" xfId="16153"/>
    <cellStyle name="Normal 2 2 4 2 9" xfId="16154"/>
    <cellStyle name="Normal 2 2 4 2 9 10" xfId="16155"/>
    <cellStyle name="Normal 2 2 4 2 9 10 2" xfId="16156"/>
    <cellStyle name="Normal 2 2 4 2 9 11" xfId="16157"/>
    <cellStyle name="Normal 2 2 4 2 9 11 2" xfId="16158"/>
    <cellStyle name="Normal 2 2 4 2 9 12" xfId="16159"/>
    <cellStyle name="Normal 2 2 4 2 9 12 2" xfId="16160"/>
    <cellStyle name="Normal 2 2 4 2 9 13" xfId="16161"/>
    <cellStyle name="Normal 2 2 4 2 9 2" xfId="16162"/>
    <cellStyle name="Normal 2 2 4 2 9 2 10" xfId="16163"/>
    <cellStyle name="Normal 2 2 4 2 9 2 10 2" xfId="16164"/>
    <cellStyle name="Normal 2 2 4 2 9 2 11" xfId="16165"/>
    <cellStyle name="Normal 2 2 4 2 9 2 11 2" xfId="16166"/>
    <cellStyle name="Normal 2 2 4 2 9 2 12" xfId="16167"/>
    <cellStyle name="Normal 2 2 4 2 9 2 2" xfId="16168"/>
    <cellStyle name="Normal 2 2 4 2 9 2 2 10" xfId="16169"/>
    <cellStyle name="Normal 2 2 4 2 9 2 2 10 2" xfId="16170"/>
    <cellStyle name="Normal 2 2 4 2 9 2 2 11" xfId="16171"/>
    <cellStyle name="Normal 2 2 4 2 9 2 2 2" xfId="16172"/>
    <cellStyle name="Normal 2 2 4 2 9 2 2 2 2" xfId="16173"/>
    <cellStyle name="Normal 2 2 4 2 9 2 2 3" xfId="16174"/>
    <cellStyle name="Normal 2 2 4 2 9 2 2 3 2" xfId="16175"/>
    <cellStyle name="Normal 2 2 4 2 9 2 2 4" xfId="16176"/>
    <cellStyle name="Normal 2 2 4 2 9 2 2 4 2" xfId="16177"/>
    <cellStyle name="Normal 2 2 4 2 9 2 2 5" xfId="16178"/>
    <cellStyle name="Normal 2 2 4 2 9 2 2 5 2" xfId="16179"/>
    <cellStyle name="Normal 2 2 4 2 9 2 2 6" xfId="16180"/>
    <cellStyle name="Normal 2 2 4 2 9 2 2 6 2" xfId="16181"/>
    <cellStyle name="Normal 2 2 4 2 9 2 2 7" xfId="16182"/>
    <cellStyle name="Normal 2 2 4 2 9 2 2 7 2" xfId="16183"/>
    <cellStyle name="Normal 2 2 4 2 9 2 2 8" xfId="16184"/>
    <cellStyle name="Normal 2 2 4 2 9 2 2 8 2" xfId="16185"/>
    <cellStyle name="Normal 2 2 4 2 9 2 2 9" xfId="16186"/>
    <cellStyle name="Normal 2 2 4 2 9 2 2 9 2" xfId="16187"/>
    <cellStyle name="Normal 2 2 4 2 9 2 3" xfId="16188"/>
    <cellStyle name="Normal 2 2 4 2 9 2 3 2" xfId="16189"/>
    <cellStyle name="Normal 2 2 4 2 9 2 4" xfId="16190"/>
    <cellStyle name="Normal 2 2 4 2 9 2 4 2" xfId="16191"/>
    <cellStyle name="Normal 2 2 4 2 9 2 5" xfId="16192"/>
    <cellStyle name="Normal 2 2 4 2 9 2 5 2" xfId="16193"/>
    <cellStyle name="Normal 2 2 4 2 9 2 6" xfId="16194"/>
    <cellStyle name="Normal 2 2 4 2 9 2 6 2" xfId="16195"/>
    <cellStyle name="Normal 2 2 4 2 9 2 7" xfId="16196"/>
    <cellStyle name="Normal 2 2 4 2 9 2 7 2" xfId="16197"/>
    <cellStyle name="Normal 2 2 4 2 9 2 8" xfId="16198"/>
    <cellStyle name="Normal 2 2 4 2 9 2 8 2" xfId="16199"/>
    <cellStyle name="Normal 2 2 4 2 9 2 9" xfId="16200"/>
    <cellStyle name="Normal 2 2 4 2 9 2 9 2" xfId="16201"/>
    <cellStyle name="Normal 2 2 4 2 9 3" xfId="16202"/>
    <cellStyle name="Normal 2 2 4 2 9 3 10" xfId="16203"/>
    <cellStyle name="Normal 2 2 4 2 9 3 10 2" xfId="16204"/>
    <cellStyle name="Normal 2 2 4 2 9 3 11" xfId="16205"/>
    <cellStyle name="Normal 2 2 4 2 9 3 2" xfId="16206"/>
    <cellStyle name="Normal 2 2 4 2 9 3 2 2" xfId="16207"/>
    <cellStyle name="Normal 2 2 4 2 9 3 3" xfId="16208"/>
    <cellStyle name="Normal 2 2 4 2 9 3 3 2" xfId="16209"/>
    <cellStyle name="Normal 2 2 4 2 9 3 4" xfId="16210"/>
    <cellStyle name="Normal 2 2 4 2 9 3 4 2" xfId="16211"/>
    <cellStyle name="Normal 2 2 4 2 9 3 5" xfId="16212"/>
    <cellStyle name="Normal 2 2 4 2 9 3 5 2" xfId="16213"/>
    <cellStyle name="Normal 2 2 4 2 9 3 6" xfId="16214"/>
    <cellStyle name="Normal 2 2 4 2 9 3 6 2" xfId="16215"/>
    <cellStyle name="Normal 2 2 4 2 9 3 7" xfId="16216"/>
    <cellStyle name="Normal 2 2 4 2 9 3 7 2" xfId="16217"/>
    <cellStyle name="Normal 2 2 4 2 9 3 8" xfId="16218"/>
    <cellStyle name="Normal 2 2 4 2 9 3 8 2" xfId="16219"/>
    <cellStyle name="Normal 2 2 4 2 9 3 9" xfId="16220"/>
    <cellStyle name="Normal 2 2 4 2 9 3 9 2" xfId="16221"/>
    <cellStyle name="Normal 2 2 4 2 9 4" xfId="16222"/>
    <cellStyle name="Normal 2 2 4 2 9 4 2" xfId="16223"/>
    <cellStyle name="Normal 2 2 4 2 9 5" xfId="16224"/>
    <cellStyle name="Normal 2 2 4 2 9 5 2" xfId="16225"/>
    <cellStyle name="Normal 2 2 4 2 9 6" xfId="16226"/>
    <cellStyle name="Normal 2 2 4 2 9 6 2" xfId="16227"/>
    <cellStyle name="Normal 2 2 4 2 9 7" xfId="16228"/>
    <cellStyle name="Normal 2 2 4 2 9 7 2" xfId="16229"/>
    <cellStyle name="Normal 2 2 4 2 9 8" xfId="16230"/>
    <cellStyle name="Normal 2 2 4 2 9 8 2" xfId="16231"/>
    <cellStyle name="Normal 2 2 4 2 9 9" xfId="16232"/>
    <cellStyle name="Normal 2 2 4 2 9 9 2" xfId="16233"/>
    <cellStyle name="Normal 2 2 4 20" xfId="16234"/>
    <cellStyle name="Normal 2 2 4 20 2" xfId="16235"/>
    <cellStyle name="Normal 2 2 4 21" xfId="16236"/>
    <cellStyle name="Normal 2 2 4 3" xfId="16237"/>
    <cellStyle name="Normal 2 2 4 3 2" xfId="16238"/>
    <cellStyle name="Normal 2 2 4 3 2 10" xfId="16239"/>
    <cellStyle name="Normal 2 2 4 3 2 10 2" xfId="16240"/>
    <cellStyle name="Normal 2 2 4 3 2 11" xfId="16241"/>
    <cellStyle name="Normal 2 2 4 3 2 11 2" xfId="16242"/>
    <cellStyle name="Normal 2 2 4 3 2 12" xfId="16243"/>
    <cellStyle name="Normal 2 2 4 3 2 12 2" xfId="16244"/>
    <cellStyle name="Normal 2 2 4 3 2 13" xfId="16245"/>
    <cellStyle name="Normal 2 2 4 3 2 13 2" xfId="16246"/>
    <cellStyle name="Normal 2 2 4 3 2 14" xfId="16247"/>
    <cellStyle name="Normal 2 2 4 3 2 14 2" xfId="16248"/>
    <cellStyle name="Normal 2 2 4 3 2 15" xfId="16249"/>
    <cellStyle name="Normal 2 2 4 3 2 15 2" xfId="16250"/>
    <cellStyle name="Normal 2 2 4 3 2 16" xfId="16251"/>
    <cellStyle name="Normal 2 2 4 3 2 16 2" xfId="16252"/>
    <cellStyle name="Normal 2 2 4 3 2 17" xfId="16253"/>
    <cellStyle name="Normal 2 2 4 3 2 2" xfId="16254"/>
    <cellStyle name="Normal 2 2 4 3 2 2 2" xfId="16255"/>
    <cellStyle name="Normal 2 2 4 3 2 2 2 10" xfId="16256"/>
    <cellStyle name="Normal 2 2 4 3 2 2 2 10 2" xfId="16257"/>
    <cellStyle name="Normal 2 2 4 3 2 2 2 11" xfId="16258"/>
    <cellStyle name="Normal 2 2 4 3 2 2 2 11 2" xfId="16259"/>
    <cellStyle name="Normal 2 2 4 3 2 2 2 12" xfId="16260"/>
    <cellStyle name="Normal 2 2 4 3 2 2 2 12 2" xfId="16261"/>
    <cellStyle name="Normal 2 2 4 3 2 2 2 13" xfId="16262"/>
    <cellStyle name="Normal 2 2 4 3 2 2 2 2" xfId="16263"/>
    <cellStyle name="Normal 2 2 4 3 2 2 2 2 10" xfId="16264"/>
    <cellStyle name="Normal 2 2 4 3 2 2 2 2 10 2" xfId="16265"/>
    <cellStyle name="Normal 2 2 4 3 2 2 2 2 11" xfId="16266"/>
    <cellStyle name="Normal 2 2 4 3 2 2 2 2 11 2" xfId="16267"/>
    <cellStyle name="Normal 2 2 4 3 2 2 2 2 12" xfId="16268"/>
    <cellStyle name="Normal 2 2 4 3 2 2 2 2 2" xfId="16269"/>
    <cellStyle name="Normal 2 2 4 3 2 2 2 2 2 10" xfId="16270"/>
    <cellStyle name="Normal 2 2 4 3 2 2 2 2 2 10 2" xfId="16271"/>
    <cellStyle name="Normal 2 2 4 3 2 2 2 2 2 11" xfId="16272"/>
    <cellStyle name="Normal 2 2 4 3 2 2 2 2 2 2" xfId="16273"/>
    <cellStyle name="Normal 2 2 4 3 2 2 2 2 2 2 2" xfId="16274"/>
    <cellStyle name="Normal 2 2 4 3 2 2 2 2 2 3" xfId="16275"/>
    <cellStyle name="Normal 2 2 4 3 2 2 2 2 2 3 2" xfId="16276"/>
    <cellStyle name="Normal 2 2 4 3 2 2 2 2 2 4" xfId="16277"/>
    <cellStyle name="Normal 2 2 4 3 2 2 2 2 2 4 2" xfId="16278"/>
    <cellStyle name="Normal 2 2 4 3 2 2 2 2 2 5" xfId="16279"/>
    <cellStyle name="Normal 2 2 4 3 2 2 2 2 2 5 2" xfId="16280"/>
    <cellStyle name="Normal 2 2 4 3 2 2 2 2 2 6" xfId="16281"/>
    <cellStyle name="Normal 2 2 4 3 2 2 2 2 2 6 2" xfId="16282"/>
    <cellStyle name="Normal 2 2 4 3 2 2 2 2 2 7" xfId="16283"/>
    <cellStyle name="Normal 2 2 4 3 2 2 2 2 2 7 2" xfId="16284"/>
    <cellStyle name="Normal 2 2 4 3 2 2 2 2 2 8" xfId="16285"/>
    <cellStyle name="Normal 2 2 4 3 2 2 2 2 2 8 2" xfId="16286"/>
    <cellStyle name="Normal 2 2 4 3 2 2 2 2 2 9" xfId="16287"/>
    <cellStyle name="Normal 2 2 4 3 2 2 2 2 2 9 2" xfId="16288"/>
    <cellStyle name="Normal 2 2 4 3 2 2 2 2 3" xfId="16289"/>
    <cellStyle name="Normal 2 2 4 3 2 2 2 2 3 2" xfId="16290"/>
    <cellStyle name="Normal 2 2 4 3 2 2 2 2 4" xfId="16291"/>
    <cellStyle name="Normal 2 2 4 3 2 2 2 2 4 2" xfId="16292"/>
    <cellStyle name="Normal 2 2 4 3 2 2 2 2 5" xfId="16293"/>
    <cellStyle name="Normal 2 2 4 3 2 2 2 2 5 2" xfId="16294"/>
    <cellStyle name="Normal 2 2 4 3 2 2 2 2 6" xfId="16295"/>
    <cellStyle name="Normal 2 2 4 3 2 2 2 2 6 2" xfId="16296"/>
    <cellStyle name="Normal 2 2 4 3 2 2 2 2 7" xfId="16297"/>
    <cellStyle name="Normal 2 2 4 3 2 2 2 2 7 2" xfId="16298"/>
    <cellStyle name="Normal 2 2 4 3 2 2 2 2 8" xfId="16299"/>
    <cellStyle name="Normal 2 2 4 3 2 2 2 2 8 2" xfId="16300"/>
    <cellStyle name="Normal 2 2 4 3 2 2 2 2 9" xfId="16301"/>
    <cellStyle name="Normal 2 2 4 3 2 2 2 2 9 2" xfId="16302"/>
    <cellStyle name="Normal 2 2 4 3 2 2 2 3" xfId="16303"/>
    <cellStyle name="Normal 2 2 4 3 2 2 2 3 10" xfId="16304"/>
    <cellStyle name="Normal 2 2 4 3 2 2 2 3 10 2" xfId="16305"/>
    <cellStyle name="Normal 2 2 4 3 2 2 2 3 11" xfId="16306"/>
    <cellStyle name="Normal 2 2 4 3 2 2 2 3 2" xfId="16307"/>
    <cellStyle name="Normal 2 2 4 3 2 2 2 3 2 2" xfId="16308"/>
    <cellStyle name="Normal 2 2 4 3 2 2 2 3 3" xfId="16309"/>
    <cellStyle name="Normal 2 2 4 3 2 2 2 3 3 2" xfId="16310"/>
    <cellStyle name="Normal 2 2 4 3 2 2 2 3 4" xfId="16311"/>
    <cellStyle name="Normal 2 2 4 3 2 2 2 3 4 2" xfId="16312"/>
    <cellStyle name="Normal 2 2 4 3 2 2 2 3 5" xfId="16313"/>
    <cellStyle name="Normal 2 2 4 3 2 2 2 3 5 2" xfId="16314"/>
    <cellStyle name="Normal 2 2 4 3 2 2 2 3 6" xfId="16315"/>
    <cellStyle name="Normal 2 2 4 3 2 2 2 3 6 2" xfId="16316"/>
    <cellStyle name="Normal 2 2 4 3 2 2 2 3 7" xfId="16317"/>
    <cellStyle name="Normal 2 2 4 3 2 2 2 3 7 2" xfId="16318"/>
    <cellStyle name="Normal 2 2 4 3 2 2 2 3 8" xfId="16319"/>
    <cellStyle name="Normal 2 2 4 3 2 2 2 3 8 2" xfId="16320"/>
    <cellStyle name="Normal 2 2 4 3 2 2 2 3 9" xfId="16321"/>
    <cellStyle name="Normal 2 2 4 3 2 2 2 3 9 2" xfId="16322"/>
    <cellStyle name="Normal 2 2 4 3 2 2 2 4" xfId="16323"/>
    <cellStyle name="Normal 2 2 4 3 2 2 2 4 2" xfId="16324"/>
    <cellStyle name="Normal 2 2 4 3 2 2 2 5" xfId="16325"/>
    <cellStyle name="Normal 2 2 4 3 2 2 2 5 2" xfId="16326"/>
    <cellStyle name="Normal 2 2 4 3 2 2 2 6" xfId="16327"/>
    <cellStyle name="Normal 2 2 4 3 2 2 2 6 2" xfId="16328"/>
    <cellStyle name="Normal 2 2 4 3 2 2 2 7" xfId="16329"/>
    <cellStyle name="Normal 2 2 4 3 2 2 2 7 2" xfId="16330"/>
    <cellStyle name="Normal 2 2 4 3 2 2 2 8" xfId="16331"/>
    <cellStyle name="Normal 2 2 4 3 2 2 2 8 2" xfId="16332"/>
    <cellStyle name="Normal 2 2 4 3 2 2 2 9" xfId="16333"/>
    <cellStyle name="Normal 2 2 4 3 2 2 2 9 2" xfId="16334"/>
    <cellStyle name="Normal 2 2 4 3 2 2 3" xfId="16335"/>
    <cellStyle name="Normal 2 2 4 3 2 2 3 10" xfId="16336"/>
    <cellStyle name="Normal 2 2 4 3 2 2 3 10 2" xfId="16337"/>
    <cellStyle name="Normal 2 2 4 3 2 2 3 11" xfId="16338"/>
    <cellStyle name="Normal 2 2 4 3 2 2 3 11 2" xfId="16339"/>
    <cellStyle name="Normal 2 2 4 3 2 2 3 12" xfId="16340"/>
    <cellStyle name="Normal 2 2 4 3 2 2 3 12 2" xfId="16341"/>
    <cellStyle name="Normal 2 2 4 3 2 2 3 13" xfId="16342"/>
    <cellStyle name="Normal 2 2 4 3 2 2 3 2" xfId="16343"/>
    <cellStyle name="Normal 2 2 4 3 2 2 3 2 10" xfId="16344"/>
    <cellStyle name="Normal 2 2 4 3 2 2 3 2 10 2" xfId="16345"/>
    <cellStyle name="Normal 2 2 4 3 2 2 3 2 11" xfId="16346"/>
    <cellStyle name="Normal 2 2 4 3 2 2 3 2 11 2" xfId="16347"/>
    <cellStyle name="Normal 2 2 4 3 2 2 3 2 12" xfId="16348"/>
    <cellStyle name="Normal 2 2 4 3 2 2 3 2 2" xfId="16349"/>
    <cellStyle name="Normal 2 2 4 3 2 2 3 2 2 10" xfId="16350"/>
    <cellStyle name="Normal 2 2 4 3 2 2 3 2 2 10 2" xfId="16351"/>
    <cellStyle name="Normal 2 2 4 3 2 2 3 2 2 11" xfId="16352"/>
    <cellStyle name="Normal 2 2 4 3 2 2 3 2 2 2" xfId="16353"/>
    <cellStyle name="Normal 2 2 4 3 2 2 3 2 2 2 2" xfId="16354"/>
    <cellStyle name="Normal 2 2 4 3 2 2 3 2 2 3" xfId="16355"/>
    <cellStyle name="Normal 2 2 4 3 2 2 3 2 2 3 2" xfId="16356"/>
    <cellStyle name="Normal 2 2 4 3 2 2 3 2 2 4" xfId="16357"/>
    <cellStyle name="Normal 2 2 4 3 2 2 3 2 2 4 2" xfId="16358"/>
    <cellStyle name="Normal 2 2 4 3 2 2 3 2 2 5" xfId="16359"/>
    <cellStyle name="Normal 2 2 4 3 2 2 3 2 2 5 2" xfId="16360"/>
    <cellStyle name="Normal 2 2 4 3 2 2 3 2 2 6" xfId="16361"/>
    <cellStyle name="Normal 2 2 4 3 2 2 3 2 2 6 2" xfId="16362"/>
    <cellStyle name="Normal 2 2 4 3 2 2 3 2 2 7" xfId="16363"/>
    <cellStyle name="Normal 2 2 4 3 2 2 3 2 2 7 2" xfId="16364"/>
    <cellStyle name="Normal 2 2 4 3 2 2 3 2 2 8" xfId="16365"/>
    <cellStyle name="Normal 2 2 4 3 2 2 3 2 2 8 2" xfId="16366"/>
    <cellStyle name="Normal 2 2 4 3 2 2 3 2 2 9" xfId="16367"/>
    <cellStyle name="Normal 2 2 4 3 2 2 3 2 2 9 2" xfId="16368"/>
    <cellStyle name="Normal 2 2 4 3 2 2 3 2 3" xfId="16369"/>
    <cellStyle name="Normal 2 2 4 3 2 2 3 2 3 2" xfId="16370"/>
    <cellStyle name="Normal 2 2 4 3 2 2 3 2 4" xfId="16371"/>
    <cellStyle name="Normal 2 2 4 3 2 2 3 2 4 2" xfId="16372"/>
    <cellStyle name="Normal 2 2 4 3 2 2 3 2 5" xfId="16373"/>
    <cellStyle name="Normal 2 2 4 3 2 2 3 2 5 2" xfId="16374"/>
    <cellStyle name="Normal 2 2 4 3 2 2 3 2 6" xfId="16375"/>
    <cellStyle name="Normal 2 2 4 3 2 2 3 2 6 2" xfId="16376"/>
    <cellStyle name="Normal 2 2 4 3 2 2 3 2 7" xfId="16377"/>
    <cellStyle name="Normal 2 2 4 3 2 2 3 2 7 2" xfId="16378"/>
    <cellStyle name="Normal 2 2 4 3 2 2 3 2 8" xfId="16379"/>
    <cellStyle name="Normal 2 2 4 3 2 2 3 2 8 2" xfId="16380"/>
    <cellStyle name="Normal 2 2 4 3 2 2 3 2 9" xfId="16381"/>
    <cellStyle name="Normal 2 2 4 3 2 2 3 2 9 2" xfId="16382"/>
    <cellStyle name="Normal 2 2 4 3 2 2 3 3" xfId="16383"/>
    <cellStyle name="Normal 2 2 4 3 2 2 3 3 10" xfId="16384"/>
    <cellStyle name="Normal 2 2 4 3 2 2 3 3 10 2" xfId="16385"/>
    <cellStyle name="Normal 2 2 4 3 2 2 3 3 11" xfId="16386"/>
    <cellStyle name="Normal 2 2 4 3 2 2 3 3 2" xfId="16387"/>
    <cellStyle name="Normal 2 2 4 3 2 2 3 3 2 2" xfId="16388"/>
    <cellStyle name="Normal 2 2 4 3 2 2 3 3 3" xfId="16389"/>
    <cellStyle name="Normal 2 2 4 3 2 2 3 3 3 2" xfId="16390"/>
    <cellStyle name="Normal 2 2 4 3 2 2 3 3 4" xfId="16391"/>
    <cellStyle name="Normal 2 2 4 3 2 2 3 3 4 2" xfId="16392"/>
    <cellStyle name="Normal 2 2 4 3 2 2 3 3 5" xfId="16393"/>
    <cellStyle name="Normal 2 2 4 3 2 2 3 3 5 2" xfId="16394"/>
    <cellStyle name="Normal 2 2 4 3 2 2 3 3 6" xfId="16395"/>
    <cellStyle name="Normal 2 2 4 3 2 2 3 3 6 2" xfId="16396"/>
    <cellStyle name="Normal 2 2 4 3 2 2 3 3 7" xfId="16397"/>
    <cellStyle name="Normal 2 2 4 3 2 2 3 3 7 2" xfId="16398"/>
    <cellStyle name="Normal 2 2 4 3 2 2 3 3 8" xfId="16399"/>
    <cellStyle name="Normal 2 2 4 3 2 2 3 3 8 2" xfId="16400"/>
    <cellStyle name="Normal 2 2 4 3 2 2 3 3 9" xfId="16401"/>
    <cellStyle name="Normal 2 2 4 3 2 2 3 3 9 2" xfId="16402"/>
    <cellStyle name="Normal 2 2 4 3 2 2 3 4" xfId="16403"/>
    <cellStyle name="Normal 2 2 4 3 2 2 3 4 2" xfId="16404"/>
    <cellStyle name="Normal 2 2 4 3 2 2 3 5" xfId="16405"/>
    <cellStyle name="Normal 2 2 4 3 2 2 3 5 2" xfId="16406"/>
    <cellStyle name="Normal 2 2 4 3 2 2 3 6" xfId="16407"/>
    <cellStyle name="Normal 2 2 4 3 2 2 3 6 2" xfId="16408"/>
    <cellStyle name="Normal 2 2 4 3 2 2 3 7" xfId="16409"/>
    <cellStyle name="Normal 2 2 4 3 2 2 3 7 2" xfId="16410"/>
    <cellStyle name="Normal 2 2 4 3 2 2 3 8" xfId="16411"/>
    <cellStyle name="Normal 2 2 4 3 2 2 3 8 2" xfId="16412"/>
    <cellStyle name="Normal 2 2 4 3 2 2 3 9" xfId="16413"/>
    <cellStyle name="Normal 2 2 4 3 2 2 3 9 2" xfId="16414"/>
    <cellStyle name="Normal 2 2 4 3 2 2 4" xfId="16415"/>
    <cellStyle name="Normal 2 2 4 3 2 2 4 10" xfId="16416"/>
    <cellStyle name="Normal 2 2 4 3 2 2 4 10 2" xfId="16417"/>
    <cellStyle name="Normal 2 2 4 3 2 2 4 11" xfId="16418"/>
    <cellStyle name="Normal 2 2 4 3 2 2 4 11 2" xfId="16419"/>
    <cellStyle name="Normal 2 2 4 3 2 2 4 12" xfId="16420"/>
    <cellStyle name="Normal 2 2 4 3 2 2 4 12 2" xfId="16421"/>
    <cellStyle name="Normal 2 2 4 3 2 2 4 13" xfId="16422"/>
    <cellStyle name="Normal 2 2 4 3 2 2 4 2" xfId="16423"/>
    <cellStyle name="Normal 2 2 4 3 2 2 4 2 10" xfId="16424"/>
    <cellStyle name="Normal 2 2 4 3 2 2 4 2 10 2" xfId="16425"/>
    <cellStyle name="Normal 2 2 4 3 2 2 4 2 11" xfId="16426"/>
    <cellStyle name="Normal 2 2 4 3 2 2 4 2 11 2" xfId="16427"/>
    <cellStyle name="Normal 2 2 4 3 2 2 4 2 12" xfId="16428"/>
    <cellStyle name="Normal 2 2 4 3 2 2 4 2 2" xfId="16429"/>
    <cellStyle name="Normal 2 2 4 3 2 2 4 2 2 10" xfId="16430"/>
    <cellStyle name="Normal 2 2 4 3 2 2 4 2 2 10 2" xfId="16431"/>
    <cellStyle name="Normal 2 2 4 3 2 2 4 2 2 11" xfId="16432"/>
    <cellStyle name="Normal 2 2 4 3 2 2 4 2 2 2" xfId="16433"/>
    <cellStyle name="Normal 2 2 4 3 2 2 4 2 2 2 2" xfId="16434"/>
    <cellStyle name="Normal 2 2 4 3 2 2 4 2 2 3" xfId="16435"/>
    <cellStyle name="Normal 2 2 4 3 2 2 4 2 2 3 2" xfId="16436"/>
    <cellStyle name="Normal 2 2 4 3 2 2 4 2 2 4" xfId="16437"/>
    <cellStyle name="Normal 2 2 4 3 2 2 4 2 2 4 2" xfId="16438"/>
    <cellStyle name="Normal 2 2 4 3 2 2 4 2 2 5" xfId="16439"/>
    <cellStyle name="Normal 2 2 4 3 2 2 4 2 2 5 2" xfId="16440"/>
    <cellStyle name="Normal 2 2 4 3 2 2 4 2 2 6" xfId="16441"/>
    <cellStyle name="Normal 2 2 4 3 2 2 4 2 2 6 2" xfId="16442"/>
    <cellStyle name="Normal 2 2 4 3 2 2 4 2 2 7" xfId="16443"/>
    <cellStyle name="Normal 2 2 4 3 2 2 4 2 2 7 2" xfId="16444"/>
    <cellStyle name="Normal 2 2 4 3 2 2 4 2 2 8" xfId="16445"/>
    <cellStyle name="Normal 2 2 4 3 2 2 4 2 2 8 2" xfId="16446"/>
    <cellStyle name="Normal 2 2 4 3 2 2 4 2 2 9" xfId="16447"/>
    <cellStyle name="Normal 2 2 4 3 2 2 4 2 2 9 2" xfId="16448"/>
    <cellStyle name="Normal 2 2 4 3 2 2 4 2 3" xfId="16449"/>
    <cellStyle name="Normal 2 2 4 3 2 2 4 2 3 2" xfId="16450"/>
    <cellStyle name="Normal 2 2 4 3 2 2 4 2 4" xfId="16451"/>
    <cellStyle name="Normal 2 2 4 3 2 2 4 2 4 2" xfId="16452"/>
    <cellStyle name="Normal 2 2 4 3 2 2 4 2 5" xfId="16453"/>
    <cellStyle name="Normal 2 2 4 3 2 2 4 2 5 2" xfId="16454"/>
    <cellStyle name="Normal 2 2 4 3 2 2 4 2 6" xfId="16455"/>
    <cellStyle name="Normal 2 2 4 3 2 2 4 2 6 2" xfId="16456"/>
    <cellStyle name="Normal 2 2 4 3 2 2 4 2 7" xfId="16457"/>
    <cellStyle name="Normal 2 2 4 3 2 2 4 2 7 2" xfId="16458"/>
    <cellStyle name="Normal 2 2 4 3 2 2 4 2 8" xfId="16459"/>
    <cellStyle name="Normal 2 2 4 3 2 2 4 2 8 2" xfId="16460"/>
    <cellStyle name="Normal 2 2 4 3 2 2 4 2 9" xfId="16461"/>
    <cellStyle name="Normal 2 2 4 3 2 2 4 2 9 2" xfId="16462"/>
    <cellStyle name="Normal 2 2 4 3 2 2 4 3" xfId="16463"/>
    <cellStyle name="Normal 2 2 4 3 2 2 4 3 10" xfId="16464"/>
    <cellStyle name="Normal 2 2 4 3 2 2 4 3 10 2" xfId="16465"/>
    <cellStyle name="Normal 2 2 4 3 2 2 4 3 11" xfId="16466"/>
    <cellStyle name="Normal 2 2 4 3 2 2 4 3 2" xfId="16467"/>
    <cellStyle name="Normal 2 2 4 3 2 2 4 3 2 2" xfId="16468"/>
    <cellStyle name="Normal 2 2 4 3 2 2 4 3 3" xfId="16469"/>
    <cellStyle name="Normal 2 2 4 3 2 2 4 3 3 2" xfId="16470"/>
    <cellStyle name="Normal 2 2 4 3 2 2 4 3 4" xfId="16471"/>
    <cellStyle name="Normal 2 2 4 3 2 2 4 3 4 2" xfId="16472"/>
    <cellStyle name="Normal 2 2 4 3 2 2 4 3 5" xfId="16473"/>
    <cellStyle name="Normal 2 2 4 3 2 2 4 3 5 2" xfId="16474"/>
    <cellStyle name="Normal 2 2 4 3 2 2 4 3 6" xfId="16475"/>
    <cellStyle name="Normal 2 2 4 3 2 2 4 3 6 2" xfId="16476"/>
    <cellStyle name="Normal 2 2 4 3 2 2 4 3 7" xfId="16477"/>
    <cellStyle name="Normal 2 2 4 3 2 2 4 3 7 2" xfId="16478"/>
    <cellStyle name="Normal 2 2 4 3 2 2 4 3 8" xfId="16479"/>
    <cellStyle name="Normal 2 2 4 3 2 2 4 3 8 2" xfId="16480"/>
    <cellStyle name="Normal 2 2 4 3 2 2 4 3 9" xfId="16481"/>
    <cellStyle name="Normal 2 2 4 3 2 2 4 3 9 2" xfId="16482"/>
    <cellStyle name="Normal 2 2 4 3 2 2 4 4" xfId="16483"/>
    <cellStyle name="Normal 2 2 4 3 2 2 4 4 2" xfId="16484"/>
    <cellStyle name="Normal 2 2 4 3 2 2 4 5" xfId="16485"/>
    <cellStyle name="Normal 2 2 4 3 2 2 4 5 2" xfId="16486"/>
    <cellStyle name="Normal 2 2 4 3 2 2 4 6" xfId="16487"/>
    <cellStyle name="Normal 2 2 4 3 2 2 4 6 2" xfId="16488"/>
    <cellStyle name="Normal 2 2 4 3 2 2 4 7" xfId="16489"/>
    <cellStyle name="Normal 2 2 4 3 2 2 4 7 2" xfId="16490"/>
    <cellStyle name="Normal 2 2 4 3 2 2 4 8" xfId="16491"/>
    <cellStyle name="Normal 2 2 4 3 2 2 4 8 2" xfId="16492"/>
    <cellStyle name="Normal 2 2 4 3 2 2 4 9" xfId="16493"/>
    <cellStyle name="Normal 2 2 4 3 2 2 4 9 2" xfId="16494"/>
    <cellStyle name="Normal 2 2 4 3 2 2 5" xfId="16495"/>
    <cellStyle name="Normal 2 2 4 3 2 2 5 10" xfId="16496"/>
    <cellStyle name="Normal 2 2 4 3 2 2 5 10 2" xfId="16497"/>
    <cellStyle name="Normal 2 2 4 3 2 2 5 11" xfId="16498"/>
    <cellStyle name="Normal 2 2 4 3 2 2 5 11 2" xfId="16499"/>
    <cellStyle name="Normal 2 2 4 3 2 2 5 12" xfId="16500"/>
    <cellStyle name="Normal 2 2 4 3 2 2 5 12 2" xfId="16501"/>
    <cellStyle name="Normal 2 2 4 3 2 2 5 13" xfId="16502"/>
    <cellStyle name="Normal 2 2 4 3 2 2 5 2" xfId="16503"/>
    <cellStyle name="Normal 2 2 4 3 2 2 5 2 10" xfId="16504"/>
    <cellStyle name="Normal 2 2 4 3 2 2 5 2 10 2" xfId="16505"/>
    <cellStyle name="Normal 2 2 4 3 2 2 5 2 11" xfId="16506"/>
    <cellStyle name="Normal 2 2 4 3 2 2 5 2 11 2" xfId="16507"/>
    <cellStyle name="Normal 2 2 4 3 2 2 5 2 12" xfId="16508"/>
    <cellStyle name="Normal 2 2 4 3 2 2 5 2 2" xfId="16509"/>
    <cellStyle name="Normal 2 2 4 3 2 2 5 2 2 10" xfId="16510"/>
    <cellStyle name="Normal 2 2 4 3 2 2 5 2 2 10 2" xfId="16511"/>
    <cellStyle name="Normal 2 2 4 3 2 2 5 2 2 11" xfId="16512"/>
    <cellStyle name="Normal 2 2 4 3 2 2 5 2 2 2" xfId="16513"/>
    <cellStyle name="Normal 2 2 4 3 2 2 5 2 2 2 2" xfId="16514"/>
    <cellStyle name="Normal 2 2 4 3 2 2 5 2 2 3" xfId="16515"/>
    <cellStyle name="Normal 2 2 4 3 2 2 5 2 2 3 2" xfId="16516"/>
    <cellStyle name="Normal 2 2 4 3 2 2 5 2 2 4" xfId="16517"/>
    <cellStyle name="Normal 2 2 4 3 2 2 5 2 2 4 2" xfId="16518"/>
    <cellStyle name="Normal 2 2 4 3 2 2 5 2 2 5" xfId="16519"/>
    <cellStyle name="Normal 2 2 4 3 2 2 5 2 2 5 2" xfId="16520"/>
    <cellStyle name="Normal 2 2 4 3 2 2 5 2 2 6" xfId="16521"/>
    <cellStyle name="Normal 2 2 4 3 2 2 5 2 2 6 2" xfId="16522"/>
    <cellStyle name="Normal 2 2 4 3 2 2 5 2 2 7" xfId="16523"/>
    <cellStyle name="Normal 2 2 4 3 2 2 5 2 2 7 2" xfId="16524"/>
    <cellStyle name="Normal 2 2 4 3 2 2 5 2 2 8" xfId="16525"/>
    <cellStyle name="Normal 2 2 4 3 2 2 5 2 2 8 2" xfId="16526"/>
    <cellStyle name="Normal 2 2 4 3 2 2 5 2 2 9" xfId="16527"/>
    <cellStyle name="Normal 2 2 4 3 2 2 5 2 2 9 2" xfId="16528"/>
    <cellStyle name="Normal 2 2 4 3 2 2 5 2 3" xfId="16529"/>
    <cellStyle name="Normal 2 2 4 3 2 2 5 2 3 2" xfId="16530"/>
    <cellStyle name="Normal 2 2 4 3 2 2 5 2 4" xfId="16531"/>
    <cellStyle name="Normal 2 2 4 3 2 2 5 2 4 2" xfId="16532"/>
    <cellStyle name="Normal 2 2 4 3 2 2 5 2 5" xfId="16533"/>
    <cellStyle name="Normal 2 2 4 3 2 2 5 2 5 2" xfId="16534"/>
    <cellStyle name="Normal 2 2 4 3 2 2 5 2 6" xfId="16535"/>
    <cellStyle name="Normal 2 2 4 3 2 2 5 2 6 2" xfId="16536"/>
    <cellStyle name="Normal 2 2 4 3 2 2 5 2 7" xfId="16537"/>
    <cellStyle name="Normal 2 2 4 3 2 2 5 2 7 2" xfId="16538"/>
    <cellStyle name="Normal 2 2 4 3 2 2 5 2 8" xfId="16539"/>
    <cellStyle name="Normal 2 2 4 3 2 2 5 2 8 2" xfId="16540"/>
    <cellStyle name="Normal 2 2 4 3 2 2 5 2 9" xfId="16541"/>
    <cellStyle name="Normal 2 2 4 3 2 2 5 2 9 2" xfId="16542"/>
    <cellStyle name="Normal 2 2 4 3 2 2 5 3" xfId="16543"/>
    <cellStyle name="Normal 2 2 4 3 2 2 5 3 10" xfId="16544"/>
    <cellStyle name="Normal 2 2 4 3 2 2 5 3 10 2" xfId="16545"/>
    <cellStyle name="Normal 2 2 4 3 2 2 5 3 11" xfId="16546"/>
    <cellStyle name="Normal 2 2 4 3 2 2 5 3 2" xfId="16547"/>
    <cellStyle name="Normal 2 2 4 3 2 2 5 3 2 2" xfId="16548"/>
    <cellStyle name="Normal 2 2 4 3 2 2 5 3 3" xfId="16549"/>
    <cellStyle name="Normal 2 2 4 3 2 2 5 3 3 2" xfId="16550"/>
    <cellStyle name="Normal 2 2 4 3 2 2 5 3 4" xfId="16551"/>
    <cellStyle name="Normal 2 2 4 3 2 2 5 3 4 2" xfId="16552"/>
    <cellStyle name="Normal 2 2 4 3 2 2 5 3 5" xfId="16553"/>
    <cellStyle name="Normal 2 2 4 3 2 2 5 3 5 2" xfId="16554"/>
    <cellStyle name="Normal 2 2 4 3 2 2 5 3 6" xfId="16555"/>
    <cellStyle name="Normal 2 2 4 3 2 2 5 3 6 2" xfId="16556"/>
    <cellStyle name="Normal 2 2 4 3 2 2 5 3 7" xfId="16557"/>
    <cellStyle name="Normal 2 2 4 3 2 2 5 3 7 2" xfId="16558"/>
    <cellStyle name="Normal 2 2 4 3 2 2 5 3 8" xfId="16559"/>
    <cellStyle name="Normal 2 2 4 3 2 2 5 3 8 2" xfId="16560"/>
    <cellStyle name="Normal 2 2 4 3 2 2 5 3 9" xfId="16561"/>
    <cellStyle name="Normal 2 2 4 3 2 2 5 3 9 2" xfId="16562"/>
    <cellStyle name="Normal 2 2 4 3 2 2 5 4" xfId="16563"/>
    <cellStyle name="Normal 2 2 4 3 2 2 5 4 2" xfId="16564"/>
    <cellStyle name="Normal 2 2 4 3 2 2 5 5" xfId="16565"/>
    <cellStyle name="Normal 2 2 4 3 2 2 5 5 2" xfId="16566"/>
    <cellStyle name="Normal 2 2 4 3 2 2 5 6" xfId="16567"/>
    <cellStyle name="Normal 2 2 4 3 2 2 5 6 2" xfId="16568"/>
    <cellStyle name="Normal 2 2 4 3 2 2 5 7" xfId="16569"/>
    <cellStyle name="Normal 2 2 4 3 2 2 5 7 2" xfId="16570"/>
    <cellStyle name="Normal 2 2 4 3 2 2 5 8" xfId="16571"/>
    <cellStyle name="Normal 2 2 4 3 2 2 5 8 2" xfId="16572"/>
    <cellStyle name="Normal 2 2 4 3 2 2 5 9" xfId="16573"/>
    <cellStyle name="Normal 2 2 4 3 2 2 5 9 2" xfId="16574"/>
    <cellStyle name="Normal 2 2 4 3 2 2 6" xfId="41924"/>
    <cellStyle name="Normal 2 2 4 3 2 3" xfId="16575"/>
    <cellStyle name="Normal 2 2 4 3 2 3 2" xfId="41925"/>
    <cellStyle name="Normal 2 2 4 3 2 4" xfId="16576"/>
    <cellStyle name="Normal 2 2 4 3 2 4 2" xfId="41926"/>
    <cellStyle name="Normal 2 2 4 3 2 5" xfId="16577"/>
    <cellStyle name="Normal 2 2 4 3 2 5 2" xfId="41927"/>
    <cellStyle name="Normal 2 2 4 3 2 6" xfId="16578"/>
    <cellStyle name="Normal 2 2 4 3 2 6 10" xfId="16579"/>
    <cellStyle name="Normal 2 2 4 3 2 6 10 2" xfId="16580"/>
    <cellStyle name="Normal 2 2 4 3 2 6 11" xfId="16581"/>
    <cellStyle name="Normal 2 2 4 3 2 6 11 2" xfId="16582"/>
    <cellStyle name="Normal 2 2 4 3 2 6 12" xfId="16583"/>
    <cellStyle name="Normal 2 2 4 3 2 6 2" xfId="16584"/>
    <cellStyle name="Normal 2 2 4 3 2 6 2 10" xfId="16585"/>
    <cellStyle name="Normal 2 2 4 3 2 6 2 10 2" xfId="16586"/>
    <cellStyle name="Normal 2 2 4 3 2 6 2 11" xfId="16587"/>
    <cellStyle name="Normal 2 2 4 3 2 6 2 2" xfId="16588"/>
    <cellStyle name="Normal 2 2 4 3 2 6 2 2 2" xfId="16589"/>
    <cellStyle name="Normal 2 2 4 3 2 6 2 3" xfId="16590"/>
    <cellStyle name="Normal 2 2 4 3 2 6 2 3 2" xfId="16591"/>
    <cellStyle name="Normal 2 2 4 3 2 6 2 4" xfId="16592"/>
    <cellStyle name="Normal 2 2 4 3 2 6 2 4 2" xfId="16593"/>
    <cellStyle name="Normal 2 2 4 3 2 6 2 5" xfId="16594"/>
    <cellStyle name="Normal 2 2 4 3 2 6 2 5 2" xfId="16595"/>
    <cellStyle name="Normal 2 2 4 3 2 6 2 6" xfId="16596"/>
    <cellStyle name="Normal 2 2 4 3 2 6 2 6 2" xfId="16597"/>
    <cellStyle name="Normal 2 2 4 3 2 6 2 7" xfId="16598"/>
    <cellStyle name="Normal 2 2 4 3 2 6 2 7 2" xfId="16599"/>
    <cellStyle name="Normal 2 2 4 3 2 6 2 8" xfId="16600"/>
    <cellStyle name="Normal 2 2 4 3 2 6 2 8 2" xfId="16601"/>
    <cellStyle name="Normal 2 2 4 3 2 6 2 9" xfId="16602"/>
    <cellStyle name="Normal 2 2 4 3 2 6 2 9 2" xfId="16603"/>
    <cellStyle name="Normal 2 2 4 3 2 6 3" xfId="16604"/>
    <cellStyle name="Normal 2 2 4 3 2 6 3 2" xfId="16605"/>
    <cellStyle name="Normal 2 2 4 3 2 6 4" xfId="16606"/>
    <cellStyle name="Normal 2 2 4 3 2 6 4 2" xfId="16607"/>
    <cellStyle name="Normal 2 2 4 3 2 6 5" xfId="16608"/>
    <cellStyle name="Normal 2 2 4 3 2 6 5 2" xfId="16609"/>
    <cellStyle name="Normal 2 2 4 3 2 6 6" xfId="16610"/>
    <cellStyle name="Normal 2 2 4 3 2 6 6 2" xfId="16611"/>
    <cellStyle name="Normal 2 2 4 3 2 6 7" xfId="16612"/>
    <cellStyle name="Normal 2 2 4 3 2 6 7 2" xfId="16613"/>
    <cellStyle name="Normal 2 2 4 3 2 6 8" xfId="16614"/>
    <cellStyle name="Normal 2 2 4 3 2 6 8 2" xfId="16615"/>
    <cellStyle name="Normal 2 2 4 3 2 6 9" xfId="16616"/>
    <cellStyle name="Normal 2 2 4 3 2 6 9 2" xfId="16617"/>
    <cellStyle name="Normal 2 2 4 3 2 7" xfId="16618"/>
    <cellStyle name="Normal 2 2 4 3 2 7 10" xfId="16619"/>
    <cellStyle name="Normal 2 2 4 3 2 7 10 2" xfId="16620"/>
    <cellStyle name="Normal 2 2 4 3 2 7 11" xfId="16621"/>
    <cellStyle name="Normal 2 2 4 3 2 7 2" xfId="16622"/>
    <cellStyle name="Normal 2 2 4 3 2 7 2 2" xfId="16623"/>
    <cellStyle name="Normal 2 2 4 3 2 7 3" xfId="16624"/>
    <cellStyle name="Normal 2 2 4 3 2 7 3 2" xfId="16625"/>
    <cellStyle name="Normal 2 2 4 3 2 7 4" xfId="16626"/>
    <cellStyle name="Normal 2 2 4 3 2 7 4 2" xfId="16627"/>
    <cellStyle name="Normal 2 2 4 3 2 7 5" xfId="16628"/>
    <cellStyle name="Normal 2 2 4 3 2 7 5 2" xfId="16629"/>
    <cellStyle name="Normal 2 2 4 3 2 7 6" xfId="16630"/>
    <cellStyle name="Normal 2 2 4 3 2 7 6 2" xfId="16631"/>
    <cellStyle name="Normal 2 2 4 3 2 7 7" xfId="16632"/>
    <cellStyle name="Normal 2 2 4 3 2 7 7 2" xfId="16633"/>
    <cellStyle name="Normal 2 2 4 3 2 7 8" xfId="16634"/>
    <cellStyle name="Normal 2 2 4 3 2 7 8 2" xfId="16635"/>
    <cellStyle name="Normal 2 2 4 3 2 7 9" xfId="16636"/>
    <cellStyle name="Normal 2 2 4 3 2 7 9 2" xfId="16637"/>
    <cellStyle name="Normal 2 2 4 3 2 8" xfId="16638"/>
    <cellStyle name="Normal 2 2 4 3 2 8 2" xfId="16639"/>
    <cellStyle name="Normal 2 2 4 3 2 9" xfId="16640"/>
    <cellStyle name="Normal 2 2 4 3 2 9 2" xfId="16641"/>
    <cellStyle name="Normal 2 2 4 3 3" xfId="16642"/>
    <cellStyle name="Normal 2 2 4 3 3 10" xfId="16643"/>
    <cellStyle name="Normal 2 2 4 3 3 10 2" xfId="16644"/>
    <cellStyle name="Normal 2 2 4 3 3 11" xfId="16645"/>
    <cellStyle name="Normal 2 2 4 3 3 11 2" xfId="16646"/>
    <cellStyle name="Normal 2 2 4 3 3 12" xfId="16647"/>
    <cellStyle name="Normal 2 2 4 3 3 12 2" xfId="16648"/>
    <cellStyle name="Normal 2 2 4 3 3 13" xfId="16649"/>
    <cellStyle name="Normal 2 2 4 3 3 2" xfId="16650"/>
    <cellStyle name="Normal 2 2 4 3 3 2 10" xfId="16651"/>
    <cellStyle name="Normal 2 2 4 3 3 2 10 2" xfId="16652"/>
    <cellStyle name="Normal 2 2 4 3 3 2 11" xfId="16653"/>
    <cellStyle name="Normal 2 2 4 3 3 2 11 2" xfId="16654"/>
    <cellStyle name="Normal 2 2 4 3 3 2 12" xfId="16655"/>
    <cellStyle name="Normal 2 2 4 3 3 2 2" xfId="16656"/>
    <cellStyle name="Normal 2 2 4 3 3 2 2 10" xfId="16657"/>
    <cellStyle name="Normal 2 2 4 3 3 2 2 10 2" xfId="16658"/>
    <cellStyle name="Normal 2 2 4 3 3 2 2 11" xfId="16659"/>
    <cellStyle name="Normal 2 2 4 3 3 2 2 2" xfId="16660"/>
    <cellStyle name="Normal 2 2 4 3 3 2 2 2 2" xfId="16661"/>
    <cellStyle name="Normal 2 2 4 3 3 2 2 3" xfId="16662"/>
    <cellStyle name="Normal 2 2 4 3 3 2 2 3 2" xfId="16663"/>
    <cellStyle name="Normal 2 2 4 3 3 2 2 4" xfId="16664"/>
    <cellStyle name="Normal 2 2 4 3 3 2 2 4 2" xfId="16665"/>
    <cellStyle name="Normal 2 2 4 3 3 2 2 5" xfId="16666"/>
    <cellStyle name="Normal 2 2 4 3 3 2 2 5 2" xfId="16667"/>
    <cellStyle name="Normal 2 2 4 3 3 2 2 6" xfId="16668"/>
    <cellStyle name="Normal 2 2 4 3 3 2 2 6 2" xfId="16669"/>
    <cellStyle name="Normal 2 2 4 3 3 2 2 7" xfId="16670"/>
    <cellStyle name="Normal 2 2 4 3 3 2 2 7 2" xfId="16671"/>
    <cellStyle name="Normal 2 2 4 3 3 2 2 8" xfId="16672"/>
    <cellStyle name="Normal 2 2 4 3 3 2 2 8 2" xfId="16673"/>
    <cellStyle name="Normal 2 2 4 3 3 2 2 9" xfId="16674"/>
    <cellStyle name="Normal 2 2 4 3 3 2 2 9 2" xfId="16675"/>
    <cellStyle name="Normal 2 2 4 3 3 2 3" xfId="16676"/>
    <cellStyle name="Normal 2 2 4 3 3 2 3 2" xfId="16677"/>
    <cellStyle name="Normal 2 2 4 3 3 2 4" xfId="16678"/>
    <cellStyle name="Normal 2 2 4 3 3 2 4 2" xfId="16679"/>
    <cellStyle name="Normal 2 2 4 3 3 2 5" xfId="16680"/>
    <cellStyle name="Normal 2 2 4 3 3 2 5 2" xfId="16681"/>
    <cellStyle name="Normal 2 2 4 3 3 2 6" xfId="16682"/>
    <cellStyle name="Normal 2 2 4 3 3 2 6 2" xfId="16683"/>
    <cellStyle name="Normal 2 2 4 3 3 2 7" xfId="16684"/>
    <cellStyle name="Normal 2 2 4 3 3 2 7 2" xfId="16685"/>
    <cellStyle name="Normal 2 2 4 3 3 2 8" xfId="16686"/>
    <cellStyle name="Normal 2 2 4 3 3 2 8 2" xfId="16687"/>
    <cellStyle name="Normal 2 2 4 3 3 2 9" xfId="16688"/>
    <cellStyle name="Normal 2 2 4 3 3 2 9 2" xfId="16689"/>
    <cellStyle name="Normal 2 2 4 3 3 3" xfId="16690"/>
    <cellStyle name="Normal 2 2 4 3 3 3 10" xfId="16691"/>
    <cellStyle name="Normal 2 2 4 3 3 3 10 2" xfId="16692"/>
    <cellStyle name="Normal 2 2 4 3 3 3 11" xfId="16693"/>
    <cellStyle name="Normal 2 2 4 3 3 3 2" xfId="16694"/>
    <cellStyle name="Normal 2 2 4 3 3 3 2 2" xfId="16695"/>
    <cellStyle name="Normal 2 2 4 3 3 3 3" xfId="16696"/>
    <cellStyle name="Normal 2 2 4 3 3 3 3 2" xfId="16697"/>
    <cellStyle name="Normal 2 2 4 3 3 3 4" xfId="16698"/>
    <cellStyle name="Normal 2 2 4 3 3 3 4 2" xfId="16699"/>
    <cellStyle name="Normal 2 2 4 3 3 3 5" xfId="16700"/>
    <cellStyle name="Normal 2 2 4 3 3 3 5 2" xfId="16701"/>
    <cellStyle name="Normal 2 2 4 3 3 3 6" xfId="16702"/>
    <cellStyle name="Normal 2 2 4 3 3 3 6 2" xfId="16703"/>
    <cellStyle name="Normal 2 2 4 3 3 3 7" xfId="16704"/>
    <cellStyle name="Normal 2 2 4 3 3 3 7 2" xfId="16705"/>
    <cellStyle name="Normal 2 2 4 3 3 3 8" xfId="16706"/>
    <cellStyle name="Normal 2 2 4 3 3 3 8 2" xfId="16707"/>
    <cellStyle name="Normal 2 2 4 3 3 3 9" xfId="16708"/>
    <cellStyle name="Normal 2 2 4 3 3 3 9 2" xfId="16709"/>
    <cellStyle name="Normal 2 2 4 3 3 4" xfId="16710"/>
    <cellStyle name="Normal 2 2 4 3 3 4 2" xfId="16711"/>
    <cellStyle name="Normal 2 2 4 3 3 5" xfId="16712"/>
    <cellStyle name="Normal 2 2 4 3 3 5 2" xfId="16713"/>
    <cellStyle name="Normal 2 2 4 3 3 6" xfId="16714"/>
    <cellStyle name="Normal 2 2 4 3 3 6 2" xfId="16715"/>
    <cellStyle name="Normal 2 2 4 3 3 7" xfId="16716"/>
    <cellStyle name="Normal 2 2 4 3 3 7 2" xfId="16717"/>
    <cellStyle name="Normal 2 2 4 3 3 8" xfId="16718"/>
    <cellStyle name="Normal 2 2 4 3 3 8 2" xfId="16719"/>
    <cellStyle name="Normal 2 2 4 3 3 9" xfId="16720"/>
    <cellStyle name="Normal 2 2 4 3 3 9 2" xfId="16721"/>
    <cellStyle name="Normal 2 2 4 3 4" xfId="16722"/>
    <cellStyle name="Normal 2 2 4 3 4 10" xfId="16723"/>
    <cellStyle name="Normal 2 2 4 3 4 10 2" xfId="16724"/>
    <cellStyle name="Normal 2 2 4 3 4 11" xfId="16725"/>
    <cellStyle name="Normal 2 2 4 3 4 11 2" xfId="16726"/>
    <cellStyle name="Normal 2 2 4 3 4 12" xfId="16727"/>
    <cellStyle name="Normal 2 2 4 3 4 12 2" xfId="16728"/>
    <cellStyle name="Normal 2 2 4 3 4 13" xfId="16729"/>
    <cellStyle name="Normal 2 2 4 3 4 2" xfId="16730"/>
    <cellStyle name="Normal 2 2 4 3 4 2 10" xfId="16731"/>
    <cellStyle name="Normal 2 2 4 3 4 2 10 2" xfId="16732"/>
    <cellStyle name="Normal 2 2 4 3 4 2 11" xfId="16733"/>
    <cellStyle name="Normal 2 2 4 3 4 2 11 2" xfId="16734"/>
    <cellStyle name="Normal 2 2 4 3 4 2 12" xfId="16735"/>
    <cellStyle name="Normal 2 2 4 3 4 2 2" xfId="16736"/>
    <cellStyle name="Normal 2 2 4 3 4 2 2 10" xfId="16737"/>
    <cellStyle name="Normal 2 2 4 3 4 2 2 10 2" xfId="16738"/>
    <cellStyle name="Normal 2 2 4 3 4 2 2 11" xfId="16739"/>
    <cellStyle name="Normal 2 2 4 3 4 2 2 2" xfId="16740"/>
    <cellStyle name="Normal 2 2 4 3 4 2 2 2 2" xfId="16741"/>
    <cellStyle name="Normal 2 2 4 3 4 2 2 3" xfId="16742"/>
    <cellStyle name="Normal 2 2 4 3 4 2 2 3 2" xfId="16743"/>
    <cellStyle name="Normal 2 2 4 3 4 2 2 4" xfId="16744"/>
    <cellStyle name="Normal 2 2 4 3 4 2 2 4 2" xfId="16745"/>
    <cellStyle name="Normal 2 2 4 3 4 2 2 5" xfId="16746"/>
    <cellStyle name="Normal 2 2 4 3 4 2 2 5 2" xfId="16747"/>
    <cellStyle name="Normal 2 2 4 3 4 2 2 6" xfId="16748"/>
    <cellStyle name="Normal 2 2 4 3 4 2 2 6 2" xfId="16749"/>
    <cellStyle name="Normal 2 2 4 3 4 2 2 7" xfId="16750"/>
    <cellStyle name="Normal 2 2 4 3 4 2 2 7 2" xfId="16751"/>
    <cellStyle name="Normal 2 2 4 3 4 2 2 8" xfId="16752"/>
    <cellStyle name="Normal 2 2 4 3 4 2 2 8 2" xfId="16753"/>
    <cellStyle name="Normal 2 2 4 3 4 2 2 9" xfId="16754"/>
    <cellStyle name="Normal 2 2 4 3 4 2 2 9 2" xfId="16755"/>
    <cellStyle name="Normal 2 2 4 3 4 2 3" xfId="16756"/>
    <cellStyle name="Normal 2 2 4 3 4 2 3 2" xfId="16757"/>
    <cellStyle name="Normal 2 2 4 3 4 2 4" xfId="16758"/>
    <cellStyle name="Normal 2 2 4 3 4 2 4 2" xfId="16759"/>
    <cellStyle name="Normal 2 2 4 3 4 2 5" xfId="16760"/>
    <cellStyle name="Normal 2 2 4 3 4 2 5 2" xfId="16761"/>
    <cellStyle name="Normal 2 2 4 3 4 2 6" xfId="16762"/>
    <cellStyle name="Normal 2 2 4 3 4 2 6 2" xfId="16763"/>
    <cellStyle name="Normal 2 2 4 3 4 2 7" xfId="16764"/>
    <cellStyle name="Normal 2 2 4 3 4 2 7 2" xfId="16765"/>
    <cellStyle name="Normal 2 2 4 3 4 2 8" xfId="16766"/>
    <cellStyle name="Normal 2 2 4 3 4 2 8 2" xfId="16767"/>
    <cellStyle name="Normal 2 2 4 3 4 2 9" xfId="16768"/>
    <cellStyle name="Normal 2 2 4 3 4 2 9 2" xfId="16769"/>
    <cellStyle name="Normal 2 2 4 3 4 3" xfId="16770"/>
    <cellStyle name="Normal 2 2 4 3 4 3 10" xfId="16771"/>
    <cellStyle name="Normal 2 2 4 3 4 3 10 2" xfId="16772"/>
    <cellStyle name="Normal 2 2 4 3 4 3 11" xfId="16773"/>
    <cellStyle name="Normal 2 2 4 3 4 3 2" xfId="16774"/>
    <cellStyle name="Normal 2 2 4 3 4 3 2 2" xfId="16775"/>
    <cellStyle name="Normal 2 2 4 3 4 3 3" xfId="16776"/>
    <cellStyle name="Normal 2 2 4 3 4 3 3 2" xfId="16777"/>
    <cellStyle name="Normal 2 2 4 3 4 3 4" xfId="16778"/>
    <cellStyle name="Normal 2 2 4 3 4 3 4 2" xfId="16779"/>
    <cellStyle name="Normal 2 2 4 3 4 3 5" xfId="16780"/>
    <cellStyle name="Normal 2 2 4 3 4 3 5 2" xfId="16781"/>
    <cellStyle name="Normal 2 2 4 3 4 3 6" xfId="16782"/>
    <cellStyle name="Normal 2 2 4 3 4 3 6 2" xfId="16783"/>
    <cellStyle name="Normal 2 2 4 3 4 3 7" xfId="16784"/>
    <cellStyle name="Normal 2 2 4 3 4 3 7 2" xfId="16785"/>
    <cellStyle name="Normal 2 2 4 3 4 3 8" xfId="16786"/>
    <cellStyle name="Normal 2 2 4 3 4 3 8 2" xfId="16787"/>
    <cellStyle name="Normal 2 2 4 3 4 3 9" xfId="16788"/>
    <cellStyle name="Normal 2 2 4 3 4 3 9 2" xfId="16789"/>
    <cellStyle name="Normal 2 2 4 3 4 4" xfId="16790"/>
    <cellStyle name="Normal 2 2 4 3 4 4 2" xfId="16791"/>
    <cellStyle name="Normal 2 2 4 3 4 5" xfId="16792"/>
    <cellStyle name="Normal 2 2 4 3 4 5 2" xfId="16793"/>
    <cellStyle name="Normal 2 2 4 3 4 6" xfId="16794"/>
    <cellStyle name="Normal 2 2 4 3 4 6 2" xfId="16795"/>
    <cellStyle name="Normal 2 2 4 3 4 7" xfId="16796"/>
    <cellStyle name="Normal 2 2 4 3 4 7 2" xfId="16797"/>
    <cellStyle name="Normal 2 2 4 3 4 8" xfId="16798"/>
    <cellStyle name="Normal 2 2 4 3 4 8 2" xfId="16799"/>
    <cellStyle name="Normal 2 2 4 3 4 9" xfId="16800"/>
    <cellStyle name="Normal 2 2 4 3 4 9 2" xfId="16801"/>
    <cellStyle name="Normal 2 2 4 3 5" xfId="16802"/>
    <cellStyle name="Normal 2 2 4 3 5 10" xfId="16803"/>
    <cellStyle name="Normal 2 2 4 3 5 10 2" xfId="16804"/>
    <cellStyle name="Normal 2 2 4 3 5 11" xfId="16805"/>
    <cellStyle name="Normal 2 2 4 3 5 11 2" xfId="16806"/>
    <cellStyle name="Normal 2 2 4 3 5 12" xfId="16807"/>
    <cellStyle name="Normal 2 2 4 3 5 12 2" xfId="16808"/>
    <cellStyle name="Normal 2 2 4 3 5 13" xfId="16809"/>
    <cellStyle name="Normal 2 2 4 3 5 2" xfId="16810"/>
    <cellStyle name="Normal 2 2 4 3 5 2 10" xfId="16811"/>
    <cellStyle name="Normal 2 2 4 3 5 2 10 2" xfId="16812"/>
    <cellStyle name="Normal 2 2 4 3 5 2 11" xfId="16813"/>
    <cellStyle name="Normal 2 2 4 3 5 2 11 2" xfId="16814"/>
    <cellStyle name="Normal 2 2 4 3 5 2 12" xfId="16815"/>
    <cellStyle name="Normal 2 2 4 3 5 2 2" xfId="16816"/>
    <cellStyle name="Normal 2 2 4 3 5 2 2 10" xfId="16817"/>
    <cellStyle name="Normal 2 2 4 3 5 2 2 10 2" xfId="16818"/>
    <cellStyle name="Normal 2 2 4 3 5 2 2 11" xfId="16819"/>
    <cellStyle name="Normal 2 2 4 3 5 2 2 2" xfId="16820"/>
    <cellStyle name="Normal 2 2 4 3 5 2 2 2 2" xfId="16821"/>
    <cellStyle name="Normal 2 2 4 3 5 2 2 3" xfId="16822"/>
    <cellStyle name="Normal 2 2 4 3 5 2 2 3 2" xfId="16823"/>
    <cellStyle name="Normal 2 2 4 3 5 2 2 4" xfId="16824"/>
    <cellStyle name="Normal 2 2 4 3 5 2 2 4 2" xfId="16825"/>
    <cellStyle name="Normal 2 2 4 3 5 2 2 5" xfId="16826"/>
    <cellStyle name="Normal 2 2 4 3 5 2 2 5 2" xfId="16827"/>
    <cellStyle name="Normal 2 2 4 3 5 2 2 6" xfId="16828"/>
    <cellStyle name="Normal 2 2 4 3 5 2 2 6 2" xfId="16829"/>
    <cellStyle name="Normal 2 2 4 3 5 2 2 7" xfId="16830"/>
    <cellStyle name="Normal 2 2 4 3 5 2 2 7 2" xfId="16831"/>
    <cellStyle name="Normal 2 2 4 3 5 2 2 8" xfId="16832"/>
    <cellStyle name="Normal 2 2 4 3 5 2 2 8 2" xfId="16833"/>
    <cellStyle name="Normal 2 2 4 3 5 2 2 9" xfId="16834"/>
    <cellStyle name="Normal 2 2 4 3 5 2 2 9 2" xfId="16835"/>
    <cellStyle name="Normal 2 2 4 3 5 2 3" xfId="16836"/>
    <cellStyle name="Normal 2 2 4 3 5 2 3 2" xfId="16837"/>
    <cellStyle name="Normal 2 2 4 3 5 2 4" xfId="16838"/>
    <cellStyle name="Normal 2 2 4 3 5 2 4 2" xfId="16839"/>
    <cellStyle name="Normal 2 2 4 3 5 2 5" xfId="16840"/>
    <cellStyle name="Normal 2 2 4 3 5 2 5 2" xfId="16841"/>
    <cellStyle name="Normal 2 2 4 3 5 2 6" xfId="16842"/>
    <cellStyle name="Normal 2 2 4 3 5 2 6 2" xfId="16843"/>
    <cellStyle name="Normal 2 2 4 3 5 2 7" xfId="16844"/>
    <cellStyle name="Normal 2 2 4 3 5 2 7 2" xfId="16845"/>
    <cellStyle name="Normal 2 2 4 3 5 2 8" xfId="16846"/>
    <cellStyle name="Normal 2 2 4 3 5 2 8 2" xfId="16847"/>
    <cellStyle name="Normal 2 2 4 3 5 2 9" xfId="16848"/>
    <cellStyle name="Normal 2 2 4 3 5 2 9 2" xfId="16849"/>
    <cellStyle name="Normal 2 2 4 3 5 3" xfId="16850"/>
    <cellStyle name="Normal 2 2 4 3 5 3 10" xfId="16851"/>
    <cellStyle name="Normal 2 2 4 3 5 3 10 2" xfId="16852"/>
    <cellStyle name="Normal 2 2 4 3 5 3 11" xfId="16853"/>
    <cellStyle name="Normal 2 2 4 3 5 3 2" xfId="16854"/>
    <cellStyle name="Normal 2 2 4 3 5 3 2 2" xfId="16855"/>
    <cellStyle name="Normal 2 2 4 3 5 3 3" xfId="16856"/>
    <cellStyle name="Normal 2 2 4 3 5 3 3 2" xfId="16857"/>
    <cellStyle name="Normal 2 2 4 3 5 3 4" xfId="16858"/>
    <cellStyle name="Normal 2 2 4 3 5 3 4 2" xfId="16859"/>
    <cellStyle name="Normal 2 2 4 3 5 3 5" xfId="16860"/>
    <cellStyle name="Normal 2 2 4 3 5 3 5 2" xfId="16861"/>
    <cellStyle name="Normal 2 2 4 3 5 3 6" xfId="16862"/>
    <cellStyle name="Normal 2 2 4 3 5 3 6 2" xfId="16863"/>
    <cellStyle name="Normal 2 2 4 3 5 3 7" xfId="16864"/>
    <cellStyle name="Normal 2 2 4 3 5 3 7 2" xfId="16865"/>
    <cellStyle name="Normal 2 2 4 3 5 3 8" xfId="16866"/>
    <cellStyle name="Normal 2 2 4 3 5 3 8 2" xfId="16867"/>
    <cellStyle name="Normal 2 2 4 3 5 3 9" xfId="16868"/>
    <cellStyle name="Normal 2 2 4 3 5 3 9 2" xfId="16869"/>
    <cellStyle name="Normal 2 2 4 3 5 4" xfId="16870"/>
    <cellStyle name="Normal 2 2 4 3 5 4 2" xfId="16871"/>
    <cellStyle name="Normal 2 2 4 3 5 5" xfId="16872"/>
    <cellStyle name="Normal 2 2 4 3 5 5 2" xfId="16873"/>
    <cellStyle name="Normal 2 2 4 3 5 6" xfId="16874"/>
    <cellStyle name="Normal 2 2 4 3 5 6 2" xfId="16875"/>
    <cellStyle name="Normal 2 2 4 3 5 7" xfId="16876"/>
    <cellStyle name="Normal 2 2 4 3 5 7 2" xfId="16877"/>
    <cellStyle name="Normal 2 2 4 3 5 8" xfId="16878"/>
    <cellStyle name="Normal 2 2 4 3 5 8 2" xfId="16879"/>
    <cellStyle name="Normal 2 2 4 3 5 9" xfId="16880"/>
    <cellStyle name="Normal 2 2 4 3 5 9 2" xfId="16881"/>
    <cellStyle name="Normal 2 2 4 3 6" xfId="16882"/>
    <cellStyle name="Normal 2 2 4 3 6 10" xfId="16883"/>
    <cellStyle name="Normal 2 2 4 3 6 10 2" xfId="16884"/>
    <cellStyle name="Normal 2 2 4 3 6 11" xfId="16885"/>
    <cellStyle name="Normal 2 2 4 3 6 11 2" xfId="16886"/>
    <cellStyle name="Normal 2 2 4 3 6 12" xfId="16887"/>
    <cellStyle name="Normal 2 2 4 3 6 12 2" xfId="16888"/>
    <cellStyle name="Normal 2 2 4 3 6 13" xfId="16889"/>
    <cellStyle name="Normal 2 2 4 3 6 2" xfId="16890"/>
    <cellStyle name="Normal 2 2 4 3 6 2 10" xfId="16891"/>
    <cellStyle name="Normal 2 2 4 3 6 2 10 2" xfId="16892"/>
    <cellStyle name="Normal 2 2 4 3 6 2 11" xfId="16893"/>
    <cellStyle name="Normal 2 2 4 3 6 2 11 2" xfId="16894"/>
    <cellStyle name="Normal 2 2 4 3 6 2 12" xfId="16895"/>
    <cellStyle name="Normal 2 2 4 3 6 2 2" xfId="16896"/>
    <cellStyle name="Normal 2 2 4 3 6 2 2 10" xfId="16897"/>
    <cellStyle name="Normal 2 2 4 3 6 2 2 10 2" xfId="16898"/>
    <cellStyle name="Normal 2 2 4 3 6 2 2 11" xfId="16899"/>
    <cellStyle name="Normal 2 2 4 3 6 2 2 2" xfId="16900"/>
    <cellStyle name="Normal 2 2 4 3 6 2 2 2 2" xfId="16901"/>
    <cellStyle name="Normal 2 2 4 3 6 2 2 3" xfId="16902"/>
    <cellStyle name="Normal 2 2 4 3 6 2 2 3 2" xfId="16903"/>
    <cellStyle name="Normal 2 2 4 3 6 2 2 4" xfId="16904"/>
    <cellStyle name="Normal 2 2 4 3 6 2 2 4 2" xfId="16905"/>
    <cellStyle name="Normal 2 2 4 3 6 2 2 5" xfId="16906"/>
    <cellStyle name="Normal 2 2 4 3 6 2 2 5 2" xfId="16907"/>
    <cellStyle name="Normal 2 2 4 3 6 2 2 6" xfId="16908"/>
    <cellStyle name="Normal 2 2 4 3 6 2 2 6 2" xfId="16909"/>
    <cellStyle name="Normal 2 2 4 3 6 2 2 7" xfId="16910"/>
    <cellStyle name="Normal 2 2 4 3 6 2 2 7 2" xfId="16911"/>
    <cellStyle name="Normal 2 2 4 3 6 2 2 8" xfId="16912"/>
    <cellStyle name="Normal 2 2 4 3 6 2 2 8 2" xfId="16913"/>
    <cellStyle name="Normal 2 2 4 3 6 2 2 9" xfId="16914"/>
    <cellStyle name="Normal 2 2 4 3 6 2 2 9 2" xfId="16915"/>
    <cellStyle name="Normal 2 2 4 3 6 2 3" xfId="16916"/>
    <cellStyle name="Normal 2 2 4 3 6 2 3 2" xfId="16917"/>
    <cellStyle name="Normal 2 2 4 3 6 2 4" xfId="16918"/>
    <cellStyle name="Normal 2 2 4 3 6 2 4 2" xfId="16919"/>
    <cellStyle name="Normal 2 2 4 3 6 2 5" xfId="16920"/>
    <cellStyle name="Normal 2 2 4 3 6 2 5 2" xfId="16921"/>
    <cellStyle name="Normal 2 2 4 3 6 2 6" xfId="16922"/>
    <cellStyle name="Normal 2 2 4 3 6 2 6 2" xfId="16923"/>
    <cellStyle name="Normal 2 2 4 3 6 2 7" xfId="16924"/>
    <cellStyle name="Normal 2 2 4 3 6 2 7 2" xfId="16925"/>
    <cellStyle name="Normal 2 2 4 3 6 2 8" xfId="16926"/>
    <cellStyle name="Normal 2 2 4 3 6 2 8 2" xfId="16927"/>
    <cellStyle name="Normal 2 2 4 3 6 2 9" xfId="16928"/>
    <cellStyle name="Normal 2 2 4 3 6 2 9 2" xfId="16929"/>
    <cellStyle name="Normal 2 2 4 3 6 3" xfId="16930"/>
    <cellStyle name="Normal 2 2 4 3 6 3 10" xfId="16931"/>
    <cellStyle name="Normal 2 2 4 3 6 3 10 2" xfId="16932"/>
    <cellStyle name="Normal 2 2 4 3 6 3 11" xfId="16933"/>
    <cellStyle name="Normal 2 2 4 3 6 3 2" xfId="16934"/>
    <cellStyle name="Normal 2 2 4 3 6 3 2 2" xfId="16935"/>
    <cellStyle name="Normal 2 2 4 3 6 3 3" xfId="16936"/>
    <cellStyle name="Normal 2 2 4 3 6 3 3 2" xfId="16937"/>
    <cellStyle name="Normal 2 2 4 3 6 3 4" xfId="16938"/>
    <cellStyle name="Normal 2 2 4 3 6 3 4 2" xfId="16939"/>
    <cellStyle name="Normal 2 2 4 3 6 3 5" xfId="16940"/>
    <cellStyle name="Normal 2 2 4 3 6 3 5 2" xfId="16941"/>
    <cellStyle name="Normal 2 2 4 3 6 3 6" xfId="16942"/>
    <cellStyle name="Normal 2 2 4 3 6 3 6 2" xfId="16943"/>
    <cellStyle name="Normal 2 2 4 3 6 3 7" xfId="16944"/>
    <cellStyle name="Normal 2 2 4 3 6 3 7 2" xfId="16945"/>
    <cellStyle name="Normal 2 2 4 3 6 3 8" xfId="16946"/>
    <cellStyle name="Normal 2 2 4 3 6 3 8 2" xfId="16947"/>
    <cellStyle name="Normal 2 2 4 3 6 3 9" xfId="16948"/>
    <cellStyle name="Normal 2 2 4 3 6 3 9 2" xfId="16949"/>
    <cellStyle name="Normal 2 2 4 3 6 4" xfId="16950"/>
    <cellStyle name="Normal 2 2 4 3 6 4 2" xfId="16951"/>
    <cellStyle name="Normal 2 2 4 3 6 5" xfId="16952"/>
    <cellStyle name="Normal 2 2 4 3 6 5 2" xfId="16953"/>
    <cellStyle name="Normal 2 2 4 3 6 6" xfId="16954"/>
    <cellStyle name="Normal 2 2 4 3 6 6 2" xfId="16955"/>
    <cellStyle name="Normal 2 2 4 3 6 7" xfId="16956"/>
    <cellStyle name="Normal 2 2 4 3 6 7 2" xfId="16957"/>
    <cellStyle name="Normal 2 2 4 3 6 8" xfId="16958"/>
    <cellStyle name="Normal 2 2 4 3 6 8 2" xfId="16959"/>
    <cellStyle name="Normal 2 2 4 3 6 9" xfId="16960"/>
    <cellStyle name="Normal 2 2 4 3 6 9 2" xfId="16961"/>
    <cellStyle name="Normal 2 2 4 3 7" xfId="41928"/>
    <cellStyle name="Normal 2 2 4 4" xfId="16962"/>
    <cellStyle name="Normal 2 2 4 4 10" xfId="16963"/>
    <cellStyle name="Normal 2 2 4 4 10 2" xfId="16964"/>
    <cellStyle name="Normal 2 2 4 4 11" xfId="16965"/>
    <cellStyle name="Normal 2 2 4 4 11 2" xfId="16966"/>
    <cellStyle name="Normal 2 2 4 4 12" xfId="16967"/>
    <cellStyle name="Normal 2 2 4 4 12 2" xfId="16968"/>
    <cellStyle name="Normal 2 2 4 4 13" xfId="16969"/>
    <cellStyle name="Normal 2 2 4 4 2" xfId="16970"/>
    <cellStyle name="Normal 2 2 4 4 2 10" xfId="16971"/>
    <cellStyle name="Normal 2 2 4 4 2 10 2" xfId="16972"/>
    <cellStyle name="Normal 2 2 4 4 2 11" xfId="16973"/>
    <cellStyle name="Normal 2 2 4 4 2 11 2" xfId="16974"/>
    <cellStyle name="Normal 2 2 4 4 2 12" xfId="16975"/>
    <cellStyle name="Normal 2 2 4 4 2 2" xfId="16976"/>
    <cellStyle name="Normal 2 2 4 4 2 2 10" xfId="16977"/>
    <cellStyle name="Normal 2 2 4 4 2 2 10 2" xfId="16978"/>
    <cellStyle name="Normal 2 2 4 4 2 2 11" xfId="16979"/>
    <cellStyle name="Normal 2 2 4 4 2 2 2" xfId="16980"/>
    <cellStyle name="Normal 2 2 4 4 2 2 2 2" xfId="16981"/>
    <cellStyle name="Normal 2 2 4 4 2 2 3" xfId="16982"/>
    <cellStyle name="Normal 2 2 4 4 2 2 3 2" xfId="16983"/>
    <cellStyle name="Normal 2 2 4 4 2 2 4" xfId="16984"/>
    <cellStyle name="Normal 2 2 4 4 2 2 4 2" xfId="16985"/>
    <cellStyle name="Normal 2 2 4 4 2 2 5" xfId="16986"/>
    <cellStyle name="Normal 2 2 4 4 2 2 5 2" xfId="16987"/>
    <cellStyle name="Normal 2 2 4 4 2 2 6" xfId="16988"/>
    <cellStyle name="Normal 2 2 4 4 2 2 6 2" xfId="16989"/>
    <cellStyle name="Normal 2 2 4 4 2 2 7" xfId="16990"/>
    <cellStyle name="Normal 2 2 4 4 2 2 7 2" xfId="16991"/>
    <cellStyle name="Normal 2 2 4 4 2 2 8" xfId="16992"/>
    <cellStyle name="Normal 2 2 4 4 2 2 8 2" xfId="16993"/>
    <cellStyle name="Normal 2 2 4 4 2 2 9" xfId="16994"/>
    <cellStyle name="Normal 2 2 4 4 2 2 9 2" xfId="16995"/>
    <cellStyle name="Normal 2 2 4 4 2 3" xfId="16996"/>
    <cellStyle name="Normal 2 2 4 4 2 3 2" xfId="16997"/>
    <cellStyle name="Normal 2 2 4 4 2 4" xfId="16998"/>
    <cellStyle name="Normal 2 2 4 4 2 4 2" xfId="16999"/>
    <cellStyle name="Normal 2 2 4 4 2 5" xfId="17000"/>
    <cellStyle name="Normal 2 2 4 4 2 5 2" xfId="17001"/>
    <cellStyle name="Normal 2 2 4 4 2 6" xfId="17002"/>
    <cellStyle name="Normal 2 2 4 4 2 6 2" xfId="17003"/>
    <cellStyle name="Normal 2 2 4 4 2 7" xfId="17004"/>
    <cellStyle name="Normal 2 2 4 4 2 7 2" xfId="17005"/>
    <cellStyle name="Normal 2 2 4 4 2 8" xfId="17006"/>
    <cellStyle name="Normal 2 2 4 4 2 8 2" xfId="17007"/>
    <cellStyle name="Normal 2 2 4 4 2 9" xfId="17008"/>
    <cellStyle name="Normal 2 2 4 4 2 9 2" xfId="17009"/>
    <cellStyle name="Normal 2 2 4 4 3" xfId="17010"/>
    <cellStyle name="Normal 2 2 4 4 3 10" xfId="17011"/>
    <cellStyle name="Normal 2 2 4 4 3 10 2" xfId="17012"/>
    <cellStyle name="Normal 2 2 4 4 3 11" xfId="17013"/>
    <cellStyle name="Normal 2 2 4 4 3 2" xfId="17014"/>
    <cellStyle name="Normal 2 2 4 4 3 2 2" xfId="17015"/>
    <cellStyle name="Normal 2 2 4 4 3 3" xfId="17016"/>
    <cellStyle name="Normal 2 2 4 4 3 3 2" xfId="17017"/>
    <cellStyle name="Normal 2 2 4 4 3 4" xfId="17018"/>
    <cellStyle name="Normal 2 2 4 4 3 4 2" xfId="17019"/>
    <cellStyle name="Normal 2 2 4 4 3 5" xfId="17020"/>
    <cellStyle name="Normal 2 2 4 4 3 5 2" xfId="17021"/>
    <cellStyle name="Normal 2 2 4 4 3 6" xfId="17022"/>
    <cellStyle name="Normal 2 2 4 4 3 6 2" xfId="17023"/>
    <cellStyle name="Normal 2 2 4 4 3 7" xfId="17024"/>
    <cellStyle name="Normal 2 2 4 4 3 7 2" xfId="17025"/>
    <cellStyle name="Normal 2 2 4 4 3 8" xfId="17026"/>
    <cellStyle name="Normal 2 2 4 4 3 8 2" xfId="17027"/>
    <cellStyle name="Normal 2 2 4 4 3 9" xfId="17028"/>
    <cellStyle name="Normal 2 2 4 4 3 9 2" xfId="17029"/>
    <cellStyle name="Normal 2 2 4 4 4" xfId="17030"/>
    <cellStyle name="Normal 2 2 4 4 4 2" xfId="17031"/>
    <cellStyle name="Normal 2 2 4 4 5" xfId="17032"/>
    <cellStyle name="Normal 2 2 4 4 5 2" xfId="17033"/>
    <cellStyle name="Normal 2 2 4 4 6" xfId="17034"/>
    <cellStyle name="Normal 2 2 4 4 6 2" xfId="17035"/>
    <cellStyle name="Normal 2 2 4 4 7" xfId="17036"/>
    <cellStyle name="Normal 2 2 4 4 7 2" xfId="17037"/>
    <cellStyle name="Normal 2 2 4 4 8" xfId="17038"/>
    <cellStyle name="Normal 2 2 4 4 8 2" xfId="17039"/>
    <cellStyle name="Normal 2 2 4 4 9" xfId="17040"/>
    <cellStyle name="Normal 2 2 4 4 9 2" xfId="17041"/>
    <cellStyle name="Normal 2 2 4 5" xfId="17042"/>
    <cellStyle name="Normal 2 2 4 5 10" xfId="17043"/>
    <cellStyle name="Normal 2 2 4 5 10 2" xfId="17044"/>
    <cellStyle name="Normal 2 2 4 5 11" xfId="17045"/>
    <cellStyle name="Normal 2 2 4 5 11 2" xfId="17046"/>
    <cellStyle name="Normal 2 2 4 5 12" xfId="17047"/>
    <cellStyle name="Normal 2 2 4 5 12 2" xfId="17048"/>
    <cellStyle name="Normal 2 2 4 5 13" xfId="17049"/>
    <cellStyle name="Normal 2 2 4 5 2" xfId="17050"/>
    <cellStyle name="Normal 2 2 4 5 2 10" xfId="17051"/>
    <cellStyle name="Normal 2 2 4 5 2 10 2" xfId="17052"/>
    <cellStyle name="Normal 2 2 4 5 2 11" xfId="17053"/>
    <cellStyle name="Normal 2 2 4 5 2 11 2" xfId="17054"/>
    <cellStyle name="Normal 2 2 4 5 2 12" xfId="17055"/>
    <cellStyle name="Normal 2 2 4 5 2 2" xfId="17056"/>
    <cellStyle name="Normal 2 2 4 5 2 2 10" xfId="17057"/>
    <cellStyle name="Normal 2 2 4 5 2 2 10 2" xfId="17058"/>
    <cellStyle name="Normal 2 2 4 5 2 2 11" xfId="17059"/>
    <cellStyle name="Normal 2 2 4 5 2 2 2" xfId="17060"/>
    <cellStyle name="Normal 2 2 4 5 2 2 2 2" xfId="17061"/>
    <cellStyle name="Normal 2 2 4 5 2 2 3" xfId="17062"/>
    <cellStyle name="Normal 2 2 4 5 2 2 3 2" xfId="17063"/>
    <cellStyle name="Normal 2 2 4 5 2 2 4" xfId="17064"/>
    <cellStyle name="Normal 2 2 4 5 2 2 4 2" xfId="17065"/>
    <cellStyle name="Normal 2 2 4 5 2 2 5" xfId="17066"/>
    <cellStyle name="Normal 2 2 4 5 2 2 5 2" xfId="17067"/>
    <cellStyle name="Normal 2 2 4 5 2 2 6" xfId="17068"/>
    <cellStyle name="Normal 2 2 4 5 2 2 6 2" xfId="17069"/>
    <cellStyle name="Normal 2 2 4 5 2 2 7" xfId="17070"/>
    <cellStyle name="Normal 2 2 4 5 2 2 7 2" xfId="17071"/>
    <cellStyle name="Normal 2 2 4 5 2 2 8" xfId="17072"/>
    <cellStyle name="Normal 2 2 4 5 2 2 8 2" xfId="17073"/>
    <cellStyle name="Normal 2 2 4 5 2 2 9" xfId="17074"/>
    <cellStyle name="Normal 2 2 4 5 2 2 9 2" xfId="17075"/>
    <cellStyle name="Normal 2 2 4 5 2 3" xfId="17076"/>
    <cellStyle name="Normal 2 2 4 5 2 3 2" xfId="17077"/>
    <cellStyle name="Normal 2 2 4 5 2 4" xfId="17078"/>
    <cellStyle name="Normal 2 2 4 5 2 4 2" xfId="17079"/>
    <cellStyle name="Normal 2 2 4 5 2 5" xfId="17080"/>
    <cellStyle name="Normal 2 2 4 5 2 5 2" xfId="17081"/>
    <cellStyle name="Normal 2 2 4 5 2 6" xfId="17082"/>
    <cellStyle name="Normal 2 2 4 5 2 6 2" xfId="17083"/>
    <cellStyle name="Normal 2 2 4 5 2 7" xfId="17084"/>
    <cellStyle name="Normal 2 2 4 5 2 7 2" xfId="17085"/>
    <cellStyle name="Normal 2 2 4 5 2 8" xfId="17086"/>
    <cellStyle name="Normal 2 2 4 5 2 8 2" xfId="17087"/>
    <cellStyle name="Normal 2 2 4 5 2 9" xfId="17088"/>
    <cellStyle name="Normal 2 2 4 5 2 9 2" xfId="17089"/>
    <cellStyle name="Normal 2 2 4 5 3" xfId="17090"/>
    <cellStyle name="Normal 2 2 4 5 3 10" xfId="17091"/>
    <cellStyle name="Normal 2 2 4 5 3 10 2" xfId="17092"/>
    <cellStyle name="Normal 2 2 4 5 3 11" xfId="17093"/>
    <cellStyle name="Normal 2 2 4 5 3 2" xfId="17094"/>
    <cellStyle name="Normal 2 2 4 5 3 2 2" xfId="17095"/>
    <cellStyle name="Normal 2 2 4 5 3 3" xfId="17096"/>
    <cellStyle name="Normal 2 2 4 5 3 3 2" xfId="17097"/>
    <cellStyle name="Normal 2 2 4 5 3 4" xfId="17098"/>
    <cellStyle name="Normal 2 2 4 5 3 4 2" xfId="17099"/>
    <cellStyle name="Normal 2 2 4 5 3 5" xfId="17100"/>
    <cellStyle name="Normal 2 2 4 5 3 5 2" xfId="17101"/>
    <cellStyle name="Normal 2 2 4 5 3 6" xfId="17102"/>
    <cellStyle name="Normal 2 2 4 5 3 6 2" xfId="17103"/>
    <cellStyle name="Normal 2 2 4 5 3 7" xfId="17104"/>
    <cellStyle name="Normal 2 2 4 5 3 7 2" xfId="17105"/>
    <cellStyle name="Normal 2 2 4 5 3 8" xfId="17106"/>
    <cellStyle name="Normal 2 2 4 5 3 8 2" xfId="17107"/>
    <cellStyle name="Normal 2 2 4 5 3 9" xfId="17108"/>
    <cellStyle name="Normal 2 2 4 5 3 9 2" xfId="17109"/>
    <cellStyle name="Normal 2 2 4 5 4" xfId="17110"/>
    <cellStyle name="Normal 2 2 4 5 4 2" xfId="17111"/>
    <cellStyle name="Normal 2 2 4 5 5" xfId="17112"/>
    <cellStyle name="Normal 2 2 4 5 5 2" xfId="17113"/>
    <cellStyle name="Normal 2 2 4 5 6" xfId="17114"/>
    <cellStyle name="Normal 2 2 4 5 6 2" xfId="17115"/>
    <cellStyle name="Normal 2 2 4 5 7" xfId="17116"/>
    <cellStyle name="Normal 2 2 4 5 7 2" xfId="17117"/>
    <cellStyle name="Normal 2 2 4 5 8" xfId="17118"/>
    <cellStyle name="Normal 2 2 4 5 8 2" xfId="17119"/>
    <cellStyle name="Normal 2 2 4 5 9" xfId="17120"/>
    <cellStyle name="Normal 2 2 4 5 9 2" xfId="17121"/>
    <cellStyle name="Normal 2 2 4 6" xfId="17122"/>
    <cellStyle name="Normal 2 2 4 6 2" xfId="17123"/>
    <cellStyle name="Normal 2 2 4 6 2 10" xfId="17124"/>
    <cellStyle name="Normal 2 2 4 6 2 10 2" xfId="17125"/>
    <cellStyle name="Normal 2 2 4 6 2 11" xfId="17126"/>
    <cellStyle name="Normal 2 2 4 6 2 11 2" xfId="17127"/>
    <cellStyle name="Normal 2 2 4 6 2 12" xfId="17128"/>
    <cellStyle name="Normal 2 2 4 6 2 12 2" xfId="17129"/>
    <cellStyle name="Normal 2 2 4 6 2 13" xfId="17130"/>
    <cellStyle name="Normal 2 2 4 6 2 2" xfId="17131"/>
    <cellStyle name="Normal 2 2 4 6 2 2 10" xfId="17132"/>
    <cellStyle name="Normal 2 2 4 6 2 2 10 2" xfId="17133"/>
    <cellStyle name="Normal 2 2 4 6 2 2 11" xfId="17134"/>
    <cellStyle name="Normal 2 2 4 6 2 2 11 2" xfId="17135"/>
    <cellStyle name="Normal 2 2 4 6 2 2 12" xfId="17136"/>
    <cellStyle name="Normal 2 2 4 6 2 2 2" xfId="17137"/>
    <cellStyle name="Normal 2 2 4 6 2 2 2 10" xfId="17138"/>
    <cellStyle name="Normal 2 2 4 6 2 2 2 10 2" xfId="17139"/>
    <cellStyle name="Normal 2 2 4 6 2 2 2 11" xfId="17140"/>
    <cellStyle name="Normal 2 2 4 6 2 2 2 2" xfId="17141"/>
    <cellStyle name="Normal 2 2 4 6 2 2 2 2 2" xfId="17142"/>
    <cellStyle name="Normal 2 2 4 6 2 2 2 3" xfId="17143"/>
    <cellStyle name="Normal 2 2 4 6 2 2 2 3 2" xfId="17144"/>
    <cellStyle name="Normal 2 2 4 6 2 2 2 4" xfId="17145"/>
    <cellStyle name="Normal 2 2 4 6 2 2 2 4 2" xfId="17146"/>
    <cellStyle name="Normal 2 2 4 6 2 2 2 5" xfId="17147"/>
    <cellStyle name="Normal 2 2 4 6 2 2 2 5 2" xfId="17148"/>
    <cellStyle name="Normal 2 2 4 6 2 2 2 6" xfId="17149"/>
    <cellStyle name="Normal 2 2 4 6 2 2 2 6 2" xfId="17150"/>
    <cellStyle name="Normal 2 2 4 6 2 2 2 7" xfId="17151"/>
    <cellStyle name="Normal 2 2 4 6 2 2 2 7 2" xfId="17152"/>
    <cellStyle name="Normal 2 2 4 6 2 2 2 8" xfId="17153"/>
    <cellStyle name="Normal 2 2 4 6 2 2 2 8 2" xfId="17154"/>
    <cellStyle name="Normal 2 2 4 6 2 2 2 9" xfId="17155"/>
    <cellStyle name="Normal 2 2 4 6 2 2 2 9 2" xfId="17156"/>
    <cellStyle name="Normal 2 2 4 6 2 2 3" xfId="17157"/>
    <cellStyle name="Normal 2 2 4 6 2 2 3 2" xfId="17158"/>
    <cellStyle name="Normal 2 2 4 6 2 2 4" xfId="17159"/>
    <cellStyle name="Normal 2 2 4 6 2 2 4 2" xfId="17160"/>
    <cellStyle name="Normal 2 2 4 6 2 2 5" xfId="17161"/>
    <cellStyle name="Normal 2 2 4 6 2 2 5 2" xfId="17162"/>
    <cellStyle name="Normal 2 2 4 6 2 2 6" xfId="17163"/>
    <cellStyle name="Normal 2 2 4 6 2 2 6 2" xfId="17164"/>
    <cellStyle name="Normal 2 2 4 6 2 2 7" xfId="17165"/>
    <cellStyle name="Normal 2 2 4 6 2 2 7 2" xfId="17166"/>
    <cellStyle name="Normal 2 2 4 6 2 2 8" xfId="17167"/>
    <cellStyle name="Normal 2 2 4 6 2 2 8 2" xfId="17168"/>
    <cellStyle name="Normal 2 2 4 6 2 2 9" xfId="17169"/>
    <cellStyle name="Normal 2 2 4 6 2 2 9 2" xfId="17170"/>
    <cellStyle name="Normal 2 2 4 6 2 3" xfId="17171"/>
    <cellStyle name="Normal 2 2 4 6 2 3 10" xfId="17172"/>
    <cellStyle name="Normal 2 2 4 6 2 3 10 2" xfId="17173"/>
    <cellStyle name="Normal 2 2 4 6 2 3 11" xfId="17174"/>
    <cellStyle name="Normal 2 2 4 6 2 3 2" xfId="17175"/>
    <cellStyle name="Normal 2 2 4 6 2 3 2 2" xfId="17176"/>
    <cellStyle name="Normal 2 2 4 6 2 3 3" xfId="17177"/>
    <cellStyle name="Normal 2 2 4 6 2 3 3 2" xfId="17178"/>
    <cellStyle name="Normal 2 2 4 6 2 3 4" xfId="17179"/>
    <cellStyle name="Normal 2 2 4 6 2 3 4 2" xfId="17180"/>
    <cellStyle name="Normal 2 2 4 6 2 3 5" xfId="17181"/>
    <cellStyle name="Normal 2 2 4 6 2 3 5 2" xfId="17182"/>
    <cellStyle name="Normal 2 2 4 6 2 3 6" xfId="17183"/>
    <cellStyle name="Normal 2 2 4 6 2 3 6 2" xfId="17184"/>
    <cellStyle name="Normal 2 2 4 6 2 3 7" xfId="17185"/>
    <cellStyle name="Normal 2 2 4 6 2 3 7 2" xfId="17186"/>
    <cellStyle name="Normal 2 2 4 6 2 3 8" xfId="17187"/>
    <cellStyle name="Normal 2 2 4 6 2 3 8 2" xfId="17188"/>
    <cellStyle name="Normal 2 2 4 6 2 3 9" xfId="17189"/>
    <cellStyle name="Normal 2 2 4 6 2 3 9 2" xfId="17190"/>
    <cellStyle name="Normal 2 2 4 6 2 4" xfId="17191"/>
    <cellStyle name="Normal 2 2 4 6 2 4 2" xfId="17192"/>
    <cellStyle name="Normal 2 2 4 6 2 5" xfId="17193"/>
    <cellStyle name="Normal 2 2 4 6 2 5 2" xfId="17194"/>
    <cellStyle name="Normal 2 2 4 6 2 6" xfId="17195"/>
    <cellStyle name="Normal 2 2 4 6 2 6 2" xfId="17196"/>
    <cellStyle name="Normal 2 2 4 6 2 7" xfId="17197"/>
    <cellStyle name="Normal 2 2 4 6 2 7 2" xfId="17198"/>
    <cellStyle name="Normal 2 2 4 6 2 8" xfId="17199"/>
    <cellStyle name="Normal 2 2 4 6 2 8 2" xfId="17200"/>
    <cellStyle name="Normal 2 2 4 6 2 9" xfId="17201"/>
    <cellStyle name="Normal 2 2 4 6 2 9 2" xfId="17202"/>
    <cellStyle name="Normal 2 2 4 6 3" xfId="17203"/>
    <cellStyle name="Normal 2 2 4 6 3 10" xfId="17204"/>
    <cellStyle name="Normal 2 2 4 6 3 10 2" xfId="17205"/>
    <cellStyle name="Normal 2 2 4 6 3 11" xfId="17206"/>
    <cellStyle name="Normal 2 2 4 6 3 11 2" xfId="17207"/>
    <cellStyle name="Normal 2 2 4 6 3 12" xfId="17208"/>
    <cellStyle name="Normal 2 2 4 6 3 12 2" xfId="17209"/>
    <cellStyle name="Normal 2 2 4 6 3 13" xfId="17210"/>
    <cellStyle name="Normal 2 2 4 6 3 2" xfId="17211"/>
    <cellStyle name="Normal 2 2 4 6 3 2 10" xfId="17212"/>
    <cellStyle name="Normal 2 2 4 6 3 2 10 2" xfId="17213"/>
    <cellStyle name="Normal 2 2 4 6 3 2 11" xfId="17214"/>
    <cellStyle name="Normal 2 2 4 6 3 2 11 2" xfId="17215"/>
    <cellStyle name="Normal 2 2 4 6 3 2 12" xfId="17216"/>
    <cellStyle name="Normal 2 2 4 6 3 2 2" xfId="17217"/>
    <cellStyle name="Normal 2 2 4 6 3 2 2 10" xfId="17218"/>
    <cellStyle name="Normal 2 2 4 6 3 2 2 10 2" xfId="17219"/>
    <cellStyle name="Normal 2 2 4 6 3 2 2 11" xfId="17220"/>
    <cellStyle name="Normal 2 2 4 6 3 2 2 2" xfId="17221"/>
    <cellStyle name="Normal 2 2 4 6 3 2 2 2 2" xfId="17222"/>
    <cellStyle name="Normal 2 2 4 6 3 2 2 3" xfId="17223"/>
    <cellStyle name="Normal 2 2 4 6 3 2 2 3 2" xfId="17224"/>
    <cellStyle name="Normal 2 2 4 6 3 2 2 4" xfId="17225"/>
    <cellStyle name="Normal 2 2 4 6 3 2 2 4 2" xfId="17226"/>
    <cellStyle name="Normal 2 2 4 6 3 2 2 5" xfId="17227"/>
    <cellStyle name="Normal 2 2 4 6 3 2 2 5 2" xfId="17228"/>
    <cellStyle name="Normal 2 2 4 6 3 2 2 6" xfId="17229"/>
    <cellStyle name="Normal 2 2 4 6 3 2 2 6 2" xfId="17230"/>
    <cellStyle name="Normal 2 2 4 6 3 2 2 7" xfId="17231"/>
    <cellStyle name="Normal 2 2 4 6 3 2 2 7 2" xfId="17232"/>
    <cellStyle name="Normal 2 2 4 6 3 2 2 8" xfId="17233"/>
    <cellStyle name="Normal 2 2 4 6 3 2 2 8 2" xfId="17234"/>
    <cellStyle name="Normal 2 2 4 6 3 2 2 9" xfId="17235"/>
    <cellStyle name="Normal 2 2 4 6 3 2 2 9 2" xfId="17236"/>
    <cellStyle name="Normal 2 2 4 6 3 2 3" xfId="17237"/>
    <cellStyle name="Normal 2 2 4 6 3 2 3 2" xfId="17238"/>
    <cellStyle name="Normal 2 2 4 6 3 2 4" xfId="17239"/>
    <cellStyle name="Normal 2 2 4 6 3 2 4 2" xfId="17240"/>
    <cellStyle name="Normal 2 2 4 6 3 2 5" xfId="17241"/>
    <cellStyle name="Normal 2 2 4 6 3 2 5 2" xfId="17242"/>
    <cellStyle name="Normal 2 2 4 6 3 2 6" xfId="17243"/>
    <cellStyle name="Normal 2 2 4 6 3 2 6 2" xfId="17244"/>
    <cellStyle name="Normal 2 2 4 6 3 2 7" xfId="17245"/>
    <cellStyle name="Normal 2 2 4 6 3 2 7 2" xfId="17246"/>
    <cellStyle name="Normal 2 2 4 6 3 2 8" xfId="17247"/>
    <cellStyle name="Normal 2 2 4 6 3 2 8 2" xfId="17248"/>
    <cellStyle name="Normal 2 2 4 6 3 2 9" xfId="17249"/>
    <cellStyle name="Normal 2 2 4 6 3 2 9 2" xfId="17250"/>
    <cellStyle name="Normal 2 2 4 6 3 3" xfId="17251"/>
    <cellStyle name="Normal 2 2 4 6 3 3 10" xfId="17252"/>
    <cellStyle name="Normal 2 2 4 6 3 3 10 2" xfId="17253"/>
    <cellStyle name="Normal 2 2 4 6 3 3 11" xfId="17254"/>
    <cellStyle name="Normal 2 2 4 6 3 3 2" xfId="17255"/>
    <cellStyle name="Normal 2 2 4 6 3 3 2 2" xfId="17256"/>
    <cellStyle name="Normal 2 2 4 6 3 3 3" xfId="17257"/>
    <cellStyle name="Normal 2 2 4 6 3 3 3 2" xfId="17258"/>
    <cellStyle name="Normal 2 2 4 6 3 3 4" xfId="17259"/>
    <cellStyle name="Normal 2 2 4 6 3 3 4 2" xfId="17260"/>
    <cellStyle name="Normal 2 2 4 6 3 3 5" xfId="17261"/>
    <cellStyle name="Normal 2 2 4 6 3 3 5 2" xfId="17262"/>
    <cellStyle name="Normal 2 2 4 6 3 3 6" xfId="17263"/>
    <cellStyle name="Normal 2 2 4 6 3 3 6 2" xfId="17264"/>
    <cellStyle name="Normal 2 2 4 6 3 3 7" xfId="17265"/>
    <cellStyle name="Normal 2 2 4 6 3 3 7 2" xfId="17266"/>
    <cellStyle name="Normal 2 2 4 6 3 3 8" xfId="17267"/>
    <cellStyle name="Normal 2 2 4 6 3 3 8 2" xfId="17268"/>
    <cellStyle name="Normal 2 2 4 6 3 3 9" xfId="17269"/>
    <cellStyle name="Normal 2 2 4 6 3 3 9 2" xfId="17270"/>
    <cellStyle name="Normal 2 2 4 6 3 4" xfId="17271"/>
    <cellStyle name="Normal 2 2 4 6 3 4 2" xfId="17272"/>
    <cellStyle name="Normal 2 2 4 6 3 5" xfId="17273"/>
    <cellStyle name="Normal 2 2 4 6 3 5 2" xfId="17274"/>
    <cellStyle name="Normal 2 2 4 6 3 6" xfId="17275"/>
    <cellStyle name="Normal 2 2 4 6 3 6 2" xfId="17276"/>
    <cellStyle name="Normal 2 2 4 6 3 7" xfId="17277"/>
    <cellStyle name="Normal 2 2 4 6 3 7 2" xfId="17278"/>
    <cellStyle name="Normal 2 2 4 6 3 8" xfId="17279"/>
    <cellStyle name="Normal 2 2 4 6 3 8 2" xfId="17280"/>
    <cellStyle name="Normal 2 2 4 6 3 9" xfId="17281"/>
    <cellStyle name="Normal 2 2 4 6 3 9 2" xfId="17282"/>
    <cellStyle name="Normal 2 2 4 6 4" xfId="17283"/>
    <cellStyle name="Normal 2 2 4 6 4 10" xfId="17284"/>
    <cellStyle name="Normal 2 2 4 6 4 10 2" xfId="17285"/>
    <cellStyle name="Normal 2 2 4 6 4 11" xfId="17286"/>
    <cellStyle name="Normal 2 2 4 6 4 11 2" xfId="17287"/>
    <cellStyle name="Normal 2 2 4 6 4 12" xfId="17288"/>
    <cellStyle name="Normal 2 2 4 6 4 12 2" xfId="17289"/>
    <cellStyle name="Normal 2 2 4 6 4 13" xfId="17290"/>
    <cellStyle name="Normal 2 2 4 6 4 2" xfId="17291"/>
    <cellStyle name="Normal 2 2 4 6 4 2 10" xfId="17292"/>
    <cellStyle name="Normal 2 2 4 6 4 2 10 2" xfId="17293"/>
    <cellStyle name="Normal 2 2 4 6 4 2 11" xfId="17294"/>
    <cellStyle name="Normal 2 2 4 6 4 2 11 2" xfId="17295"/>
    <cellStyle name="Normal 2 2 4 6 4 2 12" xfId="17296"/>
    <cellStyle name="Normal 2 2 4 6 4 2 2" xfId="17297"/>
    <cellStyle name="Normal 2 2 4 6 4 2 2 10" xfId="17298"/>
    <cellStyle name="Normal 2 2 4 6 4 2 2 10 2" xfId="17299"/>
    <cellStyle name="Normal 2 2 4 6 4 2 2 11" xfId="17300"/>
    <cellStyle name="Normal 2 2 4 6 4 2 2 2" xfId="17301"/>
    <cellStyle name="Normal 2 2 4 6 4 2 2 2 2" xfId="17302"/>
    <cellStyle name="Normal 2 2 4 6 4 2 2 3" xfId="17303"/>
    <cellStyle name="Normal 2 2 4 6 4 2 2 3 2" xfId="17304"/>
    <cellStyle name="Normal 2 2 4 6 4 2 2 4" xfId="17305"/>
    <cellStyle name="Normal 2 2 4 6 4 2 2 4 2" xfId="17306"/>
    <cellStyle name="Normal 2 2 4 6 4 2 2 5" xfId="17307"/>
    <cellStyle name="Normal 2 2 4 6 4 2 2 5 2" xfId="17308"/>
    <cellStyle name="Normal 2 2 4 6 4 2 2 6" xfId="17309"/>
    <cellStyle name="Normal 2 2 4 6 4 2 2 6 2" xfId="17310"/>
    <cellStyle name="Normal 2 2 4 6 4 2 2 7" xfId="17311"/>
    <cellStyle name="Normal 2 2 4 6 4 2 2 7 2" xfId="17312"/>
    <cellStyle name="Normal 2 2 4 6 4 2 2 8" xfId="17313"/>
    <cellStyle name="Normal 2 2 4 6 4 2 2 8 2" xfId="17314"/>
    <cellStyle name="Normal 2 2 4 6 4 2 2 9" xfId="17315"/>
    <cellStyle name="Normal 2 2 4 6 4 2 2 9 2" xfId="17316"/>
    <cellStyle name="Normal 2 2 4 6 4 2 3" xfId="17317"/>
    <cellStyle name="Normal 2 2 4 6 4 2 3 2" xfId="17318"/>
    <cellStyle name="Normal 2 2 4 6 4 2 4" xfId="17319"/>
    <cellStyle name="Normal 2 2 4 6 4 2 4 2" xfId="17320"/>
    <cellStyle name="Normal 2 2 4 6 4 2 5" xfId="17321"/>
    <cellStyle name="Normal 2 2 4 6 4 2 5 2" xfId="17322"/>
    <cellStyle name="Normal 2 2 4 6 4 2 6" xfId="17323"/>
    <cellStyle name="Normal 2 2 4 6 4 2 6 2" xfId="17324"/>
    <cellStyle name="Normal 2 2 4 6 4 2 7" xfId="17325"/>
    <cellStyle name="Normal 2 2 4 6 4 2 7 2" xfId="17326"/>
    <cellStyle name="Normal 2 2 4 6 4 2 8" xfId="17327"/>
    <cellStyle name="Normal 2 2 4 6 4 2 8 2" xfId="17328"/>
    <cellStyle name="Normal 2 2 4 6 4 2 9" xfId="17329"/>
    <cellStyle name="Normal 2 2 4 6 4 2 9 2" xfId="17330"/>
    <cellStyle name="Normal 2 2 4 6 4 3" xfId="17331"/>
    <cellStyle name="Normal 2 2 4 6 4 3 10" xfId="17332"/>
    <cellStyle name="Normal 2 2 4 6 4 3 10 2" xfId="17333"/>
    <cellStyle name="Normal 2 2 4 6 4 3 11" xfId="17334"/>
    <cellStyle name="Normal 2 2 4 6 4 3 2" xfId="17335"/>
    <cellStyle name="Normal 2 2 4 6 4 3 2 2" xfId="17336"/>
    <cellStyle name="Normal 2 2 4 6 4 3 3" xfId="17337"/>
    <cellStyle name="Normal 2 2 4 6 4 3 3 2" xfId="17338"/>
    <cellStyle name="Normal 2 2 4 6 4 3 4" xfId="17339"/>
    <cellStyle name="Normal 2 2 4 6 4 3 4 2" xfId="17340"/>
    <cellStyle name="Normal 2 2 4 6 4 3 5" xfId="17341"/>
    <cellStyle name="Normal 2 2 4 6 4 3 5 2" xfId="17342"/>
    <cellStyle name="Normal 2 2 4 6 4 3 6" xfId="17343"/>
    <cellStyle name="Normal 2 2 4 6 4 3 6 2" xfId="17344"/>
    <cellStyle name="Normal 2 2 4 6 4 3 7" xfId="17345"/>
    <cellStyle name="Normal 2 2 4 6 4 3 7 2" xfId="17346"/>
    <cellStyle name="Normal 2 2 4 6 4 3 8" xfId="17347"/>
    <cellStyle name="Normal 2 2 4 6 4 3 8 2" xfId="17348"/>
    <cellStyle name="Normal 2 2 4 6 4 3 9" xfId="17349"/>
    <cellStyle name="Normal 2 2 4 6 4 3 9 2" xfId="17350"/>
    <cellStyle name="Normal 2 2 4 6 4 4" xfId="17351"/>
    <cellStyle name="Normal 2 2 4 6 4 4 2" xfId="17352"/>
    <cellStyle name="Normal 2 2 4 6 4 5" xfId="17353"/>
    <cellStyle name="Normal 2 2 4 6 4 5 2" xfId="17354"/>
    <cellStyle name="Normal 2 2 4 6 4 6" xfId="17355"/>
    <cellStyle name="Normal 2 2 4 6 4 6 2" xfId="17356"/>
    <cellStyle name="Normal 2 2 4 6 4 7" xfId="17357"/>
    <cellStyle name="Normal 2 2 4 6 4 7 2" xfId="17358"/>
    <cellStyle name="Normal 2 2 4 6 4 8" xfId="17359"/>
    <cellStyle name="Normal 2 2 4 6 4 8 2" xfId="17360"/>
    <cellStyle name="Normal 2 2 4 6 4 9" xfId="17361"/>
    <cellStyle name="Normal 2 2 4 6 4 9 2" xfId="17362"/>
    <cellStyle name="Normal 2 2 4 6 5" xfId="17363"/>
    <cellStyle name="Normal 2 2 4 6 5 10" xfId="17364"/>
    <cellStyle name="Normal 2 2 4 6 5 10 2" xfId="17365"/>
    <cellStyle name="Normal 2 2 4 6 5 11" xfId="17366"/>
    <cellStyle name="Normal 2 2 4 6 5 11 2" xfId="17367"/>
    <cellStyle name="Normal 2 2 4 6 5 12" xfId="17368"/>
    <cellStyle name="Normal 2 2 4 6 5 12 2" xfId="17369"/>
    <cellStyle name="Normal 2 2 4 6 5 13" xfId="17370"/>
    <cellStyle name="Normal 2 2 4 6 5 2" xfId="17371"/>
    <cellStyle name="Normal 2 2 4 6 5 2 10" xfId="17372"/>
    <cellStyle name="Normal 2 2 4 6 5 2 10 2" xfId="17373"/>
    <cellStyle name="Normal 2 2 4 6 5 2 11" xfId="17374"/>
    <cellStyle name="Normal 2 2 4 6 5 2 11 2" xfId="17375"/>
    <cellStyle name="Normal 2 2 4 6 5 2 12" xfId="17376"/>
    <cellStyle name="Normal 2 2 4 6 5 2 2" xfId="17377"/>
    <cellStyle name="Normal 2 2 4 6 5 2 2 10" xfId="17378"/>
    <cellStyle name="Normal 2 2 4 6 5 2 2 10 2" xfId="17379"/>
    <cellStyle name="Normal 2 2 4 6 5 2 2 11" xfId="17380"/>
    <cellStyle name="Normal 2 2 4 6 5 2 2 2" xfId="17381"/>
    <cellStyle name="Normal 2 2 4 6 5 2 2 2 2" xfId="17382"/>
    <cellStyle name="Normal 2 2 4 6 5 2 2 3" xfId="17383"/>
    <cellStyle name="Normal 2 2 4 6 5 2 2 3 2" xfId="17384"/>
    <cellStyle name="Normal 2 2 4 6 5 2 2 4" xfId="17385"/>
    <cellStyle name="Normal 2 2 4 6 5 2 2 4 2" xfId="17386"/>
    <cellStyle name="Normal 2 2 4 6 5 2 2 5" xfId="17387"/>
    <cellStyle name="Normal 2 2 4 6 5 2 2 5 2" xfId="17388"/>
    <cellStyle name="Normal 2 2 4 6 5 2 2 6" xfId="17389"/>
    <cellStyle name="Normal 2 2 4 6 5 2 2 6 2" xfId="17390"/>
    <cellStyle name="Normal 2 2 4 6 5 2 2 7" xfId="17391"/>
    <cellStyle name="Normal 2 2 4 6 5 2 2 7 2" xfId="17392"/>
    <cellStyle name="Normal 2 2 4 6 5 2 2 8" xfId="17393"/>
    <cellStyle name="Normal 2 2 4 6 5 2 2 8 2" xfId="17394"/>
    <cellStyle name="Normal 2 2 4 6 5 2 2 9" xfId="17395"/>
    <cellStyle name="Normal 2 2 4 6 5 2 2 9 2" xfId="17396"/>
    <cellStyle name="Normal 2 2 4 6 5 2 3" xfId="17397"/>
    <cellStyle name="Normal 2 2 4 6 5 2 3 2" xfId="17398"/>
    <cellStyle name="Normal 2 2 4 6 5 2 4" xfId="17399"/>
    <cellStyle name="Normal 2 2 4 6 5 2 4 2" xfId="17400"/>
    <cellStyle name="Normal 2 2 4 6 5 2 5" xfId="17401"/>
    <cellStyle name="Normal 2 2 4 6 5 2 5 2" xfId="17402"/>
    <cellStyle name="Normal 2 2 4 6 5 2 6" xfId="17403"/>
    <cellStyle name="Normal 2 2 4 6 5 2 6 2" xfId="17404"/>
    <cellStyle name="Normal 2 2 4 6 5 2 7" xfId="17405"/>
    <cellStyle name="Normal 2 2 4 6 5 2 7 2" xfId="17406"/>
    <cellStyle name="Normal 2 2 4 6 5 2 8" xfId="17407"/>
    <cellStyle name="Normal 2 2 4 6 5 2 8 2" xfId="17408"/>
    <cellStyle name="Normal 2 2 4 6 5 2 9" xfId="17409"/>
    <cellStyle name="Normal 2 2 4 6 5 2 9 2" xfId="17410"/>
    <cellStyle name="Normal 2 2 4 6 5 3" xfId="17411"/>
    <cellStyle name="Normal 2 2 4 6 5 3 10" xfId="17412"/>
    <cellStyle name="Normal 2 2 4 6 5 3 10 2" xfId="17413"/>
    <cellStyle name="Normal 2 2 4 6 5 3 11" xfId="17414"/>
    <cellStyle name="Normal 2 2 4 6 5 3 2" xfId="17415"/>
    <cellStyle name="Normal 2 2 4 6 5 3 2 2" xfId="17416"/>
    <cellStyle name="Normal 2 2 4 6 5 3 3" xfId="17417"/>
    <cellStyle name="Normal 2 2 4 6 5 3 3 2" xfId="17418"/>
    <cellStyle name="Normal 2 2 4 6 5 3 4" xfId="17419"/>
    <cellStyle name="Normal 2 2 4 6 5 3 4 2" xfId="17420"/>
    <cellStyle name="Normal 2 2 4 6 5 3 5" xfId="17421"/>
    <cellStyle name="Normal 2 2 4 6 5 3 5 2" xfId="17422"/>
    <cellStyle name="Normal 2 2 4 6 5 3 6" xfId="17423"/>
    <cellStyle name="Normal 2 2 4 6 5 3 6 2" xfId="17424"/>
    <cellStyle name="Normal 2 2 4 6 5 3 7" xfId="17425"/>
    <cellStyle name="Normal 2 2 4 6 5 3 7 2" xfId="17426"/>
    <cellStyle name="Normal 2 2 4 6 5 3 8" xfId="17427"/>
    <cellStyle name="Normal 2 2 4 6 5 3 8 2" xfId="17428"/>
    <cellStyle name="Normal 2 2 4 6 5 3 9" xfId="17429"/>
    <cellStyle name="Normal 2 2 4 6 5 3 9 2" xfId="17430"/>
    <cellStyle name="Normal 2 2 4 6 5 4" xfId="17431"/>
    <cellStyle name="Normal 2 2 4 6 5 4 2" xfId="17432"/>
    <cellStyle name="Normal 2 2 4 6 5 5" xfId="17433"/>
    <cellStyle name="Normal 2 2 4 6 5 5 2" xfId="17434"/>
    <cellStyle name="Normal 2 2 4 6 5 6" xfId="17435"/>
    <cellStyle name="Normal 2 2 4 6 5 6 2" xfId="17436"/>
    <cellStyle name="Normal 2 2 4 6 5 7" xfId="17437"/>
    <cellStyle name="Normal 2 2 4 6 5 7 2" xfId="17438"/>
    <cellStyle name="Normal 2 2 4 6 5 8" xfId="17439"/>
    <cellStyle name="Normal 2 2 4 6 5 8 2" xfId="17440"/>
    <cellStyle name="Normal 2 2 4 6 5 9" xfId="17441"/>
    <cellStyle name="Normal 2 2 4 6 5 9 2" xfId="17442"/>
    <cellStyle name="Normal 2 2 4 6 6" xfId="41929"/>
    <cellStyle name="Normal 2 2 4 7" xfId="17443"/>
    <cellStyle name="Normal 2 2 4 7 2" xfId="41930"/>
    <cellStyle name="Normal 2 2 4 8" xfId="17444"/>
    <cellStyle name="Normal 2 2 4 8 2" xfId="41931"/>
    <cellStyle name="Normal 2 2 4 9" xfId="17445"/>
    <cellStyle name="Normal 2 2 4 9 2" xfId="41932"/>
    <cellStyle name="Normal 2 2 5" xfId="17446"/>
    <cellStyle name="Normal 2 2 5 2" xfId="41933"/>
    <cellStyle name="Normal 2 2 6" xfId="17447"/>
    <cellStyle name="Normal 2 2 6 2" xfId="41934"/>
    <cellStyle name="Normal 2 2 7" xfId="17448"/>
    <cellStyle name="Normal 2 2 7 2" xfId="41935"/>
    <cellStyle name="Normal 2 2 8" xfId="17449"/>
    <cellStyle name="Normal 2 2 8 2" xfId="41936"/>
    <cellStyle name="Normal 2 2 9" xfId="17450"/>
    <cellStyle name="Normal 2 2 9 2" xfId="41937"/>
    <cellStyle name="Normal 2 20" xfId="17451"/>
    <cellStyle name="Normal 2 20 2" xfId="41938"/>
    <cellStyle name="Normal 2 21" xfId="17452"/>
    <cellStyle name="Normal 2 22" xfId="17453"/>
    <cellStyle name="Normal 2 22 2" xfId="41939"/>
    <cellStyle name="Normal 2 3" xfId="196"/>
    <cellStyle name="Normal 2 3 10" xfId="17454"/>
    <cellStyle name="Normal 2 3 10 2" xfId="41940"/>
    <cellStyle name="Normal 2 3 11" xfId="17455"/>
    <cellStyle name="Normal 2 3 11 2" xfId="41941"/>
    <cellStyle name="Normal 2 3 12" xfId="17456"/>
    <cellStyle name="Normal 2 3 12 2" xfId="41942"/>
    <cellStyle name="Normal 2 3 13" xfId="17457"/>
    <cellStyle name="Normal 2 3 13 10" xfId="17458"/>
    <cellStyle name="Normal 2 3 13 10 2" xfId="17459"/>
    <cellStyle name="Normal 2 3 13 11" xfId="17460"/>
    <cellStyle name="Normal 2 3 13 11 2" xfId="17461"/>
    <cellStyle name="Normal 2 3 13 12" xfId="17462"/>
    <cellStyle name="Normal 2 3 13 12 2" xfId="17463"/>
    <cellStyle name="Normal 2 3 13 13" xfId="17464"/>
    <cellStyle name="Normal 2 3 13 13 2" xfId="17465"/>
    <cellStyle name="Normal 2 3 13 14" xfId="17466"/>
    <cellStyle name="Normal 2 3 13 14 2" xfId="17467"/>
    <cellStyle name="Normal 2 3 13 15" xfId="17468"/>
    <cellStyle name="Normal 2 3 13 15 2" xfId="17469"/>
    <cellStyle name="Normal 2 3 13 16" xfId="17470"/>
    <cellStyle name="Normal 2 3 13 16 2" xfId="17471"/>
    <cellStyle name="Normal 2 3 13 17" xfId="17472"/>
    <cellStyle name="Normal 2 3 13 2" xfId="17473"/>
    <cellStyle name="Normal 2 3 13 2 2" xfId="41943"/>
    <cellStyle name="Normal 2 3 13 3" xfId="17474"/>
    <cellStyle name="Normal 2 3 13 3 2" xfId="41944"/>
    <cellStyle name="Normal 2 3 13 4" xfId="17475"/>
    <cellStyle name="Normal 2 3 13 4 2" xfId="41945"/>
    <cellStyle name="Normal 2 3 13 5" xfId="17476"/>
    <cellStyle name="Normal 2 3 13 5 2" xfId="41946"/>
    <cellStyle name="Normal 2 3 13 6" xfId="17477"/>
    <cellStyle name="Normal 2 3 13 6 10" xfId="17478"/>
    <cellStyle name="Normal 2 3 13 6 10 2" xfId="17479"/>
    <cellStyle name="Normal 2 3 13 6 11" xfId="17480"/>
    <cellStyle name="Normal 2 3 13 6 11 2" xfId="17481"/>
    <cellStyle name="Normal 2 3 13 6 12" xfId="17482"/>
    <cellStyle name="Normal 2 3 13 6 2" xfId="17483"/>
    <cellStyle name="Normal 2 3 13 6 2 10" xfId="17484"/>
    <cellStyle name="Normal 2 3 13 6 2 10 2" xfId="17485"/>
    <cellStyle name="Normal 2 3 13 6 2 11" xfId="17486"/>
    <cellStyle name="Normal 2 3 13 6 2 2" xfId="17487"/>
    <cellStyle name="Normal 2 3 13 6 2 2 2" xfId="17488"/>
    <cellStyle name="Normal 2 3 13 6 2 3" xfId="17489"/>
    <cellStyle name="Normal 2 3 13 6 2 3 2" xfId="17490"/>
    <cellStyle name="Normal 2 3 13 6 2 4" xfId="17491"/>
    <cellStyle name="Normal 2 3 13 6 2 4 2" xfId="17492"/>
    <cellStyle name="Normal 2 3 13 6 2 5" xfId="17493"/>
    <cellStyle name="Normal 2 3 13 6 2 5 2" xfId="17494"/>
    <cellStyle name="Normal 2 3 13 6 2 6" xfId="17495"/>
    <cellStyle name="Normal 2 3 13 6 2 6 2" xfId="17496"/>
    <cellStyle name="Normal 2 3 13 6 2 7" xfId="17497"/>
    <cellStyle name="Normal 2 3 13 6 2 7 2" xfId="17498"/>
    <cellStyle name="Normal 2 3 13 6 2 8" xfId="17499"/>
    <cellStyle name="Normal 2 3 13 6 2 8 2" xfId="17500"/>
    <cellStyle name="Normal 2 3 13 6 2 9" xfId="17501"/>
    <cellStyle name="Normal 2 3 13 6 2 9 2" xfId="17502"/>
    <cellStyle name="Normal 2 3 13 6 3" xfId="17503"/>
    <cellStyle name="Normal 2 3 13 6 3 2" xfId="17504"/>
    <cellStyle name="Normal 2 3 13 6 4" xfId="17505"/>
    <cellStyle name="Normal 2 3 13 6 4 2" xfId="17506"/>
    <cellStyle name="Normal 2 3 13 6 5" xfId="17507"/>
    <cellStyle name="Normal 2 3 13 6 5 2" xfId="17508"/>
    <cellStyle name="Normal 2 3 13 6 6" xfId="17509"/>
    <cellStyle name="Normal 2 3 13 6 6 2" xfId="17510"/>
    <cellStyle name="Normal 2 3 13 6 7" xfId="17511"/>
    <cellStyle name="Normal 2 3 13 6 7 2" xfId="17512"/>
    <cellStyle name="Normal 2 3 13 6 8" xfId="17513"/>
    <cellStyle name="Normal 2 3 13 6 8 2" xfId="17514"/>
    <cellStyle name="Normal 2 3 13 6 9" xfId="17515"/>
    <cellStyle name="Normal 2 3 13 6 9 2" xfId="17516"/>
    <cellStyle name="Normal 2 3 13 7" xfId="17517"/>
    <cellStyle name="Normal 2 3 13 7 10" xfId="17518"/>
    <cellStyle name="Normal 2 3 13 7 10 2" xfId="17519"/>
    <cellStyle name="Normal 2 3 13 7 11" xfId="17520"/>
    <cellStyle name="Normal 2 3 13 7 2" xfId="17521"/>
    <cellStyle name="Normal 2 3 13 7 2 2" xfId="17522"/>
    <cellStyle name="Normal 2 3 13 7 3" xfId="17523"/>
    <cellStyle name="Normal 2 3 13 7 3 2" xfId="17524"/>
    <cellStyle name="Normal 2 3 13 7 4" xfId="17525"/>
    <cellStyle name="Normal 2 3 13 7 4 2" xfId="17526"/>
    <cellStyle name="Normal 2 3 13 7 5" xfId="17527"/>
    <cellStyle name="Normal 2 3 13 7 5 2" xfId="17528"/>
    <cellStyle name="Normal 2 3 13 7 6" xfId="17529"/>
    <cellStyle name="Normal 2 3 13 7 6 2" xfId="17530"/>
    <cellStyle name="Normal 2 3 13 7 7" xfId="17531"/>
    <cellStyle name="Normal 2 3 13 7 7 2" xfId="17532"/>
    <cellStyle name="Normal 2 3 13 7 8" xfId="17533"/>
    <cellStyle name="Normal 2 3 13 7 8 2" xfId="17534"/>
    <cellStyle name="Normal 2 3 13 7 9" xfId="17535"/>
    <cellStyle name="Normal 2 3 13 7 9 2" xfId="17536"/>
    <cellStyle name="Normal 2 3 13 8" xfId="17537"/>
    <cellStyle name="Normal 2 3 13 8 2" xfId="17538"/>
    <cellStyle name="Normal 2 3 13 9" xfId="17539"/>
    <cellStyle name="Normal 2 3 13 9 2" xfId="17540"/>
    <cellStyle name="Normal 2 3 14" xfId="17541"/>
    <cellStyle name="Normal 2 3 14 10" xfId="17542"/>
    <cellStyle name="Normal 2 3 14 10 2" xfId="17543"/>
    <cellStyle name="Normal 2 3 14 11" xfId="17544"/>
    <cellStyle name="Normal 2 3 14 11 2" xfId="17545"/>
    <cellStyle name="Normal 2 3 14 12" xfId="17546"/>
    <cellStyle name="Normal 2 3 14 12 2" xfId="17547"/>
    <cellStyle name="Normal 2 3 14 13" xfId="17548"/>
    <cellStyle name="Normal 2 3 14 2" xfId="17549"/>
    <cellStyle name="Normal 2 3 14 2 10" xfId="17550"/>
    <cellStyle name="Normal 2 3 14 2 10 2" xfId="17551"/>
    <cellStyle name="Normal 2 3 14 2 11" xfId="17552"/>
    <cellStyle name="Normal 2 3 14 2 11 2" xfId="17553"/>
    <cellStyle name="Normal 2 3 14 2 12" xfId="17554"/>
    <cellStyle name="Normal 2 3 14 2 2" xfId="17555"/>
    <cellStyle name="Normal 2 3 14 2 2 10" xfId="17556"/>
    <cellStyle name="Normal 2 3 14 2 2 10 2" xfId="17557"/>
    <cellStyle name="Normal 2 3 14 2 2 11" xfId="17558"/>
    <cellStyle name="Normal 2 3 14 2 2 2" xfId="17559"/>
    <cellStyle name="Normal 2 3 14 2 2 2 2" xfId="17560"/>
    <cellStyle name="Normal 2 3 14 2 2 3" xfId="17561"/>
    <cellStyle name="Normal 2 3 14 2 2 3 2" xfId="17562"/>
    <cellStyle name="Normal 2 3 14 2 2 4" xfId="17563"/>
    <cellStyle name="Normal 2 3 14 2 2 4 2" xfId="17564"/>
    <cellStyle name="Normal 2 3 14 2 2 5" xfId="17565"/>
    <cellStyle name="Normal 2 3 14 2 2 5 2" xfId="17566"/>
    <cellStyle name="Normal 2 3 14 2 2 6" xfId="17567"/>
    <cellStyle name="Normal 2 3 14 2 2 6 2" xfId="17568"/>
    <cellStyle name="Normal 2 3 14 2 2 7" xfId="17569"/>
    <cellStyle name="Normal 2 3 14 2 2 7 2" xfId="17570"/>
    <cellStyle name="Normal 2 3 14 2 2 8" xfId="17571"/>
    <cellStyle name="Normal 2 3 14 2 2 8 2" xfId="17572"/>
    <cellStyle name="Normal 2 3 14 2 2 9" xfId="17573"/>
    <cellStyle name="Normal 2 3 14 2 2 9 2" xfId="17574"/>
    <cellStyle name="Normal 2 3 14 2 3" xfId="17575"/>
    <cellStyle name="Normal 2 3 14 2 3 2" xfId="17576"/>
    <cellStyle name="Normal 2 3 14 2 4" xfId="17577"/>
    <cellStyle name="Normal 2 3 14 2 4 2" xfId="17578"/>
    <cellStyle name="Normal 2 3 14 2 5" xfId="17579"/>
    <cellStyle name="Normal 2 3 14 2 5 2" xfId="17580"/>
    <cellStyle name="Normal 2 3 14 2 6" xfId="17581"/>
    <cellStyle name="Normal 2 3 14 2 6 2" xfId="17582"/>
    <cellStyle name="Normal 2 3 14 2 7" xfId="17583"/>
    <cellStyle name="Normal 2 3 14 2 7 2" xfId="17584"/>
    <cellStyle name="Normal 2 3 14 2 8" xfId="17585"/>
    <cellStyle name="Normal 2 3 14 2 8 2" xfId="17586"/>
    <cellStyle name="Normal 2 3 14 2 9" xfId="17587"/>
    <cellStyle name="Normal 2 3 14 2 9 2" xfId="17588"/>
    <cellStyle name="Normal 2 3 14 3" xfId="17589"/>
    <cellStyle name="Normal 2 3 14 3 10" xfId="17590"/>
    <cellStyle name="Normal 2 3 14 3 10 2" xfId="17591"/>
    <cellStyle name="Normal 2 3 14 3 11" xfId="17592"/>
    <cellStyle name="Normal 2 3 14 3 2" xfId="17593"/>
    <cellStyle name="Normal 2 3 14 3 2 2" xfId="17594"/>
    <cellStyle name="Normal 2 3 14 3 3" xfId="17595"/>
    <cellStyle name="Normal 2 3 14 3 3 2" xfId="17596"/>
    <cellStyle name="Normal 2 3 14 3 4" xfId="17597"/>
    <cellStyle name="Normal 2 3 14 3 4 2" xfId="17598"/>
    <cellStyle name="Normal 2 3 14 3 5" xfId="17599"/>
    <cellStyle name="Normal 2 3 14 3 5 2" xfId="17600"/>
    <cellStyle name="Normal 2 3 14 3 6" xfId="17601"/>
    <cellStyle name="Normal 2 3 14 3 6 2" xfId="17602"/>
    <cellStyle name="Normal 2 3 14 3 7" xfId="17603"/>
    <cellStyle name="Normal 2 3 14 3 7 2" xfId="17604"/>
    <cellStyle name="Normal 2 3 14 3 8" xfId="17605"/>
    <cellStyle name="Normal 2 3 14 3 8 2" xfId="17606"/>
    <cellStyle name="Normal 2 3 14 3 9" xfId="17607"/>
    <cellStyle name="Normal 2 3 14 3 9 2" xfId="17608"/>
    <cellStyle name="Normal 2 3 14 4" xfId="17609"/>
    <cellStyle name="Normal 2 3 14 4 2" xfId="17610"/>
    <cellStyle name="Normal 2 3 14 5" xfId="17611"/>
    <cellStyle name="Normal 2 3 14 5 2" xfId="17612"/>
    <cellStyle name="Normal 2 3 14 6" xfId="17613"/>
    <cellStyle name="Normal 2 3 14 6 2" xfId="17614"/>
    <cellStyle name="Normal 2 3 14 7" xfId="17615"/>
    <cellStyle name="Normal 2 3 14 7 2" xfId="17616"/>
    <cellStyle name="Normal 2 3 14 8" xfId="17617"/>
    <cellStyle name="Normal 2 3 14 8 2" xfId="17618"/>
    <cellStyle name="Normal 2 3 14 9" xfId="17619"/>
    <cellStyle name="Normal 2 3 14 9 2" xfId="17620"/>
    <cellStyle name="Normal 2 3 15" xfId="17621"/>
    <cellStyle name="Normal 2 3 15 10" xfId="17622"/>
    <cellStyle name="Normal 2 3 15 10 2" xfId="17623"/>
    <cellStyle name="Normal 2 3 15 11" xfId="17624"/>
    <cellStyle name="Normal 2 3 15 11 2" xfId="17625"/>
    <cellStyle name="Normal 2 3 15 12" xfId="17626"/>
    <cellStyle name="Normal 2 3 15 12 2" xfId="17627"/>
    <cellStyle name="Normal 2 3 15 13" xfId="17628"/>
    <cellStyle name="Normal 2 3 15 2" xfId="17629"/>
    <cellStyle name="Normal 2 3 15 2 10" xfId="17630"/>
    <cellStyle name="Normal 2 3 15 2 10 2" xfId="17631"/>
    <cellStyle name="Normal 2 3 15 2 11" xfId="17632"/>
    <cellStyle name="Normal 2 3 15 2 11 2" xfId="17633"/>
    <cellStyle name="Normal 2 3 15 2 12" xfId="17634"/>
    <cellStyle name="Normal 2 3 15 2 2" xfId="17635"/>
    <cellStyle name="Normal 2 3 15 2 2 10" xfId="17636"/>
    <cellStyle name="Normal 2 3 15 2 2 10 2" xfId="17637"/>
    <cellStyle name="Normal 2 3 15 2 2 11" xfId="17638"/>
    <cellStyle name="Normal 2 3 15 2 2 2" xfId="17639"/>
    <cellStyle name="Normal 2 3 15 2 2 2 2" xfId="17640"/>
    <cellStyle name="Normal 2 3 15 2 2 3" xfId="17641"/>
    <cellStyle name="Normal 2 3 15 2 2 3 2" xfId="17642"/>
    <cellStyle name="Normal 2 3 15 2 2 4" xfId="17643"/>
    <cellStyle name="Normal 2 3 15 2 2 4 2" xfId="17644"/>
    <cellStyle name="Normal 2 3 15 2 2 5" xfId="17645"/>
    <cellStyle name="Normal 2 3 15 2 2 5 2" xfId="17646"/>
    <cellStyle name="Normal 2 3 15 2 2 6" xfId="17647"/>
    <cellStyle name="Normal 2 3 15 2 2 6 2" xfId="17648"/>
    <cellStyle name="Normal 2 3 15 2 2 7" xfId="17649"/>
    <cellStyle name="Normal 2 3 15 2 2 7 2" xfId="17650"/>
    <cellStyle name="Normal 2 3 15 2 2 8" xfId="17651"/>
    <cellStyle name="Normal 2 3 15 2 2 8 2" xfId="17652"/>
    <cellStyle name="Normal 2 3 15 2 2 9" xfId="17653"/>
    <cellStyle name="Normal 2 3 15 2 2 9 2" xfId="17654"/>
    <cellStyle name="Normal 2 3 15 2 3" xfId="17655"/>
    <cellStyle name="Normal 2 3 15 2 3 2" xfId="17656"/>
    <cellStyle name="Normal 2 3 15 2 4" xfId="17657"/>
    <cellStyle name="Normal 2 3 15 2 4 2" xfId="17658"/>
    <cellStyle name="Normal 2 3 15 2 5" xfId="17659"/>
    <cellStyle name="Normal 2 3 15 2 5 2" xfId="17660"/>
    <cellStyle name="Normal 2 3 15 2 6" xfId="17661"/>
    <cellStyle name="Normal 2 3 15 2 6 2" xfId="17662"/>
    <cellStyle name="Normal 2 3 15 2 7" xfId="17663"/>
    <cellStyle name="Normal 2 3 15 2 7 2" xfId="17664"/>
    <cellStyle name="Normal 2 3 15 2 8" xfId="17665"/>
    <cellStyle name="Normal 2 3 15 2 8 2" xfId="17666"/>
    <cellStyle name="Normal 2 3 15 2 9" xfId="17667"/>
    <cellStyle name="Normal 2 3 15 2 9 2" xfId="17668"/>
    <cellStyle name="Normal 2 3 15 3" xfId="17669"/>
    <cellStyle name="Normal 2 3 15 3 10" xfId="17670"/>
    <cellStyle name="Normal 2 3 15 3 10 2" xfId="17671"/>
    <cellStyle name="Normal 2 3 15 3 11" xfId="17672"/>
    <cellStyle name="Normal 2 3 15 3 2" xfId="17673"/>
    <cellStyle name="Normal 2 3 15 3 2 2" xfId="17674"/>
    <cellStyle name="Normal 2 3 15 3 3" xfId="17675"/>
    <cellStyle name="Normal 2 3 15 3 3 2" xfId="17676"/>
    <cellStyle name="Normal 2 3 15 3 4" xfId="17677"/>
    <cellStyle name="Normal 2 3 15 3 4 2" xfId="17678"/>
    <cellStyle name="Normal 2 3 15 3 5" xfId="17679"/>
    <cellStyle name="Normal 2 3 15 3 5 2" xfId="17680"/>
    <cellStyle name="Normal 2 3 15 3 6" xfId="17681"/>
    <cellStyle name="Normal 2 3 15 3 6 2" xfId="17682"/>
    <cellStyle name="Normal 2 3 15 3 7" xfId="17683"/>
    <cellStyle name="Normal 2 3 15 3 7 2" xfId="17684"/>
    <cellStyle name="Normal 2 3 15 3 8" xfId="17685"/>
    <cellStyle name="Normal 2 3 15 3 8 2" xfId="17686"/>
    <cellStyle name="Normal 2 3 15 3 9" xfId="17687"/>
    <cellStyle name="Normal 2 3 15 3 9 2" xfId="17688"/>
    <cellStyle name="Normal 2 3 15 4" xfId="17689"/>
    <cellStyle name="Normal 2 3 15 4 2" xfId="17690"/>
    <cellStyle name="Normal 2 3 15 5" xfId="17691"/>
    <cellStyle name="Normal 2 3 15 5 2" xfId="17692"/>
    <cellStyle name="Normal 2 3 15 6" xfId="17693"/>
    <cellStyle name="Normal 2 3 15 6 2" xfId="17694"/>
    <cellStyle name="Normal 2 3 15 7" xfId="17695"/>
    <cellStyle name="Normal 2 3 15 7 2" xfId="17696"/>
    <cellStyle name="Normal 2 3 15 8" xfId="17697"/>
    <cellStyle name="Normal 2 3 15 8 2" xfId="17698"/>
    <cellStyle name="Normal 2 3 15 9" xfId="17699"/>
    <cellStyle name="Normal 2 3 15 9 2" xfId="17700"/>
    <cellStyle name="Normal 2 3 16" xfId="17701"/>
    <cellStyle name="Normal 2 3 16 10" xfId="17702"/>
    <cellStyle name="Normal 2 3 16 10 2" xfId="17703"/>
    <cellStyle name="Normal 2 3 16 11" xfId="17704"/>
    <cellStyle name="Normal 2 3 16 11 2" xfId="17705"/>
    <cellStyle name="Normal 2 3 16 12" xfId="17706"/>
    <cellStyle name="Normal 2 3 16 12 2" xfId="17707"/>
    <cellStyle name="Normal 2 3 16 13" xfId="17708"/>
    <cellStyle name="Normal 2 3 16 2" xfId="17709"/>
    <cellStyle name="Normal 2 3 16 2 10" xfId="17710"/>
    <cellStyle name="Normal 2 3 16 2 10 2" xfId="17711"/>
    <cellStyle name="Normal 2 3 16 2 11" xfId="17712"/>
    <cellStyle name="Normal 2 3 16 2 11 2" xfId="17713"/>
    <cellStyle name="Normal 2 3 16 2 12" xfId="17714"/>
    <cellStyle name="Normal 2 3 16 2 2" xfId="17715"/>
    <cellStyle name="Normal 2 3 16 2 2 10" xfId="17716"/>
    <cellStyle name="Normal 2 3 16 2 2 10 2" xfId="17717"/>
    <cellStyle name="Normal 2 3 16 2 2 11" xfId="17718"/>
    <cellStyle name="Normal 2 3 16 2 2 2" xfId="17719"/>
    <cellStyle name="Normal 2 3 16 2 2 2 2" xfId="17720"/>
    <cellStyle name="Normal 2 3 16 2 2 3" xfId="17721"/>
    <cellStyle name="Normal 2 3 16 2 2 3 2" xfId="17722"/>
    <cellStyle name="Normal 2 3 16 2 2 4" xfId="17723"/>
    <cellStyle name="Normal 2 3 16 2 2 4 2" xfId="17724"/>
    <cellStyle name="Normal 2 3 16 2 2 5" xfId="17725"/>
    <cellStyle name="Normal 2 3 16 2 2 5 2" xfId="17726"/>
    <cellStyle name="Normal 2 3 16 2 2 6" xfId="17727"/>
    <cellStyle name="Normal 2 3 16 2 2 6 2" xfId="17728"/>
    <cellStyle name="Normal 2 3 16 2 2 7" xfId="17729"/>
    <cellStyle name="Normal 2 3 16 2 2 7 2" xfId="17730"/>
    <cellStyle name="Normal 2 3 16 2 2 8" xfId="17731"/>
    <cellStyle name="Normal 2 3 16 2 2 8 2" xfId="17732"/>
    <cellStyle name="Normal 2 3 16 2 2 9" xfId="17733"/>
    <cellStyle name="Normal 2 3 16 2 2 9 2" xfId="17734"/>
    <cellStyle name="Normal 2 3 16 2 3" xfId="17735"/>
    <cellStyle name="Normal 2 3 16 2 3 2" xfId="17736"/>
    <cellStyle name="Normal 2 3 16 2 4" xfId="17737"/>
    <cellStyle name="Normal 2 3 16 2 4 2" xfId="17738"/>
    <cellStyle name="Normal 2 3 16 2 5" xfId="17739"/>
    <cellStyle name="Normal 2 3 16 2 5 2" xfId="17740"/>
    <cellStyle name="Normal 2 3 16 2 6" xfId="17741"/>
    <cellStyle name="Normal 2 3 16 2 6 2" xfId="17742"/>
    <cellStyle name="Normal 2 3 16 2 7" xfId="17743"/>
    <cellStyle name="Normal 2 3 16 2 7 2" xfId="17744"/>
    <cellStyle name="Normal 2 3 16 2 8" xfId="17745"/>
    <cellStyle name="Normal 2 3 16 2 8 2" xfId="17746"/>
    <cellStyle name="Normal 2 3 16 2 9" xfId="17747"/>
    <cellStyle name="Normal 2 3 16 2 9 2" xfId="17748"/>
    <cellStyle name="Normal 2 3 16 3" xfId="17749"/>
    <cellStyle name="Normal 2 3 16 3 10" xfId="17750"/>
    <cellStyle name="Normal 2 3 16 3 10 2" xfId="17751"/>
    <cellStyle name="Normal 2 3 16 3 11" xfId="17752"/>
    <cellStyle name="Normal 2 3 16 3 2" xfId="17753"/>
    <cellStyle name="Normal 2 3 16 3 2 2" xfId="17754"/>
    <cellStyle name="Normal 2 3 16 3 3" xfId="17755"/>
    <cellStyle name="Normal 2 3 16 3 3 2" xfId="17756"/>
    <cellStyle name="Normal 2 3 16 3 4" xfId="17757"/>
    <cellStyle name="Normal 2 3 16 3 4 2" xfId="17758"/>
    <cellStyle name="Normal 2 3 16 3 5" xfId="17759"/>
    <cellStyle name="Normal 2 3 16 3 5 2" xfId="17760"/>
    <cellStyle name="Normal 2 3 16 3 6" xfId="17761"/>
    <cellStyle name="Normal 2 3 16 3 6 2" xfId="17762"/>
    <cellStyle name="Normal 2 3 16 3 7" xfId="17763"/>
    <cellStyle name="Normal 2 3 16 3 7 2" xfId="17764"/>
    <cellStyle name="Normal 2 3 16 3 8" xfId="17765"/>
    <cellStyle name="Normal 2 3 16 3 8 2" xfId="17766"/>
    <cellStyle name="Normal 2 3 16 3 9" xfId="17767"/>
    <cellStyle name="Normal 2 3 16 3 9 2" xfId="17768"/>
    <cellStyle name="Normal 2 3 16 4" xfId="17769"/>
    <cellStyle name="Normal 2 3 16 4 2" xfId="17770"/>
    <cellStyle name="Normal 2 3 16 5" xfId="17771"/>
    <cellStyle name="Normal 2 3 16 5 2" xfId="17772"/>
    <cellStyle name="Normal 2 3 16 6" xfId="17773"/>
    <cellStyle name="Normal 2 3 16 6 2" xfId="17774"/>
    <cellStyle name="Normal 2 3 16 7" xfId="17775"/>
    <cellStyle name="Normal 2 3 16 7 2" xfId="17776"/>
    <cellStyle name="Normal 2 3 16 8" xfId="17777"/>
    <cellStyle name="Normal 2 3 16 8 2" xfId="17778"/>
    <cellStyle name="Normal 2 3 16 9" xfId="17779"/>
    <cellStyle name="Normal 2 3 16 9 2" xfId="17780"/>
    <cellStyle name="Normal 2 3 17" xfId="17781"/>
    <cellStyle name="Normal 2 3 18" xfId="17782"/>
    <cellStyle name="Normal 2 3 19" xfId="17783"/>
    <cellStyle name="Normal 2 3 2" xfId="197"/>
    <cellStyle name="Normal 2 3 2 10" xfId="17784"/>
    <cellStyle name="Normal 2 3 2 10 10" xfId="17785"/>
    <cellStyle name="Normal 2 3 2 10 10 2" xfId="17786"/>
    <cellStyle name="Normal 2 3 2 10 11" xfId="17787"/>
    <cellStyle name="Normal 2 3 2 10 11 2" xfId="17788"/>
    <cellStyle name="Normal 2 3 2 10 12" xfId="17789"/>
    <cellStyle name="Normal 2 3 2 10 12 2" xfId="17790"/>
    <cellStyle name="Normal 2 3 2 10 13" xfId="17791"/>
    <cellStyle name="Normal 2 3 2 10 2" xfId="17792"/>
    <cellStyle name="Normal 2 3 2 10 2 10" xfId="17793"/>
    <cellStyle name="Normal 2 3 2 10 2 10 2" xfId="17794"/>
    <cellStyle name="Normal 2 3 2 10 2 11" xfId="17795"/>
    <cellStyle name="Normal 2 3 2 10 2 11 2" xfId="17796"/>
    <cellStyle name="Normal 2 3 2 10 2 12" xfId="17797"/>
    <cellStyle name="Normal 2 3 2 10 2 2" xfId="17798"/>
    <cellStyle name="Normal 2 3 2 10 2 2 10" xfId="17799"/>
    <cellStyle name="Normal 2 3 2 10 2 2 10 2" xfId="17800"/>
    <cellStyle name="Normal 2 3 2 10 2 2 11" xfId="17801"/>
    <cellStyle name="Normal 2 3 2 10 2 2 2" xfId="17802"/>
    <cellStyle name="Normal 2 3 2 10 2 2 2 2" xfId="17803"/>
    <cellStyle name="Normal 2 3 2 10 2 2 3" xfId="17804"/>
    <cellStyle name="Normal 2 3 2 10 2 2 3 2" xfId="17805"/>
    <cellStyle name="Normal 2 3 2 10 2 2 4" xfId="17806"/>
    <cellStyle name="Normal 2 3 2 10 2 2 4 2" xfId="17807"/>
    <cellStyle name="Normal 2 3 2 10 2 2 5" xfId="17808"/>
    <cellStyle name="Normal 2 3 2 10 2 2 5 2" xfId="17809"/>
    <cellStyle name="Normal 2 3 2 10 2 2 6" xfId="17810"/>
    <cellStyle name="Normal 2 3 2 10 2 2 6 2" xfId="17811"/>
    <cellStyle name="Normal 2 3 2 10 2 2 7" xfId="17812"/>
    <cellStyle name="Normal 2 3 2 10 2 2 7 2" xfId="17813"/>
    <cellStyle name="Normal 2 3 2 10 2 2 8" xfId="17814"/>
    <cellStyle name="Normal 2 3 2 10 2 2 8 2" xfId="17815"/>
    <cellStyle name="Normal 2 3 2 10 2 2 9" xfId="17816"/>
    <cellStyle name="Normal 2 3 2 10 2 2 9 2" xfId="17817"/>
    <cellStyle name="Normal 2 3 2 10 2 3" xfId="17818"/>
    <cellStyle name="Normal 2 3 2 10 2 3 2" xfId="17819"/>
    <cellStyle name="Normal 2 3 2 10 2 4" xfId="17820"/>
    <cellStyle name="Normal 2 3 2 10 2 4 2" xfId="17821"/>
    <cellStyle name="Normal 2 3 2 10 2 5" xfId="17822"/>
    <cellStyle name="Normal 2 3 2 10 2 5 2" xfId="17823"/>
    <cellStyle name="Normal 2 3 2 10 2 6" xfId="17824"/>
    <cellStyle name="Normal 2 3 2 10 2 6 2" xfId="17825"/>
    <cellStyle name="Normal 2 3 2 10 2 7" xfId="17826"/>
    <cellStyle name="Normal 2 3 2 10 2 7 2" xfId="17827"/>
    <cellStyle name="Normal 2 3 2 10 2 8" xfId="17828"/>
    <cellStyle name="Normal 2 3 2 10 2 8 2" xfId="17829"/>
    <cellStyle name="Normal 2 3 2 10 2 9" xfId="17830"/>
    <cellStyle name="Normal 2 3 2 10 2 9 2" xfId="17831"/>
    <cellStyle name="Normal 2 3 2 10 3" xfId="17832"/>
    <cellStyle name="Normal 2 3 2 10 3 10" xfId="17833"/>
    <cellStyle name="Normal 2 3 2 10 3 10 2" xfId="17834"/>
    <cellStyle name="Normal 2 3 2 10 3 11" xfId="17835"/>
    <cellStyle name="Normal 2 3 2 10 3 2" xfId="17836"/>
    <cellStyle name="Normal 2 3 2 10 3 2 2" xfId="17837"/>
    <cellStyle name="Normal 2 3 2 10 3 3" xfId="17838"/>
    <cellStyle name="Normal 2 3 2 10 3 3 2" xfId="17839"/>
    <cellStyle name="Normal 2 3 2 10 3 4" xfId="17840"/>
    <cellStyle name="Normal 2 3 2 10 3 4 2" xfId="17841"/>
    <cellStyle name="Normal 2 3 2 10 3 5" xfId="17842"/>
    <cellStyle name="Normal 2 3 2 10 3 5 2" xfId="17843"/>
    <cellStyle name="Normal 2 3 2 10 3 6" xfId="17844"/>
    <cellStyle name="Normal 2 3 2 10 3 6 2" xfId="17845"/>
    <cellStyle name="Normal 2 3 2 10 3 7" xfId="17846"/>
    <cellStyle name="Normal 2 3 2 10 3 7 2" xfId="17847"/>
    <cellStyle name="Normal 2 3 2 10 3 8" xfId="17848"/>
    <cellStyle name="Normal 2 3 2 10 3 8 2" xfId="17849"/>
    <cellStyle name="Normal 2 3 2 10 3 9" xfId="17850"/>
    <cellStyle name="Normal 2 3 2 10 3 9 2" xfId="17851"/>
    <cellStyle name="Normal 2 3 2 10 4" xfId="17852"/>
    <cellStyle name="Normal 2 3 2 10 4 2" xfId="17853"/>
    <cellStyle name="Normal 2 3 2 10 5" xfId="17854"/>
    <cellStyle name="Normal 2 3 2 10 5 2" xfId="17855"/>
    <cellStyle name="Normal 2 3 2 10 6" xfId="17856"/>
    <cellStyle name="Normal 2 3 2 10 6 2" xfId="17857"/>
    <cellStyle name="Normal 2 3 2 10 7" xfId="17858"/>
    <cellStyle name="Normal 2 3 2 10 7 2" xfId="17859"/>
    <cellStyle name="Normal 2 3 2 10 8" xfId="17860"/>
    <cellStyle name="Normal 2 3 2 10 8 2" xfId="17861"/>
    <cellStyle name="Normal 2 3 2 10 9" xfId="17862"/>
    <cellStyle name="Normal 2 3 2 10 9 2" xfId="17863"/>
    <cellStyle name="Normal 2 3 2 11" xfId="17864"/>
    <cellStyle name="Normal 2 3 2 11 10" xfId="17865"/>
    <cellStyle name="Normal 2 3 2 11 10 2" xfId="17866"/>
    <cellStyle name="Normal 2 3 2 11 11" xfId="17867"/>
    <cellStyle name="Normal 2 3 2 11 11 2" xfId="17868"/>
    <cellStyle name="Normal 2 3 2 11 12" xfId="17869"/>
    <cellStyle name="Normal 2 3 2 11 12 2" xfId="17870"/>
    <cellStyle name="Normal 2 3 2 11 13" xfId="17871"/>
    <cellStyle name="Normal 2 3 2 11 2" xfId="17872"/>
    <cellStyle name="Normal 2 3 2 11 2 10" xfId="17873"/>
    <cellStyle name="Normal 2 3 2 11 2 10 2" xfId="17874"/>
    <cellStyle name="Normal 2 3 2 11 2 11" xfId="17875"/>
    <cellStyle name="Normal 2 3 2 11 2 11 2" xfId="17876"/>
    <cellStyle name="Normal 2 3 2 11 2 12" xfId="17877"/>
    <cellStyle name="Normal 2 3 2 11 2 2" xfId="17878"/>
    <cellStyle name="Normal 2 3 2 11 2 2 10" xfId="17879"/>
    <cellStyle name="Normal 2 3 2 11 2 2 10 2" xfId="17880"/>
    <cellStyle name="Normal 2 3 2 11 2 2 11" xfId="17881"/>
    <cellStyle name="Normal 2 3 2 11 2 2 2" xfId="17882"/>
    <cellStyle name="Normal 2 3 2 11 2 2 2 2" xfId="17883"/>
    <cellStyle name="Normal 2 3 2 11 2 2 3" xfId="17884"/>
    <cellStyle name="Normal 2 3 2 11 2 2 3 2" xfId="17885"/>
    <cellStyle name="Normal 2 3 2 11 2 2 4" xfId="17886"/>
    <cellStyle name="Normal 2 3 2 11 2 2 4 2" xfId="17887"/>
    <cellStyle name="Normal 2 3 2 11 2 2 5" xfId="17888"/>
    <cellStyle name="Normal 2 3 2 11 2 2 5 2" xfId="17889"/>
    <cellStyle name="Normal 2 3 2 11 2 2 6" xfId="17890"/>
    <cellStyle name="Normal 2 3 2 11 2 2 6 2" xfId="17891"/>
    <cellStyle name="Normal 2 3 2 11 2 2 7" xfId="17892"/>
    <cellStyle name="Normal 2 3 2 11 2 2 7 2" xfId="17893"/>
    <cellStyle name="Normal 2 3 2 11 2 2 8" xfId="17894"/>
    <cellStyle name="Normal 2 3 2 11 2 2 8 2" xfId="17895"/>
    <cellStyle name="Normal 2 3 2 11 2 2 9" xfId="17896"/>
    <cellStyle name="Normal 2 3 2 11 2 2 9 2" xfId="17897"/>
    <cellStyle name="Normal 2 3 2 11 2 3" xfId="17898"/>
    <cellStyle name="Normal 2 3 2 11 2 3 2" xfId="17899"/>
    <cellStyle name="Normal 2 3 2 11 2 4" xfId="17900"/>
    <cellStyle name="Normal 2 3 2 11 2 4 2" xfId="17901"/>
    <cellStyle name="Normal 2 3 2 11 2 5" xfId="17902"/>
    <cellStyle name="Normal 2 3 2 11 2 5 2" xfId="17903"/>
    <cellStyle name="Normal 2 3 2 11 2 6" xfId="17904"/>
    <cellStyle name="Normal 2 3 2 11 2 6 2" xfId="17905"/>
    <cellStyle name="Normal 2 3 2 11 2 7" xfId="17906"/>
    <cellStyle name="Normal 2 3 2 11 2 7 2" xfId="17907"/>
    <cellStyle name="Normal 2 3 2 11 2 8" xfId="17908"/>
    <cellStyle name="Normal 2 3 2 11 2 8 2" xfId="17909"/>
    <cellStyle name="Normal 2 3 2 11 2 9" xfId="17910"/>
    <cellStyle name="Normal 2 3 2 11 2 9 2" xfId="17911"/>
    <cellStyle name="Normal 2 3 2 11 3" xfId="17912"/>
    <cellStyle name="Normal 2 3 2 11 3 10" xfId="17913"/>
    <cellStyle name="Normal 2 3 2 11 3 10 2" xfId="17914"/>
    <cellStyle name="Normal 2 3 2 11 3 11" xfId="17915"/>
    <cellStyle name="Normal 2 3 2 11 3 2" xfId="17916"/>
    <cellStyle name="Normal 2 3 2 11 3 2 2" xfId="17917"/>
    <cellStyle name="Normal 2 3 2 11 3 3" xfId="17918"/>
    <cellStyle name="Normal 2 3 2 11 3 3 2" xfId="17919"/>
    <cellStyle name="Normal 2 3 2 11 3 4" xfId="17920"/>
    <cellStyle name="Normal 2 3 2 11 3 4 2" xfId="17921"/>
    <cellStyle name="Normal 2 3 2 11 3 5" xfId="17922"/>
    <cellStyle name="Normal 2 3 2 11 3 5 2" xfId="17923"/>
    <cellStyle name="Normal 2 3 2 11 3 6" xfId="17924"/>
    <cellStyle name="Normal 2 3 2 11 3 6 2" xfId="17925"/>
    <cellStyle name="Normal 2 3 2 11 3 7" xfId="17926"/>
    <cellStyle name="Normal 2 3 2 11 3 7 2" xfId="17927"/>
    <cellStyle name="Normal 2 3 2 11 3 8" xfId="17928"/>
    <cellStyle name="Normal 2 3 2 11 3 8 2" xfId="17929"/>
    <cellStyle name="Normal 2 3 2 11 3 9" xfId="17930"/>
    <cellStyle name="Normal 2 3 2 11 3 9 2" xfId="17931"/>
    <cellStyle name="Normal 2 3 2 11 4" xfId="17932"/>
    <cellStyle name="Normal 2 3 2 11 4 2" xfId="17933"/>
    <cellStyle name="Normal 2 3 2 11 5" xfId="17934"/>
    <cellStyle name="Normal 2 3 2 11 5 2" xfId="17935"/>
    <cellStyle name="Normal 2 3 2 11 6" xfId="17936"/>
    <cellStyle name="Normal 2 3 2 11 6 2" xfId="17937"/>
    <cellStyle name="Normal 2 3 2 11 7" xfId="17938"/>
    <cellStyle name="Normal 2 3 2 11 7 2" xfId="17939"/>
    <cellStyle name="Normal 2 3 2 11 8" xfId="17940"/>
    <cellStyle name="Normal 2 3 2 11 8 2" xfId="17941"/>
    <cellStyle name="Normal 2 3 2 11 9" xfId="17942"/>
    <cellStyle name="Normal 2 3 2 11 9 2" xfId="17943"/>
    <cellStyle name="Normal 2 3 2 12" xfId="17944"/>
    <cellStyle name="Normal 2 3 2 12 10" xfId="17945"/>
    <cellStyle name="Normal 2 3 2 12 10 2" xfId="17946"/>
    <cellStyle name="Normal 2 3 2 12 11" xfId="17947"/>
    <cellStyle name="Normal 2 3 2 12 11 2" xfId="17948"/>
    <cellStyle name="Normal 2 3 2 12 12" xfId="17949"/>
    <cellStyle name="Normal 2 3 2 12 12 2" xfId="17950"/>
    <cellStyle name="Normal 2 3 2 12 13" xfId="17951"/>
    <cellStyle name="Normal 2 3 2 12 2" xfId="17952"/>
    <cellStyle name="Normal 2 3 2 12 2 10" xfId="17953"/>
    <cellStyle name="Normal 2 3 2 12 2 10 2" xfId="17954"/>
    <cellStyle name="Normal 2 3 2 12 2 11" xfId="17955"/>
    <cellStyle name="Normal 2 3 2 12 2 11 2" xfId="17956"/>
    <cellStyle name="Normal 2 3 2 12 2 12" xfId="17957"/>
    <cellStyle name="Normal 2 3 2 12 2 2" xfId="17958"/>
    <cellStyle name="Normal 2 3 2 12 2 2 10" xfId="17959"/>
    <cellStyle name="Normal 2 3 2 12 2 2 10 2" xfId="17960"/>
    <cellStyle name="Normal 2 3 2 12 2 2 11" xfId="17961"/>
    <cellStyle name="Normal 2 3 2 12 2 2 2" xfId="17962"/>
    <cellStyle name="Normal 2 3 2 12 2 2 2 2" xfId="17963"/>
    <cellStyle name="Normal 2 3 2 12 2 2 3" xfId="17964"/>
    <cellStyle name="Normal 2 3 2 12 2 2 3 2" xfId="17965"/>
    <cellStyle name="Normal 2 3 2 12 2 2 4" xfId="17966"/>
    <cellStyle name="Normal 2 3 2 12 2 2 4 2" xfId="17967"/>
    <cellStyle name="Normal 2 3 2 12 2 2 5" xfId="17968"/>
    <cellStyle name="Normal 2 3 2 12 2 2 5 2" xfId="17969"/>
    <cellStyle name="Normal 2 3 2 12 2 2 6" xfId="17970"/>
    <cellStyle name="Normal 2 3 2 12 2 2 6 2" xfId="17971"/>
    <cellStyle name="Normal 2 3 2 12 2 2 7" xfId="17972"/>
    <cellStyle name="Normal 2 3 2 12 2 2 7 2" xfId="17973"/>
    <cellStyle name="Normal 2 3 2 12 2 2 8" xfId="17974"/>
    <cellStyle name="Normal 2 3 2 12 2 2 8 2" xfId="17975"/>
    <cellStyle name="Normal 2 3 2 12 2 2 9" xfId="17976"/>
    <cellStyle name="Normal 2 3 2 12 2 2 9 2" xfId="17977"/>
    <cellStyle name="Normal 2 3 2 12 2 3" xfId="17978"/>
    <cellStyle name="Normal 2 3 2 12 2 3 2" xfId="17979"/>
    <cellStyle name="Normal 2 3 2 12 2 4" xfId="17980"/>
    <cellStyle name="Normal 2 3 2 12 2 4 2" xfId="17981"/>
    <cellStyle name="Normal 2 3 2 12 2 5" xfId="17982"/>
    <cellStyle name="Normal 2 3 2 12 2 5 2" xfId="17983"/>
    <cellStyle name="Normal 2 3 2 12 2 6" xfId="17984"/>
    <cellStyle name="Normal 2 3 2 12 2 6 2" xfId="17985"/>
    <cellStyle name="Normal 2 3 2 12 2 7" xfId="17986"/>
    <cellStyle name="Normal 2 3 2 12 2 7 2" xfId="17987"/>
    <cellStyle name="Normal 2 3 2 12 2 8" xfId="17988"/>
    <cellStyle name="Normal 2 3 2 12 2 8 2" xfId="17989"/>
    <cellStyle name="Normal 2 3 2 12 2 9" xfId="17990"/>
    <cellStyle name="Normal 2 3 2 12 2 9 2" xfId="17991"/>
    <cellStyle name="Normal 2 3 2 12 3" xfId="17992"/>
    <cellStyle name="Normal 2 3 2 12 3 10" xfId="17993"/>
    <cellStyle name="Normal 2 3 2 12 3 10 2" xfId="17994"/>
    <cellStyle name="Normal 2 3 2 12 3 11" xfId="17995"/>
    <cellStyle name="Normal 2 3 2 12 3 2" xfId="17996"/>
    <cellStyle name="Normal 2 3 2 12 3 2 2" xfId="17997"/>
    <cellStyle name="Normal 2 3 2 12 3 3" xfId="17998"/>
    <cellStyle name="Normal 2 3 2 12 3 3 2" xfId="17999"/>
    <cellStyle name="Normal 2 3 2 12 3 4" xfId="18000"/>
    <cellStyle name="Normal 2 3 2 12 3 4 2" xfId="18001"/>
    <cellStyle name="Normal 2 3 2 12 3 5" xfId="18002"/>
    <cellStyle name="Normal 2 3 2 12 3 5 2" xfId="18003"/>
    <cellStyle name="Normal 2 3 2 12 3 6" xfId="18004"/>
    <cellStyle name="Normal 2 3 2 12 3 6 2" xfId="18005"/>
    <cellStyle name="Normal 2 3 2 12 3 7" xfId="18006"/>
    <cellStyle name="Normal 2 3 2 12 3 7 2" xfId="18007"/>
    <cellStyle name="Normal 2 3 2 12 3 8" xfId="18008"/>
    <cellStyle name="Normal 2 3 2 12 3 8 2" xfId="18009"/>
    <cellStyle name="Normal 2 3 2 12 3 9" xfId="18010"/>
    <cellStyle name="Normal 2 3 2 12 3 9 2" xfId="18011"/>
    <cellStyle name="Normal 2 3 2 12 4" xfId="18012"/>
    <cellStyle name="Normal 2 3 2 12 4 2" xfId="18013"/>
    <cellStyle name="Normal 2 3 2 12 5" xfId="18014"/>
    <cellStyle name="Normal 2 3 2 12 5 2" xfId="18015"/>
    <cellStyle name="Normal 2 3 2 12 6" xfId="18016"/>
    <cellStyle name="Normal 2 3 2 12 6 2" xfId="18017"/>
    <cellStyle name="Normal 2 3 2 12 7" xfId="18018"/>
    <cellStyle name="Normal 2 3 2 12 7 2" xfId="18019"/>
    <cellStyle name="Normal 2 3 2 12 8" xfId="18020"/>
    <cellStyle name="Normal 2 3 2 12 8 2" xfId="18021"/>
    <cellStyle name="Normal 2 3 2 12 9" xfId="18022"/>
    <cellStyle name="Normal 2 3 2 12 9 2" xfId="18023"/>
    <cellStyle name="Normal 2 3 2 13" xfId="18024"/>
    <cellStyle name="Normal 2 3 2 13 2" xfId="18025"/>
    <cellStyle name="Normal 2 3 2 13 2 10" xfId="18026"/>
    <cellStyle name="Normal 2 3 2 13 2 10 2" xfId="18027"/>
    <cellStyle name="Normal 2 3 2 13 2 11" xfId="18028"/>
    <cellStyle name="Normal 2 3 2 13 2 11 2" xfId="18029"/>
    <cellStyle name="Normal 2 3 2 13 2 12" xfId="18030"/>
    <cellStyle name="Normal 2 3 2 13 2 12 2" xfId="18031"/>
    <cellStyle name="Normal 2 3 2 13 2 13" xfId="18032"/>
    <cellStyle name="Normal 2 3 2 13 2 2" xfId="18033"/>
    <cellStyle name="Normal 2 3 2 13 2 2 10" xfId="18034"/>
    <cellStyle name="Normal 2 3 2 13 2 2 10 2" xfId="18035"/>
    <cellStyle name="Normal 2 3 2 13 2 2 11" xfId="18036"/>
    <cellStyle name="Normal 2 3 2 13 2 2 11 2" xfId="18037"/>
    <cellStyle name="Normal 2 3 2 13 2 2 12" xfId="18038"/>
    <cellStyle name="Normal 2 3 2 13 2 2 2" xfId="18039"/>
    <cellStyle name="Normal 2 3 2 13 2 2 2 10" xfId="18040"/>
    <cellStyle name="Normal 2 3 2 13 2 2 2 10 2" xfId="18041"/>
    <cellStyle name="Normal 2 3 2 13 2 2 2 11" xfId="18042"/>
    <cellStyle name="Normal 2 3 2 13 2 2 2 2" xfId="18043"/>
    <cellStyle name="Normal 2 3 2 13 2 2 2 2 2" xfId="18044"/>
    <cellStyle name="Normal 2 3 2 13 2 2 2 3" xfId="18045"/>
    <cellStyle name="Normal 2 3 2 13 2 2 2 3 2" xfId="18046"/>
    <cellStyle name="Normal 2 3 2 13 2 2 2 4" xfId="18047"/>
    <cellStyle name="Normal 2 3 2 13 2 2 2 4 2" xfId="18048"/>
    <cellStyle name="Normal 2 3 2 13 2 2 2 5" xfId="18049"/>
    <cellStyle name="Normal 2 3 2 13 2 2 2 5 2" xfId="18050"/>
    <cellStyle name="Normal 2 3 2 13 2 2 2 6" xfId="18051"/>
    <cellStyle name="Normal 2 3 2 13 2 2 2 6 2" xfId="18052"/>
    <cellStyle name="Normal 2 3 2 13 2 2 2 7" xfId="18053"/>
    <cellStyle name="Normal 2 3 2 13 2 2 2 7 2" xfId="18054"/>
    <cellStyle name="Normal 2 3 2 13 2 2 2 8" xfId="18055"/>
    <cellStyle name="Normal 2 3 2 13 2 2 2 8 2" xfId="18056"/>
    <cellStyle name="Normal 2 3 2 13 2 2 2 9" xfId="18057"/>
    <cellStyle name="Normal 2 3 2 13 2 2 2 9 2" xfId="18058"/>
    <cellStyle name="Normal 2 3 2 13 2 2 3" xfId="18059"/>
    <cellStyle name="Normal 2 3 2 13 2 2 3 2" xfId="18060"/>
    <cellStyle name="Normal 2 3 2 13 2 2 4" xfId="18061"/>
    <cellStyle name="Normal 2 3 2 13 2 2 4 2" xfId="18062"/>
    <cellStyle name="Normal 2 3 2 13 2 2 5" xfId="18063"/>
    <cellStyle name="Normal 2 3 2 13 2 2 5 2" xfId="18064"/>
    <cellStyle name="Normal 2 3 2 13 2 2 6" xfId="18065"/>
    <cellStyle name="Normal 2 3 2 13 2 2 6 2" xfId="18066"/>
    <cellStyle name="Normal 2 3 2 13 2 2 7" xfId="18067"/>
    <cellStyle name="Normal 2 3 2 13 2 2 7 2" xfId="18068"/>
    <cellStyle name="Normal 2 3 2 13 2 2 8" xfId="18069"/>
    <cellStyle name="Normal 2 3 2 13 2 2 8 2" xfId="18070"/>
    <cellStyle name="Normal 2 3 2 13 2 2 9" xfId="18071"/>
    <cellStyle name="Normal 2 3 2 13 2 2 9 2" xfId="18072"/>
    <cellStyle name="Normal 2 3 2 13 2 3" xfId="18073"/>
    <cellStyle name="Normal 2 3 2 13 2 3 10" xfId="18074"/>
    <cellStyle name="Normal 2 3 2 13 2 3 10 2" xfId="18075"/>
    <cellStyle name="Normal 2 3 2 13 2 3 11" xfId="18076"/>
    <cellStyle name="Normal 2 3 2 13 2 3 2" xfId="18077"/>
    <cellStyle name="Normal 2 3 2 13 2 3 2 2" xfId="18078"/>
    <cellStyle name="Normal 2 3 2 13 2 3 3" xfId="18079"/>
    <cellStyle name="Normal 2 3 2 13 2 3 3 2" xfId="18080"/>
    <cellStyle name="Normal 2 3 2 13 2 3 4" xfId="18081"/>
    <cellStyle name="Normal 2 3 2 13 2 3 4 2" xfId="18082"/>
    <cellStyle name="Normal 2 3 2 13 2 3 5" xfId="18083"/>
    <cellStyle name="Normal 2 3 2 13 2 3 5 2" xfId="18084"/>
    <cellStyle name="Normal 2 3 2 13 2 3 6" xfId="18085"/>
    <cellStyle name="Normal 2 3 2 13 2 3 6 2" xfId="18086"/>
    <cellStyle name="Normal 2 3 2 13 2 3 7" xfId="18087"/>
    <cellStyle name="Normal 2 3 2 13 2 3 7 2" xfId="18088"/>
    <cellStyle name="Normal 2 3 2 13 2 3 8" xfId="18089"/>
    <cellStyle name="Normal 2 3 2 13 2 3 8 2" xfId="18090"/>
    <cellStyle name="Normal 2 3 2 13 2 3 9" xfId="18091"/>
    <cellStyle name="Normal 2 3 2 13 2 3 9 2" xfId="18092"/>
    <cellStyle name="Normal 2 3 2 13 2 4" xfId="18093"/>
    <cellStyle name="Normal 2 3 2 13 2 4 2" xfId="18094"/>
    <cellStyle name="Normal 2 3 2 13 2 5" xfId="18095"/>
    <cellStyle name="Normal 2 3 2 13 2 5 2" xfId="18096"/>
    <cellStyle name="Normal 2 3 2 13 2 6" xfId="18097"/>
    <cellStyle name="Normal 2 3 2 13 2 6 2" xfId="18098"/>
    <cellStyle name="Normal 2 3 2 13 2 7" xfId="18099"/>
    <cellStyle name="Normal 2 3 2 13 2 7 2" xfId="18100"/>
    <cellStyle name="Normal 2 3 2 13 2 8" xfId="18101"/>
    <cellStyle name="Normal 2 3 2 13 2 8 2" xfId="18102"/>
    <cellStyle name="Normal 2 3 2 13 2 9" xfId="18103"/>
    <cellStyle name="Normal 2 3 2 13 2 9 2" xfId="18104"/>
    <cellStyle name="Normal 2 3 2 13 3" xfId="18105"/>
    <cellStyle name="Normal 2 3 2 13 3 10" xfId="18106"/>
    <cellStyle name="Normal 2 3 2 13 3 10 2" xfId="18107"/>
    <cellStyle name="Normal 2 3 2 13 3 11" xfId="18108"/>
    <cellStyle name="Normal 2 3 2 13 3 11 2" xfId="18109"/>
    <cellStyle name="Normal 2 3 2 13 3 12" xfId="18110"/>
    <cellStyle name="Normal 2 3 2 13 3 12 2" xfId="18111"/>
    <cellStyle name="Normal 2 3 2 13 3 13" xfId="18112"/>
    <cellStyle name="Normal 2 3 2 13 3 2" xfId="18113"/>
    <cellStyle name="Normal 2 3 2 13 3 2 10" xfId="18114"/>
    <cellStyle name="Normal 2 3 2 13 3 2 10 2" xfId="18115"/>
    <cellStyle name="Normal 2 3 2 13 3 2 11" xfId="18116"/>
    <cellStyle name="Normal 2 3 2 13 3 2 11 2" xfId="18117"/>
    <cellStyle name="Normal 2 3 2 13 3 2 12" xfId="18118"/>
    <cellStyle name="Normal 2 3 2 13 3 2 2" xfId="18119"/>
    <cellStyle name="Normal 2 3 2 13 3 2 2 10" xfId="18120"/>
    <cellStyle name="Normal 2 3 2 13 3 2 2 10 2" xfId="18121"/>
    <cellStyle name="Normal 2 3 2 13 3 2 2 11" xfId="18122"/>
    <cellStyle name="Normal 2 3 2 13 3 2 2 2" xfId="18123"/>
    <cellStyle name="Normal 2 3 2 13 3 2 2 2 2" xfId="18124"/>
    <cellStyle name="Normal 2 3 2 13 3 2 2 3" xfId="18125"/>
    <cellStyle name="Normal 2 3 2 13 3 2 2 3 2" xfId="18126"/>
    <cellStyle name="Normal 2 3 2 13 3 2 2 4" xfId="18127"/>
    <cellStyle name="Normal 2 3 2 13 3 2 2 4 2" xfId="18128"/>
    <cellStyle name="Normal 2 3 2 13 3 2 2 5" xfId="18129"/>
    <cellStyle name="Normal 2 3 2 13 3 2 2 5 2" xfId="18130"/>
    <cellStyle name="Normal 2 3 2 13 3 2 2 6" xfId="18131"/>
    <cellStyle name="Normal 2 3 2 13 3 2 2 6 2" xfId="18132"/>
    <cellStyle name="Normal 2 3 2 13 3 2 2 7" xfId="18133"/>
    <cellStyle name="Normal 2 3 2 13 3 2 2 7 2" xfId="18134"/>
    <cellStyle name="Normal 2 3 2 13 3 2 2 8" xfId="18135"/>
    <cellStyle name="Normal 2 3 2 13 3 2 2 8 2" xfId="18136"/>
    <cellStyle name="Normal 2 3 2 13 3 2 2 9" xfId="18137"/>
    <cellStyle name="Normal 2 3 2 13 3 2 2 9 2" xfId="18138"/>
    <cellStyle name="Normal 2 3 2 13 3 2 3" xfId="18139"/>
    <cellStyle name="Normal 2 3 2 13 3 2 3 2" xfId="18140"/>
    <cellStyle name="Normal 2 3 2 13 3 2 4" xfId="18141"/>
    <cellStyle name="Normal 2 3 2 13 3 2 4 2" xfId="18142"/>
    <cellStyle name="Normal 2 3 2 13 3 2 5" xfId="18143"/>
    <cellStyle name="Normal 2 3 2 13 3 2 5 2" xfId="18144"/>
    <cellStyle name="Normal 2 3 2 13 3 2 6" xfId="18145"/>
    <cellStyle name="Normal 2 3 2 13 3 2 6 2" xfId="18146"/>
    <cellStyle name="Normal 2 3 2 13 3 2 7" xfId="18147"/>
    <cellStyle name="Normal 2 3 2 13 3 2 7 2" xfId="18148"/>
    <cellStyle name="Normal 2 3 2 13 3 2 8" xfId="18149"/>
    <cellStyle name="Normal 2 3 2 13 3 2 8 2" xfId="18150"/>
    <cellStyle name="Normal 2 3 2 13 3 2 9" xfId="18151"/>
    <cellStyle name="Normal 2 3 2 13 3 2 9 2" xfId="18152"/>
    <cellStyle name="Normal 2 3 2 13 3 3" xfId="18153"/>
    <cellStyle name="Normal 2 3 2 13 3 3 10" xfId="18154"/>
    <cellStyle name="Normal 2 3 2 13 3 3 10 2" xfId="18155"/>
    <cellStyle name="Normal 2 3 2 13 3 3 11" xfId="18156"/>
    <cellStyle name="Normal 2 3 2 13 3 3 2" xfId="18157"/>
    <cellStyle name="Normal 2 3 2 13 3 3 2 2" xfId="18158"/>
    <cellStyle name="Normal 2 3 2 13 3 3 3" xfId="18159"/>
    <cellStyle name="Normal 2 3 2 13 3 3 3 2" xfId="18160"/>
    <cellStyle name="Normal 2 3 2 13 3 3 4" xfId="18161"/>
    <cellStyle name="Normal 2 3 2 13 3 3 4 2" xfId="18162"/>
    <cellStyle name="Normal 2 3 2 13 3 3 5" xfId="18163"/>
    <cellStyle name="Normal 2 3 2 13 3 3 5 2" xfId="18164"/>
    <cellStyle name="Normal 2 3 2 13 3 3 6" xfId="18165"/>
    <cellStyle name="Normal 2 3 2 13 3 3 6 2" xfId="18166"/>
    <cellStyle name="Normal 2 3 2 13 3 3 7" xfId="18167"/>
    <cellStyle name="Normal 2 3 2 13 3 3 7 2" xfId="18168"/>
    <cellStyle name="Normal 2 3 2 13 3 3 8" xfId="18169"/>
    <cellStyle name="Normal 2 3 2 13 3 3 8 2" xfId="18170"/>
    <cellStyle name="Normal 2 3 2 13 3 3 9" xfId="18171"/>
    <cellStyle name="Normal 2 3 2 13 3 3 9 2" xfId="18172"/>
    <cellStyle name="Normal 2 3 2 13 3 4" xfId="18173"/>
    <cellStyle name="Normal 2 3 2 13 3 4 2" xfId="18174"/>
    <cellStyle name="Normal 2 3 2 13 3 5" xfId="18175"/>
    <cellStyle name="Normal 2 3 2 13 3 5 2" xfId="18176"/>
    <cellStyle name="Normal 2 3 2 13 3 6" xfId="18177"/>
    <cellStyle name="Normal 2 3 2 13 3 6 2" xfId="18178"/>
    <cellStyle name="Normal 2 3 2 13 3 7" xfId="18179"/>
    <cellStyle name="Normal 2 3 2 13 3 7 2" xfId="18180"/>
    <cellStyle name="Normal 2 3 2 13 3 8" xfId="18181"/>
    <cellStyle name="Normal 2 3 2 13 3 8 2" xfId="18182"/>
    <cellStyle name="Normal 2 3 2 13 3 9" xfId="18183"/>
    <cellStyle name="Normal 2 3 2 13 3 9 2" xfId="18184"/>
    <cellStyle name="Normal 2 3 2 13 4" xfId="18185"/>
    <cellStyle name="Normal 2 3 2 13 4 10" xfId="18186"/>
    <cellStyle name="Normal 2 3 2 13 4 10 2" xfId="18187"/>
    <cellStyle name="Normal 2 3 2 13 4 11" xfId="18188"/>
    <cellStyle name="Normal 2 3 2 13 4 11 2" xfId="18189"/>
    <cellStyle name="Normal 2 3 2 13 4 12" xfId="18190"/>
    <cellStyle name="Normal 2 3 2 13 4 12 2" xfId="18191"/>
    <cellStyle name="Normal 2 3 2 13 4 13" xfId="18192"/>
    <cellStyle name="Normal 2 3 2 13 4 2" xfId="18193"/>
    <cellStyle name="Normal 2 3 2 13 4 2 10" xfId="18194"/>
    <cellStyle name="Normal 2 3 2 13 4 2 10 2" xfId="18195"/>
    <cellStyle name="Normal 2 3 2 13 4 2 11" xfId="18196"/>
    <cellStyle name="Normal 2 3 2 13 4 2 11 2" xfId="18197"/>
    <cellStyle name="Normal 2 3 2 13 4 2 12" xfId="18198"/>
    <cellStyle name="Normal 2 3 2 13 4 2 2" xfId="18199"/>
    <cellStyle name="Normal 2 3 2 13 4 2 2 10" xfId="18200"/>
    <cellStyle name="Normal 2 3 2 13 4 2 2 10 2" xfId="18201"/>
    <cellStyle name="Normal 2 3 2 13 4 2 2 11" xfId="18202"/>
    <cellStyle name="Normal 2 3 2 13 4 2 2 2" xfId="18203"/>
    <cellStyle name="Normal 2 3 2 13 4 2 2 2 2" xfId="18204"/>
    <cellStyle name="Normal 2 3 2 13 4 2 2 3" xfId="18205"/>
    <cellStyle name="Normal 2 3 2 13 4 2 2 3 2" xfId="18206"/>
    <cellStyle name="Normal 2 3 2 13 4 2 2 4" xfId="18207"/>
    <cellStyle name="Normal 2 3 2 13 4 2 2 4 2" xfId="18208"/>
    <cellStyle name="Normal 2 3 2 13 4 2 2 5" xfId="18209"/>
    <cellStyle name="Normal 2 3 2 13 4 2 2 5 2" xfId="18210"/>
    <cellStyle name="Normal 2 3 2 13 4 2 2 6" xfId="18211"/>
    <cellStyle name="Normal 2 3 2 13 4 2 2 6 2" xfId="18212"/>
    <cellStyle name="Normal 2 3 2 13 4 2 2 7" xfId="18213"/>
    <cellStyle name="Normal 2 3 2 13 4 2 2 7 2" xfId="18214"/>
    <cellStyle name="Normal 2 3 2 13 4 2 2 8" xfId="18215"/>
    <cellStyle name="Normal 2 3 2 13 4 2 2 8 2" xfId="18216"/>
    <cellStyle name="Normal 2 3 2 13 4 2 2 9" xfId="18217"/>
    <cellStyle name="Normal 2 3 2 13 4 2 2 9 2" xfId="18218"/>
    <cellStyle name="Normal 2 3 2 13 4 2 3" xfId="18219"/>
    <cellStyle name="Normal 2 3 2 13 4 2 3 2" xfId="18220"/>
    <cellStyle name="Normal 2 3 2 13 4 2 4" xfId="18221"/>
    <cellStyle name="Normal 2 3 2 13 4 2 4 2" xfId="18222"/>
    <cellStyle name="Normal 2 3 2 13 4 2 5" xfId="18223"/>
    <cellStyle name="Normal 2 3 2 13 4 2 5 2" xfId="18224"/>
    <cellStyle name="Normal 2 3 2 13 4 2 6" xfId="18225"/>
    <cellStyle name="Normal 2 3 2 13 4 2 6 2" xfId="18226"/>
    <cellStyle name="Normal 2 3 2 13 4 2 7" xfId="18227"/>
    <cellStyle name="Normal 2 3 2 13 4 2 7 2" xfId="18228"/>
    <cellStyle name="Normal 2 3 2 13 4 2 8" xfId="18229"/>
    <cellStyle name="Normal 2 3 2 13 4 2 8 2" xfId="18230"/>
    <cellStyle name="Normal 2 3 2 13 4 2 9" xfId="18231"/>
    <cellStyle name="Normal 2 3 2 13 4 2 9 2" xfId="18232"/>
    <cellStyle name="Normal 2 3 2 13 4 3" xfId="18233"/>
    <cellStyle name="Normal 2 3 2 13 4 3 10" xfId="18234"/>
    <cellStyle name="Normal 2 3 2 13 4 3 10 2" xfId="18235"/>
    <cellStyle name="Normal 2 3 2 13 4 3 11" xfId="18236"/>
    <cellStyle name="Normal 2 3 2 13 4 3 2" xfId="18237"/>
    <cellStyle name="Normal 2 3 2 13 4 3 2 2" xfId="18238"/>
    <cellStyle name="Normal 2 3 2 13 4 3 3" xfId="18239"/>
    <cellStyle name="Normal 2 3 2 13 4 3 3 2" xfId="18240"/>
    <cellStyle name="Normal 2 3 2 13 4 3 4" xfId="18241"/>
    <cellStyle name="Normal 2 3 2 13 4 3 4 2" xfId="18242"/>
    <cellStyle name="Normal 2 3 2 13 4 3 5" xfId="18243"/>
    <cellStyle name="Normal 2 3 2 13 4 3 5 2" xfId="18244"/>
    <cellStyle name="Normal 2 3 2 13 4 3 6" xfId="18245"/>
    <cellStyle name="Normal 2 3 2 13 4 3 6 2" xfId="18246"/>
    <cellStyle name="Normal 2 3 2 13 4 3 7" xfId="18247"/>
    <cellStyle name="Normal 2 3 2 13 4 3 7 2" xfId="18248"/>
    <cellStyle name="Normal 2 3 2 13 4 3 8" xfId="18249"/>
    <cellStyle name="Normal 2 3 2 13 4 3 8 2" xfId="18250"/>
    <cellStyle name="Normal 2 3 2 13 4 3 9" xfId="18251"/>
    <cellStyle name="Normal 2 3 2 13 4 3 9 2" xfId="18252"/>
    <cellStyle name="Normal 2 3 2 13 4 4" xfId="18253"/>
    <cellStyle name="Normal 2 3 2 13 4 4 2" xfId="18254"/>
    <cellStyle name="Normal 2 3 2 13 4 5" xfId="18255"/>
    <cellStyle name="Normal 2 3 2 13 4 5 2" xfId="18256"/>
    <cellStyle name="Normal 2 3 2 13 4 6" xfId="18257"/>
    <cellStyle name="Normal 2 3 2 13 4 6 2" xfId="18258"/>
    <cellStyle name="Normal 2 3 2 13 4 7" xfId="18259"/>
    <cellStyle name="Normal 2 3 2 13 4 7 2" xfId="18260"/>
    <cellStyle name="Normal 2 3 2 13 4 8" xfId="18261"/>
    <cellStyle name="Normal 2 3 2 13 4 8 2" xfId="18262"/>
    <cellStyle name="Normal 2 3 2 13 4 9" xfId="18263"/>
    <cellStyle name="Normal 2 3 2 13 4 9 2" xfId="18264"/>
    <cellStyle name="Normal 2 3 2 13 5" xfId="18265"/>
    <cellStyle name="Normal 2 3 2 13 5 10" xfId="18266"/>
    <cellStyle name="Normal 2 3 2 13 5 10 2" xfId="18267"/>
    <cellStyle name="Normal 2 3 2 13 5 11" xfId="18268"/>
    <cellStyle name="Normal 2 3 2 13 5 11 2" xfId="18269"/>
    <cellStyle name="Normal 2 3 2 13 5 12" xfId="18270"/>
    <cellStyle name="Normal 2 3 2 13 5 12 2" xfId="18271"/>
    <cellStyle name="Normal 2 3 2 13 5 13" xfId="18272"/>
    <cellStyle name="Normal 2 3 2 13 5 2" xfId="18273"/>
    <cellStyle name="Normal 2 3 2 13 5 2 10" xfId="18274"/>
    <cellStyle name="Normal 2 3 2 13 5 2 10 2" xfId="18275"/>
    <cellStyle name="Normal 2 3 2 13 5 2 11" xfId="18276"/>
    <cellStyle name="Normal 2 3 2 13 5 2 11 2" xfId="18277"/>
    <cellStyle name="Normal 2 3 2 13 5 2 12" xfId="18278"/>
    <cellStyle name="Normal 2 3 2 13 5 2 2" xfId="18279"/>
    <cellStyle name="Normal 2 3 2 13 5 2 2 10" xfId="18280"/>
    <cellStyle name="Normal 2 3 2 13 5 2 2 10 2" xfId="18281"/>
    <cellStyle name="Normal 2 3 2 13 5 2 2 11" xfId="18282"/>
    <cellStyle name="Normal 2 3 2 13 5 2 2 2" xfId="18283"/>
    <cellStyle name="Normal 2 3 2 13 5 2 2 2 2" xfId="18284"/>
    <cellStyle name="Normal 2 3 2 13 5 2 2 3" xfId="18285"/>
    <cellStyle name="Normal 2 3 2 13 5 2 2 3 2" xfId="18286"/>
    <cellStyle name="Normal 2 3 2 13 5 2 2 4" xfId="18287"/>
    <cellStyle name="Normal 2 3 2 13 5 2 2 4 2" xfId="18288"/>
    <cellStyle name="Normal 2 3 2 13 5 2 2 5" xfId="18289"/>
    <cellStyle name="Normal 2 3 2 13 5 2 2 5 2" xfId="18290"/>
    <cellStyle name="Normal 2 3 2 13 5 2 2 6" xfId="18291"/>
    <cellStyle name="Normal 2 3 2 13 5 2 2 6 2" xfId="18292"/>
    <cellStyle name="Normal 2 3 2 13 5 2 2 7" xfId="18293"/>
    <cellStyle name="Normal 2 3 2 13 5 2 2 7 2" xfId="18294"/>
    <cellStyle name="Normal 2 3 2 13 5 2 2 8" xfId="18295"/>
    <cellStyle name="Normal 2 3 2 13 5 2 2 8 2" xfId="18296"/>
    <cellStyle name="Normal 2 3 2 13 5 2 2 9" xfId="18297"/>
    <cellStyle name="Normal 2 3 2 13 5 2 2 9 2" xfId="18298"/>
    <cellStyle name="Normal 2 3 2 13 5 2 3" xfId="18299"/>
    <cellStyle name="Normal 2 3 2 13 5 2 3 2" xfId="18300"/>
    <cellStyle name="Normal 2 3 2 13 5 2 4" xfId="18301"/>
    <cellStyle name="Normal 2 3 2 13 5 2 4 2" xfId="18302"/>
    <cellStyle name="Normal 2 3 2 13 5 2 5" xfId="18303"/>
    <cellStyle name="Normal 2 3 2 13 5 2 5 2" xfId="18304"/>
    <cellStyle name="Normal 2 3 2 13 5 2 6" xfId="18305"/>
    <cellStyle name="Normal 2 3 2 13 5 2 6 2" xfId="18306"/>
    <cellStyle name="Normal 2 3 2 13 5 2 7" xfId="18307"/>
    <cellStyle name="Normal 2 3 2 13 5 2 7 2" xfId="18308"/>
    <cellStyle name="Normal 2 3 2 13 5 2 8" xfId="18309"/>
    <cellStyle name="Normal 2 3 2 13 5 2 8 2" xfId="18310"/>
    <cellStyle name="Normal 2 3 2 13 5 2 9" xfId="18311"/>
    <cellStyle name="Normal 2 3 2 13 5 2 9 2" xfId="18312"/>
    <cellStyle name="Normal 2 3 2 13 5 3" xfId="18313"/>
    <cellStyle name="Normal 2 3 2 13 5 3 10" xfId="18314"/>
    <cellStyle name="Normal 2 3 2 13 5 3 10 2" xfId="18315"/>
    <cellStyle name="Normal 2 3 2 13 5 3 11" xfId="18316"/>
    <cellStyle name="Normal 2 3 2 13 5 3 2" xfId="18317"/>
    <cellStyle name="Normal 2 3 2 13 5 3 2 2" xfId="18318"/>
    <cellStyle name="Normal 2 3 2 13 5 3 3" xfId="18319"/>
    <cellStyle name="Normal 2 3 2 13 5 3 3 2" xfId="18320"/>
    <cellStyle name="Normal 2 3 2 13 5 3 4" xfId="18321"/>
    <cellStyle name="Normal 2 3 2 13 5 3 4 2" xfId="18322"/>
    <cellStyle name="Normal 2 3 2 13 5 3 5" xfId="18323"/>
    <cellStyle name="Normal 2 3 2 13 5 3 5 2" xfId="18324"/>
    <cellStyle name="Normal 2 3 2 13 5 3 6" xfId="18325"/>
    <cellStyle name="Normal 2 3 2 13 5 3 6 2" xfId="18326"/>
    <cellStyle name="Normal 2 3 2 13 5 3 7" xfId="18327"/>
    <cellStyle name="Normal 2 3 2 13 5 3 7 2" xfId="18328"/>
    <cellStyle name="Normal 2 3 2 13 5 3 8" xfId="18329"/>
    <cellStyle name="Normal 2 3 2 13 5 3 8 2" xfId="18330"/>
    <cellStyle name="Normal 2 3 2 13 5 3 9" xfId="18331"/>
    <cellStyle name="Normal 2 3 2 13 5 3 9 2" xfId="18332"/>
    <cellStyle name="Normal 2 3 2 13 5 4" xfId="18333"/>
    <cellStyle name="Normal 2 3 2 13 5 4 2" xfId="18334"/>
    <cellStyle name="Normal 2 3 2 13 5 5" xfId="18335"/>
    <cellStyle name="Normal 2 3 2 13 5 5 2" xfId="18336"/>
    <cellStyle name="Normal 2 3 2 13 5 6" xfId="18337"/>
    <cellStyle name="Normal 2 3 2 13 5 6 2" xfId="18338"/>
    <cellStyle name="Normal 2 3 2 13 5 7" xfId="18339"/>
    <cellStyle name="Normal 2 3 2 13 5 7 2" xfId="18340"/>
    <cellStyle name="Normal 2 3 2 13 5 8" xfId="18341"/>
    <cellStyle name="Normal 2 3 2 13 5 8 2" xfId="18342"/>
    <cellStyle name="Normal 2 3 2 13 5 9" xfId="18343"/>
    <cellStyle name="Normal 2 3 2 13 5 9 2" xfId="18344"/>
    <cellStyle name="Normal 2 3 2 13 6" xfId="41947"/>
    <cellStyle name="Normal 2 3 2 14" xfId="18345"/>
    <cellStyle name="Normal 2 3 2 14 2" xfId="41948"/>
    <cellStyle name="Normal 2 3 2 15" xfId="18346"/>
    <cellStyle name="Normal 2 3 2 15 2" xfId="41949"/>
    <cellStyle name="Normal 2 3 2 16" xfId="18347"/>
    <cellStyle name="Normal 2 3 2 16 2" xfId="41950"/>
    <cellStyle name="Normal 2 3 2 17" xfId="18348"/>
    <cellStyle name="Normal 2 3 2 17 10" xfId="18349"/>
    <cellStyle name="Normal 2 3 2 17 10 2" xfId="18350"/>
    <cellStyle name="Normal 2 3 2 17 11" xfId="18351"/>
    <cellStyle name="Normal 2 3 2 17 11 2" xfId="18352"/>
    <cellStyle name="Normal 2 3 2 17 12" xfId="18353"/>
    <cellStyle name="Normal 2 3 2 17 12 2" xfId="18354"/>
    <cellStyle name="Normal 2 3 2 17 13" xfId="18355"/>
    <cellStyle name="Normal 2 3 2 17 2" xfId="18356"/>
    <cellStyle name="Normal 2 3 2 17 2 10" xfId="18357"/>
    <cellStyle name="Normal 2 3 2 17 2 10 2" xfId="18358"/>
    <cellStyle name="Normal 2 3 2 17 2 11" xfId="18359"/>
    <cellStyle name="Normal 2 3 2 17 2 11 2" xfId="18360"/>
    <cellStyle name="Normal 2 3 2 17 2 12" xfId="18361"/>
    <cellStyle name="Normal 2 3 2 17 2 2" xfId="18362"/>
    <cellStyle name="Normal 2 3 2 17 2 2 10" xfId="18363"/>
    <cellStyle name="Normal 2 3 2 17 2 2 10 2" xfId="18364"/>
    <cellStyle name="Normal 2 3 2 17 2 2 11" xfId="18365"/>
    <cellStyle name="Normal 2 3 2 17 2 2 2" xfId="18366"/>
    <cellStyle name="Normal 2 3 2 17 2 2 2 2" xfId="18367"/>
    <cellStyle name="Normal 2 3 2 17 2 2 3" xfId="18368"/>
    <cellStyle name="Normal 2 3 2 17 2 2 3 2" xfId="18369"/>
    <cellStyle name="Normal 2 3 2 17 2 2 4" xfId="18370"/>
    <cellStyle name="Normal 2 3 2 17 2 2 4 2" xfId="18371"/>
    <cellStyle name="Normal 2 3 2 17 2 2 5" xfId="18372"/>
    <cellStyle name="Normal 2 3 2 17 2 2 5 2" xfId="18373"/>
    <cellStyle name="Normal 2 3 2 17 2 2 6" xfId="18374"/>
    <cellStyle name="Normal 2 3 2 17 2 2 6 2" xfId="18375"/>
    <cellStyle name="Normal 2 3 2 17 2 2 7" xfId="18376"/>
    <cellStyle name="Normal 2 3 2 17 2 2 7 2" xfId="18377"/>
    <cellStyle name="Normal 2 3 2 17 2 2 8" xfId="18378"/>
    <cellStyle name="Normal 2 3 2 17 2 2 8 2" xfId="18379"/>
    <cellStyle name="Normal 2 3 2 17 2 2 9" xfId="18380"/>
    <cellStyle name="Normal 2 3 2 17 2 2 9 2" xfId="18381"/>
    <cellStyle name="Normal 2 3 2 17 2 3" xfId="18382"/>
    <cellStyle name="Normal 2 3 2 17 2 3 2" xfId="18383"/>
    <cellStyle name="Normal 2 3 2 17 2 4" xfId="18384"/>
    <cellStyle name="Normal 2 3 2 17 2 4 2" xfId="18385"/>
    <cellStyle name="Normal 2 3 2 17 2 5" xfId="18386"/>
    <cellStyle name="Normal 2 3 2 17 2 5 2" xfId="18387"/>
    <cellStyle name="Normal 2 3 2 17 2 6" xfId="18388"/>
    <cellStyle name="Normal 2 3 2 17 2 6 2" xfId="18389"/>
    <cellStyle name="Normal 2 3 2 17 2 7" xfId="18390"/>
    <cellStyle name="Normal 2 3 2 17 2 7 2" xfId="18391"/>
    <cellStyle name="Normal 2 3 2 17 2 8" xfId="18392"/>
    <cellStyle name="Normal 2 3 2 17 2 8 2" xfId="18393"/>
    <cellStyle name="Normal 2 3 2 17 2 9" xfId="18394"/>
    <cellStyle name="Normal 2 3 2 17 2 9 2" xfId="18395"/>
    <cellStyle name="Normal 2 3 2 17 3" xfId="18396"/>
    <cellStyle name="Normal 2 3 2 17 3 10" xfId="18397"/>
    <cellStyle name="Normal 2 3 2 17 3 10 2" xfId="18398"/>
    <cellStyle name="Normal 2 3 2 17 3 11" xfId="18399"/>
    <cellStyle name="Normal 2 3 2 17 3 2" xfId="18400"/>
    <cellStyle name="Normal 2 3 2 17 3 2 2" xfId="18401"/>
    <cellStyle name="Normal 2 3 2 17 3 3" xfId="18402"/>
    <cellStyle name="Normal 2 3 2 17 3 3 2" xfId="18403"/>
    <cellStyle name="Normal 2 3 2 17 3 4" xfId="18404"/>
    <cellStyle name="Normal 2 3 2 17 3 4 2" xfId="18405"/>
    <cellStyle name="Normal 2 3 2 17 3 5" xfId="18406"/>
    <cellStyle name="Normal 2 3 2 17 3 5 2" xfId="18407"/>
    <cellStyle name="Normal 2 3 2 17 3 6" xfId="18408"/>
    <cellStyle name="Normal 2 3 2 17 3 6 2" xfId="18409"/>
    <cellStyle name="Normal 2 3 2 17 3 7" xfId="18410"/>
    <cellStyle name="Normal 2 3 2 17 3 7 2" xfId="18411"/>
    <cellStyle name="Normal 2 3 2 17 3 8" xfId="18412"/>
    <cellStyle name="Normal 2 3 2 17 3 8 2" xfId="18413"/>
    <cellStyle name="Normal 2 3 2 17 3 9" xfId="18414"/>
    <cellStyle name="Normal 2 3 2 17 3 9 2" xfId="18415"/>
    <cellStyle name="Normal 2 3 2 17 4" xfId="18416"/>
    <cellStyle name="Normal 2 3 2 17 4 2" xfId="18417"/>
    <cellStyle name="Normal 2 3 2 17 5" xfId="18418"/>
    <cellStyle name="Normal 2 3 2 17 5 2" xfId="18419"/>
    <cellStyle name="Normal 2 3 2 17 6" xfId="18420"/>
    <cellStyle name="Normal 2 3 2 17 6 2" xfId="18421"/>
    <cellStyle name="Normal 2 3 2 17 7" xfId="18422"/>
    <cellStyle name="Normal 2 3 2 17 7 2" xfId="18423"/>
    <cellStyle name="Normal 2 3 2 17 8" xfId="18424"/>
    <cellStyle name="Normal 2 3 2 17 8 2" xfId="18425"/>
    <cellStyle name="Normal 2 3 2 17 9" xfId="18426"/>
    <cellStyle name="Normal 2 3 2 17 9 2" xfId="18427"/>
    <cellStyle name="Normal 2 3 2 18" xfId="18428"/>
    <cellStyle name="Normal 2 3 2 19" xfId="18429"/>
    <cellStyle name="Normal 2 3 2 2" xfId="18430"/>
    <cellStyle name="Normal 2 3 2 2 10" xfId="41951"/>
    <cellStyle name="Normal 2 3 2 2 2" xfId="18431"/>
    <cellStyle name="Normal 2 3 2 2 2 10" xfId="18432"/>
    <cellStyle name="Normal 2 3 2 2 2 10 10" xfId="18433"/>
    <cellStyle name="Normal 2 3 2 2 2 10 10 2" xfId="18434"/>
    <cellStyle name="Normal 2 3 2 2 2 10 11" xfId="18435"/>
    <cellStyle name="Normal 2 3 2 2 2 10 11 2" xfId="18436"/>
    <cellStyle name="Normal 2 3 2 2 2 10 12" xfId="18437"/>
    <cellStyle name="Normal 2 3 2 2 2 10 2" xfId="18438"/>
    <cellStyle name="Normal 2 3 2 2 2 10 2 10" xfId="18439"/>
    <cellStyle name="Normal 2 3 2 2 2 10 2 10 2" xfId="18440"/>
    <cellStyle name="Normal 2 3 2 2 2 10 2 11" xfId="18441"/>
    <cellStyle name="Normal 2 3 2 2 2 10 2 2" xfId="18442"/>
    <cellStyle name="Normal 2 3 2 2 2 10 2 2 2" xfId="18443"/>
    <cellStyle name="Normal 2 3 2 2 2 10 2 3" xfId="18444"/>
    <cellStyle name="Normal 2 3 2 2 2 10 2 3 2" xfId="18445"/>
    <cellStyle name="Normal 2 3 2 2 2 10 2 4" xfId="18446"/>
    <cellStyle name="Normal 2 3 2 2 2 10 2 4 2" xfId="18447"/>
    <cellStyle name="Normal 2 3 2 2 2 10 2 5" xfId="18448"/>
    <cellStyle name="Normal 2 3 2 2 2 10 2 5 2" xfId="18449"/>
    <cellStyle name="Normal 2 3 2 2 2 10 2 6" xfId="18450"/>
    <cellStyle name="Normal 2 3 2 2 2 10 2 6 2" xfId="18451"/>
    <cellStyle name="Normal 2 3 2 2 2 10 2 7" xfId="18452"/>
    <cellStyle name="Normal 2 3 2 2 2 10 2 7 2" xfId="18453"/>
    <cellStyle name="Normal 2 3 2 2 2 10 2 8" xfId="18454"/>
    <cellStyle name="Normal 2 3 2 2 2 10 2 8 2" xfId="18455"/>
    <cellStyle name="Normal 2 3 2 2 2 10 2 9" xfId="18456"/>
    <cellStyle name="Normal 2 3 2 2 2 10 2 9 2" xfId="18457"/>
    <cellStyle name="Normal 2 3 2 2 2 10 3" xfId="18458"/>
    <cellStyle name="Normal 2 3 2 2 2 10 3 2" xfId="18459"/>
    <cellStyle name="Normal 2 3 2 2 2 10 4" xfId="18460"/>
    <cellStyle name="Normal 2 3 2 2 2 10 4 2" xfId="18461"/>
    <cellStyle name="Normal 2 3 2 2 2 10 5" xfId="18462"/>
    <cellStyle name="Normal 2 3 2 2 2 10 5 2" xfId="18463"/>
    <cellStyle name="Normal 2 3 2 2 2 10 6" xfId="18464"/>
    <cellStyle name="Normal 2 3 2 2 2 10 6 2" xfId="18465"/>
    <cellStyle name="Normal 2 3 2 2 2 10 7" xfId="18466"/>
    <cellStyle name="Normal 2 3 2 2 2 10 7 2" xfId="18467"/>
    <cellStyle name="Normal 2 3 2 2 2 10 8" xfId="18468"/>
    <cellStyle name="Normal 2 3 2 2 2 10 8 2" xfId="18469"/>
    <cellStyle name="Normal 2 3 2 2 2 10 9" xfId="18470"/>
    <cellStyle name="Normal 2 3 2 2 2 10 9 2" xfId="18471"/>
    <cellStyle name="Normal 2 3 2 2 2 11" xfId="18472"/>
    <cellStyle name="Normal 2 3 2 2 2 11 10" xfId="18473"/>
    <cellStyle name="Normal 2 3 2 2 2 11 10 2" xfId="18474"/>
    <cellStyle name="Normal 2 3 2 2 2 11 11" xfId="18475"/>
    <cellStyle name="Normal 2 3 2 2 2 11 2" xfId="18476"/>
    <cellStyle name="Normal 2 3 2 2 2 11 2 2" xfId="18477"/>
    <cellStyle name="Normal 2 3 2 2 2 11 3" xfId="18478"/>
    <cellStyle name="Normal 2 3 2 2 2 11 3 2" xfId="18479"/>
    <cellStyle name="Normal 2 3 2 2 2 11 4" xfId="18480"/>
    <cellStyle name="Normal 2 3 2 2 2 11 4 2" xfId="18481"/>
    <cellStyle name="Normal 2 3 2 2 2 11 5" xfId="18482"/>
    <cellStyle name="Normal 2 3 2 2 2 11 5 2" xfId="18483"/>
    <cellStyle name="Normal 2 3 2 2 2 11 6" xfId="18484"/>
    <cellStyle name="Normal 2 3 2 2 2 11 6 2" xfId="18485"/>
    <cellStyle name="Normal 2 3 2 2 2 11 7" xfId="18486"/>
    <cellStyle name="Normal 2 3 2 2 2 11 7 2" xfId="18487"/>
    <cellStyle name="Normal 2 3 2 2 2 11 8" xfId="18488"/>
    <cellStyle name="Normal 2 3 2 2 2 11 8 2" xfId="18489"/>
    <cellStyle name="Normal 2 3 2 2 2 11 9" xfId="18490"/>
    <cellStyle name="Normal 2 3 2 2 2 11 9 2" xfId="18491"/>
    <cellStyle name="Normal 2 3 2 2 2 12" xfId="18492"/>
    <cellStyle name="Normal 2 3 2 2 2 12 2" xfId="18493"/>
    <cellStyle name="Normal 2 3 2 2 2 13" xfId="18494"/>
    <cellStyle name="Normal 2 3 2 2 2 13 2" xfId="18495"/>
    <cellStyle name="Normal 2 3 2 2 2 14" xfId="18496"/>
    <cellStyle name="Normal 2 3 2 2 2 14 2" xfId="18497"/>
    <cellStyle name="Normal 2 3 2 2 2 15" xfId="18498"/>
    <cellStyle name="Normal 2 3 2 2 2 15 2" xfId="18499"/>
    <cellStyle name="Normal 2 3 2 2 2 16" xfId="18500"/>
    <cellStyle name="Normal 2 3 2 2 2 16 2" xfId="18501"/>
    <cellStyle name="Normal 2 3 2 2 2 17" xfId="18502"/>
    <cellStyle name="Normal 2 3 2 2 2 17 2" xfId="18503"/>
    <cellStyle name="Normal 2 3 2 2 2 18" xfId="18504"/>
    <cellStyle name="Normal 2 3 2 2 2 18 2" xfId="18505"/>
    <cellStyle name="Normal 2 3 2 2 2 19" xfId="18506"/>
    <cellStyle name="Normal 2 3 2 2 2 19 2" xfId="18507"/>
    <cellStyle name="Normal 2 3 2 2 2 2" xfId="18508"/>
    <cellStyle name="Normal 2 3 2 2 2 2 2" xfId="18509"/>
    <cellStyle name="Normal 2 3 2 2 2 2 2 10" xfId="18510"/>
    <cellStyle name="Normal 2 3 2 2 2 2 2 10 2" xfId="18511"/>
    <cellStyle name="Normal 2 3 2 2 2 2 2 11" xfId="18512"/>
    <cellStyle name="Normal 2 3 2 2 2 2 2 11 2" xfId="18513"/>
    <cellStyle name="Normal 2 3 2 2 2 2 2 12" xfId="18514"/>
    <cellStyle name="Normal 2 3 2 2 2 2 2 12 2" xfId="18515"/>
    <cellStyle name="Normal 2 3 2 2 2 2 2 13" xfId="18516"/>
    <cellStyle name="Normal 2 3 2 2 2 2 2 13 2" xfId="18517"/>
    <cellStyle name="Normal 2 3 2 2 2 2 2 14" xfId="18518"/>
    <cellStyle name="Normal 2 3 2 2 2 2 2 14 2" xfId="18519"/>
    <cellStyle name="Normal 2 3 2 2 2 2 2 15" xfId="18520"/>
    <cellStyle name="Normal 2 3 2 2 2 2 2 15 2" xfId="18521"/>
    <cellStyle name="Normal 2 3 2 2 2 2 2 16" xfId="18522"/>
    <cellStyle name="Normal 2 3 2 2 2 2 2 16 2" xfId="18523"/>
    <cellStyle name="Normal 2 3 2 2 2 2 2 17" xfId="18524"/>
    <cellStyle name="Normal 2 3 2 2 2 2 2 2" xfId="18525"/>
    <cellStyle name="Normal 2 3 2 2 2 2 2 2 2" xfId="18526"/>
    <cellStyle name="Normal 2 3 2 2 2 2 2 2 2 10" xfId="18527"/>
    <cellStyle name="Normal 2 3 2 2 2 2 2 2 2 10 2" xfId="18528"/>
    <cellStyle name="Normal 2 3 2 2 2 2 2 2 2 11" xfId="18529"/>
    <cellStyle name="Normal 2 3 2 2 2 2 2 2 2 11 2" xfId="18530"/>
    <cellStyle name="Normal 2 3 2 2 2 2 2 2 2 12" xfId="18531"/>
    <cellStyle name="Normal 2 3 2 2 2 2 2 2 2 12 2" xfId="18532"/>
    <cellStyle name="Normal 2 3 2 2 2 2 2 2 2 13" xfId="18533"/>
    <cellStyle name="Normal 2 3 2 2 2 2 2 2 2 2" xfId="18534"/>
    <cellStyle name="Normal 2 3 2 2 2 2 2 2 2 2 10" xfId="18535"/>
    <cellStyle name="Normal 2 3 2 2 2 2 2 2 2 2 10 2" xfId="18536"/>
    <cellStyle name="Normal 2 3 2 2 2 2 2 2 2 2 11" xfId="18537"/>
    <cellStyle name="Normal 2 3 2 2 2 2 2 2 2 2 11 2" xfId="18538"/>
    <cellStyle name="Normal 2 3 2 2 2 2 2 2 2 2 12" xfId="18539"/>
    <cellStyle name="Normal 2 3 2 2 2 2 2 2 2 2 2" xfId="18540"/>
    <cellStyle name="Normal 2 3 2 2 2 2 2 2 2 2 2 10" xfId="18541"/>
    <cellStyle name="Normal 2 3 2 2 2 2 2 2 2 2 2 10 2" xfId="18542"/>
    <cellStyle name="Normal 2 3 2 2 2 2 2 2 2 2 2 11" xfId="18543"/>
    <cellStyle name="Normal 2 3 2 2 2 2 2 2 2 2 2 2" xfId="18544"/>
    <cellStyle name="Normal 2 3 2 2 2 2 2 2 2 2 2 2 2" xfId="18545"/>
    <cellStyle name="Normal 2 3 2 2 2 2 2 2 2 2 2 3" xfId="18546"/>
    <cellStyle name="Normal 2 3 2 2 2 2 2 2 2 2 2 3 2" xfId="18547"/>
    <cellStyle name="Normal 2 3 2 2 2 2 2 2 2 2 2 4" xfId="18548"/>
    <cellStyle name="Normal 2 3 2 2 2 2 2 2 2 2 2 4 2" xfId="18549"/>
    <cellStyle name="Normal 2 3 2 2 2 2 2 2 2 2 2 5" xfId="18550"/>
    <cellStyle name="Normal 2 3 2 2 2 2 2 2 2 2 2 5 2" xfId="18551"/>
    <cellStyle name="Normal 2 3 2 2 2 2 2 2 2 2 2 6" xfId="18552"/>
    <cellStyle name="Normal 2 3 2 2 2 2 2 2 2 2 2 6 2" xfId="18553"/>
    <cellStyle name="Normal 2 3 2 2 2 2 2 2 2 2 2 7" xfId="18554"/>
    <cellStyle name="Normal 2 3 2 2 2 2 2 2 2 2 2 7 2" xfId="18555"/>
    <cellStyle name="Normal 2 3 2 2 2 2 2 2 2 2 2 8" xfId="18556"/>
    <cellStyle name="Normal 2 3 2 2 2 2 2 2 2 2 2 8 2" xfId="18557"/>
    <cellStyle name="Normal 2 3 2 2 2 2 2 2 2 2 2 9" xfId="18558"/>
    <cellStyle name="Normal 2 3 2 2 2 2 2 2 2 2 2 9 2" xfId="18559"/>
    <cellStyle name="Normal 2 3 2 2 2 2 2 2 2 2 3" xfId="18560"/>
    <cellStyle name="Normal 2 3 2 2 2 2 2 2 2 2 3 2" xfId="18561"/>
    <cellStyle name="Normal 2 3 2 2 2 2 2 2 2 2 4" xfId="18562"/>
    <cellStyle name="Normal 2 3 2 2 2 2 2 2 2 2 4 2" xfId="18563"/>
    <cellStyle name="Normal 2 3 2 2 2 2 2 2 2 2 5" xfId="18564"/>
    <cellStyle name="Normal 2 3 2 2 2 2 2 2 2 2 5 2" xfId="18565"/>
    <cellStyle name="Normal 2 3 2 2 2 2 2 2 2 2 6" xfId="18566"/>
    <cellStyle name="Normal 2 3 2 2 2 2 2 2 2 2 6 2" xfId="18567"/>
    <cellStyle name="Normal 2 3 2 2 2 2 2 2 2 2 7" xfId="18568"/>
    <cellStyle name="Normal 2 3 2 2 2 2 2 2 2 2 7 2" xfId="18569"/>
    <cellStyle name="Normal 2 3 2 2 2 2 2 2 2 2 8" xfId="18570"/>
    <cellStyle name="Normal 2 3 2 2 2 2 2 2 2 2 8 2" xfId="18571"/>
    <cellStyle name="Normal 2 3 2 2 2 2 2 2 2 2 9" xfId="18572"/>
    <cellStyle name="Normal 2 3 2 2 2 2 2 2 2 2 9 2" xfId="18573"/>
    <cellStyle name="Normal 2 3 2 2 2 2 2 2 2 3" xfId="18574"/>
    <cellStyle name="Normal 2 3 2 2 2 2 2 2 2 3 10" xfId="18575"/>
    <cellStyle name="Normal 2 3 2 2 2 2 2 2 2 3 10 2" xfId="18576"/>
    <cellStyle name="Normal 2 3 2 2 2 2 2 2 2 3 11" xfId="18577"/>
    <cellStyle name="Normal 2 3 2 2 2 2 2 2 2 3 2" xfId="18578"/>
    <cellStyle name="Normal 2 3 2 2 2 2 2 2 2 3 2 2" xfId="18579"/>
    <cellStyle name="Normal 2 3 2 2 2 2 2 2 2 3 3" xfId="18580"/>
    <cellStyle name="Normal 2 3 2 2 2 2 2 2 2 3 3 2" xfId="18581"/>
    <cellStyle name="Normal 2 3 2 2 2 2 2 2 2 3 4" xfId="18582"/>
    <cellStyle name="Normal 2 3 2 2 2 2 2 2 2 3 4 2" xfId="18583"/>
    <cellStyle name="Normal 2 3 2 2 2 2 2 2 2 3 5" xfId="18584"/>
    <cellStyle name="Normal 2 3 2 2 2 2 2 2 2 3 5 2" xfId="18585"/>
    <cellStyle name="Normal 2 3 2 2 2 2 2 2 2 3 6" xfId="18586"/>
    <cellStyle name="Normal 2 3 2 2 2 2 2 2 2 3 6 2" xfId="18587"/>
    <cellStyle name="Normal 2 3 2 2 2 2 2 2 2 3 7" xfId="18588"/>
    <cellStyle name="Normal 2 3 2 2 2 2 2 2 2 3 7 2" xfId="18589"/>
    <cellStyle name="Normal 2 3 2 2 2 2 2 2 2 3 8" xfId="18590"/>
    <cellStyle name="Normal 2 3 2 2 2 2 2 2 2 3 8 2" xfId="18591"/>
    <cellStyle name="Normal 2 3 2 2 2 2 2 2 2 3 9" xfId="18592"/>
    <cellStyle name="Normal 2 3 2 2 2 2 2 2 2 3 9 2" xfId="18593"/>
    <cellStyle name="Normal 2 3 2 2 2 2 2 2 2 4" xfId="18594"/>
    <cellStyle name="Normal 2 3 2 2 2 2 2 2 2 4 2" xfId="18595"/>
    <cellStyle name="Normal 2 3 2 2 2 2 2 2 2 5" xfId="18596"/>
    <cellStyle name="Normal 2 3 2 2 2 2 2 2 2 5 2" xfId="18597"/>
    <cellStyle name="Normal 2 3 2 2 2 2 2 2 2 6" xfId="18598"/>
    <cellStyle name="Normal 2 3 2 2 2 2 2 2 2 6 2" xfId="18599"/>
    <cellStyle name="Normal 2 3 2 2 2 2 2 2 2 7" xfId="18600"/>
    <cellStyle name="Normal 2 3 2 2 2 2 2 2 2 7 2" xfId="18601"/>
    <cellStyle name="Normal 2 3 2 2 2 2 2 2 2 8" xfId="18602"/>
    <cellStyle name="Normal 2 3 2 2 2 2 2 2 2 8 2" xfId="18603"/>
    <cellStyle name="Normal 2 3 2 2 2 2 2 2 2 9" xfId="18604"/>
    <cellStyle name="Normal 2 3 2 2 2 2 2 2 2 9 2" xfId="18605"/>
    <cellStyle name="Normal 2 3 2 2 2 2 2 2 3" xfId="18606"/>
    <cellStyle name="Normal 2 3 2 2 2 2 2 2 3 10" xfId="18607"/>
    <cellStyle name="Normal 2 3 2 2 2 2 2 2 3 10 2" xfId="18608"/>
    <cellStyle name="Normal 2 3 2 2 2 2 2 2 3 11" xfId="18609"/>
    <cellStyle name="Normal 2 3 2 2 2 2 2 2 3 11 2" xfId="18610"/>
    <cellStyle name="Normal 2 3 2 2 2 2 2 2 3 12" xfId="18611"/>
    <cellStyle name="Normal 2 3 2 2 2 2 2 2 3 12 2" xfId="18612"/>
    <cellStyle name="Normal 2 3 2 2 2 2 2 2 3 13" xfId="18613"/>
    <cellStyle name="Normal 2 3 2 2 2 2 2 2 3 2" xfId="18614"/>
    <cellStyle name="Normal 2 3 2 2 2 2 2 2 3 2 10" xfId="18615"/>
    <cellStyle name="Normal 2 3 2 2 2 2 2 2 3 2 10 2" xfId="18616"/>
    <cellStyle name="Normal 2 3 2 2 2 2 2 2 3 2 11" xfId="18617"/>
    <cellStyle name="Normal 2 3 2 2 2 2 2 2 3 2 11 2" xfId="18618"/>
    <cellStyle name="Normal 2 3 2 2 2 2 2 2 3 2 12" xfId="18619"/>
    <cellStyle name="Normal 2 3 2 2 2 2 2 2 3 2 2" xfId="18620"/>
    <cellStyle name="Normal 2 3 2 2 2 2 2 2 3 2 2 10" xfId="18621"/>
    <cellStyle name="Normal 2 3 2 2 2 2 2 2 3 2 2 10 2" xfId="18622"/>
    <cellStyle name="Normal 2 3 2 2 2 2 2 2 3 2 2 11" xfId="18623"/>
    <cellStyle name="Normal 2 3 2 2 2 2 2 2 3 2 2 2" xfId="18624"/>
    <cellStyle name="Normal 2 3 2 2 2 2 2 2 3 2 2 2 2" xfId="18625"/>
    <cellStyle name="Normal 2 3 2 2 2 2 2 2 3 2 2 3" xfId="18626"/>
    <cellStyle name="Normal 2 3 2 2 2 2 2 2 3 2 2 3 2" xfId="18627"/>
    <cellStyle name="Normal 2 3 2 2 2 2 2 2 3 2 2 4" xfId="18628"/>
    <cellStyle name="Normal 2 3 2 2 2 2 2 2 3 2 2 4 2" xfId="18629"/>
    <cellStyle name="Normal 2 3 2 2 2 2 2 2 3 2 2 5" xfId="18630"/>
    <cellStyle name="Normal 2 3 2 2 2 2 2 2 3 2 2 5 2" xfId="18631"/>
    <cellStyle name="Normal 2 3 2 2 2 2 2 2 3 2 2 6" xfId="18632"/>
    <cellStyle name="Normal 2 3 2 2 2 2 2 2 3 2 2 6 2" xfId="18633"/>
    <cellStyle name="Normal 2 3 2 2 2 2 2 2 3 2 2 7" xfId="18634"/>
    <cellStyle name="Normal 2 3 2 2 2 2 2 2 3 2 2 7 2" xfId="18635"/>
    <cellStyle name="Normal 2 3 2 2 2 2 2 2 3 2 2 8" xfId="18636"/>
    <cellStyle name="Normal 2 3 2 2 2 2 2 2 3 2 2 8 2" xfId="18637"/>
    <cellStyle name="Normal 2 3 2 2 2 2 2 2 3 2 2 9" xfId="18638"/>
    <cellStyle name="Normal 2 3 2 2 2 2 2 2 3 2 2 9 2" xfId="18639"/>
    <cellStyle name="Normal 2 3 2 2 2 2 2 2 3 2 3" xfId="18640"/>
    <cellStyle name="Normal 2 3 2 2 2 2 2 2 3 2 3 2" xfId="18641"/>
    <cellStyle name="Normal 2 3 2 2 2 2 2 2 3 2 4" xfId="18642"/>
    <cellStyle name="Normal 2 3 2 2 2 2 2 2 3 2 4 2" xfId="18643"/>
    <cellStyle name="Normal 2 3 2 2 2 2 2 2 3 2 5" xfId="18644"/>
    <cellStyle name="Normal 2 3 2 2 2 2 2 2 3 2 5 2" xfId="18645"/>
    <cellStyle name="Normal 2 3 2 2 2 2 2 2 3 2 6" xfId="18646"/>
    <cellStyle name="Normal 2 3 2 2 2 2 2 2 3 2 6 2" xfId="18647"/>
    <cellStyle name="Normal 2 3 2 2 2 2 2 2 3 2 7" xfId="18648"/>
    <cellStyle name="Normal 2 3 2 2 2 2 2 2 3 2 7 2" xfId="18649"/>
    <cellStyle name="Normal 2 3 2 2 2 2 2 2 3 2 8" xfId="18650"/>
    <cellStyle name="Normal 2 3 2 2 2 2 2 2 3 2 8 2" xfId="18651"/>
    <cellStyle name="Normal 2 3 2 2 2 2 2 2 3 2 9" xfId="18652"/>
    <cellStyle name="Normal 2 3 2 2 2 2 2 2 3 2 9 2" xfId="18653"/>
    <cellStyle name="Normal 2 3 2 2 2 2 2 2 3 3" xfId="18654"/>
    <cellStyle name="Normal 2 3 2 2 2 2 2 2 3 3 10" xfId="18655"/>
    <cellStyle name="Normal 2 3 2 2 2 2 2 2 3 3 10 2" xfId="18656"/>
    <cellStyle name="Normal 2 3 2 2 2 2 2 2 3 3 11" xfId="18657"/>
    <cellStyle name="Normal 2 3 2 2 2 2 2 2 3 3 2" xfId="18658"/>
    <cellStyle name="Normal 2 3 2 2 2 2 2 2 3 3 2 2" xfId="18659"/>
    <cellStyle name="Normal 2 3 2 2 2 2 2 2 3 3 3" xfId="18660"/>
    <cellStyle name="Normal 2 3 2 2 2 2 2 2 3 3 3 2" xfId="18661"/>
    <cellStyle name="Normal 2 3 2 2 2 2 2 2 3 3 4" xfId="18662"/>
    <cellStyle name="Normal 2 3 2 2 2 2 2 2 3 3 4 2" xfId="18663"/>
    <cellStyle name="Normal 2 3 2 2 2 2 2 2 3 3 5" xfId="18664"/>
    <cellStyle name="Normal 2 3 2 2 2 2 2 2 3 3 5 2" xfId="18665"/>
    <cellStyle name="Normal 2 3 2 2 2 2 2 2 3 3 6" xfId="18666"/>
    <cellStyle name="Normal 2 3 2 2 2 2 2 2 3 3 6 2" xfId="18667"/>
    <cellStyle name="Normal 2 3 2 2 2 2 2 2 3 3 7" xfId="18668"/>
    <cellStyle name="Normal 2 3 2 2 2 2 2 2 3 3 7 2" xfId="18669"/>
    <cellStyle name="Normal 2 3 2 2 2 2 2 2 3 3 8" xfId="18670"/>
    <cellStyle name="Normal 2 3 2 2 2 2 2 2 3 3 8 2" xfId="18671"/>
    <cellStyle name="Normal 2 3 2 2 2 2 2 2 3 3 9" xfId="18672"/>
    <cellStyle name="Normal 2 3 2 2 2 2 2 2 3 3 9 2" xfId="18673"/>
    <cellStyle name="Normal 2 3 2 2 2 2 2 2 3 4" xfId="18674"/>
    <cellStyle name="Normal 2 3 2 2 2 2 2 2 3 4 2" xfId="18675"/>
    <cellStyle name="Normal 2 3 2 2 2 2 2 2 3 5" xfId="18676"/>
    <cellStyle name="Normal 2 3 2 2 2 2 2 2 3 5 2" xfId="18677"/>
    <cellStyle name="Normal 2 3 2 2 2 2 2 2 3 6" xfId="18678"/>
    <cellStyle name="Normal 2 3 2 2 2 2 2 2 3 6 2" xfId="18679"/>
    <cellStyle name="Normal 2 3 2 2 2 2 2 2 3 7" xfId="18680"/>
    <cellStyle name="Normal 2 3 2 2 2 2 2 2 3 7 2" xfId="18681"/>
    <cellStyle name="Normal 2 3 2 2 2 2 2 2 3 8" xfId="18682"/>
    <cellStyle name="Normal 2 3 2 2 2 2 2 2 3 8 2" xfId="18683"/>
    <cellStyle name="Normal 2 3 2 2 2 2 2 2 3 9" xfId="18684"/>
    <cellStyle name="Normal 2 3 2 2 2 2 2 2 3 9 2" xfId="18685"/>
    <cellStyle name="Normal 2 3 2 2 2 2 2 2 4" xfId="18686"/>
    <cellStyle name="Normal 2 3 2 2 2 2 2 2 4 10" xfId="18687"/>
    <cellStyle name="Normal 2 3 2 2 2 2 2 2 4 10 2" xfId="18688"/>
    <cellStyle name="Normal 2 3 2 2 2 2 2 2 4 11" xfId="18689"/>
    <cellStyle name="Normal 2 3 2 2 2 2 2 2 4 11 2" xfId="18690"/>
    <cellStyle name="Normal 2 3 2 2 2 2 2 2 4 12" xfId="18691"/>
    <cellStyle name="Normal 2 3 2 2 2 2 2 2 4 12 2" xfId="18692"/>
    <cellStyle name="Normal 2 3 2 2 2 2 2 2 4 13" xfId="18693"/>
    <cellStyle name="Normal 2 3 2 2 2 2 2 2 4 2" xfId="18694"/>
    <cellStyle name="Normal 2 3 2 2 2 2 2 2 4 2 10" xfId="18695"/>
    <cellStyle name="Normal 2 3 2 2 2 2 2 2 4 2 10 2" xfId="18696"/>
    <cellStyle name="Normal 2 3 2 2 2 2 2 2 4 2 11" xfId="18697"/>
    <cellStyle name="Normal 2 3 2 2 2 2 2 2 4 2 11 2" xfId="18698"/>
    <cellStyle name="Normal 2 3 2 2 2 2 2 2 4 2 12" xfId="18699"/>
    <cellStyle name="Normal 2 3 2 2 2 2 2 2 4 2 2" xfId="18700"/>
    <cellStyle name="Normal 2 3 2 2 2 2 2 2 4 2 2 10" xfId="18701"/>
    <cellStyle name="Normal 2 3 2 2 2 2 2 2 4 2 2 10 2" xfId="18702"/>
    <cellStyle name="Normal 2 3 2 2 2 2 2 2 4 2 2 11" xfId="18703"/>
    <cellStyle name="Normal 2 3 2 2 2 2 2 2 4 2 2 2" xfId="18704"/>
    <cellStyle name="Normal 2 3 2 2 2 2 2 2 4 2 2 2 2" xfId="18705"/>
    <cellStyle name="Normal 2 3 2 2 2 2 2 2 4 2 2 3" xfId="18706"/>
    <cellStyle name="Normal 2 3 2 2 2 2 2 2 4 2 2 3 2" xfId="18707"/>
    <cellStyle name="Normal 2 3 2 2 2 2 2 2 4 2 2 4" xfId="18708"/>
    <cellStyle name="Normal 2 3 2 2 2 2 2 2 4 2 2 4 2" xfId="18709"/>
    <cellStyle name="Normal 2 3 2 2 2 2 2 2 4 2 2 5" xfId="18710"/>
    <cellStyle name="Normal 2 3 2 2 2 2 2 2 4 2 2 5 2" xfId="18711"/>
    <cellStyle name="Normal 2 3 2 2 2 2 2 2 4 2 2 6" xfId="18712"/>
    <cellStyle name="Normal 2 3 2 2 2 2 2 2 4 2 2 6 2" xfId="18713"/>
    <cellStyle name="Normal 2 3 2 2 2 2 2 2 4 2 2 7" xfId="18714"/>
    <cellStyle name="Normal 2 3 2 2 2 2 2 2 4 2 2 7 2" xfId="18715"/>
    <cellStyle name="Normal 2 3 2 2 2 2 2 2 4 2 2 8" xfId="18716"/>
    <cellStyle name="Normal 2 3 2 2 2 2 2 2 4 2 2 8 2" xfId="18717"/>
    <cellStyle name="Normal 2 3 2 2 2 2 2 2 4 2 2 9" xfId="18718"/>
    <cellStyle name="Normal 2 3 2 2 2 2 2 2 4 2 2 9 2" xfId="18719"/>
    <cellStyle name="Normal 2 3 2 2 2 2 2 2 4 2 3" xfId="18720"/>
    <cellStyle name="Normal 2 3 2 2 2 2 2 2 4 2 3 2" xfId="18721"/>
    <cellStyle name="Normal 2 3 2 2 2 2 2 2 4 2 4" xfId="18722"/>
    <cellStyle name="Normal 2 3 2 2 2 2 2 2 4 2 4 2" xfId="18723"/>
    <cellStyle name="Normal 2 3 2 2 2 2 2 2 4 2 5" xfId="18724"/>
    <cellStyle name="Normal 2 3 2 2 2 2 2 2 4 2 5 2" xfId="18725"/>
    <cellStyle name="Normal 2 3 2 2 2 2 2 2 4 2 6" xfId="18726"/>
    <cellStyle name="Normal 2 3 2 2 2 2 2 2 4 2 6 2" xfId="18727"/>
    <cellStyle name="Normal 2 3 2 2 2 2 2 2 4 2 7" xfId="18728"/>
    <cellStyle name="Normal 2 3 2 2 2 2 2 2 4 2 7 2" xfId="18729"/>
    <cellStyle name="Normal 2 3 2 2 2 2 2 2 4 2 8" xfId="18730"/>
    <cellStyle name="Normal 2 3 2 2 2 2 2 2 4 2 8 2" xfId="18731"/>
    <cellStyle name="Normal 2 3 2 2 2 2 2 2 4 2 9" xfId="18732"/>
    <cellStyle name="Normal 2 3 2 2 2 2 2 2 4 2 9 2" xfId="18733"/>
    <cellStyle name="Normal 2 3 2 2 2 2 2 2 4 3" xfId="18734"/>
    <cellStyle name="Normal 2 3 2 2 2 2 2 2 4 3 10" xfId="18735"/>
    <cellStyle name="Normal 2 3 2 2 2 2 2 2 4 3 10 2" xfId="18736"/>
    <cellStyle name="Normal 2 3 2 2 2 2 2 2 4 3 11" xfId="18737"/>
    <cellStyle name="Normal 2 3 2 2 2 2 2 2 4 3 2" xfId="18738"/>
    <cellStyle name="Normal 2 3 2 2 2 2 2 2 4 3 2 2" xfId="18739"/>
    <cellStyle name="Normal 2 3 2 2 2 2 2 2 4 3 3" xfId="18740"/>
    <cellStyle name="Normal 2 3 2 2 2 2 2 2 4 3 3 2" xfId="18741"/>
    <cellStyle name="Normal 2 3 2 2 2 2 2 2 4 3 4" xfId="18742"/>
    <cellStyle name="Normal 2 3 2 2 2 2 2 2 4 3 4 2" xfId="18743"/>
    <cellStyle name="Normal 2 3 2 2 2 2 2 2 4 3 5" xfId="18744"/>
    <cellStyle name="Normal 2 3 2 2 2 2 2 2 4 3 5 2" xfId="18745"/>
    <cellStyle name="Normal 2 3 2 2 2 2 2 2 4 3 6" xfId="18746"/>
    <cellStyle name="Normal 2 3 2 2 2 2 2 2 4 3 6 2" xfId="18747"/>
    <cellStyle name="Normal 2 3 2 2 2 2 2 2 4 3 7" xfId="18748"/>
    <cellStyle name="Normal 2 3 2 2 2 2 2 2 4 3 7 2" xfId="18749"/>
    <cellStyle name="Normal 2 3 2 2 2 2 2 2 4 3 8" xfId="18750"/>
    <cellStyle name="Normal 2 3 2 2 2 2 2 2 4 3 8 2" xfId="18751"/>
    <cellStyle name="Normal 2 3 2 2 2 2 2 2 4 3 9" xfId="18752"/>
    <cellStyle name="Normal 2 3 2 2 2 2 2 2 4 3 9 2" xfId="18753"/>
    <cellStyle name="Normal 2 3 2 2 2 2 2 2 4 4" xfId="18754"/>
    <cellStyle name="Normal 2 3 2 2 2 2 2 2 4 4 2" xfId="18755"/>
    <cellStyle name="Normal 2 3 2 2 2 2 2 2 4 5" xfId="18756"/>
    <cellStyle name="Normal 2 3 2 2 2 2 2 2 4 5 2" xfId="18757"/>
    <cellStyle name="Normal 2 3 2 2 2 2 2 2 4 6" xfId="18758"/>
    <cellStyle name="Normal 2 3 2 2 2 2 2 2 4 6 2" xfId="18759"/>
    <cellStyle name="Normal 2 3 2 2 2 2 2 2 4 7" xfId="18760"/>
    <cellStyle name="Normal 2 3 2 2 2 2 2 2 4 7 2" xfId="18761"/>
    <cellStyle name="Normal 2 3 2 2 2 2 2 2 4 8" xfId="18762"/>
    <cellStyle name="Normal 2 3 2 2 2 2 2 2 4 8 2" xfId="18763"/>
    <cellStyle name="Normal 2 3 2 2 2 2 2 2 4 9" xfId="18764"/>
    <cellStyle name="Normal 2 3 2 2 2 2 2 2 4 9 2" xfId="18765"/>
    <cellStyle name="Normal 2 3 2 2 2 2 2 2 5" xfId="18766"/>
    <cellStyle name="Normal 2 3 2 2 2 2 2 2 5 10" xfId="18767"/>
    <cellStyle name="Normal 2 3 2 2 2 2 2 2 5 10 2" xfId="18768"/>
    <cellStyle name="Normal 2 3 2 2 2 2 2 2 5 11" xfId="18769"/>
    <cellStyle name="Normal 2 3 2 2 2 2 2 2 5 11 2" xfId="18770"/>
    <cellStyle name="Normal 2 3 2 2 2 2 2 2 5 12" xfId="18771"/>
    <cellStyle name="Normal 2 3 2 2 2 2 2 2 5 12 2" xfId="18772"/>
    <cellStyle name="Normal 2 3 2 2 2 2 2 2 5 13" xfId="18773"/>
    <cellStyle name="Normal 2 3 2 2 2 2 2 2 5 2" xfId="18774"/>
    <cellStyle name="Normal 2 3 2 2 2 2 2 2 5 2 10" xfId="18775"/>
    <cellStyle name="Normal 2 3 2 2 2 2 2 2 5 2 10 2" xfId="18776"/>
    <cellStyle name="Normal 2 3 2 2 2 2 2 2 5 2 11" xfId="18777"/>
    <cellStyle name="Normal 2 3 2 2 2 2 2 2 5 2 11 2" xfId="18778"/>
    <cellStyle name="Normal 2 3 2 2 2 2 2 2 5 2 12" xfId="18779"/>
    <cellStyle name="Normal 2 3 2 2 2 2 2 2 5 2 2" xfId="18780"/>
    <cellStyle name="Normal 2 3 2 2 2 2 2 2 5 2 2 10" xfId="18781"/>
    <cellStyle name="Normal 2 3 2 2 2 2 2 2 5 2 2 10 2" xfId="18782"/>
    <cellStyle name="Normal 2 3 2 2 2 2 2 2 5 2 2 11" xfId="18783"/>
    <cellStyle name="Normal 2 3 2 2 2 2 2 2 5 2 2 2" xfId="18784"/>
    <cellStyle name="Normal 2 3 2 2 2 2 2 2 5 2 2 2 2" xfId="18785"/>
    <cellStyle name="Normal 2 3 2 2 2 2 2 2 5 2 2 3" xfId="18786"/>
    <cellStyle name="Normal 2 3 2 2 2 2 2 2 5 2 2 3 2" xfId="18787"/>
    <cellStyle name="Normal 2 3 2 2 2 2 2 2 5 2 2 4" xfId="18788"/>
    <cellStyle name="Normal 2 3 2 2 2 2 2 2 5 2 2 4 2" xfId="18789"/>
    <cellStyle name="Normal 2 3 2 2 2 2 2 2 5 2 2 5" xfId="18790"/>
    <cellStyle name="Normal 2 3 2 2 2 2 2 2 5 2 2 5 2" xfId="18791"/>
    <cellStyle name="Normal 2 3 2 2 2 2 2 2 5 2 2 6" xfId="18792"/>
    <cellStyle name="Normal 2 3 2 2 2 2 2 2 5 2 2 6 2" xfId="18793"/>
    <cellStyle name="Normal 2 3 2 2 2 2 2 2 5 2 2 7" xfId="18794"/>
    <cellStyle name="Normal 2 3 2 2 2 2 2 2 5 2 2 7 2" xfId="18795"/>
    <cellStyle name="Normal 2 3 2 2 2 2 2 2 5 2 2 8" xfId="18796"/>
    <cellStyle name="Normal 2 3 2 2 2 2 2 2 5 2 2 8 2" xfId="18797"/>
    <cellStyle name="Normal 2 3 2 2 2 2 2 2 5 2 2 9" xfId="18798"/>
    <cellStyle name="Normal 2 3 2 2 2 2 2 2 5 2 2 9 2" xfId="18799"/>
    <cellStyle name="Normal 2 3 2 2 2 2 2 2 5 2 3" xfId="18800"/>
    <cellStyle name="Normal 2 3 2 2 2 2 2 2 5 2 3 2" xfId="18801"/>
    <cellStyle name="Normal 2 3 2 2 2 2 2 2 5 2 4" xfId="18802"/>
    <cellStyle name="Normal 2 3 2 2 2 2 2 2 5 2 4 2" xfId="18803"/>
    <cellStyle name="Normal 2 3 2 2 2 2 2 2 5 2 5" xfId="18804"/>
    <cellStyle name="Normal 2 3 2 2 2 2 2 2 5 2 5 2" xfId="18805"/>
    <cellStyle name="Normal 2 3 2 2 2 2 2 2 5 2 6" xfId="18806"/>
    <cellStyle name="Normal 2 3 2 2 2 2 2 2 5 2 6 2" xfId="18807"/>
    <cellStyle name="Normal 2 3 2 2 2 2 2 2 5 2 7" xfId="18808"/>
    <cellStyle name="Normal 2 3 2 2 2 2 2 2 5 2 7 2" xfId="18809"/>
    <cellStyle name="Normal 2 3 2 2 2 2 2 2 5 2 8" xfId="18810"/>
    <cellStyle name="Normal 2 3 2 2 2 2 2 2 5 2 8 2" xfId="18811"/>
    <cellStyle name="Normal 2 3 2 2 2 2 2 2 5 2 9" xfId="18812"/>
    <cellStyle name="Normal 2 3 2 2 2 2 2 2 5 2 9 2" xfId="18813"/>
    <cellStyle name="Normal 2 3 2 2 2 2 2 2 5 3" xfId="18814"/>
    <cellStyle name="Normal 2 3 2 2 2 2 2 2 5 3 10" xfId="18815"/>
    <cellStyle name="Normal 2 3 2 2 2 2 2 2 5 3 10 2" xfId="18816"/>
    <cellStyle name="Normal 2 3 2 2 2 2 2 2 5 3 11" xfId="18817"/>
    <cellStyle name="Normal 2 3 2 2 2 2 2 2 5 3 2" xfId="18818"/>
    <cellStyle name="Normal 2 3 2 2 2 2 2 2 5 3 2 2" xfId="18819"/>
    <cellStyle name="Normal 2 3 2 2 2 2 2 2 5 3 3" xfId="18820"/>
    <cellStyle name="Normal 2 3 2 2 2 2 2 2 5 3 3 2" xfId="18821"/>
    <cellStyle name="Normal 2 3 2 2 2 2 2 2 5 3 4" xfId="18822"/>
    <cellStyle name="Normal 2 3 2 2 2 2 2 2 5 3 4 2" xfId="18823"/>
    <cellStyle name="Normal 2 3 2 2 2 2 2 2 5 3 5" xfId="18824"/>
    <cellStyle name="Normal 2 3 2 2 2 2 2 2 5 3 5 2" xfId="18825"/>
    <cellStyle name="Normal 2 3 2 2 2 2 2 2 5 3 6" xfId="18826"/>
    <cellStyle name="Normal 2 3 2 2 2 2 2 2 5 3 6 2" xfId="18827"/>
    <cellStyle name="Normal 2 3 2 2 2 2 2 2 5 3 7" xfId="18828"/>
    <cellStyle name="Normal 2 3 2 2 2 2 2 2 5 3 7 2" xfId="18829"/>
    <cellStyle name="Normal 2 3 2 2 2 2 2 2 5 3 8" xfId="18830"/>
    <cellStyle name="Normal 2 3 2 2 2 2 2 2 5 3 8 2" xfId="18831"/>
    <cellStyle name="Normal 2 3 2 2 2 2 2 2 5 3 9" xfId="18832"/>
    <cellStyle name="Normal 2 3 2 2 2 2 2 2 5 3 9 2" xfId="18833"/>
    <cellStyle name="Normal 2 3 2 2 2 2 2 2 5 4" xfId="18834"/>
    <cellStyle name="Normal 2 3 2 2 2 2 2 2 5 4 2" xfId="18835"/>
    <cellStyle name="Normal 2 3 2 2 2 2 2 2 5 5" xfId="18836"/>
    <cellStyle name="Normal 2 3 2 2 2 2 2 2 5 5 2" xfId="18837"/>
    <cellStyle name="Normal 2 3 2 2 2 2 2 2 5 6" xfId="18838"/>
    <cellStyle name="Normal 2 3 2 2 2 2 2 2 5 6 2" xfId="18839"/>
    <cellStyle name="Normal 2 3 2 2 2 2 2 2 5 7" xfId="18840"/>
    <cellStyle name="Normal 2 3 2 2 2 2 2 2 5 7 2" xfId="18841"/>
    <cellStyle name="Normal 2 3 2 2 2 2 2 2 5 8" xfId="18842"/>
    <cellStyle name="Normal 2 3 2 2 2 2 2 2 5 8 2" xfId="18843"/>
    <cellStyle name="Normal 2 3 2 2 2 2 2 2 5 9" xfId="18844"/>
    <cellStyle name="Normal 2 3 2 2 2 2 2 2 5 9 2" xfId="18845"/>
    <cellStyle name="Normal 2 3 2 2 2 2 2 2 6" xfId="41952"/>
    <cellStyle name="Normal 2 3 2 2 2 2 2 3" xfId="18846"/>
    <cellStyle name="Normal 2 3 2 2 2 2 2 3 2" xfId="41953"/>
    <cellStyle name="Normal 2 3 2 2 2 2 2 4" xfId="18847"/>
    <cellStyle name="Normal 2 3 2 2 2 2 2 4 2" xfId="41954"/>
    <cellStyle name="Normal 2 3 2 2 2 2 2 5" xfId="18848"/>
    <cellStyle name="Normal 2 3 2 2 2 2 2 5 2" xfId="41955"/>
    <cellStyle name="Normal 2 3 2 2 2 2 2 6" xfId="18849"/>
    <cellStyle name="Normal 2 3 2 2 2 2 2 6 10" xfId="18850"/>
    <cellStyle name="Normal 2 3 2 2 2 2 2 6 10 2" xfId="18851"/>
    <cellStyle name="Normal 2 3 2 2 2 2 2 6 11" xfId="18852"/>
    <cellStyle name="Normal 2 3 2 2 2 2 2 6 11 2" xfId="18853"/>
    <cellStyle name="Normal 2 3 2 2 2 2 2 6 12" xfId="18854"/>
    <cellStyle name="Normal 2 3 2 2 2 2 2 6 2" xfId="18855"/>
    <cellStyle name="Normal 2 3 2 2 2 2 2 6 2 10" xfId="18856"/>
    <cellStyle name="Normal 2 3 2 2 2 2 2 6 2 10 2" xfId="18857"/>
    <cellStyle name="Normal 2 3 2 2 2 2 2 6 2 11" xfId="18858"/>
    <cellStyle name="Normal 2 3 2 2 2 2 2 6 2 2" xfId="18859"/>
    <cellStyle name="Normal 2 3 2 2 2 2 2 6 2 2 2" xfId="18860"/>
    <cellStyle name="Normal 2 3 2 2 2 2 2 6 2 3" xfId="18861"/>
    <cellStyle name="Normal 2 3 2 2 2 2 2 6 2 3 2" xfId="18862"/>
    <cellStyle name="Normal 2 3 2 2 2 2 2 6 2 4" xfId="18863"/>
    <cellStyle name="Normal 2 3 2 2 2 2 2 6 2 4 2" xfId="18864"/>
    <cellStyle name="Normal 2 3 2 2 2 2 2 6 2 5" xfId="18865"/>
    <cellStyle name="Normal 2 3 2 2 2 2 2 6 2 5 2" xfId="18866"/>
    <cellStyle name="Normal 2 3 2 2 2 2 2 6 2 6" xfId="18867"/>
    <cellStyle name="Normal 2 3 2 2 2 2 2 6 2 6 2" xfId="18868"/>
    <cellStyle name="Normal 2 3 2 2 2 2 2 6 2 7" xfId="18869"/>
    <cellStyle name="Normal 2 3 2 2 2 2 2 6 2 7 2" xfId="18870"/>
    <cellStyle name="Normal 2 3 2 2 2 2 2 6 2 8" xfId="18871"/>
    <cellStyle name="Normal 2 3 2 2 2 2 2 6 2 8 2" xfId="18872"/>
    <cellStyle name="Normal 2 3 2 2 2 2 2 6 2 9" xfId="18873"/>
    <cellStyle name="Normal 2 3 2 2 2 2 2 6 2 9 2" xfId="18874"/>
    <cellStyle name="Normal 2 3 2 2 2 2 2 6 3" xfId="18875"/>
    <cellStyle name="Normal 2 3 2 2 2 2 2 6 3 2" xfId="18876"/>
    <cellStyle name="Normal 2 3 2 2 2 2 2 6 4" xfId="18877"/>
    <cellStyle name="Normal 2 3 2 2 2 2 2 6 4 2" xfId="18878"/>
    <cellStyle name="Normal 2 3 2 2 2 2 2 6 5" xfId="18879"/>
    <cellStyle name="Normal 2 3 2 2 2 2 2 6 5 2" xfId="18880"/>
    <cellStyle name="Normal 2 3 2 2 2 2 2 6 6" xfId="18881"/>
    <cellStyle name="Normal 2 3 2 2 2 2 2 6 6 2" xfId="18882"/>
    <cellStyle name="Normal 2 3 2 2 2 2 2 6 7" xfId="18883"/>
    <cellStyle name="Normal 2 3 2 2 2 2 2 6 7 2" xfId="18884"/>
    <cellStyle name="Normal 2 3 2 2 2 2 2 6 8" xfId="18885"/>
    <cellStyle name="Normal 2 3 2 2 2 2 2 6 8 2" xfId="18886"/>
    <cellStyle name="Normal 2 3 2 2 2 2 2 6 9" xfId="18887"/>
    <cellStyle name="Normal 2 3 2 2 2 2 2 6 9 2" xfId="18888"/>
    <cellStyle name="Normal 2 3 2 2 2 2 2 7" xfId="18889"/>
    <cellStyle name="Normal 2 3 2 2 2 2 2 7 10" xfId="18890"/>
    <cellStyle name="Normal 2 3 2 2 2 2 2 7 10 2" xfId="18891"/>
    <cellStyle name="Normal 2 3 2 2 2 2 2 7 11" xfId="18892"/>
    <cellStyle name="Normal 2 3 2 2 2 2 2 7 2" xfId="18893"/>
    <cellStyle name="Normal 2 3 2 2 2 2 2 7 2 2" xfId="18894"/>
    <cellStyle name="Normal 2 3 2 2 2 2 2 7 3" xfId="18895"/>
    <cellStyle name="Normal 2 3 2 2 2 2 2 7 3 2" xfId="18896"/>
    <cellStyle name="Normal 2 3 2 2 2 2 2 7 4" xfId="18897"/>
    <cellStyle name="Normal 2 3 2 2 2 2 2 7 4 2" xfId="18898"/>
    <cellStyle name="Normal 2 3 2 2 2 2 2 7 5" xfId="18899"/>
    <cellStyle name="Normal 2 3 2 2 2 2 2 7 5 2" xfId="18900"/>
    <cellStyle name="Normal 2 3 2 2 2 2 2 7 6" xfId="18901"/>
    <cellStyle name="Normal 2 3 2 2 2 2 2 7 6 2" xfId="18902"/>
    <cellStyle name="Normal 2 3 2 2 2 2 2 7 7" xfId="18903"/>
    <cellStyle name="Normal 2 3 2 2 2 2 2 7 7 2" xfId="18904"/>
    <cellStyle name="Normal 2 3 2 2 2 2 2 7 8" xfId="18905"/>
    <cellStyle name="Normal 2 3 2 2 2 2 2 7 8 2" xfId="18906"/>
    <cellStyle name="Normal 2 3 2 2 2 2 2 7 9" xfId="18907"/>
    <cellStyle name="Normal 2 3 2 2 2 2 2 7 9 2" xfId="18908"/>
    <cellStyle name="Normal 2 3 2 2 2 2 2 8" xfId="18909"/>
    <cellStyle name="Normal 2 3 2 2 2 2 2 8 2" xfId="18910"/>
    <cellStyle name="Normal 2 3 2 2 2 2 2 9" xfId="18911"/>
    <cellStyle name="Normal 2 3 2 2 2 2 2 9 2" xfId="18912"/>
    <cellStyle name="Normal 2 3 2 2 2 2 3" xfId="18913"/>
    <cellStyle name="Normal 2 3 2 2 2 2 3 10" xfId="18914"/>
    <cellStyle name="Normal 2 3 2 2 2 2 3 10 2" xfId="18915"/>
    <cellStyle name="Normal 2 3 2 2 2 2 3 11" xfId="18916"/>
    <cellStyle name="Normal 2 3 2 2 2 2 3 11 2" xfId="18917"/>
    <cellStyle name="Normal 2 3 2 2 2 2 3 12" xfId="18918"/>
    <cellStyle name="Normal 2 3 2 2 2 2 3 12 2" xfId="18919"/>
    <cellStyle name="Normal 2 3 2 2 2 2 3 13" xfId="18920"/>
    <cellStyle name="Normal 2 3 2 2 2 2 3 2" xfId="18921"/>
    <cellStyle name="Normal 2 3 2 2 2 2 3 2 10" xfId="18922"/>
    <cellStyle name="Normal 2 3 2 2 2 2 3 2 10 2" xfId="18923"/>
    <cellStyle name="Normal 2 3 2 2 2 2 3 2 11" xfId="18924"/>
    <cellStyle name="Normal 2 3 2 2 2 2 3 2 11 2" xfId="18925"/>
    <cellStyle name="Normal 2 3 2 2 2 2 3 2 12" xfId="18926"/>
    <cellStyle name="Normal 2 3 2 2 2 2 3 2 2" xfId="18927"/>
    <cellStyle name="Normal 2 3 2 2 2 2 3 2 2 10" xfId="18928"/>
    <cellStyle name="Normal 2 3 2 2 2 2 3 2 2 10 2" xfId="18929"/>
    <cellStyle name="Normal 2 3 2 2 2 2 3 2 2 11" xfId="18930"/>
    <cellStyle name="Normal 2 3 2 2 2 2 3 2 2 2" xfId="18931"/>
    <cellStyle name="Normal 2 3 2 2 2 2 3 2 2 2 2" xfId="18932"/>
    <cellStyle name="Normal 2 3 2 2 2 2 3 2 2 3" xfId="18933"/>
    <cellStyle name="Normal 2 3 2 2 2 2 3 2 2 3 2" xfId="18934"/>
    <cellStyle name="Normal 2 3 2 2 2 2 3 2 2 4" xfId="18935"/>
    <cellStyle name="Normal 2 3 2 2 2 2 3 2 2 4 2" xfId="18936"/>
    <cellStyle name="Normal 2 3 2 2 2 2 3 2 2 5" xfId="18937"/>
    <cellStyle name="Normal 2 3 2 2 2 2 3 2 2 5 2" xfId="18938"/>
    <cellStyle name="Normal 2 3 2 2 2 2 3 2 2 6" xfId="18939"/>
    <cellStyle name="Normal 2 3 2 2 2 2 3 2 2 6 2" xfId="18940"/>
    <cellStyle name="Normal 2 3 2 2 2 2 3 2 2 7" xfId="18941"/>
    <cellStyle name="Normal 2 3 2 2 2 2 3 2 2 7 2" xfId="18942"/>
    <cellStyle name="Normal 2 3 2 2 2 2 3 2 2 8" xfId="18943"/>
    <cellStyle name="Normal 2 3 2 2 2 2 3 2 2 8 2" xfId="18944"/>
    <cellStyle name="Normal 2 3 2 2 2 2 3 2 2 9" xfId="18945"/>
    <cellStyle name="Normal 2 3 2 2 2 2 3 2 2 9 2" xfId="18946"/>
    <cellStyle name="Normal 2 3 2 2 2 2 3 2 3" xfId="18947"/>
    <cellStyle name="Normal 2 3 2 2 2 2 3 2 3 2" xfId="18948"/>
    <cellStyle name="Normal 2 3 2 2 2 2 3 2 4" xfId="18949"/>
    <cellStyle name="Normal 2 3 2 2 2 2 3 2 4 2" xfId="18950"/>
    <cellStyle name="Normal 2 3 2 2 2 2 3 2 5" xfId="18951"/>
    <cellStyle name="Normal 2 3 2 2 2 2 3 2 5 2" xfId="18952"/>
    <cellStyle name="Normal 2 3 2 2 2 2 3 2 6" xfId="18953"/>
    <cellStyle name="Normal 2 3 2 2 2 2 3 2 6 2" xfId="18954"/>
    <cellStyle name="Normal 2 3 2 2 2 2 3 2 7" xfId="18955"/>
    <cellStyle name="Normal 2 3 2 2 2 2 3 2 7 2" xfId="18956"/>
    <cellStyle name="Normal 2 3 2 2 2 2 3 2 8" xfId="18957"/>
    <cellStyle name="Normal 2 3 2 2 2 2 3 2 8 2" xfId="18958"/>
    <cellStyle name="Normal 2 3 2 2 2 2 3 2 9" xfId="18959"/>
    <cellStyle name="Normal 2 3 2 2 2 2 3 2 9 2" xfId="18960"/>
    <cellStyle name="Normal 2 3 2 2 2 2 3 3" xfId="18961"/>
    <cellStyle name="Normal 2 3 2 2 2 2 3 3 10" xfId="18962"/>
    <cellStyle name="Normal 2 3 2 2 2 2 3 3 10 2" xfId="18963"/>
    <cellStyle name="Normal 2 3 2 2 2 2 3 3 11" xfId="18964"/>
    <cellStyle name="Normal 2 3 2 2 2 2 3 3 2" xfId="18965"/>
    <cellStyle name="Normal 2 3 2 2 2 2 3 3 2 2" xfId="18966"/>
    <cellStyle name="Normal 2 3 2 2 2 2 3 3 3" xfId="18967"/>
    <cellStyle name="Normal 2 3 2 2 2 2 3 3 3 2" xfId="18968"/>
    <cellStyle name="Normal 2 3 2 2 2 2 3 3 4" xfId="18969"/>
    <cellStyle name="Normal 2 3 2 2 2 2 3 3 4 2" xfId="18970"/>
    <cellStyle name="Normal 2 3 2 2 2 2 3 3 5" xfId="18971"/>
    <cellStyle name="Normal 2 3 2 2 2 2 3 3 5 2" xfId="18972"/>
    <cellStyle name="Normal 2 3 2 2 2 2 3 3 6" xfId="18973"/>
    <cellStyle name="Normal 2 3 2 2 2 2 3 3 6 2" xfId="18974"/>
    <cellStyle name="Normal 2 3 2 2 2 2 3 3 7" xfId="18975"/>
    <cellStyle name="Normal 2 3 2 2 2 2 3 3 7 2" xfId="18976"/>
    <cellStyle name="Normal 2 3 2 2 2 2 3 3 8" xfId="18977"/>
    <cellStyle name="Normal 2 3 2 2 2 2 3 3 8 2" xfId="18978"/>
    <cellStyle name="Normal 2 3 2 2 2 2 3 3 9" xfId="18979"/>
    <cellStyle name="Normal 2 3 2 2 2 2 3 3 9 2" xfId="18980"/>
    <cellStyle name="Normal 2 3 2 2 2 2 3 4" xfId="18981"/>
    <cellStyle name="Normal 2 3 2 2 2 2 3 4 2" xfId="18982"/>
    <cellStyle name="Normal 2 3 2 2 2 2 3 5" xfId="18983"/>
    <cellStyle name="Normal 2 3 2 2 2 2 3 5 2" xfId="18984"/>
    <cellStyle name="Normal 2 3 2 2 2 2 3 6" xfId="18985"/>
    <cellStyle name="Normal 2 3 2 2 2 2 3 6 2" xfId="18986"/>
    <cellStyle name="Normal 2 3 2 2 2 2 3 7" xfId="18987"/>
    <cellStyle name="Normal 2 3 2 2 2 2 3 7 2" xfId="18988"/>
    <cellStyle name="Normal 2 3 2 2 2 2 3 8" xfId="18989"/>
    <cellStyle name="Normal 2 3 2 2 2 2 3 8 2" xfId="18990"/>
    <cellStyle name="Normal 2 3 2 2 2 2 3 9" xfId="18991"/>
    <cellStyle name="Normal 2 3 2 2 2 2 3 9 2" xfId="18992"/>
    <cellStyle name="Normal 2 3 2 2 2 2 4" xfId="18993"/>
    <cellStyle name="Normal 2 3 2 2 2 2 4 10" xfId="18994"/>
    <cellStyle name="Normal 2 3 2 2 2 2 4 10 2" xfId="18995"/>
    <cellStyle name="Normal 2 3 2 2 2 2 4 11" xfId="18996"/>
    <cellStyle name="Normal 2 3 2 2 2 2 4 11 2" xfId="18997"/>
    <cellStyle name="Normal 2 3 2 2 2 2 4 12" xfId="18998"/>
    <cellStyle name="Normal 2 3 2 2 2 2 4 12 2" xfId="18999"/>
    <cellStyle name="Normal 2 3 2 2 2 2 4 13" xfId="19000"/>
    <cellStyle name="Normal 2 3 2 2 2 2 4 2" xfId="19001"/>
    <cellStyle name="Normal 2 3 2 2 2 2 4 2 10" xfId="19002"/>
    <cellStyle name="Normal 2 3 2 2 2 2 4 2 10 2" xfId="19003"/>
    <cellStyle name="Normal 2 3 2 2 2 2 4 2 11" xfId="19004"/>
    <cellStyle name="Normal 2 3 2 2 2 2 4 2 11 2" xfId="19005"/>
    <cellStyle name="Normal 2 3 2 2 2 2 4 2 12" xfId="19006"/>
    <cellStyle name="Normal 2 3 2 2 2 2 4 2 2" xfId="19007"/>
    <cellStyle name="Normal 2 3 2 2 2 2 4 2 2 10" xfId="19008"/>
    <cellStyle name="Normal 2 3 2 2 2 2 4 2 2 10 2" xfId="19009"/>
    <cellStyle name="Normal 2 3 2 2 2 2 4 2 2 11" xfId="19010"/>
    <cellStyle name="Normal 2 3 2 2 2 2 4 2 2 2" xfId="19011"/>
    <cellStyle name="Normal 2 3 2 2 2 2 4 2 2 2 2" xfId="19012"/>
    <cellStyle name="Normal 2 3 2 2 2 2 4 2 2 3" xfId="19013"/>
    <cellStyle name="Normal 2 3 2 2 2 2 4 2 2 3 2" xfId="19014"/>
    <cellStyle name="Normal 2 3 2 2 2 2 4 2 2 4" xfId="19015"/>
    <cellStyle name="Normal 2 3 2 2 2 2 4 2 2 4 2" xfId="19016"/>
    <cellStyle name="Normal 2 3 2 2 2 2 4 2 2 5" xfId="19017"/>
    <cellStyle name="Normal 2 3 2 2 2 2 4 2 2 5 2" xfId="19018"/>
    <cellStyle name="Normal 2 3 2 2 2 2 4 2 2 6" xfId="19019"/>
    <cellStyle name="Normal 2 3 2 2 2 2 4 2 2 6 2" xfId="19020"/>
    <cellStyle name="Normal 2 3 2 2 2 2 4 2 2 7" xfId="19021"/>
    <cellStyle name="Normal 2 3 2 2 2 2 4 2 2 7 2" xfId="19022"/>
    <cellStyle name="Normal 2 3 2 2 2 2 4 2 2 8" xfId="19023"/>
    <cellStyle name="Normal 2 3 2 2 2 2 4 2 2 8 2" xfId="19024"/>
    <cellStyle name="Normal 2 3 2 2 2 2 4 2 2 9" xfId="19025"/>
    <cellStyle name="Normal 2 3 2 2 2 2 4 2 2 9 2" xfId="19026"/>
    <cellStyle name="Normal 2 3 2 2 2 2 4 2 3" xfId="19027"/>
    <cellStyle name="Normal 2 3 2 2 2 2 4 2 3 2" xfId="19028"/>
    <cellStyle name="Normal 2 3 2 2 2 2 4 2 4" xfId="19029"/>
    <cellStyle name="Normal 2 3 2 2 2 2 4 2 4 2" xfId="19030"/>
    <cellStyle name="Normal 2 3 2 2 2 2 4 2 5" xfId="19031"/>
    <cellStyle name="Normal 2 3 2 2 2 2 4 2 5 2" xfId="19032"/>
    <cellStyle name="Normal 2 3 2 2 2 2 4 2 6" xfId="19033"/>
    <cellStyle name="Normal 2 3 2 2 2 2 4 2 6 2" xfId="19034"/>
    <cellStyle name="Normal 2 3 2 2 2 2 4 2 7" xfId="19035"/>
    <cellStyle name="Normal 2 3 2 2 2 2 4 2 7 2" xfId="19036"/>
    <cellStyle name="Normal 2 3 2 2 2 2 4 2 8" xfId="19037"/>
    <cellStyle name="Normal 2 3 2 2 2 2 4 2 8 2" xfId="19038"/>
    <cellStyle name="Normal 2 3 2 2 2 2 4 2 9" xfId="19039"/>
    <cellStyle name="Normal 2 3 2 2 2 2 4 2 9 2" xfId="19040"/>
    <cellStyle name="Normal 2 3 2 2 2 2 4 3" xfId="19041"/>
    <cellStyle name="Normal 2 3 2 2 2 2 4 3 10" xfId="19042"/>
    <cellStyle name="Normal 2 3 2 2 2 2 4 3 10 2" xfId="19043"/>
    <cellStyle name="Normal 2 3 2 2 2 2 4 3 11" xfId="19044"/>
    <cellStyle name="Normal 2 3 2 2 2 2 4 3 2" xfId="19045"/>
    <cellStyle name="Normal 2 3 2 2 2 2 4 3 2 2" xfId="19046"/>
    <cellStyle name="Normal 2 3 2 2 2 2 4 3 3" xfId="19047"/>
    <cellStyle name="Normal 2 3 2 2 2 2 4 3 3 2" xfId="19048"/>
    <cellStyle name="Normal 2 3 2 2 2 2 4 3 4" xfId="19049"/>
    <cellStyle name="Normal 2 3 2 2 2 2 4 3 4 2" xfId="19050"/>
    <cellStyle name="Normal 2 3 2 2 2 2 4 3 5" xfId="19051"/>
    <cellStyle name="Normal 2 3 2 2 2 2 4 3 5 2" xfId="19052"/>
    <cellStyle name="Normal 2 3 2 2 2 2 4 3 6" xfId="19053"/>
    <cellStyle name="Normal 2 3 2 2 2 2 4 3 6 2" xfId="19054"/>
    <cellStyle name="Normal 2 3 2 2 2 2 4 3 7" xfId="19055"/>
    <cellStyle name="Normal 2 3 2 2 2 2 4 3 7 2" xfId="19056"/>
    <cellStyle name="Normal 2 3 2 2 2 2 4 3 8" xfId="19057"/>
    <cellStyle name="Normal 2 3 2 2 2 2 4 3 8 2" xfId="19058"/>
    <cellStyle name="Normal 2 3 2 2 2 2 4 3 9" xfId="19059"/>
    <cellStyle name="Normal 2 3 2 2 2 2 4 3 9 2" xfId="19060"/>
    <cellStyle name="Normal 2 3 2 2 2 2 4 4" xfId="19061"/>
    <cellStyle name="Normal 2 3 2 2 2 2 4 4 2" xfId="19062"/>
    <cellStyle name="Normal 2 3 2 2 2 2 4 5" xfId="19063"/>
    <cellStyle name="Normal 2 3 2 2 2 2 4 5 2" xfId="19064"/>
    <cellStyle name="Normal 2 3 2 2 2 2 4 6" xfId="19065"/>
    <cellStyle name="Normal 2 3 2 2 2 2 4 6 2" xfId="19066"/>
    <cellStyle name="Normal 2 3 2 2 2 2 4 7" xfId="19067"/>
    <cellStyle name="Normal 2 3 2 2 2 2 4 7 2" xfId="19068"/>
    <cellStyle name="Normal 2 3 2 2 2 2 4 8" xfId="19069"/>
    <cellStyle name="Normal 2 3 2 2 2 2 4 8 2" xfId="19070"/>
    <cellStyle name="Normal 2 3 2 2 2 2 4 9" xfId="19071"/>
    <cellStyle name="Normal 2 3 2 2 2 2 4 9 2" xfId="19072"/>
    <cellStyle name="Normal 2 3 2 2 2 2 5" xfId="19073"/>
    <cellStyle name="Normal 2 3 2 2 2 2 5 10" xfId="19074"/>
    <cellStyle name="Normal 2 3 2 2 2 2 5 10 2" xfId="19075"/>
    <cellStyle name="Normal 2 3 2 2 2 2 5 11" xfId="19076"/>
    <cellStyle name="Normal 2 3 2 2 2 2 5 11 2" xfId="19077"/>
    <cellStyle name="Normal 2 3 2 2 2 2 5 12" xfId="19078"/>
    <cellStyle name="Normal 2 3 2 2 2 2 5 12 2" xfId="19079"/>
    <cellStyle name="Normal 2 3 2 2 2 2 5 13" xfId="19080"/>
    <cellStyle name="Normal 2 3 2 2 2 2 5 2" xfId="19081"/>
    <cellStyle name="Normal 2 3 2 2 2 2 5 2 10" xfId="19082"/>
    <cellStyle name="Normal 2 3 2 2 2 2 5 2 10 2" xfId="19083"/>
    <cellStyle name="Normal 2 3 2 2 2 2 5 2 11" xfId="19084"/>
    <cellStyle name="Normal 2 3 2 2 2 2 5 2 11 2" xfId="19085"/>
    <cellStyle name="Normal 2 3 2 2 2 2 5 2 12" xfId="19086"/>
    <cellStyle name="Normal 2 3 2 2 2 2 5 2 2" xfId="19087"/>
    <cellStyle name="Normal 2 3 2 2 2 2 5 2 2 10" xfId="19088"/>
    <cellStyle name="Normal 2 3 2 2 2 2 5 2 2 10 2" xfId="19089"/>
    <cellStyle name="Normal 2 3 2 2 2 2 5 2 2 11" xfId="19090"/>
    <cellStyle name="Normal 2 3 2 2 2 2 5 2 2 2" xfId="19091"/>
    <cellStyle name="Normal 2 3 2 2 2 2 5 2 2 2 2" xfId="19092"/>
    <cellStyle name="Normal 2 3 2 2 2 2 5 2 2 3" xfId="19093"/>
    <cellStyle name="Normal 2 3 2 2 2 2 5 2 2 3 2" xfId="19094"/>
    <cellStyle name="Normal 2 3 2 2 2 2 5 2 2 4" xfId="19095"/>
    <cellStyle name="Normal 2 3 2 2 2 2 5 2 2 4 2" xfId="19096"/>
    <cellStyle name="Normal 2 3 2 2 2 2 5 2 2 5" xfId="19097"/>
    <cellStyle name="Normal 2 3 2 2 2 2 5 2 2 5 2" xfId="19098"/>
    <cellStyle name="Normal 2 3 2 2 2 2 5 2 2 6" xfId="19099"/>
    <cellStyle name="Normal 2 3 2 2 2 2 5 2 2 6 2" xfId="19100"/>
    <cellStyle name="Normal 2 3 2 2 2 2 5 2 2 7" xfId="19101"/>
    <cellStyle name="Normal 2 3 2 2 2 2 5 2 2 7 2" xfId="19102"/>
    <cellStyle name="Normal 2 3 2 2 2 2 5 2 2 8" xfId="19103"/>
    <cellStyle name="Normal 2 3 2 2 2 2 5 2 2 8 2" xfId="19104"/>
    <cellStyle name="Normal 2 3 2 2 2 2 5 2 2 9" xfId="19105"/>
    <cellStyle name="Normal 2 3 2 2 2 2 5 2 2 9 2" xfId="19106"/>
    <cellStyle name="Normal 2 3 2 2 2 2 5 2 3" xfId="19107"/>
    <cellStyle name="Normal 2 3 2 2 2 2 5 2 3 2" xfId="19108"/>
    <cellStyle name="Normal 2 3 2 2 2 2 5 2 4" xfId="19109"/>
    <cellStyle name="Normal 2 3 2 2 2 2 5 2 4 2" xfId="19110"/>
    <cellStyle name="Normal 2 3 2 2 2 2 5 2 5" xfId="19111"/>
    <cellStyle name="Normal 2 3 2 2 2 2 5 2 5 2" xfId="19112"/>
    <cellStyle name="Normal 2 3 2 2 2 2 5 2 6" xfId="19113"/>
    <cellStyle name="Normal 2 3 2 2 2 2 5 2 6 2" xfId="19114"/>
    <cellStyle name="Normal 2 3 2 2 2 2 5 2 7" xfId="19115"/>
    <cellStyle name="Normal 2 3 2 2 2 2 5 2 7 2" xfId="19116"/>
    <cellStyle name="Normal 2 3 2 2 2 2 5 2 8" xfId="19117"/>
    <cellStyle name="Normal 2 3 2 2 2 2 5 2 8 2" xfId="19118"/>
    <cellStyle name="Normal 2 3 2 2 2 2 5 2 9" xfId="19119"/>
    <cellStyle name="Normal 2 3 2 2 2 2 5 2 9 2" xfId="19120"/>
    <cellStyle name="Normal 2 3 2 2 2 2 5 3" xfId="19121"/>
    <cellStyle name="Normal 2 3 2 2 2 2 5 3 10" xfId="19122"/>
    <cellStyle name="Normal 2 3 2 2 2 2 5 3 10 2" xfId="19123"/>
    <cellStyle name="Normal 2 3 2 2 2 2 5 3 11" xfId="19124"/>
    <cellStyle name="Normal 2 3 2 2 2 2 5 3 2" xfId="19125"/>
    <cellStyle name="Normal 2 3 2 2 2 2 5 3 2 2" xfId="19126"/>
    <cellStyle name="Normal 2 3 2 2 2 2 5 3 3" xfId="19127"/>
    <cellStyle name="Normal 2 3 2 2 2 2 5 3 3 2" xfId="19128"/>
    <cellStyle name="Normal 2 3 2 2 2 2 5 3 4" xfId="19129"/>
    <cellStyle name="Normal 2 3 2 2 2 2 5 3 4 2" xfId="19130"/>
    <cellStyle name="Normal 2 3 2 2 2 2 5 3 5" xfId="19131"/>
    <cellStyle name="Normal 2 3 2 2 2 2 5 3 5 2" xfId="19132"/>
    <cellStyle name="Normal 2 3 2 2 2 2 5 3 6" xfId="19133"/>
    <cellStyle name="Normal 2 3 2 2 2 2 5 3 6 2" xfId="19134"/>
    <cellStyle name="Normal 2 3 2 2 2 2 5 3 7" xfId="19135"/>
    <cellStyle name="Normal 2 3 2 2 2 2 5 3 7 2" xfId="19136"/>
    <cellStyle name="Normal 2 3 2 2 2 2 5 3 8" xfId="19137"/>
    <cellStyle name="Normal 2 3 2 2 2 2 5 3 8 2" xfId="19138"/>
    <cellStyle name="Normal 2 3 2 2 2 2 5 3 9" xfId="19139"/>
    <cellStyle name="Normal 2 3 2 2 2 2 5 3 9 2" xfId="19140"/>
    <cellStyle name="Normal 2 3 2 2 2 2 5 4" xfId="19141"/>
    <cellStyle name="Normal 2 3 2 2 2 2 5 4 2" xfId="19142"/>
    <cellStyle name="Normal 2 3 2 2 2 2 5 5" xfId="19143"/>
    <cellStyle name="Normal 2 3 2 2 2 2 5 5 2" xfId="19144"/>
    <cellStyle name="Normal 2 3 2 2 2 2 5 6" xfId="19145"/>
    <cellStyle name="Normal 2 3 2 2 2 2 5 6 2" xfId="19146"/>
    <cellStyle name="Normal 2 3 2 2 2 2 5 7" xfId="19147"/>
    <cellStyle name="Normal 2 3 2 2 2 2 5 7 2" xfId="19148"/>
    <cellStyle name="Normal 2 3 2 2 2 2 5 8" xfId="19149"/>
    <cellStyle name="Normal 2 3 2 2 2 2 5 8 2" xfId="19150"/>
    <cellStyle name="Normal 2 3 2 2 2 2 5 9" xfId="19151"/>
    <cellStyle name="Normal 2 3 2 2 2 2 5 9 2" xfId="19152"/>
    <cellStyle name="Normal 2 3 2 2 2 2 6" xfId="19153"/>
    <cellStyle name="Normal 2 3 2 2 2 2 6 10" xfId="19154"/>
    <cellStyle name="Normal 2 3 2 2 2 2 6 10 2" xfId="19155"/>
    <cellStyle name="Normal 2 3 2 2 2 2 6 11" xfId="19156"/>
    <cellStyle name="Normal 2 3 2 2 2 2 6 11 2" xfId="19157"/>
    <cellStyle name="Normal 2 3 2 2 2 2 6 12" xfId="19158"/>
    <cellStyle name="Normal 2 3 2 2 2 2 6 12 2" xfId="19159"/>
    <cellStyle name="Normal 2 3 2 2 2 2 6 13" xfId="19160"/>
    <cellStyle name="Normal 2 3 2 2 2 2 6 2" xfId="19161"/>
    <cellStyle name="Normal 2 3 2 2 2 2 6 2 10" xfId="19162"/>
    <cellStyle name="Normal 2 3 2 2 2 2 6 2 10 2" xfId="19163"/>
    <cellStyle name="Normal 2 3 2 2 2 2 6 2 11" xfId="19164"/>
    <cellStyle name="Normal 2 3 2 2 2 2 6 2 11 2" xfId="19165"/>
    <cellStyle name="Normal 2 3 2 2 2 2 6 2 12" xfId="19166"/>
    <cellStyle name="Normal 2 3 2 2 2 2 6 2 2" xfId="19167"/>
    <cellStyle name="Normal 2 3 2 2 2 2 6 2 2 10" xfId="19168"/>
    <cellStyle name="Normal 2 3 2 2 2 2 6 2 2 10 2" xfId="19169"/>
    <cellStyle name="Normal 2 3 2 2 2 2 6 2 2 11" xfId="19170"/>
    <cellStyle name="Normal 2 3 2 2 2 2 6 2 2 2" xfId="19171"/>
    <cellStyle name="Normal 2 3 2 2 2 2 6 2 2 2 2" xfId="19172"/>
    <cellStyle name="Normal 2 3 2 2 2 2 6 2 2 3" xfId="19173"/>
    <cellStyle name="Normal 2 3 2 2 2 2 6 2 2 3 2" xfId="19174"/>
    <cellStyle name="Normal 2 3 2 2 2 2 6 2 2 4" xfId="19175"/>
    <cellStyle name="Normal 2 3 2 2 2 2 6 2 2 4 2" xfId="19176"/>
    <cellStyle name="Normal 2 3 2 2 2 2 6 2 2 5" xfId="19177"/>
    <cellStyle name="Normal 2 3 2 2 2 2 6 2 2 5 2" xfId="19178"/>
    <cellStyle name="Normal 2 3 2 2 2 2 6 2 2 6" xfId="19179"/>
    <cellStyle name="Normal 2 3 2 2 2 2 6 2 2 6 2" xfId="19180"/>
    <cellStyle name="Normal 2 3 2 2 2 2 6 2 2 7" xfId="19181"/>
    <cellStyle name="Normal 2 3 2 2 2 2 6 2 2 7 2" xfId="19182"/>
    <cellStyle name="Normal 2 3 2 2 2 2 6 2 2 8" xfId="19183"/>
    <cellStyle name="Normal 2 3 2 2 2 2 6 2 2 8 2" xfId="19184"/>
    <cellStyle name="Normal 2 3 2 2 2 2 6 2 2 9" xfId="19185"/>
    <cellStyle name="Normal 2 3 2 2 2 2 6 2 2 9 2" xfId="19186"/>
    <cellStyle name="Normal 2 3 2 2 2 2 6 2 3" xfId="19187"/>
    <cellStyle name="Normal 2 3 2 2 2 2 6 2 3 2" xfId="19188"/>
    <cellStyle name="Normal 2 3 2 2 2 2 6 2 4" xfId="19189"/>
    <cellStyle name="Normal 2 3 2 2 2 2 6 2 4 2" xfId="19190"/>
    <cellStyle name="Normal 2 3 2 2 2 2 6 2 5" xfId="19191"/>
    <cellStyle name="Normal 2 3 2 2 2 2 6 2 5 2" xfId="19192"/>
    <cellStyle name="Normal 2 3 2 2 2 2 6 2 6" xfId="19193"/>
    <cellStyle name="Normal 2 3 2 2 2 2 6 2 6 2" xfId="19194"/>
    <cellStyle name="Normal 2 3 2 2 2 2 6 2 7" xfId="19195"/>
    <cellStyle name="Normal 2 3 2 2 2 2 6 2 7 2" xfId="19196"/>
    <cellStyle name="Normal 2 3 2 2 2 2 6 2 8" xfId="19197"/>
    <cellStyle name="Normal 2 3 2 2 2 2 6 2 8 2" xfId="19198"/>
    <cellStyle name="Normal 2 3 2 2 2 2 6 2 9" xfId="19199"/>
    <cellStyle name="Normal 2 3 2 2 2 2 6 2 9 2" xfId="19200"/>
    <cellStyle name="Normal 2 3 2 2 2 2 6 3" xfId="19201"/>
    <cellStyle name="Normal 2 3 2 2 2 2 6 3 10" xfId="19202"/>
    <cellStyle name="Normal 2 3 2 2 2 2 6 3 10 2" xfId="19203"/>
    <cellStyle name="Normal 2 3 2 2 2 2 6 3 11" xfId="19204"/>
    <cellStyle name="Normal 2 3 2 2 2 2 6 3 2" xfId="19205"/>
    <cellStyle name="Normal 2 3 2 2 2 2 6 3 2 2" xfId="19206"/>
    <cellStyle name="Normal 2 3 2 2 2 2 6 3 3" xfId="19207"/>
    <cellStyle name="Normal 2 3 2 2 2 2 6 3 3 2" xfId="19208"/>
    <cellStyle name="Normal 2 3 2 2 2 2 6 3 4" xfId="19209"/>
    <cellStyle name="Normal 2 3 2 2 2 2 6 3 4 2" xfId="19210"/>
    <cellStyle name="Normal 2 3 2 2 2 2 6 3 5" xfId="19211"/>
    <cellStyle name="Normal 2 3 2 2 2 2 6 3 5 2" xfId="19212"/>
    <cellStyle name="Normal 2 3 2 2 2 2 6 3 6" xfId="19213"/>
    <cellStyle name="Normal 2 3 2 2 2 2 6 3 6 2" xfId="19214"/>
    <cellStyle name="Normal 2 3 2 2 2 2 6 3 7" xfId="19215"/>
    <cellStyle name="Normal 2 3 2 2 2 2 6 3 7 2" xfId="19216"/>
    <cellStyle name="Normal 2 3 2 2 2 2 6 3 8" xfId="19217"/>
    <cellStyle name="Normal 2 3 2 2 2 2 6 3 8 2" xfId="19218"/>
    <cellStyle name="Normal 2 3 2 2 2 2 6 3 9" xfId="19219"/>
    <cellStyle name="Normal 2 3 2 2 2 2 6 3 9 2" xfId="19220"/>
    <cellStyle name="Normal 2 3 2 2 2 2 6 4" xfId="19221"/>
    <cellStyle name="Normal 2 3 2 2 2 2 6 4 2" xfId="19222"/>
    <cellStyle name="Normal 2 3 2 2 2 2 6 5" xfId="19223"/>
    <cellStyle name="Normal 2 3 2 2 2 2 6 5 2" xfId="19224"/>
    <cellStyle name="Normal 2 3 2 2 2 2 6 6" xfId="19225"/>
    <cellStyle name="Normal 2 3 2 2 2 2 6 6 2" xfId="19226"/>
    <cellStyle name="Normal 2 3 2 2 2 2 6 7" xfId="19227"/>
    <cellStyle name="Normal 2 3 2 2 2 2 6 7 2" xfId="19228"/>
    <cellStyle name="Normal 2 3 2 2 2 2 6 8" xfId="19229"/>
    <cellStyle name="Normal 2 3 2 2 2 2 6 8 2" xfId="19230"/>
    <cellStyle name="Normal 2 3 2 2 2 2 6 9" xfId="19231"/>
    <cellStyle name="Normal 2 3 2 2 2 2 6 9 2" xfId="19232"/>
    <cellStyle name="Normal 2 3 2 2 2 2 7" xfId="41956"/>
    <cellStyle name="Normal 2 3 2 2 2 20" xfId="19233"/>
    <cellStyle name="Normal 2 3 2 2 2 20 2" xfId="19234"/>
    <cellStyle name="Normal 2 3 2 2 2 21" xfId="19235"/>
    <cellStyle name="Normal 2 3 2 2 2 3" xfId="19236"/>
    <cellStyle name="Normal 2 3 2 2 2 3 10" xfId="19237"/>
    <cellStyle name="Normal 2 3 2 2 2 3 10 2" xfId="19238"/>
    <cellStyle name="Normal 2 3 2 2 2 3 11" xfId="19239"/>
    <cellStyle name="Normal 2 3 2 2 2 3 11 2" xfId="19240"/>
    <cellStyle name="Normal 2 3 2 2 2 3 12" xfId="19241"/>
    <cellStyle name="Normal 2 3 2 2 2 3 12 2" xfId="19242"/>
    <cellStyle name="Normal 2 3 2 2 2 3 13" xfId="19243"/>
    <cellStyle name="Normal 2 3 2 2 2 3 2" xfId="19244"/>
    <cellStyle name="Normal 2 3 2 2 2 3 2 10" xfId="19245"/>
    <cellStyle name="Normal 2 3 2 2 2 3 2 10 2" xfId="19246"/>
    <cellStyle name="Normal 2 3 2 2 2 3 2 11" xfId="19247"/>
    <cellStyle name="Normal 2 3 2 2 2 3 2 11 2" xfId="19248"/>
    <cellStyle name="Normal 2 3 2 2 2 3 2 12" xfId="19249"/>
    <cellStyle name="Normal 2 3 2 2 2 3 2 2" xfId="19250"/>
    <cellStyle name="Normal 2 3 2 2 2 3 2 2 10" xfId="19251"/>
    <cellStyle name="Normal 2 3 2 2 2 3 2 2 10 2" xfId="19252"/>
    <cellStyle name="Normal 2 3 2 2 2 3 2 2 11" xfId="19253"/>
    <cellStyle name="Normal 2 3 2 2 2 3 2 2 2" xfId="19254"/>
    <cellStyle name="Normal 2 3 2 2 2 3 2 2 2 2" xfId="19255"/>
    <cellStyle name="Normal 2 3 2 2 2 3 2 2 3" xfId="19256"/>
    <cellStyle name="Normal 2 3 2 2 2 3 2 2 3 2" xfId="19257"/>
    <cellStyle name="Normal 2 3 2 2 2 3 2 2 4" xfId="19258"/>
    <cellStyle name="Normal 2 3 2 2 2 3 2 2 4 2" xfId="19259"/>
    <cellStyle name="Normal 2 3 2 2 2 3 2 2 5" xfId="19260"/>
    <cellStyle name="Normal 2 3 2 2 2 3 2 2 5 2" xfId="19261"/>
    <cellStyle name="Normal 2 3 2 2 2 3 2 2 6" xfId="19262"/>
    <cellStyle name="Normal 2 3 2 2 2 3 2 2 6 2" xfId="19263"/>
    <cellStyle name="Normal 2 3 2 2 2 3 2 2 7" xfId="19264"/>
    <cellStyle name="Normal 2 3 2 2 2 3 2 2 7 2" xfId="19265"/>
    <cellStyle name="Normal 2 3 2 2 2 3 2 2 8" xfId="19266"/>
    <cellStyle name="Normal 2 3 2 2 2 3 2 2 8 2" xfId="19267"/>
    <cellStyle name="Normal 2 3 2 2 2 3 2 2 9" xfId="19268"/>
    <cellStyle name="Normal 2 3 2 2 2 3 2 2 9 2" xfId="19269"/>
    <cellStyle name="Normal 2 3 2 2 2 3 2 3" xfId="19270"/>
    <cellStyle name="Normal 2 3 2 2 2 3 2 3 2" xfId="19271"/>
    <cellStyle name="Normal 2 3 2 2 2 3 2 4" xfId="19272"/>
    <cellStyle name="Normal 2 3 2 2 2 3 2 4 2" xfId="19273"/>
    <cellStyle name="Normal 2 3 2 2 2 3 2 5" xfId="19274"/>
    <cellStyle name="Normal 2 3 2 2 2 3 2 5 2" xfId="19275"/>
    <cellStyle name="Normal 2 3 2 2 2 3 2 6" xfId="19276"/>
    <cellStyle name="Normal 2 3 2 2 2 3 2 6 2" xfId="19277"/>
    <cellStyle name="Normal 2 3 2 2 2 3 2 7" xfId="19278"/>
    <cellStyle name="Normal 2 3 2 2 2 3 2 7 2" xfId="19279"/>
    <cellStyle name="Normal 2 3 2 2 2 3 2 8" xfId="19280"/>
    <cellStyle name="Normal 2 3 2 2 2 3 2 8 2" xfId="19281"/>
    <cellStyle name="Normal 2 3 2 2 2 3 2 9" xfId="19282"/>
    <cellStyle name="Normal 2 3 2 2 2 3 2 9 2" xfId="19283"/>
    <cellStyle name="Normal 2 3 2 2 2 3 3" xfId="19284"/>
    <cellStyle name="Normal 2 3 2 2 2 3 3 10" xfId="19285"/>
    <cellStyle name="Normal 2 3 2 2 2 3 3 10 2" xfId="19286"/>
    <cellStyle name="Normal 2 3 2 2 2 3 3 11" xfId="19287"/>
    <cellStyle name="Normal 2 3 2 2 2 3 3 2" xfId="19288"/>
    <cellStyle name="Normal 2 3 2 2 2 3 3 2 2" xfId="19289"/>
    <cellStyle name="Normal 2 3 2 2 2 3 3 3" xfId="19290"/>
    <cellStyle name="Normal 2 3 2 2 2 3 3 3 2" xfId="19291"/>
    <cellStyle name="Normal 2 3 2 2 2 3 3 4" xfId="19292"/>
    <cellStyle name="Normal 2 3 2 2 2 3 3 4 2" xfId="19293"/>
    <cellStyle name="Normal 2 3 2 2 2 3 3 5" xfId="19294"/>
    <cellStyle name="Normal 2 3 2 2 2 3 3 5 2" xfId="19295"/>
    <cellStyle name="Normal 2 3 2 2 2 3 3 6" xfId="19296"/>
    <cellStyle name="Normal 2 3 2 2 2 3 3 6 2" xfId="19297"/>
    <cellStyle name="Normal 2 3 2 2 2 3 3 7" xfId="19298"/>
    <cellStyle name="Normal 2 3 2 2 2 3 3 7 2" xfId="19299"/>
    <cellStyle name="Normal 2 3 2 2 2 3 3 8" xfId="19300"/>
    <cellStyle name="Normal 2 3 2 2 2 3 3 8 2" xfId="19301"/>
    <cellStyle name="Normal 2 3 2 2 2 3 3 9" xfId="19302"/>
    <cellStyle name="Normal 2 3 2 2 2 3 3 9 2" xfId="19303"/>
    <cellStyle name="Normal 2 3 2 2 2 3 4" xfId="19304"/>
    <cellStyle name="Normal 2 3 2 2 2 3 4 2" xfId="19305"/>
    <cellStyle name="Normal 2 3 2 2 2 3 5" xfId="19306"/>
    <cellStyle name="Normal 2 3 2 2 2 3 5 2" xfId="19307"/>
    <cellStyle name="Normal 2 3 2 2 2 3 6" xfId="19308"/>
    <cellStyle name="Normal 2 3 2 2 2 3 6 2" xfId="19309"/>
    <cellStyle name="Normal 2 3 2 2 2 3 7" xfId="19310"/>
    <cellStyle name="Normal 2 3 2 2 2 3 7 2" xfId="19311"/>
    <cellStyle name="Normal 2 3 2 2 2 3 8" xfId="19312"/>
    <cellStyle name="Normal 2 3 2 2 2 3 8 2" xfId="19313"/>
    <cellStyle name="Normal 2 3 2 2 2 3 9" xfId="19314"/>
    <cellStyle name="Normal 2 3 2 2 2 3 9 2" xfId="19315"/>
    <cellStyle name="Normal 2 3 2 2 2 4" xfId="19316"/>
    <cellStyle name="Normal 2 3 2 2 2 4 10" xfId="19317"/>
    <cellStyle name="Normal 2 3 2 2 2 4 10 2" xfId="19318"/>
    <cellStyle name="Normal 2 3 2 2 2 4 11" xfId="19319"/>
    <cellStyle name="Normal 2 3 2 2 2 4 11 2" xfId="19320"/>
    <cellStyle name="Normal 2 3 2 2 2 4 12" xfId="19321"/>
    <cellStyle name="Normal 2 3 2 2 2 4 12 2" xfId="19322"/>
    <cellStyle name="Normal 2 3 2 2 2 4 13" xfId="19323"/>
    <cellStyle name="Normal 2 3 2 2 2 4 2" xfId="19324"/>
    <cellStyle name="Normal 2 3 2 2 2 4 2 10" xfId="19325"/>
    <cellStyle name="Normal 2 3 2 2 2 4 2 10 2" xfId="19326"/>
    <cellStyle name="Normal 2 3 2 2 2 4 2 11" xfId="19327"/>
    <cellStyle name="Normal 2 3 2 2 2 4 2 11 2" xfId="19328"/>
    <cellStyle name="Normal 2 3 2 2 2 4 2 12" xfId="19329"/>
    <cellStyle name="Normal 2 3 2 2 2 4 2 2" xfId="19330"/>
    <cellStyle name="Normal 2 3 2 2 2 4 2 2 10" xfId="19331"/>
    <cellStyle name="Normal 2 3 2 2 2 4 2 2 10 2" xfId="19332"/>
    <cellStyle name="Normal 2 3 2 2 2 4 2 2 11" xfId="19333"/>
    <cellStyle name="Normal 2 3 2 2 2 4 2 2 2" xfId="19334"/>
    <cellStyle name="Normal 2 3 2 2 2 4 2 2 2 2" xfId="19335"/>
    <cellStyle name="Normal 2 3 2 2 2 4 2 2 3" xfId="19336"/>
    <cellStyle name="Normal 2 3 2 2 2 4 2 2 3 2" xfId="19337"/>
    <cellStyle name="Normal 2 3 2 2 2 4 2 2 4" xfId="19338"/>
    <cellStyle name="Normal 2 3 2 2 2 4 2 2 4 2" xfId="19339"/>
    <cellStyle name="Normal 2 3 2 2 2 4 2 2 5" xfId="19340"/>
    <cellStyle name="Normal 2 3 2 2 2 4 2 2 5 2" xfId="19341"/>
    <cellStyle name="Normal 2 3 2 2 2 4 2 2 6" xfId="19342"/>
    <cellStyle name="Normal 2 3 2 2 2 4 2 2 6 2" xfId="19343"/>
    <cellStyle name="Normal 2 3 2 2 2 4 2 2 7" xfId="19344"/>
    <cellStyle name="Normal 2 3 2 2 2 4 2 2 7 2" xfId="19345"/>
    <cellStyle name="Normal 2 3 2 2 2 4 2 2 8" xfId="19346"/>
    <cellStyle name="Normal 2 3 2 2 2 4 2 2 8 2" xfId="19347"/>
    <cellStyle name="Normal 2 3 2 2 2 4 2 2 9" xfId="19348"/>
    <cellStyle name="Normal 2 3 2 2 2 4 2 2 9 2" xfId="19349"/>
    <cellStyle name="Normal 2 3 2 2 2 4 2 3" xfId="19350"/>
    <cellStyle name="Normal 2 3 2 2 2 4 2 3 2" xfId="19351"/>
    <cellStyle name="Normal 2 3 2 2 2 4 2 4" xfId="19352"/>
    <cellStyle name="Normal 2 3 2 2 2 4 2 4 2" xfId="19353"/>
    <cellStyle name="Normal 2 3 2 2 2 4 2 5" xfId="19354"/>
    <cellStyle name="Normal 2 3 2 2 2 4 2 5 2" xfId="19355"/>
    <cellStyle name="Normal 2 3 2 2 2 4 2 6" xfId="19356"/>
    <cellStyle name="Normal 2 3 2 2 2 4 2 6 2" xfId="19357"/>
    <cellStyle name="Normal 2 3 2 2 2 4 2 7" xfId="19358"/>
    <cellStyle name="Normal 2 3 2 2 2 4 2 7 2" xfId="19359"/>
    <cellStyle name="Normal 2 3 2 2 2 4 2 8" xfId="19360"/>
    <cellStyle name="Normal 2 3 2 2 2 4 2 8 2" xfId="19361"/>
    <cellStyle name="Normal 2 3 2 2 2 4 2 9" xfId="19362"/>
    <cellStyle name="Normal 2 3 2 2 2 4 2 9 2" xfId="19363"/>
    <cellStyle name="Normal 2 3 2 2 2 4 3" xfId="19364"/>
    <cellStyle name="Normal 2 3 2 2 2 4 3 10" xfId="19365"/>
    <cellStyle name="Normal 2 3 2 2 2 4 3 10 2" xfId="19366"/>
    <cellStyle name="Normal 2 3 2 2 2 4 3 11" xfId="19367"/>
    <cellStyle name="Normal 2 3 2 2 2 4 3 2" xfId="19368"/>
    <cellStyle name="Normal 2 3 2 2 2 4 3 2 2" xfId="19369"/>
    <cellStyle name="Normal 2 3 2 2 2 4 3 3" xfId="19370"/>
    <cellStyle name="Normal 2 3 2 2 2 4 3 3 2" xfId="19371"/>
    <cellStyle name="Normal 2 3 2 2 2 4 3 4" xfId="19372"/>
    <cellStyle name="Normal 2 3 2 2 2 4 3 4 2" xfId="19373"/>
    <cellStyle name="Normal 2 3 2 2 2 4 3 5" xfId="19374"/>
    <cellStyle name="Normal 2 3 2 2 2 4 3 5 2" xfId="19375"/>
    <cellStyle name="Normal 2 3 2 2 2 4 3 6" xfId="19376"/>
    <cellStyle name="Normal 2 3 2 2 2 4 3 6 2" xfId="19377"/>
    <cellStyle name="Normal 2 3 2 2 2 4 3 7" xfId="19378"/>
    <cellStyle name="Normal 2 3 2 2 2 4 3 7 2" xfId="19379"/>
    <cellStyle name="Normal 2 3 2 2 2 4 3 8" xfId="19380"/>
    <cellStyle name="Normal 2 3 2 2 2 4 3 8 2" xfId="19381"/>
    <cellStyle name="Normal 2 3 2 2 2 4 3 9" xfId="19382"/>
    <cellStyle name="Normal 2 3 2 2 2 4 3 9 2" xfId="19383"/>
    <cellStyle name="Normal 2 3 2 2 2 4 4" xfId="19384"/>
    <cellStyle name="Normal 2 3 2 2 2 4 4 2" xfId="19385"/>
    <cellStyle name="Normal 2 3 2 2 2 4 5" xfId="19386"/>
    <cellStyle name="Normal 2 3 2 2 2 4 5 2" xfId="19387"/>
    <cellStyle name="Normal 2 3 2 2 2 4 6" xfId="19388"/>
    <cellStyle name="Normal 2 3 2 2 2 4 6 2" xfId="19389"/>
    <cellStyle name="Normal 2 3 2 2 2 4 7" xfId="19390"/>
    <cellStyle name="Normal 2 3 2 2 2 4 7 2" xfId="19391"/>
    <cellStyle name="Normal 2 3 2 2 2 4 8" xfId="19392"/>
    <cellStyle name="Normal 2 3 2 2 2 4 8 2" xfId="19393"/>
    <cellStyle name="Normal 2 3 2 2 2 4 9" xfId="19394"/>
    <cellStyle name="Normal 2 3 2 2 2 4 9 2" xfId="19395"/>
    <cellStyle name="Normal 2 3 2 2 2 5" xfId="19396"/>
    <cellStyle name="Normal 2 3 2 2 2 5 10" xfId="19397"/>
    <cellStyle name="Normal 2 3 2 2 2 5 10 2" xfId="19398"/>
    <cellStyle name="Normal 2 3 2 2 2 5 11" xfId="19399"/>
    <cellStyle name="Normal 2 3 2 2 2 5 11 2" xfId="19400"/>
    <cellStyle name="Normal 2 3 2 2 2 5 12" xfId="19401"/>
    <cellStyle name="Normal 2 3 2 2 2 5 12 2" xfId="19402"/>
    <cellStyle name="Normal 2 3 2 2 2 5 13" xfId="19403"/>
    <cellStyle name="Normal 2 3 2 2 2 5 2" xfId="19404"/>
    <cellStyle name="Normal 2 3 2 2 2 5 2 10" xfId="19405"/>
    <cellStyle name="Normal 2 3 2 2 2 5 2 10 2" xfId="19406"/>
    <cellStyle name="Normal 2 3 2 2 2 5 2 11" xfId="19407"/>
    <cellStyle name="Normal 2 3 2 2 2 5 2 11 2" xfId="19408"/>
    <cellStyle name="Normal 2 3 2 2 2 5 2 12" xfId="19409"/>
    <cellStyle name="Normal 2 3 2 2 2 5 2 2" xfId="19410"/>
    <cellStyle name="Normal 2 3 2 2 2 5 2 2 10" xfId="19411"/>
    <cellStyle name="Normal 2 3 2 2 2 5 2 2 10 2" xfId="19412"/>
    <cellStyle name="Normal 2 3 2 2 2 5 2 2 11" xfId="19413"/>
    <cellStyle name="Normal 2 3 2 2 2 5 2 2 2" xfId="19414"/>
    <cellStyle name="Normal 2 3 2 2 2 5 2 2 2 2" xfId="19415"/>
    <cellStyle name="Normal 2 3 2 2 2 5 2 2 3" xfId="19416"/>
    <cellStyle name="Normal 2 3 2 2 2 5 2 2 3 2" xfId="19417"/>
    <cellStyle name="Normal 2 3 2 2 2 5 2 2 4" xfId="19418"/>
    <cellStyle name="Normal 2 3 2 2 2 5 2 2 4 2" xfId="19419"/>
    <cellStyle name="Normal 2 3 2 2 2 5 2 2 5" xfId="19420"/>
    <cellStyle name="Normal 2 3 2 2 2 5 2 2 5 2" xfId="19421"/>
    <cellStyle name="Normal 2 3 2 2 2 5 2 2 6" xfId="19422"/>
    <cellStyle name="Normal 2 3 2 2 2 5 2 2 6 2" xfId="19423"/>
    <cellStyle name="Normal 2 3 2 2 2 5 2 2 7" xfId="19424"/>
    <cellStyle name="Normal 2 3 2 2 2 5 2 2 7 2" xfId="19425"/>
    <cellStyle name="Normal 2 3 2 2 2 5 2 2 8" xfId="19426"/>
    <cellStyle name="Normal 2 3 2 2 2 5 2 2 8 2" xfId="19427"/>
    <cellStyle name="Normal 2 3 2 2 2 5 2 2 9" xfId="19428"/>
    <cellStyle name="Normal 2 3 2 2 2 5 2 2 9 2" xfId="19429"/>
    <cellStyle name="Normal 2 3 2 2 2 5 2 3" xfId="19430"/>
    <cellStyle name="Normal 2 3 2 2 2 5 2 3 2" xfId="19431"/>
    <cellStyle name="Normal 2 3 2 2 2 5 2 4" xfId="19432"/>
    <cellStyle name="Normal 2 3 2 2 2 5 2 4 2" xfId="19433"/>
    <cellStyle name="Normal 2 3 2 2 2 5 2 5" xfId="19434"/>
    <cellStyle name="Normal 2 3 2 2 2 5 2 5 2" xfId="19435"/>
    <cellStyle name="Normal 2 3 2 2 2 5 2 6" xfId="19436"/>
    <cellStyle name="Normal 2 3 2 2 2 5 2 6 2" xfId="19437"/>
    <cellStyle name="Normal 2 3 2 2 2 5 2 7" xfId="19438"/>
    <cellStyle name="Normal 2 3 2 2 2 5 2 7 2" xfId="19439"/>
    <cellStyle name="Normal 2 3 2 2 2 5 2 8" xfId="19440"/>
    <cellStyle name="Normal 2 3 2 2 2 5 2 8 2" xfId="19441"/>
    <cellStyle name="Normal 2 3 2 2 2 5 2 9" xfId="19442"/>
    <cellStyle name="Normal 2 3 2 2 2 5 2 9 2" xfId="19443"/>
    <cellStyle name="Normal 2 3 2 2 2 5 3" xfId="19444"/>
    <cellStyle name="Normal 2 3 2 2 2 5 3 10" xfId="19445"/>
    <cellStyle name="Normal 2 3 2 2 2 5 3 10 2" xfId="19446"/>
    <cellStyle name="Normal 2 3 2 2 2 5 3 11" xfId="19447"/>
    <cellStyle name="Normal 2 3 2 2 2 5 3 2" xfId="19448"/>
    <cellStyle name="Normal 2 3 2 2 2 5 3 2 2" xfId="19449"/>
    <cellStyle name="Normal 2 3 2 2 2 5 3 3" xfId="19450"/>
    <cellStyle name="Normal 2 3 2 2 2 5 3 3 2" xfId="19451"/>
    <cellStyle name="Normal 2 3 2 2 2 5 3 4" xfId="19452"/>
    <cellStyle name="Normal 2 3 2 2 2 5 3 4 2" xfId="19453"/>
    <cellStyle name="Normal 2 3 2 2 2 5 3 5" xfId="19454"/>
    <cellStyle name="Normal 2 3 2 2 2 5 3 5 2" xfId="19455"/>
    <cellStyle name="Normal 2 3 2 2 2 5 3 6" xfId="19456"/>
    <cellStyle name="Normal 2 3 2 2 2 5 3 6 2" xfId="19457"/>
    <cellStyle name="Normal 2 3 2 2 2 5 3 7" xfId="19458"/>
    <cellStyle name="Normal 2 3 2 2 2 5 3 7 2" xfId="19459"/>
    <cellStyle name="Normal 2 3 2 2 2 5 3 8" xfId="19460"/>
    <cellStyle name="Normal 2 3 2 2 2 5 3 8 2" xfId="19461"/>
    <cellStyle name="Normal 2 3 2 2 2 5 3 9" xfId="19462"/>
    <cellStyle name="Normal 2 3 2 2 2 5 3 9 2" xfId="19463"/>
    <cellStyle name="Normal 2 3 2 2 2 5 4" xfId="19464"/>
    <cellStyle name="Normal 2 3 2 2 2 5 4 2" xfId="19465"/>
    <cellStyle name="Normal 2 3 2 2 2 5 5" xfId="19466"/>
    <cellStyle name="Normal 2 3 2 2 2 5 5 2" xfId="19467"/>
    <cellStyle name="Normal 2 3 2 2 2 5 6" xfId="19468"/>
    <cellStyle name="Normal 2 3 2 2 2 5 6 2" xfId="19469"/>
    <cellStyle name="Normal 2 3 2 2 2 5 7" xfId="19470"/>
    <cellStyle name="Normal 2 3 2 2 2 5 7 2" xfId="19471"/>
    <cellStyle name="Normal 2 3 2 2 2 5 8" xfId="19472"/>
    <cellStyle name="Normal 2 3 2 2 2 5 8 2" xfId="19473"/>
    <cellStyle name="Normal 2 3 2 2 2 5 9" xfId="19474"/>
    <cellStyle name="Normal 2 3 2 2 2 5 9 2" xfId="19475"/>
    <cellStyle name="Normal 2 3 2 2 2 6" xfId="19476"/>
    <cellStyle name="Normal 2 3 2 2 2 6 2" xfId="19477"/>
    <cellStyle name="Normal 2 3 2 2 2 6 2 10" xfId="19478"/>
    <cellStyle name="Normal 2 3 2 2 2 6 2 10 2" xfId="19479"/>
    <cellStyle name="Normal 2 3 2 2 2 6 2 11" xfId="19480"/>
    <cellStyle name="Normal 2 3 2 2 2 6 2 11 2" xfId="19481"/>
    <cellStyle name="Normal 2 3 2 2 2 6 2 12" xfId="19482"/>
    <cellStyle name="Normal 2 3 2 2 2 6 2 12 2" xfId="19483"/>
    <cellStyle name="Normal 2 3 2 2 2 6 2 13" xfId="19484"/>
    <cellStyle name="Normal 2 3 2 2 2 6 2 2" xfId="19485"/>
    <cellStyle name="Normal 2 3 2 2 2 6 2 2 10" xfId="19486"/>
    <cellStyle name="Normal 2 3 2 2 2 6 2 2 10 2" xfId="19487"/>
    <cellStyle name="Normal 2 3 2 2 2 6 2 2 11" xfId="19488"/>
    <cellStyle name="Normal 2 3 2 2 2 6 2 2 11 2" xfId="19489"/>
    <cellStyle name="Normal 2 3 2 2 2 6 2 2 12" xfId="19490"/>
    <cellStyle name="Normal 2 3 2 2 2 6 2 2 2" xfId="19491"/>
    <cellStyle name="Normal 2 3 2 2 2 6 2 2 2 10" xfId="19492"/>
    <cellStyle name="Normal 2 3 2 2 2 6 2 2 2 10 2" xfId="19493"/>
    <cellStyle name="Normal 2 3 2 2 2 6 2 2 2 11" xfId="19494"/>
    <cellStyle name="Normal 2 3 2 2 2 6 2 2 2 2" xfId="19495"/>
    <cellStyle name="Normal 2 3 2 2 2 6 2 2 2 2 2" xfId="19496"/>
    <cellStyle name="Normal 2 3 2 2 2 6 2 2 2 3" xfId="19497"/>
    <cellStyle name="Normal 2 3 2 2 2 6 2 2 2 3 2" xfId="19498"/>
    <cellStyle name="Normal 2 3 2 2 2 6 2 2 2 4" xfId="19499"/>
    <cellStyle name="Normal 2 3 2 2 2 6 2 2 2 4 2" xfId="19500"/>
    <cellStyle name="Normal 2 3 2 2 2 6 2 2 2 5" xfId="19501"/>
    <cellStyle name="Normal 2 3 2 2 2 6 2 2 2 5 2" xfId="19502"/>
    <cellStyle name="Normal 2 3 2 2 2 6 2 2 2 6" xfId="19503"/>
    <cellStyle name="Normal 2 3 2 2 2 6 2 2 2 6 2" xfId="19504"/>
    <cellStyle name="Normal 2 3 2 2 2 6 2 2 2 7" xfId="19505"/>
    <cellStyle name="Normal 2 3 2 2 2 6 2 2 2 7 2" xfId="19506"/>
    <cellStyle name="Normal 2 3 2 2 2 6 2 2 2 8" xfId="19507"/>
    <cellStyle name="Normal 2 3 2 2 2 6 2 2 2 8 2" xfId="19508"/>
    <cellStyle name="Normal 2 3 2 2 2 6 2 2 2 9" xfId="19509"/>
    <cellStyle name="Normal 2 3 2 2 2 6 2 2 2 9 2" xfId="19510"/>
    <cellStyle name="Normal 2 3 2 2 2 6 2 2 3" xfId="19511"/>
    <cellStyle name="Normal 2 3 2 2 2 6 2 2 3 2" xfId="19512"/>
    <cellStyle name="Normal 2 3 2 2 2 6 2 2 4" xfId="19513"/>
    <cellStyle name="Normal 2 3 2 2 2 6 2 2 4 2" xfId="19514"/>
    <cellStyle name="Normal 2 3 2 2 2 6 2 2 5" xfId="19515"/>
    <cellStyle name="Normal 2 3 2 2 2 6 2 2 5 2" xfId="19516"/>
    <cellStyle name="Normal 2 3 2 2 2 6 2 2 6" xfId="19517"/>
    <cellStyle name="Normal 2 3 2 2 2 6 2 2 6 2" xfId="19518"/>
    <cellStyle name="Normal 2 3 2 2 2 6 2 2 7" xfId="19519"/>
    <cellStyle name="Normal 2 3 2 2 2 6 2 2 7 2" xfId="19520"/>
    <cellStyle name="Normal 2 3 2 2 2 6 2 2 8" xfId="19521"/>
    <cellStyle name="Normal 2 3 2 2 2 6 2 2 8 2" xfId="19522"/>
    <cellStyle name="Normal 2 3 2 2 2 6 2 2 9" xfId="19523"/>
    <cellStyle name="Normal 2 3 2 2 2 6 2 2 9 2" xfId="19524"/>
    <cellStyle name="Normal 2 3 2 2 2 6 2 3" xfId="19525"/>
    <cellStyle name="Normal 2 3 2 2 2 6 2 3 10" xfId="19526"/>
    <cellStyle name="Normal 2 3 2 2 2 6 2 3 10 2" xfId="19527"/>
    <cellStyle name="Normal 2 3 2 2 2 6 2 3 11" xfId="19528"/>
    <cellStyle name="Normal 2 3 2 2 2 6 2 3 2" xfId="19529"/>
    <cellStyle name="Normal 2 3 2 2 2 6 2 3 2 2" xfId="19530"/>
    <cellStyle name="Normal 2 3 2 2 2 6 2 3 3" xfId="19531"/>
    <cellStyle name="Normal 2 3 2 2 2 6 2 3 3 2" xfId="19532"/>
    <cellStyle name="Normal 2 3 2 2 2 6 2 3 4" xfId="19533"/>
    <cellStyle name="Normal 2 3 2 2 2 6 2 3 4 2" xfId="19534"/>
    <cellStyle name="Normal 2 3 2 2 2 6 2 3 5" xfId="19535"/>
    <cellStyle name="Normal 2 3 2 2 2 6 2 3 5 2" xfId="19536"/>
    <cellStyle name="Normal 2 3 2 2 2 6 2 3 6" xfId="19537"/>
    <cellStyle name="Normal 2 3 2 2 2 6 2 3 6 2" xfId="19538"/>
    <cellStyle name="Normal 2 3 2 2 2 6 2 3 7" xfId="19539"/>
    <cellStyle name="Normal 2 3 2 2 2 6 2 3 7 2" xfId="19540"/>
    <cellStyle name="Normal 2 3 2 2 2 6 2 3 8" xfId="19541"/>
    <cellStyle name="Normal 2 3 2 2 2 6 2 3 8 2" xfId="19542"/>
    <cellStyle name="Normal 2 3 2 2 2 6 2 3 9" xfId="19543"/>
    <cellStyle name="Normal 2 3 2 2 2 6 2 3 9 2" xfId="19544"/>
    <cellStyle name="Normal 2 3 2 2 2 6 2 4" xfId="19545"/>
    <cellStyle name="Normal 2 3 2 2 2 6 2 4 2" xfId="19546"/>
    <cellStyle name="Normal 2 3 2 2 2 6 2 5" xfId="19547"/>
    <cellStyle name="Normal 2 3 2 2 2 6 2 5 2" xfId="19548"/>
    <cellStyle name="Normal 2 3 2 2 2 6 2 6" xfId="19549"/>
    <cellStyle name="Normal 2 3 2 2 2 6 2 6 2" xfId="19550"/>
    <cellStyle name="Normal 2 3 2 2 2 6 2 7" xfId="19551"/>
    <cellStyle name="Normal 2 3 2 2 2 6 2 7 2" xfId="19552"/>
    <cellStyle name="Normal 2 3 2 2 2 6 2 8" xfId="19553"/>
    <cellStyle name="Normal 2 3 2 2 2 6 2 8 2" xfId="19554"/>
    <cellStyle name="Normal 2 3 2 2 2 6 2 9" xfId="19555"/>
    <cellStyle name="Normal 2 3 2 2 2 6 2 9 2" xfId="19556"/>
    <cellStyle name="Normal 2 3 2 2 2 6 3" xfId="19557"/>
    <cellStyle name="Normal 2 3 2 2 2 6 3 10" xfId="19558"/>
    <cellStyle name="Normal 2 3 2 2 2 6 3 10 2" xfId="19559"/>
    <cellStyle name="Normal 2 3 2 2 2 6 3 11" xfId="19560"/>
    <cellStyle name="Normal 2 3 2 2 2 6 3 11 2" xfId="19561"/>
    <cellStyle name="Normal 2 3 2 2 2 6 3 12" xfId="19562"/>
    <cellStyle name="Normal 2 3 2 2 2 6 3 12 2" xfId="19563"/>
    <cellStyle name="Normal 2 3 2 2 2 6 3 13" xfId="19564"/>
    <cellStyle name="Normal 2 3 2 2 2 6 3 2" xfId="19565"/>
    <cellStyle name="Normal 2 3 2 2 2 6 3 2 10" xfId="19566"/>
    <cellStyle name="Normal 2 3 2 2 2 6 3 2 10 2" xfId="19567"/>
    <cellStyle name="Normal 2 3 2 2 2 6 3 2 11" xfId="19568"/>
    <cellStyle name="Normal 2 3 2 2 2 6 3 2 11 2" xfId="19569"/>
    <cellStyle name="Normal 2 3 2 2 2 6 3 2 12" xfId="19570"/>
    <cellStyle name="Normal 2 3 2 2 2 6 3 2 2" xfId="19571"/>
    <cellStyle name="Normal 2 3 2 2 2 6 3 2 2 10" xfId="19572"/>
    <cellStyle name="Normal 2 3 2 2 2 6 3 2 2 10 2" xfId="19573"/>
    <cellStyle name="Normal 2 3 2 2 2 6 3 2 2 11" xfId="19574"/>
    <cellStyle name="Normal 2 3 2 2 2 6 3 2 2 2" xfId="19575"/>
    <cellStyle name="Normal 2 3 2 2 2 6 3 2 2 2 2" xfId="19576"/>
    <cellStyle name="Normal 2 3 2 2 2 6 3 2 2 3" xfId="19577"/>
    <cellStyle name="Normal 2 3 2 2 2 6 3 2 2 3 2" xfId="19578"/>
    <cellStyle name="Normal 2 3 2 2 2 6 3 2 2 4" xfId="19579"/>
    <cellStyle name="Normal 2 3 2 2 2 6 3 2 2 4 2" xfId="19580"/>
    <cellStyle name="Normal 2 3 2 2 2 6 3 2 2 5" xfId="19581"/>
    <cellStyle name="Normal 2 3 2 2 2 6 3 2 2 5 2" xfId="19582"/>
    <cellStyle name="Normal 2 3 2 2 2 6 3 2 2 6" xfId="19583"/>
    <cellStyle name="Normal 2 3 2 2 2 6 3 2 2 6 2" xfId="19584"/>
    <cellStyle name="Normal 2 3 2 2 2 6 3 2 2 7" xfId="19585"/>
    <cellStyle name="Normal 2 3 2 2 2 6 3 2 2 7 2" xfId="19586"/>
    <cellStyle name="Normal 2 3 2 2 2 6 3 2 2 8" xfId="19587"/>
    <cellStyle name="Normal 2 3 2 2 2 6 3 2 2 8 2" xfId="19588"/>
    <cellStyle name="Normal 2 3 2 2 2 6 3 2 2 9" xfId="19589"/>
    <cellStyle name="Normal 2 3 2 2 2 6 3 2 2 9 2" xfId="19590"/>
    <cellStyle name="Normal 2 3 2 2 2 6 3 2 3" xfId="19591"/>
    <cellStyle name="Normal 2 3 2 2 2 6 3 2 3 2" xfId="19592"/>
    <cellStyle name="Normal 2 3 2 2 2 6 3 2 4" xfId="19593"/>
    <cellStyle name="Normal 2 3 2 2 2 6 3 2 4 2" xfId="19594"/>
    <cellStyle name="Normal 2 3 2 2 2 6 3 2 5" xfId="19595"/>
    <cellStyle name="Normal 2 3 2 2 2 6 3 2 5 2" xfId="19596"/>
    <cellStyle name="Normal 2 3 2 2 2 6 3 2 6" xfId="19597"/>
    <cellStyle name="Normal 2 3 2 2 2 6 3 2 6 2" xfId="19598"/>
    <cellStyle name="Normal 2 3 2 2 2 6 3 2 7" xfId="19599"/>
    <cellStyle name="Normal 2 3 2 2 2 6 3 2 7 2" xfId="19600"/>
    <cellStyle name="Normal 2 3 2 2 2 6 3 2 8" xfId="19601"/>
    <cellStyle name="Normal 2 3 2 2 2 6 3 2 8 2" xfId="19602"/>
    <cellStyle name="Normal 2 3 2 2 2 6 3 2 9" xfId="19603"/>
    <cellStyle name="Normal 2 3 2 2 2 6 3 2 9 2" xfId="19604"/>
    <cellStyle name="Normal 2 3 2 2 2 6 3 3" xfId="19605"/>
    <cellStyle name="Normal 2 3 2 2 2 6 3 3 10" xfId="19606"/>
    <cellStyle name="Normal 2 3 2 2 2 6 3 3 10 2" xfId="19607"/>
    <cellStyle name="Normal 2 3 2 2 2 6 3 3 11" xfId="19608"/>
    <cellStyle name="Normal 2 3 2 2 2 6 3 3 2" xfId="19609"/>
    <cellStyle name="Normal 2 3 2 2 2 6 3 3 2 2" xfId="19610"/>
    <cellStyle name="Normal 2 3 2 2 2 6 3 3 3" xfId="19611"/>
    <cellStyle name="Normal 2 3 2 2 2 6 3 3 3 2" xfId="19612"/>
    <cellStyle name="Normal 2 3 2 2 2 6 3 3 4" xfId="19613"/>
    <cellStyle name="Normal 2 3 2 2 2 6 3 3 4 2" xfId="19614"/>
    <cellStyle name="Normal 2 3 2 2 2 6 3 3 5" xfId="19615"/>
    <cellStyle name="Normal 2 3 2 2 2 6 3 3 5 2" xfId="19616"/>
    <cellStyle name="Normal 2 3 2 2 2 6 3 3 6" xfId="19617"/>
    <cellStyle name="Normal 2 3 2 2 2 6 3 3 6 2" xfId="19618"/>
    <cellStyle name="Normal 2 3 2 2 2 6 3 3 7" xfId="19619"/>
    <cellStyle name="Normal 2 3 2 2 2 6 3 3 7 2" xfId="19620"/>
    <cellStyle name="Normal 2 3 2 2 2 6 3 3 8" xfId="19621"/>
    <cellStyle name="Normal 2 3 2 2 2 6 3 3 8 2" xfId="19622"/>
    <cellStyle name="Normal 2 3 2 2 2 6 3 3 9" xfId="19623"/>
    <cellStyle name="Normal 2 3 2 2 2 6 3 3 9 2" xfId="19624"/>
    <cellStyle name="Normal 2 3 2 2 2 6 3 4" xfId="19625"/>
    <cellStyle name="Normal 2 3 2 2 2 6 3 4 2" xfId="19626"/>
    <cellStyle name="Normal 2 3 2 2 2 6 3 5" xfId="19627"/>
    <cellStyle name="Normal 2 3 2 2 2 6 3 5 2" xfId="19628"/>
    <cellStyle name="Normal 2 3 2 2 2 6 3 6" xfId="19629"/>
    <cellStyle name="Normal 2 3 2 2 2 6 3 6 2" xfId="19630"/>
    <cellStyle name="Normal 2 3 2 2 2 6 3 7" xfId="19631"/>
    <cellStyle name="Normal 2 3 2 2 2 6 3 7 2" xfId="19632"/>
    <cellStyle name="Normal 2 3 2 2 2 6 3 8" xfId="19633"/>
    <cellStyle name="Normal 2 3 2 2 2 6 3 8 2" xfId="19634"/>
    <cellStyle name="Normal 2 3 2 2 2 6 3 9" xfId="19635"/>
    <cellStyle name="Normal 2 3 2 2 2 6 3 9 2" xfId="19636"/>
    <cellStyle name="Normal 2 3 2 2 2 6 4" xfId="19637"/>
    <cellStyle name="Normal 2 3 2 2 2 6 4 10" xfId="19638"/>
    <cellStyle name="Normal 2 3 2 2 2 6 4 10 2" xfId="19639"/>
    <cellStyle name="Normal 2 3 2 2 2 6 4 11" xfId="19640"/>
    <cellStyle name="Normal 2 3 2 2 2 6 4 11 2" xfId="19641"/>
    <cellStyle name="Normal 2 3 2 2 2 6 4 12" xfId="19642"/>
    <cellStyle name="Normal 2 3 2 2 2 6 4 12 2" xfId="19643"/>
    <cellStyle name="Normal 2 3 2 2 2 6 4 13" xfId="19644"/>
    <cellStyle name="Normal 2 3 2 2 2 6 4 2" xfId="19645"/>
    <cellStyle name="Normal 2 3 2 2 2 6 4 2 10" xfId="19646"/>
    <cellStyle name="Normal 2 3 2 2 2 6 4 2 10 2" xfId="19647"/>
    <cellStyle name="Normal 2 3 2 2 2 6 4 2 11" xfId="19648"/>
    <cellStyle name="Normal 2 3 2 2 2 6 4 2 11 2" xfId="19649"/>
    <cellStyle name="Normal 2 3 2 2 2 6 4 2 12" xfId="19650"/>
    <cellStyle name="Normal 2 3 2 2 2 6 4 2 2" xfId="19651"/>
    <cellStyle name="Normal 2 3 2 2 2 6 4 2 2 10" xfId="19652"/>
    <cellStyle name="Normal 2 3 2 2 2 6 4 2 2 10 2" xfId="19653"/>
    <cellStyle name="Normal 2 3 2 2 2 6 4 2 2 11" xfId="19654"/>
    <cellStyle name="Normal 2 3 2 2 2 6 4 2 2 2" xfId="19655"/>
    <cellStyle name="Normal 2 3 2 2 2 6 4 2 2 2 2" xfId="19656"/>
    <cellStyle name="Normal 2 3 2 2 2 6 4 2 2 3" xfId="19657"/>
    <cellStyle name="Normal 2 3 2 2 2 6 4 2 2 3 2" xfId="19658"/>
    <cellStyle name="Normal 2 3 2 2 2 6 4 2 2 4" xfId="19659"/>
    <cellStyle name="Normal 2 3 2 2 2 6 4 2 2 4 2" xfId="19660"/>
    <cellStyle name="Normal 2 3 2 2 2 6 4 2 2 5" xfId="19661"/>
    <cellStyle name="Normal 2 3 2 2 2 6 4 2 2 5 2" xfId="19662"/>
    <cellStyle name="Normal 2 3 2 2 2 6 4 2 2 6" xfId="19663"/>
    <cellStyle name="Normal 2 3 2 2 2 6 4 2 2 6 2" xfId="19664"/>
    <cellStyle name="Normal 2 3 2 2 2 6 4 2 2 7" xfId="19665"/>
    <cellStyle name="Normal 2 3 2 2 2 6 4 2 2 7 2" xfId="19666"/>
    <cellStyle name="Normal 2 3 2 2 2 6 4 2 2 8" xfId="19667"/>
    <cellStyle name="Normal 2 3 2 2 2 6 4 2 2 8 2" xfId="19668"/>
    <cellStyle name="Normal 2 3 2 2 2 6 4 2 2 9" xfId="19669"/>
    <cellStyle name="Normal 2 3 2 2 2 6 4 2 2 9 2" xfId="19670"/>
    <cellStyle name="Normal 2 3 2 2 2 6 4 2 3" xfId="19671"/>
    <cellStyle name="Normal 2 3 2 2 2 6 4 2 3 2" xfId="19672"/>
    <cellStyle name="Normal 2 3 2 2 2 6 4 2 4" xfId="19673"/>
    <cellStyle name="Normal 2 3 2 2 2 6 4 2 4 2" xfId="19674"/>
    <cellStyle name="Normal 2 3 2 2 2 6 4 2 5" xfId="19675"/>
    <cellStyle name="Normal 2 3 2 2 2 6 4 2 5 2" xfId="19676"/>
    <cellStyle name="Normal 2 3 2 2 2 6 4 2 6" xfId="19677"/>
    <cellStyle name="Normal 2 3 2 2 2 6 4 2 6 2" xfId="19678"/>
    <cellStyle name="Normal 2 3 2 2 2 6 4 2 7" xfId="19679"/>
    <cellStyle name="Normal 2 3 2 2 2 6 4 2 7 2" xfId="19680"/>
    <cellStyle name="Normal 2 3 2 2 2 6 4 2 8" xfId="19681"/>
    <cellStyle name="Normal 2 3 2 2 2 6 4 2 8 2" xfId="19682"/>
    <cellStyle name="Normal 2 3 2 2 2 6 4 2 9" xfId="19683"/>
    <cellStyle name="Normal 2 3 2 2 2 6 4 2 9 2" xfId="19684"/>
    <cellStyle name="Normal 2 3 2 2 2 6 4 3" xfId="19685"/>
    <cellStyle name="Normal 2 3 2 2 2 6 4 3 10" xfId="19686"/>
    <cellStyle name="Normal 2 3 2 2 2 6 4 3 10 2" xfId="19687"/>
    <cellStyle name="Normal 2 3 2 2 2 6 4 3 11" xfId="19688"/>
    <cellStyle name="Normal 2 3 2 2 2 6 4 3 2" xfId="19689"/>
    <cellStyle name="Normal 2 3 2 2 2 6 4 3 2 2" xfId="19690"/>
    <cellStyle name="Normal 2 3 2 2 2 6 4 3 3" xfId="19691"/>
    <cellStyle name="Normal 2 3 2 2 2 6 4 3 3 2" xfId="19692"/>
    <cellStyle name="Normal 2 3 2 2 2 6 4 3 4" xfId="19693"/>
    <cellStyle name="Normal 2 3 2 2 2 6 4 3 4 2" xfId="19694"/>
    <cellStyle name="Normal 2 3 2 2 2 6 4 3 5" xfId="19695"/>
    <cellStyle name="Normal 2 3 2 2 2 6 4 3 5 2" xfId="19696"/>
    <cellStyle name="Normal 2 3 2 2 2 6 4 3 6" xfId="19697"/>
    <cellStyle name="Normal 2 3 2 2 2 6 4 3 6 2" xfId="19698"/>
    <cellStyle name="Normal 2 3 2 2 2 6 4 3 7" xfId="19699"/>
    <cellStyle name="Normal 2 3 2 2 2 6 4 3 7 2" xfId="19700"/>
    <cellStyle name="Normal 2 3 2 2 2 6 4 3 8" xfId="19701"/>
    <cellStyle name="Normal 2 3 2 2 2 6 4 3 8 2" xfId="19702"/>
    <cellStyle name="Normal 2 3 2 2 2 6 4 3 9" xfId="19703"/>
    <cellStyle name="Normal 2 3 2 2 2 6 4 3 9 2" xfId="19704"/>
    <cellStyle name="Normal 2 3 2 2 2 6 4 4" xfId="19705"/>
    <cellStyle name="Normal 2 3 2 2 2 6 4 4 2" xfId="19706"/>
    <cellStyle name="Normal 2 3 2 2 2 6 4 5" xfId="19707"/>
    <cellStyle name="Normal 2 3 2 2 2 6 4 5 2" xfId="19708"/>
    <cellStyle name="Normal 2 3 2 2 2 6 4 6" xfId="19709"/>
    <cellStyle name="Normal 2 3 2 2 2 6 4 6 2" xfId="19710"/>
    <cellStyle name="Normal 2 3 2 2 2 6 4 7" xfId="19711"/>
    <cellStyle name="Normal 2 3 2 2 2 6 4 7 2" xfId="19712"/>
    <cellStyle name="Normal 2 3 2 2 2 6 4 8" xfId="19713"/>
    <cellStyle name="Normal 2 3 2 2 2 6 4 8 2" xfId="19714"/>
    <cellStyle name="Normal 2 3 2 2 2 6 4 9" xfId="19715"/>
    <cellStyle name="Normal 2 3 2 2 2 6 4 9 2" xfId="19716"/>
    <cellStyle name="Normal 2 3 2 2 2 6 5" xfId="19717"/>
    <cellStyle name="Normal 2 3 2 2 2 6 5 10" xfId="19718"/>
    <cellStyle name="Normal 2 3 2 2 2 6 5 10 2" xfId="19719"/>
    <cellStyle name="Normal 2 3 2 2 2 6 5 11" xfId="19720"/>
    <cellStyle name="Normal 2 3 2 2 2 6 5 11 2" xfId="19721"/>
    <cellStyle name="Normal 2 3 2 2 2 6 5 12" xfId="19722"/>
    <cellStyle name="Normal 2 3 2 2 2 6 5 12 2" xfId="19723"/>
    <cellStyle name="Normal 2 3 2 2 2 6 5 13" xfId="19724"/>
    <cellStyle name="Normal 2 3 2 2 2 6 5 2" xfId="19725"/>
    <cellStyle name="Normal 2 3 2 2 2 6 5 2 10" xfId="19726"/>
    <cellStyle name="Normal 2 3 2 2 2 6 5 2 10 2" xfId="19727"/>
    <cellStyle name="Normal 2 3 2 2 2 6 5 2 11" xfId="19728"/>
    <cellStyle name="Normal 2 3 2 2 2 6 5 2 11 2" xfId="19729"/>
    <cellStyle name="Normal 2 3 2 2 2 6 5 2 12" xfId="19730"/>
    <cellStyle name="Normal 2 3 2 2 2 6 5 2 2" xfId="19731"/>
    <cellStyle name="Normal 2 3 2 2 2 6 5 2 2 10" xfId="19732"/>
    <cellStyle name="Normal 2 3 2 2 2 6 5 2 2 10 2" xfId="19733"/>
    <cellStyle name="Normal 2 3 2 2 2 6 5 2 2 11" xfId="19734"/>
    <cellStyle name="Normal 2 3 2 2 2 6 5 2 2 2" xfId="19735"/>
    <cellStyle name="Normal 2 3 2 2 2 6 5 2 2 2 2" xfId="19736"/>
    <cellStyle name="Normal 2 3 2 2 2 6 5 2 2 3" xfId="19737"/>
    <cellStyle name="Normal 2 3 2 2 2 6 5 2 2 3 2" xfId="19738"/>
    <cellStyle name="Normal 2 3 2 2 2 6 5 2 2 4" xfId="19739"/>
    <cellStyle name="Normal 2 3 2 2 2 6 5 2 2 4 2" xfId="19740"/>
    <cellStyle name="Normal 2 3 2 2 2 6 5 2 2 5" xfId="19741"/>
    <cellStyle name="Normal 2 3 2 2 2 6 5 2 2 5 2" xfId="19742"/>
    <cellStyle name="Normal 2 3 2 2 2 6 5 2 2 6" xfId="19743"/>
    <cellStyle name="Normal 2 3 2 2 2 6 5 2 2 6 2" xfId="19744"/>
    <cellStyle name="Normal 2 3 2 2 2 6 5 2 2 7" xfId="19745"/>
    <cellStyle name="Normal 2 3 2 2 2 6 5 2 2 7 2" xfId="19746"/>
    <cellStyle name="Normal 2 3 2 2 2 6 5 2 2 8" xfId="19747"/>
    <cellStyle name="Normal 2 3 2 2 2 6 5 2 2 8 2" xfId="19748"/>
    <cellStyle name="Normal 2 3 2 2 2 6 5 2 2 9" xfId="19749"/>
    <cellStyle name="Normal 2 3 2 2 2 6 5 2 2 9 2" xfId="19750"/>
    <cellStyle name="Normal 2 3 2 2 2 6 5 2 3" xfId="19751"/>
    <cellStyle name="Normal 2 3 2 2 2 6 5 2 3 2" xfId="19752"/>
    <cellStyle name="Normal 2 3 2 2 2 6 5 2 4" xfId="19753"/>
    <cellStyle name="Normal 2 3 2 2 2 6 5 2 4 2" xfId="19754"/>
    <cellStyle name="Normal 2 3 2 2 2 6 5 2 5" xfId="19755"/>
    <cellStyle name="Normal 2 3 2 2 2 6 5 2 5 2" xfId="19756"/>
    <cellStyle name="Normal 2 3 2 2 2 6 5 2 6" xfId="19757"/>
    <cellStyle name="Normal 2 3 2 2 2 6 5 2 6 2" xfId="19758"/>
    <cellStyle name="Normal 2 3 2 2 2 6 5 2 7" xfId="19759"/>
    <cellStyle name="Normal 2 3 2 2 2 6 5 2 7 2" xfId="19760"/>
    <cellStyle name="Normal 2 3 2 2 2 6 5 2 8" xfId="19761"/>
    <cellStyle name="Normal 2 3 2 2 2 6 5 2 8 2" xfId="19762"/>
    <cellStyle name="Normal 2 3 2 2 2 6 5 2 9" xfId="19763"/>
    <cellStyle name="Normal 2 3 2 2 2 6 5 2 9 2" xfId="19764"/>
    <cellStyle name="Normal 2 3 2 2 2 6 5 3" xfId="19765"/>
    <cellStyle name="Normal 2 3 2 2 2 6 5 3 10" xfId="19766"/>
    <cellStyle name="Normal 2 3 2 2 2 6 5 3 10 2" xfId="19767"/>
    <cellStyle name="Normal 2 3 2 2 2 6 5 3 11" xfId="19768"/>
    <cellStyle name="Normal 2 3 2 2 2 6 5 3 2" xfId="19769"/>
    <cellStyle name="Normal 2 3 2 2 2 6 5 3 2 2" xfId="19770"/>
    <cellStyle name="Normal 2 3 2 2 2 6 5 3 3" xfId="19771"/>
    <cellStyle name="Normal 2 3 2 2 2 6 5 3 3 2" xfId="19772"/>
    <cellStyle name="Normal 2 3 2 2 2 6 5 3 4" xfId="19773"/>
    <cellStyle name="Normal 2 3 2 2 2 6 5 3 4 2" xfId="19774"/>
    <cellStyle name="Normal 2 3 2 2 2 6 5 3 5" xfId="19775"/>
    <cellStyle name="Normal 2 3 2 2 2 6 5 3 5 2" xfId="19776"/>
    <cellStyle name="Normal 2 3 2 2 2 6 5 3 6" xfId="19777"/>
    <cellStyle name="Normal 2 3 2 2 2 6 5 3 6 2" xfId="19778"/>
    <cellStyle name="Normal 2 3 2 2 2 6 5 3 7" xfId="19779"/>
    <cellStyle name="Normal 2 3 2 2 2 6 5 3 7 2" xfId="19780"/>
    <cellStyle name="Normal 2 3 2 2 2 6 5 3 8" xfId="19781"/>
    <cellStyle name="Normal 2 3 2 2 2 6 5 3 8 2" xfId="19782"/>
    <cellStyle name="Normal 2 3 2 2 2 6 5 3 9" xfId="19783"/>
    <cellStyle name="Normal 2 3 2 2 2 6 5 3 9 2" xfId="19784"/>
    <cellStyle name="Normal 2 3 2 2 2 6 5 4" xfId="19785"/>
    <cellStyle name="Normal 2 3 2 2 2 6 5 4 2" xfId="19786"/>
    <cellStyle name="Normal 2 3 2 2 2 6 5 5" xfId="19787"/>
    <cellStyle name="Normal 2 3 2 2 2 6 5 5 2" xfId="19788"/>
    <cellStyle name="Normal 2 3 2 2 2 6 5 6" xfId="19789"/>
    <cellStyle name="Normal 2 3 2 2 2 6 5 6 2" xfId="19790"/>
    <cellStyle name="Normal 2 3 2 2 2 6 5 7" xfId="19791"/>
    <cellStyle name="Normal 2 3 2 2 2 6 5 7 2" xfId="19792"/>
    <cellStyle name="Normal 2 3 2 2 2 6 5 8" xfId="19793"/>
    <cellStyle name="Normal 2 3 2 2 2 6 5 8 2" xfId="19794"/>
    <cellStyle name="Normal 2 3 2 2 2 6 5 9" xfId="19795"/>
    <cellStyle name="Normal 2 3 2 2 2 6 5 9 2" xfId="19796"/>
    <cellStyle name="Normal 2 3 2 2 2 6 6" xfId="41957"/>
    <cellStyle name="Normal 2 3 2 2 2 7" xfId="19797"/>
    <cellStyle name="Normal 2 3 2 2 2 7 2" xfId="41958"/>
    <cellStyle name="Normal 2 3 2 2 2 8" xfId="19798"/>
    <cellStyle name="Normal 2 3 2 2 2 8 2" xfId="41959"/>
    <cellStyle name="Normal 2 3 2 2 2 9" xfId="19799"/>
    <cellStyle name="Normal 2 3 2 2 2 9 2" xfId="41960"/>
    <cellStyle name="Normal 2 3 2 2 3" xfId="19800"/>
    <cellStyle name="Normal 2 3 2 2 3 10" xfId="19801"/>
    <cellStyle name="Normal 2 3 2 2 3 10 2" xfId="19802"/>
    <cellStyle name="Normal 2 3 2 2 3 11" xfId="19803"/>
    <cellStyle name="Normal 2 3 2 2 3 11 2" xfId="19804"/>
    <cellStyle name="Normal 2 3 2 2 3 12" xfId="19805"/>
    <cellStyle name="Normal 2 3 2 2 3 12 2" xfId="19806"/>
    <cellStyle name="Normal 2 3 2 2 3 13" xfId="19807"/>
    <cellStyle name="Normal 2 3 2 2 3 13 2" xfId="19808"/>
    <cellStyle name="Normal 2 3 2 2 3 14" xfId="19809"/>
    <cellStyle name="Normal 2 3 2 2 3 14 2" xfId="19810"/>
    <cellStyle name="Normal 2 3 2 2 3 15" xfId="19811"/>
    <cellStyle name="Normal 2 3 2 2 3 15 2" xfId="19812"/>
    <cellStyle name="Normal 2 3 2 2 3 16" xfId="19813"/>
    <cellStyle name="Normal 2 3 2 2 3 16 2" xfId="19814"/>
    <cellStyle name="Normal 2 3 2 2 3 17" xfId="19815"/>
    <cellStyle name="Normal 2 3 2 2 3 17 2" xfId="19816"/>
    <cellStyle name="Normal 2 3 2 2 3 18" xfId="19817"/>
    <cellStyle name="Normal 2 3 2 2 3 2" xfId="19818"/>
    <cellStyle name="Normal 2 3 2 2 3 2 2" xfId="19819"/>
    <cellStyle name="Normal 2 3 2 2 3 2 2 10" xfId="19820"/>
    <cellStyle name="Normal 2 3 2 2 3 2 2 10 2" xfId="19821"/>
    <cellStyle name="Normal 2 3 2 2 3 2 2 11" xfId="19822"/>
    <cellStyle name="Normal 2 3 2 2 3 2 2 11 2" xfId="19823"/>
    <cellStyle name="Normal 2 3 2 2 3 2 2 12" xfId="19824"/>
    <cellStyle name="Normal 2 3 2 2 3 2 2 12 2" xfId="19825"/>
    <cellStyle name="Normal 2 3 2 2 3 2 2 13" xfId="19826"/>
    <cellStyle name="Normal 2 3 2 2 3 2 2 13 2" xfId="19827"/>
    <cellStyle name="Normal 2 3 2 2 3 2 2 14" xfId="19828"/>
    <cellStyle name="Normal 2 3 2 2 3 2 2 14 2" xfId="19829"/>
    <cellStyle name="Normal 2 3 2 2 3 2 2 15" xfId="19830"/>
    <cellStyle name="Normal 2 3 2 2 3 2 2 15 2" xfId="19831"/>
    <cellStyle name="Normal 2 3 2 2 3 2 2 16" xfId="19832"/>
    <cellStyle name="Normal 2 3 2 2 3 2 2 16 2" xfId="19833"/>
    <cellStyle name="Normal 2 3 2 2 3 2 2 17" xfId="19834"/>
    <cellStyle name="Normal 2 3 2 2 3 2 2 2" xfId="19835"/>
    <cellStyle name="Normal 2 3 2 2 3 2 2 2 2" xfId="41961"/>
    <cellStyle name="Normal 2 3 2 2 3 2 2 3" xfId="19836"/>
    <cellStyle name="Normal 2 3 2 2 3 2 2 3 2" xfId="41962"/>
    <cellStyle name="Normal 2 3 2 2 3 2 2 4" xfId="19837"/>
    <cellStyle name="Normal 2 3 2 2 3 2 2 4 2" xfId="41963"/>
    <cellStyle name="Normal 2 3 2 2 3 2 2 5" xfId="19838"/>
    <cellStyle name="Normal 2 3 2 2 3 2 2 5 2" xfId="41964"/>
    <cellStyle name="Normal 2 3 2 2 3 2 2 6" xfId="19839"/>
    <cellStyle name="Normal 2 3 2 2 3 2 2 6 10" xfId="19840"/>
    <cellStyle name="Normal 2 3 2 2 3 2 2 6 10 2" xfId="19841"/>
    <cellStyle name="Normal 2 3 2 2 3 2 2 6 11" xfId="19842"/>
    <cellStyle name="Normal 2 3 2 2 3 2 2 6 11 2" xfId="19843"/>
    <cellStyle name="Normal 2 3 2 2 3 2 2 6 12" xfId="19844"/>
    <cellStyle name="Normal 2 3 2 2 3 2 2 6 2" xfId="19845"/>
    <cellStyle name="Normal 2 3 2 2 3 2 2 6 2 10" xfId="19846"/>
    <cellStyle name="Normal 2 3 2 2 3 2 2 6 2 10 2" xfId="19847"/>
    <cellStyle name="Normal 2 3 2 2 3 2 2 6 2 11" xfId="19848"/>
    <cellStyle name="Normal 2 3 2 2 3 2 2 6 2 2" xfId="19849"/>
    <cellStyle name="Normal 2 3 2 2 3 2 2 6 2 2 2" xfId="19850"/>
    <cellStyle name="Normal 2 3 2 2 3 2 2 6 2 3" xfId="19851"/>
    <cellStyle name="Normal 2 3 2 2 3 2 2 6 2 3 2" xfId="19852"/>
    <cellStyle name="Normal 2 3 2 2 3 2 2 6 2 4" xfId="19853"/>
    <cellStyle name="Normal 2 3 2 2 3 2 2 6 2 4 2" xfId="19854"/>
    <cellStyle name="Normal 2 3 2 2 3 2 2 6 2 5" xfId="19855"/>
    <cellStyle name="Normal 2 3 2 2 3 2 2 6 2 5 2" xfId="19856"/>
    <cellStyle name="Normal 2 3 2 2 3 2 2 6 2 6" xfId="19857"/>
    <cellStyle name="Normal 2 3 2 2 3 2 2 6 2 6 2" xfId="19858"/>
    <cellStyle name="Normal 2 3 2 2 3 2 2 6 2 7" xfId="19859"/>
    <cellStyle name="Normal 2 3 2 2 3 2 2 6 2 7 2" xfId="19860"/>
    <cellStyle name="Normal 2 3 2 2 3 2 2 6 2 8" xfId="19861"/>
    <cellStyle name="Normal 2 3 2 2 3 2 2 6 2 8 2" xfId="19862"/>
    <cellStyle name="Normal 2 3 2 2 3 2 2 6 2 9" xfId="19863"/>
    <cellStyle name="Normal 2 3 2 2 3 2 2 6 2 9 2" xfId="19864"/>
    <cellStyle name="Normal 2 3 2 2 3 2 2 6 3" xfId="19865"/>
    <cellStyle name="Normal 2 3 2 2 3 2 2 6 3 2" xfId="19866"/>
    <cellStyle name="Normal 2 3 2 2 3 2 2 6 4" xfId="19867"/>
    <cellStyle name="Normal 2 3 2 2 3 2 2 6 4 2" xfId="19868"/>
    <cellStyle name="Normal 2 3 2 2 3 2 2 6 5" xfId="19869"/>
    <cellStyle name="Normal 2 3 2 2 3 2 2 6 5 2" xfId="19870"/>
    <cellStyle name="Normal 2 3 2 2 3 2 2 6 6" xfId="19871"/>
    <cellStyle name="Normal 2 3 2 2 3 2 2 6 6 2" xfId="19872"/>
    <cellStyle name="Normal 2 3 2 2 3 2 2 6 7" xfId="19873"/>
    <cellStyle name="Normal 2 3 2 2 3 2 2 6 7 2" xfId="19874"/>
    <cellStyle name="Normal 2 3 2 2 3 2 2 6 8" xfId="19875"/>
    <cellStyle name="Normal 2 3 2 2 3 2 2 6 8 2" xfId="19876"/>
    <cellStyle name="Normal 2 3 2 2 3 2 2 6 9" xfId="19877"/>
    <cellStyle name="Normal 2 3 2 2 3 2 2 6 9 2" xfId="19878"/>
    <cellStyle name="Normal 2 3 2 2 3 2 2 7" xfId="19879"/>
    <cellStyle name="Normal 2 3 2 2 3 2 2 7 10" xfId="19880"/>
    <cellStyle name="Normal 2 3 2 2 3 2 2 7 10 2" xfId="19881"/>
    <cellStyle name="Normal 2 3 2 2 3 2 2 7 11" xfId="19882"/>
    <cellStyle name="Normal 2 3 2 2 3 2 2 7 2" xfId="19883"/>
    <cellStyle name="Normal 2 3 2 2 3 2 2 7 2 2" xfId="19884"/>
    <cellStyle name="Normal 2 3 2 2 3 2 2 7 3" xfId="19885"/>
    <cellStyle name="Normal 2 3 2 2 3 2 2 7 3 2" xfId="19886"/>
    <cellStyle name="Normal 2 3 2 2 3 2 2 7 4" xfId="19887"/>
    <cellStyle name="Normal 2 3 2 2 3 2 2 7 4 2" xfId="19888"/>
    <cellStyle name="Normal 2 3 2 2 3 2 2 7 5" xfId="19889"/>
    <cellStyle name="Normal 2 3 2 2 3 2 2 7 5 2" xfId="19890"/>
    <cellStyle name="Normal 2 3 2 2 3 2 2 7 6" xfId="19891"/>
    <cellStyle name="Normal 2 3 2 2 3 2 2 7 6 2" xfId="19892"/>
    <cellStyle name="Normal 2 3 2 2 3 2 2 7 7" xfId="19893"/>
    <cellStyle name="Normal 2 3 2 2 3 2 2 7 7 2" xfId="19894"/>
    <cellStyle name="Normal 2 3 2 2 3 2 2 7 8" xfId="19895"/>
    <cellStyle name="Normal 2 3 2 2 3 2 2 7 8 2" xfId="19896"/>
    <cellStyle name="Normal 2 3 2 2 3 2 2 7 9" xfId="19897"/>
    <cellStyle name="Normal 2 3 2 2 3 2 2 7 9 2" xfId="19898"/>
    <cellStyle name="Normal 2 3 2 2 3 2 2 8" xfId="19899"/>
    <cellStyle name="Normal 2 3 2 2 3 2 2 8 2" xfId="19900"/>
    <cellStyle name="Normal 2 3 2 2 3 2 2 9" xfId="19901"/>
    <cellStyle name="Normal 2 3 2 2 3 2 2 9 2" xfId="19902"/>
    <cellStyle name="Normal 2 3 2 2 3 2 3" xfId="19903"/>
    <cellStyle name="Normal 2 3 2 2 3 2 3 10" xfId="19904"/>
    <cellStyle name="Normal 2 3 2 2 3 2 3 10 2" xfId="19905"/>
    <cellStyle name="Normal 2 3 2 2 3 2 3 11" xfId="19906"/>
    <cellStyle name="Normal 2 3 2 2 3 2 3 11 2" xfId="19907"/>
    <cellStyle name="Normal 2 3 2 2 3 2 3 12" xfId="19908"/>
    <cellStyle name="Normal 2 3 2 2 3 2 3 12 2" xfId="19909"/>
    <cellStyle name="Normal 2 3 2 2 3 2 3 13" xfId="19910"/>
    <cellStyle name="Normal 2 3 2 2 3 2 3 2" xfId="19911"/>
    <cellStyle name="Normal 2 3 2 2 3 2 3 2 10" xfId="19912"/>
    <cellStyle name="Normal 2 3 2 2 3 2 3 2 10 2" xfId="19913"/>
    <cellStyle name="Normal 2 3 2 2 3 2 3 2 11" xfId="19914"/>
    <cellStyle name="Normal 2 3 2 2 3 2 3 2 11 2" xfId="19915"/>
    <cellStyle name="Normal 2 3 2 2 3 2 3 2 12" xfId="19916"/>
    <cellStyle name="Normal 2 3 2 2 3 2 3 2 2" xfId="19917"/>
    <cellStyle name="Normal 2 3 2 2 3 2 3 2 2 10" xfId="19918"/>
    <cellStyle name="Normal 2 3 2 2 3 2 3 2 2 10 2" xfId="19919"/>
    <cellStyle name="Normal 2 3 2 2 3 2 3 2 2 11" xfId="19920"/>
    <cellStyle name="Normal 2 3 2 2 3 2 3 2 2 2" xfId="19921"/>
    <cellStyle name="Normal 2 3 2 2 3 2 3 2 2 2 2" xfId="19922"/>
    <cellStyle name="Normal 2 3 2 2 3 2 3 2 2 3" xfId="19923"/>
    <cellStyle name="Normal 2 3 2 2 3 2 3 2 2 3 2" xfId="19924"/>
    <cellStyle name="Normal 2 3 2 2 3 2 3 2 2 4" xfId="19925"/>
    <cellStyle name="Normal 2 3 2 2 3 2 3 2 2 4 2" xfId="19926"/>
    <cellStyle name="Normal 2 3 2 2 3 2 3 2 2 5" xfId="19927"/>
    <cellStyle name="Normal 2 3 2 2 3 2 3 2 2 5 2" xfId="19928"/>
    <cellStyle name="Normal 2 3 2 2 3 2 3 2 2 6" xfId="19929"/>
    <cellStyle name="Normal 2 3 2 2 3 2 3 2 2 6 2" xfId="19930"/>
    <cellStyle name="Normal 2 3 2 2 3 2 3 2 2 7" xfId="19931"/>
    <cellStyle name="Normal 2 3 2 2 3 2 3 2 2 7 2" xfId="19932"/>
    <cellStyle name="Normal 2 3 2 2 3 2 3 2 2 8" xfId="19933"/>
    <cellStyle name="Normal 2 3 2 2 3 2 3 2 2 8 2" xfId="19934"/>
    <cellStyle name="Normal 2 3 2 2 3 2 3 2 2 9" xfId="19935"/>
    <cellStyle name="Normal 2 3 2 2 3 2 3 2 2 9 2" xfId="19936"/>
    <cellStyle name="Normal 2 3 2 2 3 2 3 2 3" xfId="19937"/>
    <cellStyle name="Normal 2 3 2 2 3 2 3 2 3 2" xfId="19938"/>
    <cellStyle name="Normal 2 3 2 2 3 2 3 2 4" xfId="19939"/>
    <cellStyle name="Normal 2 3 2 2 3 2 3 2 4 2" xfId="19940"/>
    <cellStyle name="Normal 2 3 2 2 3 2 3 2 5" xfId="19941"/>
    <cellStyle name="Normal 2 3 2 2 3 2 3 2 5 2" xfId="19942"/>
    <cellStyle name="Normal 2 3 2 2 3 2 3 2 6" xfId="19943"/>
    <cellStyle name="Normal 2 3 2 2 3 2 3 2 6 2" xfId="19944"/>
    <cellStyle name="Normal 2 3 2 2 3 2 3 2 7" xfId="19945"/>
    <cellStyle name="Normal 2 3 2 2 3 2 3 2 7 2" xfId="19946"/>
    <cellStyle name="Normal 2 3 2 2 3 2 3 2 8" xfId="19947"/>
    <cellStyle name="Normal 2 3 2 2 3 2 3 2 8 2" xfId="19948"/>
    <cellStyle name="Normal 2 3 2 2 3 2 3 2 9" xfId="19949"/>
    <cellStyle name="Normal 2 3 2 2 3 2 3 2 9 2" xfId="19950"/>
    <cellStyle name="Normal 2 3 2 2 3 2 3 3" xfId="19951"/>
    <cellStyle name="Normal 2 3 2 2 3 2 3 3 10" xfId="19952"/>
    <cellStyle name="Normal 2 3 2 2 3 2 3 3 10 2" xfId="19953"/>
    <cellStyle name="Normal 2 3 2 2 3 2 3 3 11" xfId="19954"/>
    <cellStyle name="Normal 2 3 2 2 3 2 3 3 2" xfId="19955"/>
    <cellStyle name="Normal 2 3 2 2 3 2 3 3 2 2" xfId="19956"/>
    <cellStyle name="Normal 2 3 2 2 3 2 3 3 3" xfId="19957"/>
    <cellStyle name="Normal 2 3 2 2 3 2 3 3 3 2" xfId="19958"/>
    <cellStyle name="Normal 2 3 2 2 3 2 3 3 4" xfId="19959"/>
    <cellStyle name="Normal 2 3 2 2 3 2 3 3 4 2" xfId="19960"/>
    <cellStyle name="Normal 2 3 2 2 3 2 3 3 5" xfId="19961"/>
    <cellStyle name="Normal 2 3 2 2 3 2 3 3 5 2" xfId="19962"/>
    <cellStyle name="Normal 2 3 2 2 3 2 3 3 6" xfId="19963"/>
    <cellStyle name="Normal 2 3 2 2 3 2 3 3 6 2" xfId="19964"/>
    <cellStyle name="Normal 2 3 2 2 3 2 3 3 7" xfId="19965"/>
    <cellStyle name="Normal 2 3 2 2 3 2 3 3 7 2" xfId="19966"/>
    <cellStyle name="Normal 2 3 2 2 3 2 3 3 8" xfId="19967"/>
    <cellStyle name="Normal 2 3 2 2 3 2 3 3 8 2" xfId="19968"/>
    <cellStyle name="Normal 2 3 2 2 3 2 3 3 9" xfId="19969"/>
    <cellStyle name="Normal 2 3 2 2 3 2 3 3 9 2" xfId="19970"/>
    <cellStyle name="Normal 2 3 2 2 3 2 3 4" xfId="19971"/>
    <cellStyle name="Normal 2 3 2 2 3 2 3 4 2" xfId="19972"/>
    <cellStyle name="Normal 2 3 2 2 3 2 3 5" xfId="19973"/>
    <cellStyle name="Normal 2 3 2 2 3 2 3 5 2" xfId="19974"/>
    <cellStyle name="Normal 2 3 2 2 3 2 3 6" xfId="19975"/>
    <cellStyle name="Normal 2 3 2 2 3 2 3 6 2" xfId="19976"/>
    <cellStyle name="Normal 2 3 2 2 3 2 3 7" xfId="19977"/>
    <cellStyle name="Normal 2 3 2 2 3 2 3 7 2" xfId="19978"/>
    <cellStyle name="Normal 2 3 2 2 3 2 3 8" xfId="19979"/>
    <cellStyle name="Normal 2 3 2 2 3 2 3 8 2" xfId="19980"/>
    <cellStyle name="Normal 2 3 2 2 3 2 3 9" xfId="19981"/>
    <cellStyle name="Normal 2 3 2 2 3 2 3 9 2" xfId="19982"/>
    <cellStyle name="Normal 2 3 2 2 3 2 4" xfId="19983"/>
    <cellStyle name="Normal 2 3 2 2 3 2 4 10" xfId="19984"/>
    <cellStyle name="Normal 2 3 2 2 3 2 4 10 2" xfId="19985"/>
    <cellStyle name="Normal 2 3 2 2 3 2 4 11" xfId="19986"/>
    <cellStyle name="Normal 2 3 2 2 3 2 4 11 2" xfId="19987"/>
    <cellStyle name="Normal 2 3 2 2 3 2 4 12" xfId="19988"/>
    <cellStyle name="Normal 2 3 2 2 3 2 4 12 2" xfId="19989"/>
    <cellStyle name="Normal 2 3 2 2 3 2 4 13" xfId="19990"/>
    <cellStyle name="Normal 2 3 2 2 3 2 4 2" xfId="19991"/>
    <cellStyle name="Normal 2 3 2 2 3 2 4 2 10" xfId="19992"/>
    <cellStyle name="Normal 2 3 2 2 3 2 4 2 10 2" xfId="19993"/>
    <cellStyle name="Normal 2 3 2 2 3 2 4 2 11" xfId="19994"/>
    <cellStyle name="Normal 2 3 2 2 3 2 4 2 11 2" xfId="19995"/>
    <cellStyle name="Normal 2 3 2 2 3 2 4 2 12" xfId="19996"/>
    <cellStyle name="Normal 2 3 2 2 3 2 4 2 2" xfId="19997"/>
    <cellStyle name="Normal 2 3 2 2 3 2 4 2 2 10" xfId="19998"/>
    <cellStyle name="Normal 2 3 2 2 3 2 4 2 2 10 2" xfId="19999"/>
    <cellStyle name="Normal 2 3 2 2 3 2 4 2 2 11" xfId="20000"/>
    <cellStyle name="Normal 2 3 2 2 3 2 4 2 2 2" xfId="20001"/>
    <cellStyle name="Normal 2 3 2 2 3 2 4 2 2 2 2" xfId="20002"/>
    <cellStyle name="Normal 2 3 2 2 3 2 4 2 2 3" xfId="20003"/>
    <cellStyle name="Normal 2 3 2 2 3 2 4 2 2 3 2" xfId="20004"/>
    <cellStyle name="Normal 2 3 2 2 3 2 4 2 2 4" xfId="20005"/>
    <cellStyle name="Normal 2 3 2 2 3 2 4 2 2 4 2" xfId="20006"/>
    <cellStyle name="Normal 2 3 2 2 3 2 4 2 2 5" xfId="20007"/>
    <cellStyle name="Normal 2 3 2 2 3 2 4 2 2 5 2" xfId="20008"/>
    <cellStyle name="Normal 2 3 2 2 3 2 4 2 2 6" xfId="20009"/>
    <cellStyle name="Normal 2 3 2 2 3 2 4 2 2 6 2" xfId="20010"/>
    <cellStyle name="Normal 2 3 2 2 3 2 4 2 2 7" xfId="20011"/>
    <cellStyle name="Normal 2 3 2 2 3 2 4 2 2 7 2" xfId="20012"/>
    <cellStyle name="Normal 2 3 2 2 3 2 4 2 2 8" xfId="20013"/>
    <cellStyle name="Normal 2 3 2 2 3 2 4 2 2 8 2" xfId="20014"/>
    <cellStyle name="Normal 2 3 2 2 3 2 4 2 2 9" xfId="20015"/>
    <cellStyle name="Normal 2 3 2 2 3 2 4 2 2 9 2" xfId="20016"/>
    <cellStyle name="Normal 2 3 2 2 3 2 4 2 3" xfId="20017"/>
    <cellStyle name="Normal 2 3 2 2 3 2 4 2 3 2" xfId="20018"/>
    <cellStyle name="Normal 2 3 2 2 3 2 4 2 4" xfId="20019"/>
    <cellStyle name="Normal 2 3 2 2 3 2 4 2 4 2" xfId="20020"/>
    <cellStyle name="Normal 2 3 2 2 3 2 4 2 5" xfId="20021"/>
    <cellStyle name="Normal 2 3 2 2 3 2 4 2 5 2" xfId="20022"/>
    <cellStyle name="Normal 2 3 2 2 3 2 4 2 6" xfId="20023"/>
    <cellStyle name="Normal 2 3 2 2 3 2 4 2 6 2" xfId="20024"/>
    <cellStyle name="Normal 2 3 2 2 3 2 4 2 7" xfId="20025"/>
    <cellStyle name="Normal 2 3 2 2 3 2 4 2 7 2" xfId="20026"/>
    <cellStyle name="Normal 2 3 2 2 3 2 4 2 8" xfId="20027"/>
    <cellStyle name="Normal 2 3 2 2 3 2 4 2 8 2" xfId="20028"/>
    <cellStyle name="Normal 2 3 2 2 3 2 4 2 9" xfId="20029"/>
    <cellStyle name="Normal 2 3 2 2 3 2 4 2 9 2" xfId="20030"/>
    <cellStyle name="Normal 2 3 2 2 3 2 4 3" xfId="20031"/>
    <cellStyle name="Normal 2 3 2 2 3 2 4 3 10" xfId="20032"/>
    <cellStyle name="Normal 2 3 2 2 3 2 4 3 10 2" xfId="20033"/>
    <cellStyle name="Normal 2 3 2 2 3 2 4 3 11" xfId="20034"/>
    <cellStyle name="Normal 2 3 2 2 3 2 4 3 2" xfId="20035"/>
    <cellStyle name="Normal 2 3 2 2 3 2 4 3 2 2" xfId="20036"/>
    <cellStyle name="Normal 2 3 2 2 3 2 4 3 3" xfId="20037"/>
    <cellStyle name="Normal 2 3 2 2 3 2 4 3 3 2" xfId="20038"/>
    <cellStyle name="Normal 2 3 2 2 3 2 4 3 4" xfId="20039"/>
    <cellStyle name="Normal 2 3 2 2 3 2 4 3 4 2" xfId="20040"/>
    <cellStyle name="Normal 2 3 2 2 3 2 4 3 5" xfId="20041"/>
    <cellStyle name="Normal 2 3 2 2 3 2 4 3 5 2" xfId="20042"/>
    <cellStyle name="Normal 2 3 2 2 3 2 4 3 6" xfId="20043"/>
    <cellStyle name="Normal 2 3 2 2 3 2 4 3 6 2" xfId="20044"/>
    <cellStyle name="Normal 2 3 2 2 3 2 4 3 7" xfId="20045"/>
    <cellStyle name="Normal 2 3 2 2 3 2 4 3 7 2" xfId="20046"/>
    <cellStyle name="Normal 2 3 2 2 3 2 4 3 8" xfId="20047"/>
    <cellStyle name="Normal 2 3 2 2 3 2 4 3 8 2" xfId="20048"/>
    <cellStyle name="Normal 2 3 2 2 3 2 4 3 9" xfId="20049"/>
    <cellStyle name="Normal 2 3 2 2 3 2 4 3 9 2" xfId="20050"/>
    <cellStyle name="Normal 2 3 2 2 3 2 4 4" xfId="20051"/>
    <cellStyle name="Normal 2 3 2 2 3 2 4 4 2" xfId="20052"/>
    <cellStyle name="Normal 2 3 2 2 3 2 4 5" xfId="20053"/>
    <cellStyle name="Normal 2 3 2 2 3 2 4 5 2" xfId="20054"/>
    <cellStyle name="Normal 2 3 2 2 3 2 4 6" xfId="20055"/>
    <cellStyle name="Normal 2 3 2 2 3 2 4 6 2" xfId="20056"/>
    <cellStyle name="Normal 2 3 2 2 3 2 4 7" xfId="20057"/>
    <cellStyle name="Normal 2 3 2 2 3 2 4 7 2" xfId="20058"/>
    <cellStyle name="Normal 2 3 2 2 3 2 4 8" xfId="20059"/>
    <cellStyle name="Normal 2 3 2 2 3 2 4 8 2" xfId="20060"/>
    <cellStyle name="Normal 2 3 2 2 3 2 4 9" xfId="20061"/>
    <cellStyle name="Normal 2 3 2 2 3 2 4 9 2" xfId="20062"/>
    <cellStyle name="Normal 2 3 2 2 3 2 5" xfId="20063"/>
    <cellStyle name="Normal 2 3 2 2 3 2 5 10" xfId="20064"/>
    <cellStyle name="Normal 2 3 2 2 3 2 5 10 2" xfId="20065"/>
    <cellStyle name="Normal 2 3 2 2 3 2 5 11" xfId="20066"/>
    <cellStyle name="Normal 2 3 2 2 3 2 5 11 2" xfId="20067"/>
    <cellStyle name="Normal 2 3 2 2 3 2 5 12" xfId="20068"/>
    <cellStyle name="Normal 2 3 2 2 3 2 5 12 2" xfId="20069"/>
    <cellStyle name="Normal 2 3 2 2 3 2 5 13" xfId="20070"/>
    <cellStyle name="Normal 2 3 2 2 3 2 5 2" xfId="20071"/>
    <cellStyle name="Normal 2 3 2 2 3 2 5 2 10" xfId="20072"/>
    <cellStyle name="Normal 2 3 2 2 3 2 5 2 10 2" xfId="20073"/>
    <cellStyle name="Normal 2 3 2 2 3 2 5 2 11" xfId="20074"/>
    <cellStyle name="Normal 2 3 2 2 3 2 5 2 11 2" xfId="20075"/>
    <cellStyle name="Normal 2 3 2 2 3 2 5 2 12" xfId="20076"/>
    <cellStyle name="Normal 2 3 2 2 3 2 5 2 2" xfId="20077"/>
    <cellStyle name="Normal 2 3 2 2 3 2 5 2 2 10" xfId="20078"/>
    <cellStyle name="Normal 2 3 2 2 3 2 5 2 2 10 2" xfId="20079"/>
    <cellStyle name="Normal 2 3 2 2 3 2 5 2 2 11" xfId="20080"/>
    <cellStyle name="Normal 2 3 2 2 3 2 5 2 2 2" xfId="20081"/>
    <cellStyle name="Normal 2 3 2 2 3 2 5 2 2 2 2" xfId="20082"/>
    <cellStyle name="Normal 2 3 2 2 3 2 5 2 2 3" xfId="20083"/>
    <cellStyle name="Normal 2 3 2 2 3 2 5 2 2 3 2" xfId="20084"/>
    <cellStyle name="Normal 2 3 2 2 3 2 5 2 2 4" xfId="20085"/>
    <cellStyle name="Normal 2 3 2 2 3 2 5 2 2 4 2" xfId="20086"/>
    <cellStyle name="Normal 2 3 2 2 3 2 5 2 2 5" xfId="20087"/>
    <cellStyle name="Normal 2 3 2 2 3 2 5 2 2 5 2" xfId="20088"/>
    <cellStyle name="Normal 2 3 2 2 3 2 5 2 2 6" xfId="20089"/>
    <cellStyle name="Normal 2 3 2 2 3 2 5 2 2 6 2" xfId="20090"/>
    <cellStyle name="Normal 2 3 2 2 3 2 5 2 2 7" xfId="20091"/>
    <cellStyle name="Normal 2 3 2 2 3 2 5 2 2 7 2" xfId="20092"/>
    <cellStyle name="Normal 2 3 2 2 3 2 5 2 2 8" xfId="20093"/>
    <cellStyle name="Normal 2 3 2 2 3 2 5 2 2 8 2" xfId="20094"/>
    <cellStyle name="Normal 2 3 2 2 3 2 5 2 2 9" xfId="20095"/>
    <cellStyle name="Normal 2 3 2 2 3 2 5 2 2 9 2" xfId="20096"/>
    <cellStyle name="Normal 2 3 2 2 3 2 5 2 3" xfId="20097"/>
    <cellStyle name="Normal 2 3 2 2 3 2 5 2 3 2" xfId="20098"/>
    <cellStyle name="Normal 2 3 2 2 3 2 5 2 4" xfId="20099"/>
    <cellStyle name="Normal 2 3 2 2 3 2 5 2 4 2" xfId="20100"/>
    <cellStyle name="Normal 2 3 2 2 3 2 5 2 5" xfId="20101"/>
    <cellStyle name="Normal 2 3 2 2 3 2 5 2 5 2" xfId="20102"/>
    <cellStyle name="Normal 2 3 2 2 3 2 5 2 6" xfId="20103"/>
    <cellStyle name="Normal 2 3 2 2 3 2 5 2 6 2" xfId="20104"/>
    <cellStyle name="Normal 2 3 2 2 3 2 5 2 7" xfId="20105"/>
    <cellStyle name="Normal 2 3 2 2 3 2 5 2 7 2" xfId="20106"/>
    <cellStyle name="Normal 2 3 2 2 3 2 5 2 8" xfId="20107"/>
    <cellStyle name="Normal 2 3 2 2 3 2 5 2 8 2" xfId="20108"/>
    <cellStyle name="Normal 2 3 2 2 3 2 5 2 9" xfId="20109"/>
    <cellStyle name="Normal 2 3 2 2 3 2 5 2 9 2" xfId="20110"/>
    <cellStyle name="Normal 2 3 2 2 3 2 5 3" xfId="20111"/>
    <cellStyle name="Normal 2 3 2 2 3 2 5 3 10" xfId="20112"/>
    <cellStyle name="Normal 2 3 2 2 3 2 5 3 10 2" xfId="20113"/>
    <cellStyle name="Normal 2 3 2 2 3 2 5 3 11" xfId="20114"/>
    <cellStyle name="Normal 2 3 2 2 3 2 5 3 2" xfId="20115"/>
    <cellStyle name="Normal 2 3 2 2 3 2 5 3 2 2" xfId="20116"/>
    <cellStyle name="Normal 2 3 2 2 3 2 5 3 3" xfId="20117"/>
    <cellStyle name="Normal 2 3 2 2 3 2 5 3 3 2" xfId="20118"/>
    <cellStyle name="Normal 2 3 2 2 3 2 5 3 4" xfId="20119"/>
    <cellStyle name="Normal 2 3 2 2 3 2 5 3 4 2" xfId="20120"/>
    <cellStyle name="Normal 2 3 2 2 3 2 5 3 5" xfId="20121"/>
    <cellStyle name="Normal 2 3 2 2 3 2 5 3 5 2" xfId="20122"/>
    <cellStyle name="Normal 2 3 2 2 3 2 5 3 6" xfId="20123"/>
    <cellStyle name="Normal 2 3 2 2 3 2 5 3 6 2" xfId="20124"/>
    <cellStyle name="Normal 2 3 2 2 3 2 5 3 7" xfId="20125"/>
    <cellStyle name="Normal 2 3 2 2 3 2 5 3 7 2" xfId="20126"/>
    <cellStyle name="Normal 2 3 2 2 3 2 5 3 8" xfId="20127"/>
    <cellStyle name="Normal 2 3 2 2 3 2 5 3 8 2" xfId="20128"/>
    <cellStyle name="Normal 2 3 2 2 3 2 5 3 9" xfId="20129"/>
    <cellStyle name="Normal 2 3 2 2 3 2 5 3 9 2" xfId="20130"/>
    <cellStyle name="Normal 2 3 2 2 3 2 5 4" xfId="20131"/>
    <cellStyle name="Normal 2 3 2 2 3 2 5 4 2" xfId="20132"/>
    <cellStyle name="Normal 2 3 2 2 3 2 5 5" xfId="20133"/>
    <cellStyle name="Normal 2 3 2 2 3 2 5 5 2" xfId="20134"/>
    <cellStyle name="Normal 2 3 2 2 3 2 5 6" xfId="20135"/>
    <cellStyle name="Normal 2 3 2 2 3 2 5 6 2" xfId="20136"/>
    <cellStyle name="Normal 2 3 2 2 3 2 5 7" xfId="20137"/>
    <cellStyle name="Normal 2 3 2 2 3 2 5 7 2" xfId="20138"/>
    <cellStyle name="Normal 2 3 2 2 3 2 5 8" xfId="20139"/>
    <cellStyle name="Normal 2 3 2 2 3 2 5 8 2" xfId="20140"/>
    <cellStyle name="Normal 2 3 2 2 3 2 5 9" xfId="20141"/>
    <cellStyle name="Normal 2 3 2 2 3 2 5 9 2" xfId="20142"/>
    <cellStyle name="Normal 2 3 2 2 3 2 6" xfId="41965"/>
    <cellStyle name="Normal 2 3 2 2 3 3" xfId="20143"/>
    <cellStyle name="Normal 2 3 2 2 3 3 2" xfId="41966"/>
    <cellStyle name="Normal 2 3 2 2 3 4" xfId="20144"/>
    <cellStyle name="Normal 2 3 2 2 3 4 2" xfId="41967"/>
    <cellStyle name="Normal 2 3 2 2 3 5" xfId="20145"/>
    <cellStyle name="Normal 2 3 2 2 3 5 2" xfId="41968"/>
    <cellStyle name="Normal 2 3 2 2 3 6" xfId="20146"/>
    <cellStyle name="Normal 2 3 2 2 3 6 2" xfId="41969"/>
    <cellStyle name="Normal 2 3 2 2 3 7" xfId="20147"/>
    <cellStyle name="Normal 2 3 2 2 3 7 10" xfId="20148"/>
    <cellStyle name="Normal 2 3 2 2 3 7 10 2" xfId="20149"/>
    <cellStyle name="Normal 2 3 2 2 3 7 11" xfId="20150"/>
    <cellStyle name="Normal 2 3 2 2 3 7 11 2" xfId="20151"/>
    <cellStyle name="Normal 2 3 2 2 3 7 12" xfId="20152"/>
    <cellStyle name="Normal 2 3 2 2 3 7 2" xfId="20153"/>
    <cellStyle name="Normal 2 3 2 2 3 7 2 10" xfId="20154"/>
    <cellStyle name="Normal 2 3 2 2 3 7 2 10 2" xfId="20155"/>
    <cellStyle name="Normal 2 3 2 2 3 7 2 11" xfId="20156"/>
    <cellStyle name="Normal 2 3 2 2 3 7 2 2" xfId="20157"/>
    <cellStyle name="Normal 2 3 2 2 3 7 2 2 2" xfId="20158"/>
    <cellStyle name="Normal 2 3 2 2 3 7 2 3" xfId="20159"/>
    <cellStyle name="Normal 2 3 2 2 3 7 2 3 2" xfId="20160"/>
    <cellStyle name="Normal 2 3 2 2 3 7 2 4" xfId="20161"/>
    <cellStyle name="Normal 2 3 2 2 3 7 2 4 2" xfId="20162"/>
    <cellStyle name="Normal 2 3 2 2 3 7 2 5" xfId="20163"/>
    <cellStyle name="Normal 2 3 2 2 3 7 2 5 2" xfId="20164"/>
    <cellStyle name="Normal 2 3 2 2 3 7 2 6" xfId="20165"/>
    <cellStyle name="Normal 2 3 2 2 3 7 2 6 2" xfId="20166"/>
    <cellStyle name="Normal 2 3 2 2 3 7 2 7" xfId="20167"/>
    <cellStyle name="Normal 2 3 2 2 3 7 2 7 2" xfId="20168"/>
    <cellStyle name="Normal 2 3 2 2 3 7 2 8" xfId="20169"/>
    <cellStyle name="Normal 2 3 2 2 3 7 2 8 2" xfId="20170"/>
    <cellStyle name="Normal 2 3 2 2 3 7 2 9" xfId="20171"/>
    <cellStyle name="Normal 2 3 2 2 3 7 2 9 2" xfId="20172"/>
    <cellStyle name="Normal 2 3 2 2 3 7 3" xfId="20173"/>
    <cellStyle name="Normal 2 3 2 2 3 7 3 2" xfId="20174"/>
    <cellStyle name="Normal 2 3 2 2 3 7 4" xfId="20175"/>
    <cellStyle name="Normal 2 3 2 2 3 7 4 2" xfId="20176"/>
    <cellStyle name="Normal 2 3 2 2 3 7 5" xfId="20177"/>
    <cellStyle name="Normal 2 3 2 2 3 7 5 2" xfId="20178"/>
    <cellStyle name="Normal 2 3 2 2 3 7 6" xfId="20179"/>
    <cellStyle name="Normal 2 3 2 2 3 7 6 2" xfId="20180"/>
    <cellStyle name="Normal 2 3 2 2 3 7 7" xfId="20181"/>
    <cellStyle name="Normal 2 3 2 2 3 7 7 2" xfId="20182"/>
    <cellStyle name="Normal 2 3 2 2 3 7 8" xfId="20183"/>
    <cellStyle name="Normal 2 3 2 2 3 7 8 2" xfId="20184"/>
    <cellStyle name="Normal 2 3 2 2 3 7 9" xfId="20185"/>
    <cellStyle name="Normal 2 3 2 2 3 7 9 2" xfId="20186"/>
    <cellStyle name="Normal 2 3 2 2 3 8" xfId="20187"/>
    <cellStyle name="Normal 2 3 2 2 3 8 10" xfId="20188"/>
    <cellStyle name="Normal 2 3 2 2 3 8 10 2" xfId="20189"/>
    <cellStyle name="Normal 2 3 2 2 3 8 11" xfId="20190"/>
    <cellStyle name="Normal 2 3 2 2 3 8 2" xfId="20191"/>
    <cellStyle name="Normal 2 3 2 2 3 8 2 2" xfId="20192"/>
    <cellStyle name="Normal 2 3 2 2 3 8 3" xfId="20193"/>
    <cellStyle name="Normal 2 3 2 2 3 8 3 2" xfId="20194"/>
    <cellStyle name="Normal 2 3 2 2 3 8 4" xfId="20195"/>
    <cellStyle name="Normal 2 3 2 2 3 8 4 2" xfId="20196"/>
    <cellStyle name="Normal 2 3 2 2 3 8 5" xfId="20197"/>
    <cellStyle name="Normal 2 3 2 2 3 8 5 2" xfId="20198"/>
    <cellStyle name="Normal 2 3 2 2 3 8 6" xfId="20199"/>
    <cellStyle name="Normal 2 3 2 2 3 8 6 2" xfId="20200"/>
    <cellStyle name="Normal 2 3 2 2 3 8 7" xfId="20201"/>
    <cellStyle name="Normal 2 3 2 2 3 8 7 2" xfId="20202"/>
    <cellStyle name="Normal 2 3 2 2 3 8 8" xfId="20203"/>
    <cellStyle name="Normal 2 3 2 2 3 8 8 2" xfId="20204"/>
    <cellStyle name="Normal 2 3 2 2 3 8 9" xfId="20205"/>
    <cellStyle name="Normal 2 3 2 2 3 8 9 2" xfId="20206"/>
    <cellStyle name="Normal 2 3 2 2 3 9" xfId="20207"/>
    <cellStyle name="Normal 2 3 2 2 3 9 2" xfId="20208"/>
    <cellStyle name="Normal 2 3 2 2 4" xfId="20209"/>
    <cellStyle name="Normal 2 3 2 2 4 2" xfId="41970"/>
    <cellStyle name="Normal 2 3 2 2 5" xfId="20210"/>
    <cellStyle name="Normal 2 3 2 2 5 2" xfId="41971"/>
    <cellStyle name="Normal 2 3 2 2 6" xfId="20211"/>
    <cellStyle name="Normal 2 3 2 2 6 10" xfId="20212"/>
    <cellStyle name="Normal 2 3 2 2 6 10 2" xfId="20213"/>
    <cellStyle name="Normal 2 3 2 2 6 11" xfId="20214"/>
    <cellStyle name="Normal 2 3 2 2 6 11 2" xfId="20215"/>
    <cellStyle name="Normal 2 3 2 2 6 12" xfId="20216"/>
    <cellStyle name="Normal 2 3 2 2 6 12 2" xfId="20217"/>
    <cellStyle name="Normal 2 3 2 2 6 13" xfId="20218"/>
    <cellStyle name="Normal 2 3 2 2 6 13 2" xfId="20219"/>
    <cellStyle name="Normal 2 3 2 2 6 14" xfId="20220"/>
    <cellStyle name="Normal 2 3 2 2 6 14 2" xfId="20221"/>
    <cellStyle name="Normal 2 3 2 2 6 15" xfId="20222"/>
    <cellStyle name="Normal 2 3 2 2 6 15 2" xfId="20223"/>
    <cellStyle name="Normal 2 3 2 2 6 16" xfId="20224"/>
    <cellStyle name="Normal 2 3 2 2 6 16 2" xfId="20225"/>
    <cellStyle name="Normal 2 3 2 2 6 17" xfId="20226"/>
    <cellStyle name="Normal 2 3 2 2 6 2" xfId="20227"/>
    <cellStyle name="Normal 2 3 2 2 6 2 2" xfId="41972"/>
    <cellStyle name="Normal 2 3 2 2 6 3" xfId="20228"/>
    <cellStyle name="Normal 2 3 2 2 6 3 2" xfId="41973"/>
    <cellStyle name="Normal 2 3 2 2 6 4" xfId="20229"/>
    <cellStyle name="Normal 2 3 2 2 6 4 2" xfId="41974"/>
    <cellStyle name="Normal 2 3 2 2 6 5" xfId="20230"/>
    <cellStyle name="Normal 2 3 2 2 6 5 2" xfId="41975"/>
    <cellStyle name="Normal 2 3 2 2 6 6" xfId="20231"/>
    <cellStyle name="Normal 2 3 2 2 6 6 10" xfId="20232"/>
    <cellStyle name="Normal 2 3 2 2 6 6 10 2" xfId="20233"/>
    <cellStyle name="Normal 2 3 2 2 6 6 11" xfId="20234"/>
    <cellStyle name="Normal 2 3 2 2 6 6 11 2" xfId="20235"/>
    <cellStyle name="Normal 2 3 2 2 6 6 12" xfId="20236"/>
    <cellStyle name="Normal 2 3 2 2 6 6 2" xfId="20237"/>
    <cellStyle name="Normal 2 3 2 2 6 6 2 10" xfId="20238"/>
    <cellStyle name="Normal 2 3 2 2 6 6 2 10 2" xfId="20239"/>
    <cellStyle name="Normal 2 3 2 2 6 6 2 11" xfId="20240"/>
    <cellStyle name="Normal 2 3 2 2 6 6 2 2" xfId="20241"/>
    <cellStyle name="Normal 2 3 2 2 6 6 2 2 2" xfId="20242"/>
    <cellStyle name="Normal 2 3 2 2 6 6 2 3" xfId="20243"/>
    <cellStyle name="Normal 2 3 2 2 6 6 2 3 2" xfId="20244"/>
    <cellStyle name="Normal 2 3 2 2 6 6 2 4" xfId="20245"/>
    <cellStyle name="Normal 2 3 2 2 6 6 2 4 2" xfId="20246"/>
    <cellStyle name="Normal 2 3 2 2 6 6 2 5" xfId="20247"/>
    <cellStyle name="Normal 2 3 2 2 6 6 2 5 2" xfId="20248"/>
    <cellStyle name="Normal 2 3 2 2 6 6 2 6" xfId="20249"/>
    <cellStyle name="Normal 2 3 2 2 6 6 2 6 2" xfId="20250"/>
    <cellStyle name="Normal 2 3 2 2 6 6 2 7" xfId="20251"/>
    <cellStyle name="Normal 2 3 2 2 6 6 2 7 2" xfId="20252"/>
    <cellStyle name="Normal 2 3 2 2 6 6 2 8" xfId="20253"/>
    <cellStyle name="Normal 2 3 2 2 6 6 2 8 2" xfId="20254"/>
    <cellStyle name="Normal 2 3 2 2 6 6 2 9" xfId="20255"/>
    <cellStyle name="Normal 2 3 2 2 6 6 2 9 2" xfId="20256"/>
    <cellStyle name="Normal 2 3 2 2 6 6 3" xfId="20257"/>
    <cellStyle name="Normal 2 3 2 2 6 6 3 2" xfId="20258"/>
    <cellStyle name="Normal 2 3 2 2 6 6 4" xfId="20259"/>
    <cellStyle name="Normal 2 3 2 2 6 6 4 2" xfId="20260"/>
    <cellStyle name="Normal 2 3 2 2 6 6 5" xfId="20261"/>
    <cellStyle name="Normal 2 3 2 2 6 6 5 2" xfId="20262"/>
    <cellStyle name="Normal 2 3 2 2 6 6 6" xfId="20263"/>
    <cellStyle name="Normal 2 3 2 2 6 6 6 2" xfId="20264"/>
    <cellStyle name="Normal 2 3 2 2 6 6 7" xfId="20265"/>
    <cellStyle name="Normal 2 3 2 2 6 6 7 2" xfId="20266"/>
    <cellStyle name="Normal 2 3 2 2 6 6 8" xfId="20267"/>
    <cellStyle name="Normal 2 3 2 2 6 6 8 2" xfId="20268"/>
    <cellStyle name="Normal 2 3 2 2 6 6 9" xfId="20269"/>
    <cellStyle name="Normal 2 3 2 2 6 6 9 2" xfId="20270"/>
    <cellStyle name="Normal 2 3 2 2 6 7" xfId="20271"/>
    <cellStyle name="Normal 2 3 2 2 6 7 10" xfId="20272"/>
    <cellStyle name="Normal 2 3 2 2 6 7 10 2" xfId="20273"/>
    <cellStyle name="Normal 2 3 2 2 6 7 11" xfId="20274"/>
    <cellStyle name="Normal 2 3 2 2 6 7 2" xfId="20275"/>
    <cellStyle name="Normal 2 3 2 2 6 7 2 2" xfId="20276"/>
    <cellStyle name="Normal 2 3 2 2 6 7 3" xfId="20277"/>
    <cellStyle name="Normal 2 3 2 2 6 7 3 2" xfId="20278"/>
    <cellStyle name="Normal 2 3 2 2 6 7 4" xfId="20279"/>
    <cellStyle name="Normal 2 3 2 2 6 7 4 2" xfId="20280"/>
    <cellStyle name="Normal 2 3 2 2 6 7 5" xfId="20281"/>
    <cellStyle name="Normal 2 3 2 2 6 7 5 2" xfId="20282"/>
    <cellStyle name="Normal 2 3 2 2 6 7 6" xfId="20283"/>
    <cellStyle name="Normal 2 3 2 2 6 7 6 2" xfId="20284"/>
    <cellStyle name="Normal 2 3 2 2 6 7 7" xfId="20285"/>
    <cellStyle name="Normal 2 3 2 2 6 7 7 2" xfId="20286"/>
    <cellStyle name="Normal 2 3 2 2 6 7 8" xfId="20287"/>
    <cellStyle name="Normal 2 3 2 2 6 7 8 2" xfId="20288"/>
    <cellStyle name="Normal 2 3 2 2 6 7 9" xfId="20289"/>
    <cellStyle name="Normal 2 3 2 2 6 7 9 2" xfId="20290"/>
    <cellStyle name="Normal 2 3 2 2 6 8" xfId="20291"/>
    <cellStyle name="Normal 2 3 2 2 6 8 2" xfId="20292"/>
    <cellStyle name="Normal 2 3 2 2 6 9" xfId="20293"/>
    <cellStyle name="Normal 2 3 2 2 6 9 2" xfId="20294"/>
    <cellStyle name="Normal 2 3 2 2 7" xfId="20295"/>
    <cellStyle name="Normal 2 3 2 2 7 10" xfId="20296"/>
    <cellStyle name="Normal 2 3 2 2 7 10 2" xfId="20297"/>
    <cellStyle name="Normal 2 3 2 2 7 11" xfId="20298"/>
    <cellStyle name="Normal 2 3 2 2 7 11 2" xfId="20299"/>
    <cellStyle name="Normal 2 3 2 2 7 12" xfId="20300"/>
    <cellStyle name="Normal 2 3 2 2 7 12 2" xfId="20301"/>
    <cellStyle name="Normal 2 3 2 2 7 13" xfId="20302"/>
    <cellStyle name="Normal 2 3 2 2 7 2" xfId="20303"/>
    <cellStyle name="Normal 2 3 2 2 7 2 10" xfId="20304"/>
    <cellStyle name="Normal 2 3 2 2 7 2 10 2" xfId="20305"/>
    <cellStyle name="Normal 2 3 2 2 7 2 11" xfId="20306"/>
    <cellStyle name="Normal 2 3 2 2 7 2 11 2" xfId="20307"/>
    <cellStyle name="Normal 2 3 2 2 7 2 12" xfId="20308"/>
    <cellStyle name="Normal 2 3 2 2 7 2 2" xfId="20309"/>
    <cellStyle name="Normal 2 3 2 2 7 2 2 10" xfId="20310"/>
    <cellStyle name="Normal 2 3 2 2 7 2 2 10 2" xfId="20311"/>
    <cellStyle name="Normal 2 3 2 2 7 2 2 11" xfId="20312"/>
    <cellStyle name="Normal 2 3 2 2 7 2 2 2" xfId="20313"/>
    <cellStyle name="Normal 2 3 2 2 7 2 2 2 2" xfId="20314"/>
    <cellStyle name="Normal 2 3 2 2 7 2 2 3" xfId="20315"/>
    <cellStyle name="Normal 2 3 2 2 7 2 2 3 2" xfId="20316"/>
    <cellStyle name="Normal 2 3 2 2 7 2 2 4" xfId="20317"/>
    <cellStyle name="Normal 2 3 2 2 7 2 2 4 2" xfId="20318"/>
    <cellStyle name="Normal 2 3 2 2 7 2 2 5" xfId="20319"/>
    <cellStyle name="Normal 2 3 2 2 7 2 2 5 2" xfId="20320"/>
    <cellStyle name="Normal 2 3 2 2 7 2 2 6" xfId="20321"/>
    <cellStyle name="Normal 2 3 2 2 7 2 2 6 2" xfId="20322"/>
    <cellStyle name="Normal 2 3 2 2 7 2 2 7" xfId="20323"/>
    <cellStyle name="Normal 2 3 2 2 7 2 2 7 2" xfId="20324"/>
    <cellStyle name="Normal 2 3 2 2 7 2 2 8" xfId="20325"/>
    <cellStyle name="Normal 2 3 2 2 7 2 2 8 2" xfId="20326"/>
    <cellStyle name="Normal 2 3 2 2 7 2 2 9" xfId="20327"/>
    <cellStyle name="Normal 2 3 2 2 7 2 2 9 2" xfId="20328"/>
    <cellStyle name="Normal 2 3 2 2 7 2 3" xfId="20329"/>
    <cellStyle name="Normal 2 3 2 2 7 2 3 2" xfId="20330"/>
    <cellStyle name="Normal 2 3 2 2 7 2 4" xfId="20331"/>
    <cellStyle name="Normal 2 3 2 2 7 2 4 2" xfId="20332"/>
    <cellStyle name="Normal 2 3 2 2 7 2 5" xfId="20333"/>
    <cellStyle name="Normal 2 3 2 2 7 2 5 2" xfId="20334"/>
    <cellStyle name="Normal 2 3 2 2 7 2 6" xfId="20335"/>
    <cellStyle name="Normal 2 3 2 2 7 2 6 2" xfId="20336"/>
    <cellStyle name="Normal 2 3 2 2 7 2 7" xfId="20337"/>
    <cellStyle name="Normal 2 3 2 2 7 2 7 2" xfId="20338"/>
    <cellStyle name="Normal 2 3 2 2 7 2 8" xfId="20339"/>
    <cellStyle name="Normal 2 3 2 2 7 2 8 2" xfId="20340"/>
    <cellStyle name="Normal 2 3 2 2 7 2 9" xfId="20341"/>
    <cellStyle name="Normal 2 3 2 2 7 2 9 2" xfId="20342"/>
    <cellStyle name="Normal 2 3 2 2 7 3" xfId="20343"/>
    <cellStyle name="Normal 2 3 2 2 7 3 10" xfId="20344"/>
    <cellStyle name="Normal 2 3 2 2 7 3 10 2" xfId="20345"/>
    <cellStyle name="Normal 2 3 2 2 7 3 11" xfId="20346"/>
    <cellStyle name="Normal 2 3 2 2 7 3 2" xfId="20347"/>
    <cellStyle name="Normal 2 3 2 2 7 3 2 2" xfId="20348"/>
    <cellStyle name="Normal 2 3 2 2 7 3 3" xfId="20349"/>
    <cellStyle name="Normal 2 3 2 2 7 3 3 2" xfId="20350"/>
    <cellStyle name="Normal 2 3 2 2 7 3 4" xfId="20351"/>
    <cellStyle name="Normal 2 3 2 2 7 3 4 2" xfId="20352"/>
    <cellStyle name="Normal 2 3 2 2 7 3 5" xfId="20353"/>
    <cellStyle name="Normal 2 3 2 2 7 3 5 2" xfId="20354"/>
    <cellStyle name="Normal 2 3 2 2 7 3 6" xfId="20355"/>
    <cellStyle name="Normal 2 3 2 2 7 3 6 2" xfId="20356"/>
    <cellStyle name="Normal 2 3 2 2 7 3 7" xfId="20357"/>
    <cellStyle name="Normal 2 3 2 2 7 3 7 2" xfId="20358"/>
    <cellStyle name="Normal 2 3 2 2 7 3 8" xfId="20359"/>
    <cellStyle name="Normal 2 3 2 2 7 3 8 2" xfId="20360"/>
    <cellStyle name="Normal 2 3 2 2 7 3 9" xfId="20361"/>
    <cellStyle name="Normal 2 3 2 2 7 3 9 2" xfId="20362"/>
    <cellStyle name="Normal 2 3 2 2 7 4" xfId="20363"/>
    <cellStyle name="Normal 2 3 2 2 7 4 2" xfId="20364"/>
    <cellStyle name="Normal 2 3 2 2 7 5" xfId="20365"/>
    <cellStyle name="Normal 2 3 2 2 7 5 2" xfId="20366"/>
    <cellStyle name="Normal 2 3 2 2 7 6" xfId="20367"/>
    <cellStyle name="Normal 2 3 2 2 7 6 2" xfId="20368"/>
    <cellStyle name="Normal 2 3 2 2 7 7" xfId="20369"/>
    <cellStyle name="Normal 2 3 2 2 7 7 2" xfId="20370"/>
    <cellStyle name="Normal 2 3 2 2 7 8" xfId="20371"/>
    <cellStyle name="Normal 2 3 2 2 7 8 2" xfId="20372"/>
    <cellStyle name="Normal 2 3 2 2 7 9" xfId="20373"/>
    <cellStyle name="Normal 2 3 2 2 7 9 2" xfId="20374"/>
    <cellStyle name="Normal 2 3 2 2 8" xfId="20375"/>
    <cellStyle name="Normal 2 3 2 2 8 10" xfId="20376"/>
    <cellStyle name="Normal 2 3 2 2 8 10 2" xfId="20377"/>
    <cellStyle name="Normal 2 3 2 2 8 11" xfId="20378"/>
    <cellStyle name="Normal 2 3 2 2 8 11 2" xfId="20379"/>
    <cellStyle name="Normal 2 3 2 2 8 12" xfId="20380"/>
    <cellStyle name="Normal 2 3 2 2 8 12 2" xfId="20381"/>
    <cellStyle name="Normal 2 3 2 2 8 13" xfId="20382"/>
    <cellStyle name="Normal 2 3 2 2 8 2" xfId="20383"/>
    <cellStyle name="Normal 2 3 2 2 8 2 10" xfId="20384"/>
    <cellStyle name="Normal 2 3 2 2 8 2 10 2" xfId="20385"/>
    <cellStyle name="Normal 2 3 2 2 8 2 11" xfId="20386"/>
    <cellStyle name="Normal 2 3 2 2 8 2 11 2" xfId="20387"/>
    <cellStyle name="Normal 2 3 2 2 8 2 12" xfId="20388"/>
    <cellStyle name="Normal 2 3 2 2 8 2 2" xfId="20389"/>
    <cellStyle name="Normal 2 3 2 2 8 2 2 10" xfId="20390"/>
    <cellStyle name="Normal 2 3 2 2 8 2 2 10 2" xfId="20391"/>
    <cellStyle name="Normal 2 3 2 2 8 2 2 11" xfId="20392"/>
    <cellStyle name="Normal 2 3 2 2 8 2 2 2" xfId="20393"/>
    <cellStyle name="Normal 2 3 2 2 8 2 2 2 2" xfId="20394"/>
    <cellStyle name="Normal 2 3 2 2 8 2 2 3" xfId="20395"/>
    <cellStyle name="Normal 2 3 2 2 8 2 2 3 2" xfId="20396"/>
    <cellStyle name="Normal 2 3 2 2 8 2 2 4" xfId="20397"/>
    <cellStyle name="Normal 2 3 2 2 8 2 2 4 2" xfId="20398"/>
    <cellStyle name="Normal 2 3 2 2 8 2 2 5" xfId="20399"/>
    <cellStyle name="Normal 2 3 2 2 8 2 2 5 2" xfId="20400"/>
    <cellStyle name="Normal 2 3 2 2 8 2 2 6" xfId="20401"/>
    <cellStyle name="Normal 2 3 2 2 8 2 2 6 2" xfId="20402"/>
    <cellStyle name="Normal 2 3 2 2 8 2 2 7" xfId="20403"/>
    <cellStyle name="Normal 2 3 2 2 8 2 2 7 2" xfId="20404"/>
    <cellStyle name="Normal 2 3 2 2 8 2 2 8" xfId="20405"/>
    <cellStyle name="Normal 2 3 2 2 8 2 2 8 2" xfId="20406"/>
    <cellStyle name="Normal 2 3 2 2 8 2 2 9" xfId="20407"/>
    <cellStyle name="Normal 2 3 2 2 8 2 2 9 2" xfId="20408"/>
    <cellStyle name="Normal 2 3 2 2 8 2 3" xfId="20409"/>
    <cellStyle name="Normal 2 3 2 2 8 2 3 2" xfId="20410"/>
    <cellStyle name="Normal 2 3 2 2 8 2 4" xfId="20411"/>
    <cellStyle name="Normal 2 3 2 2 8 2 4 2" xfId="20412"/>
    <cellStyle name="Normal 2 3 2 2 8 2 5" xfId="20413"/>
    <cellStyle name="Normal 2 3 2 2 8 2 5 2" xfId="20414"/>
    <cellStyle name="Normal 2 3 2 2 8 2 6" xfId="20415"/>
    <cellStyle name="Normal 2 3 2 2 8 2 6 2" xfId="20416"/>
    <cellStyle name="Normal 2 3 2 2 8 2 7" xfId="20417"/>
    <cellStyle name="Normal 2 3 2 2 8 2 7 2" xfId="20418"/>
    <cellStyle name="Normal 2 3 2 2 8 2 8" xfId="20419"/>
    <cellStyle name="Normal 2 3 2 2 8 2 8 2" xfId="20420"/>
    <cellStyle name="Normal 2 3 2 2 8 2 9" xfId="20421"/>
    <cellStyle name="Normal 2 3 2 2 8 2 9 2" xfId="20422"/>
    <cellStyle name="Normal 2 3 2 2 8 3" xfId="20423"/>
    <cellStyle name="Normal 2 3 2 2 8 3 10" xfId="20424"/>
    <cellStyle name="Normal 2 3 2 2 8 3 10 2" xfId="20425"/>
    <cellStyle name="Normal 2 3 2 2 8 3 11" xfId="20426"/>
    <cellStyle name="Normal 2 3 2 2 8 3 2" xfId="20427"/>
    <cellStyle name="Normal 2 3 2 2 8 3 2 2" xfId="20428"/>
    <cellStyle name="Normal 2 3 2 2 8 3 3" xfId="20429"/>
    <cellStyle name="Normal 2 3 2 2 8 3 3 2" xfId="20430"/>
    <cellStyle name="Normal 2 3 2 2 8 3 4" xfId="20431"/>
    <cellStyle name="Normal 2 3 2 2 8 3 4 2" xfId="20432"/>
    <cellStyle name="Normal 2 3 2 2 8 3 5" xfId="20433"/>
    <cellStyle name="Normal 2 3 2 2 8 3 5 2" xfId="20434"/>
    <cellStyle name="Normal 2 3 2 2 8 3 6" xfId="20435"/>
    <cellStyle name="Normal 2 3 2 2 8 3 6 2" xfId="20436"/>
    <cellStyle name="Normal 2 3 2 2 8 3 7" xfId="20437"/>
    <cellStyle name="Normal 2 3 2 2 8 3 7 2" xfId="20438"/>
    <cellStyle name="Normal 2 3 2 2 8 3 8" xfId="20439"/>
    <cellStyle name="Normal 2 3 2 2 8 3 8 2" xfId="20440"/>
    <cellStyle name="Normal 2 3 2 2 8 3 9" xfId="20441"/>
    <cellStyle name="Normal 2 3 2 2 8 3 9 2" xfId="20442"/>
    <cellStyle name="Normal 2 3 2 2 8 4" xfId="20443"/>
    <cellStyle name="Normal 2 3 2 2 8 4 2" xfId="20444"/>
    <cellStyle name="Normal 2 3 2 2 8 5" xfId="20445"/>
    <cellStyle name="Normal 2 3 2 2 8 5 2" xfId="20446"/>
    <cellStyle name="Normal 2 3 2 2 8 6" xfId="20447"/>
    <cellStyle name="Normal 2 3 2 2 8 6 2" xfId="20448"/>
    <cellStyle name="Normal 2 3 2 2 8 7" xfId="20449"/>
    <cellStyle name="Normal 2 3 2 2 8 7 2" xfId="20450"/>
    <cellStyle name="Normal 2 3 2 2 8 8" xfId="20451"/>
    <cellStyle name="Normal 2 3 2 2 8 8 2" xfId="20452"/>
    <cellStyle name="Normal 2 3 2 2 8 9" xfId="20453"/>
    <cellStyle name="Normal 2 3 2 2 8 9 2" xfId="20454"/>
    <cellStyle name="Normal 2 3 2 2 9" xfId="20455"/>
    <cellStyle name="Normal 2 3 2 2 9 10" xfId="20456"/>
    <cellStyle name="Normal 2 3 2 2 9 10 2" xfId="20457"/>
    <cellStyle name="Normal 2 3 2 2 9 11" xfId="20458"/>
    <cellStyle name="Normal 2 3 2 2 9 11 2" xfId="20459"/>
    <cellStyle name="Normal 2 3 2 2 9 12" xfId="20460"/>
    <cellStyle name="Normal 2 3 2 2 9 12 2" xfId="20461"/>
    <cellStyle name="Normal 2 3 2 2 9 13" xfId="20462"/>
    <cellStyle name="Normal 2 3 2 2 9 2" xfId="20463"/>
    <cellStyle name="Normal 2 3 2 2 9 2 10" xfId="20464"/>
    <cellStyle name="Normal 2 3 2 2 9 2 10 2" xfId="20465"/>
    <cellStyle name="Normal 2 3 2 2 9 2 11" xfId="20466"/>
    <cellStyle name="Normal 2 3 2 2 9 2 11 2" xfId="20467"/>
    <cellStyle name="Normal 2 3 2 2 9 2 12" xfId="20468"/>
    <cellStyle name="Normal 2 3 2 2 9 2 2" xfId="20469"/>
    <cellStyle name="Normal 2 3 2 2 9 2 2 10" xfId="20470"/>
    <cellStyle name="Normal 2 3 2 2 9 2 2 10 2" xfId="20471"/>
    <cellStyle name="Normal 2 3 2 2 9 2 2 11" xfId="20472"/>
    <cellStyle name="Normal 2 3 2 2 9 2 2 2" xfId="20473"/>
    <cellStyle name="Normal 2 3 2 2 9 2 2 2 2" xfId="20474"/>
    <cellStyle name="Normal 2 3 2 2 9 2 2 3" xfId="20475"/>
    <cellStyle name="Normal 2 3 2 2 9 2 2 3 2" xfId="20476"/>
    <cellStyle name="Normal 2 3 2 2 9 2 2 4" xfId="20477"/>
    <cellStyle name="Normal 2 3 2 2 9 2 2 4 2" xfId="20478"/>
    <cellStyle name="Normal 2 3 2 2 9 2 2 5" xfId="20479"/>
    <cellStyle name="Normal 2 3 2 2 9 2 2 5 2" xfId="20480"/>
    <cellStyle name="Normal 2 3 2 2 9 2 2 6" xfId="20481"/>
    <cellStyle name="Normal 2 3 2 2 9 2 2 6 2" xfId="20482"/>
    <cellStyle name="Normal 2 3 2 2 9 2 2 7" xfId="20483"/>
    <cellStyle name="Normal 2 3 2 2 9 2 2 7 2" xfId="20484"/>
    <cellStyle name="Normal 2 3 2 2 9 2 2 8" xfId="20485"/>
    <cellStyle name="Normal 2 3 2 2 9 2 2 8 2" xfId="20486"/>
    <cellStyle name="Normal 2 3 2 2 9 2 2 9" xfId="20487"/>
    <cellStyle name="Normal 2 3 2 2 9 2 2 9 2" xfId="20488"/>
    <cellStyle name="Normal 2 3 2 2 9 2 3" xfId="20489"/>
    <cellStyle name="Normal 2 3 2 2 9 2 3 2" xfId="20490"/>
    <cellStyle name="Normal 2 3 2 2 9 2 4" xfId="20491"/>
    <cellStyle name="Normal 2 3 2 2 9 2 4 2" xfId="20492"/>
    <cellStyle name="Normal 2 3 2 2 9 2 5" xfId="20493"/>
    <cellStyle name="Normal 2 3 2 2 9 2 5 2" xfId="20494"/>
    <cellStyle name="Normal 2 3 2 2 9 2 6" xfId="20495"/>
    <cellStyle name="Normal 2 3 2 2 9 2 6 2" xfId="20496"/>
    <cellStyle name="Normal 2 3 2 2 9 2 7" xfId="20497"/>
    <cellStyle name="Normal 2 3 2 2 9 2 7 2" xfId="20498"/>
    <cellStyle name="Normal 2 3 2 2 9 2 8" xfId="20499"/>
    <cellStyle name="Normal 2 3 2 2 9 2 8 2" xfId="20500"/>
    <cellStyle name="Normal 2 3 2 2 9 2 9" xfId="20501"/>
    <cellStyle name="Normal 2 3 2 2 9 2 9 2" xfId="20502"/>
    <cellStyle name="Normal 2 3 2 2 9 3" xfId="20503"/>
    <cellStyle name="Normal 2 3 2 2 9 3 10" xfId="20504"/>
    <cellStyle name="Normal 2 3 2 2 9 3 10 2" xfId="20505"/>
    <cellStyle name="Normal 2 3 2 2 9 3 11" xfId="20506"/>
    <cellStyle name="Normal 2 3 2 2 9 3 2" xfId="20507"/>
    <cellStyle name="Normal 2 3 2 2 9 3 2 2" xfId="20508"/>
    <cellStyle name="Normal 2 3 2 2 9 3 3" xfId="20509"/>
    <cellStyle name="Normal 2 3 2 2 9 3 3 2" xfId="20510"/>
    <cellStyle name="Normal 2 3 2 2 9 3 4" xfId="20511"/>
    <cellStyle name="Normal 2 3 2 2 9 3 4 2" xfId="20512"/>
    <cellStyle name="Normal 2 3 2 2 9 3 5" xfId="20513"/>
    <cellStyle name="Normal 2 3 2 2 9 3 5 2" xfId="20514"/>
    <cellStyle name="Normal 2 3 2 2 9 3 6" xfId="20515"/>
    <cellStyle name="Normal 2 3 2 2 9 3 6 2" xfId="20516"/>
    <cellStyle name="Normal 2 3 2 2 9 3 7" xfId="20517"/>
    <cellStyle name="Normal 2 3 2 2 9 3 7 2" xfId="20518"/>
    <cellStyle name="Normal 2 3 2 2 9 3 8" xfId="20519"/>
    <cellStyle name="Normal 2 3 2 2 9 3 8 2" xfId="20520"/>
    <cellStyle name="Normal 2 3 2 2 9 3 9" xfId="20521"/>
    <cellStyle name="Normal 2 3 2 2 9 3 9 2" xfId="20522"/>
    <cellStyle name="Normal 2 3 2 2 9 4" xfId="20523"/>
    <cellStyle name="Normal 2 3 2 2 9 4 2" xfId="20524"/>
    <cellStyle name="Normal 2 3 2 2 9 5" xfId="20525"/>
    <cellStyle name="Normal 2 3 2 2 9 5 2" xfId="20526"/>
    <cellStyle name="Normal 2 3 2 2 9 6" xfId="20527"/>
    <cellStyle name="Normal 2 3 2 2 9 6 2" xfId="20528"/>
    <cellStyle name="Normal 2 3 2 2 9 7" xfId="20529"/>
    <cellStyle name="Normal 2 3 2 2 9 7 2" xfId="20530"/>
    <cellStyle name="Normal 2 3 2 2 9 8" xfId="20531"/>
    <cellStyle name="Normal 2 3 2 2 9 8 2" xfId="20532"/>
    <cellStyle name="Normal 2 3 2 2 9 9" xfId="20533"/>
    <cellStyle name="Normal 2 3 2 2 9 9 2" xfId="20534"/>
    <cellStyle name="Normal 2 3 2 20" xfId="20535"/>
    <cellStyle name="Normal 2 3 2 21" xfId="20536"/>
    <cellStyle name="Normal 2 3 2 22" xfId="20537"/>
    <cellStyle name="Normal 2 3 2 23" xfId="20538"/>
    <cellStyle name="Normal 2 3 2 24" xfId="20539"/>
    <cellStyle name="Normal 2 3 2 25" xfId="20540"/>
    <cellStyle name="Normal 2 3 2 26" xfId="20541"/>
    <cellStyle name="Normal 2 3 2 27" xfId="20542"/>
    <cellStyle name="Normal 2 3 2 28" xfId="20543"/>
    <cellStyle name="Normal 2 3 2 29" xfId="20544"/>
    <cellStyle name="Normal 2 3 2 3" xfId="20545"/>
    <cellStyle name="Normal 2 3 2 3 10" xfId="20546"/>
    <cellStyle name="Normal 2 3 2 3 10 2" xfId="20547"/>
    <cellStyle name="Normal 2 3 2 3 11" xfId="20548"/>
    <cellStyle name="Normal 2 3 2 3 11 2" xfId="20549"/>
    <cellStyle name="Normal 2 3 2 3 12" xfId="20550"/>
    <cellStyle name="Normal 2 3 2 3 12 2" xfId="20551"/>
    <cellStyle name="Normal 2 3 2 3 13" xfId="20552"/>
    <cellStyle name="Normal 2 3 2 3 2" xfId="20553"/>
    <cellStyle name="Normal 2 3 2 3 2 10" xfId="20554"/>
    <cellStyle name="Normal 2 3 2 3 2 10 2" xfId="20555"/>
    <cellStyle name="Normal 2 3 2 3 2 11" xfId="20556"/>
    <cellStyle name="Normal 2 3 2 3 2 11 2" xfId="20557"/>
    <cellStyle name="Normal 2 3 2 3 2 12" xfId="20558"/>
    <cellStyle name="Normal 2 3 2 3 2 2" xfId="20559"/>
    <cellStyle name="Normal 2 3 2 3 2 2 10" xfId="20560"/>
    <cellStyle name="Normal 2 3 2 3 2 2 10 2" xfId="20561"/>
    <cellStyle name="Normal 2 3 2 3 2 2 11" xfId="20562"/>
    <cellStyle name="Normal 2 3 2 3 2 2 2" xfId="20563"/>
    <cellStyle name="Normal 2 3 2 3 2 2 2 2" xfId="20564"/>
    <cellStyle name="Normal 2 3 2 3 2 2 3" xfId="20565"/>
    <cellStyle name="Normal 2 3 2 3 2 2 3 2" xfId="20566"/>
    <cellStyle name="Normal 2 3 2 3 2 2 4" xfId="20567"/>
    <cellStyle name="Normal 2 3 2 3 2 2 4 2" xfId="20568"/>
    <cellStyle name="Normal 2 3 2 3 2 2 5" xfId="20569"/>
    <cellStyle name="Normal 2 3 2 3 2 2 5 2" xfId="20570"/>
    <cellStyle name="Normal 2 3 2 3 2 2 6" xfId="20571"/>
    <cellStyle name="Normal 2 3 2 3 2 2 6 2" xfId="20572"/>
    <cellStyle name="Normal 2 3 2 3 2 2 7" xfId="20573"/>
    <cellStyle name="Normal 2 3 2 3 2 2 7 2" xfId="20574"/>
    <cellStyle name="Normal 2 3 2 3 2 2 8" xfId="20575"/>
    <cellStyle name="Normal 2 3 2 3 2 2 8 2" xfId="20576"/>
    <cellStyle name="Normal 2 3 2 3 2 2 9" xfId="20577"/>
    <cellStyle name="Normal 2 3 2 3 2 2 9 2" xfId="20578"/>
    <cellStyle name="Normal 2 3 2 3 2 3" xfId="20579"/>
    <cellStyle name="Normal 2 3 2 3 2 3 2" xfId="20580"/>
    <cellStyle name="Normal 2 3 2 3 2 4" xfId="20581"/>
    <cellStyle name="Normal 2 3 2 3 2 4 2" xfId="20582"/>
    <cellStyle name="Normal 2 3 2 3 2 5" xfId="20583"/>
    <cellStyle name="Normal 2 3 2 3 2 5 2" xfId="20584"/>
    <cellStyle name="Normal 2 3 2 3 2 6" xfId="20585"/>
    <cellStyle name="Normal 2 3 2 3 2 6 2" xfId="20586"/>
    <cellStyle name="Normal 2 3 2 3 2 7" xfId="20587"/>
    <cellStyle name="Normal 2 3 2 3 2 7 2" xfId="20588"/>
    <cellStyle name="Normal 2 3 2 3 2 8" xfId="20589"/>
    <cellStyle name="Normal 2 3 2 3 2 8 2" xfId="20590"/>
    <cellStyle name="Normal 2 3 2 3 2 9" xfId="20591"/>
    <cellStyle name="Normal 2 3 2 3 2 9 2" xfId="20592"/>
    <cellStyle name="Normal 2 3 2 3 3" xfId="20593"/>
    <cellStyle name="Normal 2 3 2 3 3 10" xfId="20594"/>
    <cellStyle name="Normal 2 3 2 3 3 10 2" xfId="20595"/>
    <cellStyle name="Normal 2 3 2 3 3 11" xfId="20596"/>
    <cellStyle name="Normal 2 3 2 3 3 2" xfId="20597"/>
    <cellStyle name="Normal 2 3 2 3 3 2 2" xfId="20598"/>
    <cellStyle name="Normal 2 3 2 3 3 3" xfId="20599"/>
    <cellStyle name="Normal 2 3 2 3 3 3 2" xfId="20600"/>
    <cellStyle name="Normal 2 3 2 3 3 4" xfId="20601"/>
    <cellStyle name="Normal 2 3 2 3 3 4 2" xfId="20602"/>
    <cellStyle name="Normal 2 3 2 3 3 5" xfId="20603"/>
    <cellStyle name="Normal 2 3 2 3 3 5 2" xfId="20604"/>
    <cellStyle name="Normal 2 3 2 3 3 6" xfId="20605"/>
    <cellStyle name="Normal 2 3 2 3 3 6 2" xfId="20606"/>
    <cellStyle name="Normal 2 3 2 3 3 7" xfId="20607"/>
    <cellStyle name="Normal 2 3 2 3 3 7 2" xfId="20608"/>
    <cellStyle name="Normal 2 3 2 3 3 8" xfId="20609"/>
    <cellStyle name="Normal 2 3 2 3 3 8 2" xfId="20610"/>
    <cellStyle name="Normal 2 3 2 3 3 9" xfId="20611"/>
    <cellStyle name="Normal 2 3 2 3 3 9 2" xfId="20612"/>
    <cellStyle name="Normal 2 3 2 3 4" xfId="20613"/>
    <cellStyle name="Normal 2 3 2 3 4 2" xfId="20614"/>
    <cellStyle name="Normal 2 3 2 3 5" xfId="20615"/>
    <cellStyle name="Normal 2 3 2 3 5 2" xfId="20616"/>
    <cellStyle name="Normal 2 3 2 3 6" xfId="20617"/>
    <cellStyle name="Normal 2 3 2 3 6 2" xfId="20618"/>
    <cellStyle name="Normal 2 3 2 3 7" xfId="20619"/>
    <cellStyle name="Normal 2 3 2 3 7 2" xfId="20620"/>
    <cellStyle name="Normal 2 3 2 3 8" xfId="20621"/>
    <cellStyle name="Normal 2 3 2 3 8 2" xfId="20622"/>
    <cellStyle name="Normal 2 3 2 3 9" xfId="20623"/>
    <cellStyle name="Normal 2 3 2 3 9 2" xfId="20624"/>
    <cellStyle name="Normal 2 3 2 4" xfId="20625"/>
    <cellStyle name="Normal 2 3 2 4 10" xfId="20626"/>
    <cellStyle name="Normal 2 3 2 4 10 2" xfId="20627"/>
    <cellStyle name="Normal 2 3 2 4 11" xfId="20628"/>
    <cellStyle name="Normal 2 3 2 4 11 2" xfId="20629"/>
    <cellStyle name="Normal 2 3 2 4 12" xfId="20630"/>
    <cellStyle name="Normal 2 3 2 4 12 2" xfId="20631"/>
    <cellStyle name="Normal 2 3 2 4 13" xfId="20632"/>
    <cellStyle name="Normal 2 3 2 4 2" xfId="20633"/>
    <cellStyle name="Normal 2 3 2 4 2 10" xfId="20634"/>
    <cellStyle name="Normal 2 3 2 4 2 10 2" xfId="20635"/>
    <cellStyle name="Normal 2 3 2 4 2 11" xfId="20636"/>
    <cellStyle name="Normal 2 3 2 4 2 11 2" xfId="20637"/>
    <cellStyle name="Normal 2 3 2 4 2 12" xfId="20638"/>
    <cellStyle name="Normal 2 3 2 4 2 2" xfId="20639"/>
    <cellStyle name="Normal 2 3 2 4 2 2 10" xfId="20640"/>
    <cellStyle name="Normal 2 3 2 4 2 2 10 2" xfId="20641"/>
    <cellStyle name="Normal 2 3 2 4 2 2 11" xfId="20642"/>
    <cellStyle name="Normal 2 3 2 4 2 2 2" xfId="20643"/>
    <cellStyle name="Normal 2 3 2 4 2 2 2 2" xfId="20644"/>
    <cellStyle name="Normal 2 3 2 4 2 2 3" xfId="20645"/>
    <cellStyle name="Normal 2 3 2 4 2 2 3 2" xfId="20646"/>
    <cellStyle name="Normal 2 3 2 4 2 2 4" xfId="20647"/>
    <cellStyle name="Normal 2 3 2 4 2 2 4 2" xfId="20648"/>
    <cellStyle name="Normal 2 3 2 4 2 2 5" xfId="20649"/>
    <cellStyle name="Normal 2 3 2 4 2 2 5 2" xfId="20650"/>
    <cellStyle name="Normal 2 3 2 4 2 2 6" xfId="20651"/>
    <cellStyle name="Normal 2 3 2 4 2 2 6 2" xfId="20652"/>
    <cellStyle name="Normal 2 3 2 4 2 2 7" xfId="20653"/>
    <cellStyle name="Normal 2 3 2 4 2 2 7 2" xfId="20654"/>
    <cellStyle name="Normal 2 3 2 4 2 2 8" xfId="20655"/>
    <cellStyle name="Normal 2 3 2 4 2 2 8 2" xfId="20656"/>
    <cellStyle name="Normal 2 3 2 4 2 2 9" xfId="20657"/>
    <cellStyle name="Normal 2 3 2 4 2 2 9 2" xfId="20658"/>
    <cellStyle name="Normal 2 3 2 4 2 3" xfId="20659"/>
    <cellStyle name="Normal 2 3 2 4 2 3 2" xfId="20660"/>
    <cellStyle name="Normal 2 3 2 4 2 4" xfId="20661"/>
    <cellStyle name="Normal 2 3 2 4 2 4 2" xfId="20662"/>
    <cellStyle name="Normal 2 3 2 4 2 5" xfId="20663"/>
    <cellStyle name="Normal 2 3 2 4 2 5 2" xfId="20664"/>
    <cellStyle name="Normal 2 3 2 4 2 6" xfId="20665"/>
    <cellStyle name="Normal 2 3 2 4 2 6 2" xfId="20666"/>
    <cellStyle name="Normal 2 3 2 4 2 7" xfId="20667"/>
    <cellStyle name="Normal 2 3 2 4 2 7 2" xfId="20668"/>
    <cellStyle name="Normal 2 3 2 4 2 8" xfId="20669"/>
    <cellStyle name="Normal 2 3 2 4 2 8 2" xfId="20670"/>
    <cellStyle name="Normal 2 3 2 4 2 9" xfId="20671"/>
    <cellStyle name="Normal 2 3 2 4 2 9 2" xfId="20672"/>
    <cellStyle name="Normal 2 3 2 4 3" xfId="20673"/>
    <cellStyle name="Normal 2 3 2 4 3 10" xfId="20674"/>
    <cellStyle name="Normal 2 3 2 4 3 10 2" xfId="20675"/>
    <cellStyle name="Normal 2 3 2 4 3 11" xfId="20676"/>
    <cellStyle name="Normal 2 3 2 4 3 2" xfId="20677"/>
    <cellStyle name="Normal 2 3 2 4 3 2 2" xfId="20678"/>
    <cellStyle name="Normal 2 3 2 4 3 3" xfId="20679"/>
    <cellStyle name="Normal 2 3 2 4 3 3 2" xfId="20680"/>
    <cellStyle name="Normal 2 3 2 4 3 4" xfId="20681"/>
    <cellStyle name="Normal 2 3 2 4 3 4 2" xfId="20682"/>
    <cellStyle name="Normal 2 3 2 4 3 5" xfId="20683"/>
    <cellStyle name="Normal 2 3 2 4 3 5 2" xfId="20684"/>
    <cellStyle name="Normal 2 3 2 4 3 6" xfId="20685"/>
    <cellStyle name="Normal 2 3 2 4 3 6 2" xfId="20686"/>
    <cellStyle name="Normal 2 3 2 4 3 7" xfId="20687"/>
    <cellStyle name="Normal 2 3 2 4 3 7 2" xfId="20688"/>
    <cellStyle name="Normal 2 3 2 4 3 8" xfId="20689"/>
    <cellStyle name="Normal 2 3 2 4 3 8 2" xfId="20690"/>
    <cellStyle name="Normal 2 3 2 4 3 9" xfId="20691"/>
    <cellStyle name="Normal 2 3 2 4 3 9 2" xfId="20692"/>
    <cellStyle name="Normal 2 3 2 4 4" xfId="20693"/>
    <cellStyle name="Normal 2 3 2 4 4 2" xfId="20694"/>
    <cellStyle name="Normal 2 3 2 4 5" xfId="20695"/>
    <cellStyle name="Normal 2 3 2 4 5 2" xfId="20696"/>
    <cellStyle name="Normal 2 3 2 4 6" xfId="20697"/>
    <cellStyle name="Normal 2 3 2 4 6 2" xfId="20698"/>
    <cellStyle name="Normal 2 3 2 4 7" xfId="20699"/>
    <cellStyle name="Normal 2 3 2 4 7 2" xfId="20700"/>
    <cellStyle name="Normal 2 3 2 4 8" xfId="20701"/>
    <cellStyle name="Normal 2 3 2 4 8 2" xfId="20702"/>
    <cellStyle name="Normal 2 3 2 4 9" xfId="20703"/>
    <cellStyle name="Normal 2 3 2 4 9 2" xfId="20704"/>
    <cellStyle name="Normal 2 3 2 5" xfId="20705"/>
    <cellStyle name="Normal 2 3 2 5 10" xfId="20706"/>
    <cellStyle name="Normal 2 3 2 5 10 2" xfId="20707"/>
    <cellStyle name="Normal 2 3 2 5 11" xfId="20708"/>
    <cellStyle name="Normal 2 3 2 5 11 2" xfId="20709"/>
    <cellStyle name="Normal 2 3 2 5 12" xfId="20710"/>
    <cellStyle name="Normal 2 3 2 5 12 2" xfId="20711"/>
    <cellStyle name="Normal 2 3 2 5 13" xfId="20712"/>
    <cellStyle name="Normal 2 3 2 5 2" xfId="20713"/>
    <cellStyle name="Normal 2 3 2 5 2 10" xfId="20714"/>
    <cellStyle name="Normal 2 3 2 5 2 10 2" xfId="20715"/>
    <cellStyle name="Normal 2 3 2 5 2 11" xfId="20716"/>
    <cellStyle name="Normal 2 3 2 5 2 11 2" xfId="20717"/>
    <cellStyle name="Normal 2 3 2 5 2 12" xfId="20718"/>
    <cellStyle name="Normal 2 3 2 5 2 2" xfId="20719"/>
    <cellStyle name="Normal 2 3 2 5 2 2 10" xfId="20720"/>
    <cellStyle name="Normal 2 3 2 5 2 2 10 2" xfId="20721"/>
    <cellStyle name="Normal 2 3 2 5 2 2 11" xfId="20722"/>
    <cellStyle name="Normal 2 3 2 5 2 2 2" xfId="20723"/>
    <cellStyle name="Normal 2 3 2 5 2 2 2 2" xfId="20724"/>
    <cellStyle name="Normal 2 3 2 5 2 2 3" xfId="20725"/>
    <cellStyle name="Normal 2 3 2 5 2 2 3 2" xfId="20726"/>
    <cellStyle name="Normal 2 3 2 5 2 2 4" xfId="20727"/>
    <cellStyle name="Normal 2 3 2 5 2 2 4 2" xfId="20728"/>
    <cellStyle name="Normal 2 3 2 5 2 2 5" xfId="20729"/>
    <cellStyle name="Normal 2 3 2 5 2 2 5 2" xfId="20730"/>
    <cellStyle name="Normal 2 3 2 5 2 2 6" xfId="20731"/>
    <cellStyle name="Normal 2 3 2 5 2 2 6 2" xfId="20732"/>
    <cellStyle name="Normal 2 3 2 5 2 2 7" xfId="20733"/>
    <cellStyle name="Normal 2 3 2 5 2 2 7 2" xfId="20734"/>
    <cellStyle name="Normal 2 3 2 5 2 2 8" xfId="20735"/>
    <cellStyle name="Normal 2 3 2 5 2 2 8 2" xfId="20736"/>
    <cellStyle name="Normal 2 3 2 5 2 2 9" xfId="20737"/>
    <cellStyle name="Normal 2 3 2 5 2 2 9 2" xfId="20738"/>
    <cellStyle name="Normal 2 3 2 5 2 3" xfId="20739"/>
    <cellStyle name="Normal 2 3 2 5 2 3 2" xfId="20740"/>
    <cellStyle name="Normal 2 3 2 5 2 4" xfId="20741"/>
    <cellStyle name="Normal 2 3 2 5 2 4 2" xfId="20742"/>
    <cellStyle name="Normal 2 3 2 5 2 5" xfId="20743"/>
    <cellStyle name="Normal 2 3 2 5 2 5 2" xfId="20744"/>
    <cellStyle name="Normal 2 3 2 5 2 6" xfId="20745"/>
    <cellStyle name="Normal 2 3 2 5 2 6 2" xfId="20746"/>
    <cellStyle name="Normal 2 3 2 5 2 7" xfId="20747"/>
    <cellStyle name="Normal 2 3 2 5 2 7 2" xfId="20748"/>
    <cellStyle name="Normal 2 3 2 5 2 8" xfId="20749"/>
    <cellStyle name="Normal 2 3 2 5 2 8 2" xfId="20750"/>
    <cellStyle name="Normal 2 3 2 5 2 9" xfId="20751"/>
    <cellStyle name="Normal 2 3 2 5 2 9 2" xfId="20752"/>
    <cellStyle name="Normal 2 3 2 5 3" xfId="20753"/>
    <cellStyle name="Normal 2 3 2 5 3 10" xfId="20754"/>
    <cellStyle name="Normal 2 3 2 5 3 10 2" xfId="20755"/>
    <cellStyle name="Normal 2 3 2 5 3 11" xfId="20756"/>
    <cellStyle name="Normal 2 3 2 5 3 2" xfId="20757"/>
    <cellStyle name="Normal 2 3 2 5 3 2 2" xfId="20758"/>
    <cellStyle name="Normal 2 3 2 5 3 3" xfId="20759"/>
    <cellStyle name="Normal 2 3 2 5 3 3 2" xfId="20760"/>
    <cellStyle name="Normal 2 3 2 5 3 4" xfId="20761"/>
    <cellStyle name="Normal 2 3 2 5 3 4 2" xfId="20762"/>
    <cellStyle name="Normal 2 3 2 5 3 5" xfId="20763"/>
    <cellStyle name="Normal 2 3 2 5 3 5 2" xfId="20764"/>
    <cellStyle name="Normal 2 3 2 5 3 6" xfId="20765"/>
    <cellStyle name="Normal 2 3 2 5 3 6 2" xfId="20766"/>
    <cellStyle name="Normal 2 3 2 5 3 7" xfId="20767"/>
    <cellStyle name="Normal 2 3 2 5 3 7 2" xfId="20768"/>
    <cellStyle name="Normal 2 3 2 5 3 8" xfId="20769"/>
    <cellStyle name="Normal 2 3 2 5 3 8 2" xfId="20770"/>
    <cellStyle name="Normal 2 3 2 5 3 9" xfId="20771"/>
    <cellStyle name="Normal 2 3 2 5 3 9 2" xfId="20772"/>
    <cellStyle name="Normal 2 3 2 5 4" xfId="20773"/>
    <cellStyle name="Normal 2 3 2 5 4 2" xfId="20774"/>
    <cellStyle name="Normal 2 3 2 5 5" xfId="20775"/>
    <cellStyle name="Normal 2 3 2 5 5 2" xfId="20776"/>
    <cellStyle name="Normal 2 3 2 5 6" xfId="20777"/>
    <cellStyle name="Normal 2 3 2 5 6 2" xfId="20778"/>
    <cellStyle name="Normal 2 3 2 5 7" xfId="20779"/>
    <cellStyle name="Normal 2 3 2 5 7 2" xfId="20780"/>
    <cellStyle name="Normal 2 3 2 5 8" xfId="20781"/>
    <cellStyle name="Normal 2 3 2 5 8 2" xfId="20782"/>
    <cellStyle name="Normal 2 3 2 5 9" xfId="20783"/>
    <cellStyle name="Normal 2 3 2 5 9 2" xfId="20784"/>
    <cellStyle name="Normal 2 3 2 6" xfId="20785"/>
    <cellStyle name="Normal 2 3 2 6 10" xfId="20786"/>
    <cellStyle name="Normal 2 3 2 6 10 2" xfId="20787"/>
    <cellStyle name="Normal 2 3 2 6 11" xfId="20788"/>
    <cellStyle name="Normal 2 3 2 6 11 2" xfId="20789"/>
    <cellStyle name="Normal 2 3 2 6 12" xfId="20790"/>
    <cellStyle name="Normal 2 3 2 6 12 2" xfId="20791"/>
    <cellStyle name="Normal 2 3 2 6 13" xfId="20792"/>
    <cellStyle name="Normal 2 3 2 6 2" xfId="20793"/>
    <cellStyle name="Normal 2 3 2 6 2 10" xfId="20794"/>
    <cellStyle name="Normal 2 3 2 6 2 10 2" xfId="20795"/>
    <cellStyle name="Normal 2 3 2 6 2 11" xfId="20796"/>
    <cellStyle name="Normal 2 3 2 6 2 11 2" xfId="20797"/>
    <cellStyle name="Normal 2 3 2 6 2 12" xfId="20798"/>
    <cellStyle name="Normal 2 3 2 6 2 2" xfId="20799"/>
    <cellStyle name="Normal 2 3 2 6 2 2 10" xfId="20800"/>
    <cellStyle name="Normal 2 3 2 6 2 2 10 2" xfId="20801"/>
    <cellStyle name="Normal 2 3 2 6 2 2 11" xfId="20802"/>
    <cellStyle name="Normal 2 3 2 6 2 2 2" xfId="20803"/>
    <cellStyle name="Normal 2 3 2 6 2 2 2 2" xfId="20804"/>
    <cellStyle name="Normal 2 3 2 6 2 2 3" xfId="20805"/>
    <cellStyle name="Normal 2 3 2 6 2 2 3 2" xfId="20806"/>
    <cellStyle name="Normal 2 3 2 6 2 2 4" xfId="20807"/>
    <cellStyle name="Normal 2 3 2 6 2 2 4 2" xfId="20808"/>
    <cellStyle name="Normal 2 3 2 6 2 2 5" xfId="20809"/>
    <cellStyle name="Normal 2 3 2 6 2 2 5 2" xfId="20810"/>
    <cellStyle name="Normal 2 3 2 6 2 2 6" xfId="20811"/>
    <cellStyle name="Normal 2 3 2 6 2 2 6 2" xfId="20812"/>
    <cellStyle name="Normal 2 3 2 6 2 2 7" xfId="20813"/>
    <cellStyle name="Normal 2 3 2 6 2 2 7 2" xfId="20814"/>
    <cellStyle name="Normal 2 3 2 6 2 2 8" xfId="20815"/>
    <cellStyle name="Normal 2 3 2 6 2 2 8 2" xfId="20816"/>
    <cellStyle name="Normal 2 3 2 6 2 2 9" xfId="20817"/>
    <cellStyle name="Normal 2 3 2 6 2 2 9 2" xfId="20818"/>
    <cellStyle name="Normal 2 3 2 6 2 3" xfId="20819"/>
    <cellStyle name="Normal 2 3 2 6 2 3 2" xfId="20820"/>
    <cellStyle name="Normal 2 3 2 6 2 4" xfId="20821"/>
    <cellStyle name="Normal 2 3 2 6 2 4 2" xfId="20822"/>
    <cellStyle name="Normal 2 3 2 6 2 5" xfId="20823"/>
    <cellStyle name="Normal 2 3 2 6 2 5 2" xfId="20824"/>
    <cellStyle name="Normal 2 3 2 6 2 6" xfId="20825"/>
    <cellStyle name="Normal 2 3 2 6 2 6 2" xfId="20826"/>
    <cellStyle name="Normal 2 3 2 6 2 7" xfId="20827"/>
    <cellStyle name="Normal 2 3 2 6 2 7 2" xfId="20828"/>
    <cellStyle name="Normal 2 3 2 6 2 8" xfId="20829"/>
    <cellStyle name="Normal 2 3 2 6 2 8 2" xfId="20830"/>
    <cellStyle name="Normal 2 3 2 6 2 9" xfId="20831"/>
    <cellStyle name="Normal 2 3 2 6 2 9 2" xfId="20832"/>
    <cellStyle name="Normal 2 3 2 6 3" xfId="20833"/>
    <cellStyle name="Normal 2 3 2 6 3 10" xfId="20834"/>
    <cellStyle name="Normal 2 3 2 6 3 10 2" xfId="20835"/>
    <cellStyle name="Normal 2 3 2 6 3 11" xfId="20836"/>
    <cellStyle name="Normal 2 3 2 6 3 2" xfId="20837"/>
    <cellStyle name="Normal 2 3 2 6 3 2 2" xfId="20838"/>
    <cellStyle name="Normal 2 3 2 6 3 3" xfId="20839"/>
    <cellStyle name="Normal 2 3 2 6 3 3 2" xfId="20840"/>
    <cellStyle name="Normal 2 3 2 6 3 4" xfId="20841"/>
    <cellStyle name="Normal 2 3 2 6 3 4 2" xfId="20842"/>
    <cellStyle name="Normal 2 3 2 6 3 5" xfId="20843"/>
    <cellStyle name="Normal 2 3 2 6 3 5 2" xfId="20844"/>
    <cellStyle name="Normal 2 3 2 6 3 6" xfId="20845"/>
    <cellStyle name="Normal 2 3 2 6 3 6 2" xfId="20846"/>
    <cellStyle name="Normal 2 3 2 6 3 7" xfId="20847"/>
    <cellStyle name="Normal 2 3 2 6 3 7 2" xfId="20848"/>
    <cellStyle name="Normal 2 3 2 6 3 8" xfId="20849"/>
    <cellStyle name="Normal 2 3 2 6 3 8 2" xfId="20850"/>
    <cellStyle name="Normal 2 3 2 6 3 9" xfId="20851"/>
    <cellStyle name="Normal 2 3 2 6 3 9 2" xfId="20852"/>
    <cellStyle name="Normal 2 3 2 6 4" xfId="20853"/>
    <cellStyle name="Normal 2 3 2 6 4 2" xfId="20854"/>
    <cellStyle name="Normal 2 3 2 6 5" xfId="20855"/>
    <cellStyle name="Normal 2 3 2 6 5 2" xfId="20856"/>
    <cellStyle name="Normal 2 3 2 6 6" xfId="20857"/>
    <cellStyle name="Normal 2 3 2 6 6 2" xfId="20858"/>
    <cellStyle name="Normal 2 3 2 6 7" xfId="20859"/>
    <cellStyle name="Normal 2 3 2 6 7 2" xfId="20860"/>
    <cellStyle name="Normal 2 3 2 6 8" xfId="20861"/>
    <cellStyle name="Normal 2 3 2 6 8 2" xfId="20862"/>
    <cellStyle name="Normal 2 3 2 6 9" xfId="20863"/>
    <cellStyle name="Normal 2 3 2 6 9 2" xfId="20864"/>
    <cellStyle name="Normal 2 3 2 7" xfId="20865"/>
    <cellStyle name="Normal 2 3 2 7 10" xfId="20866"/>
    <cellStyle name="Normal 2 3 2 7 10 2" xfId="20867"/>
    <cellStyle name="Normal 2 3 2 7 11" xfId="20868"/>
    <cellStyle name="Normal 2 3 2 7 11 2" xfId="20869"/>
    <cellStyle name="Normal 2 3 2 7 12" xfId="20870"/>
    <cellStyle name="Normal 2 3 2 7 12 2" xfId="20871"/>
    <cellStyle name="Normal 2 3 2 7 13" xfId="20872"/>
    <cellStyle name="Normal 2 3 2 7 2" xfId="20873"/>
    <cellStyle name="Normal 2 3 2 7 2 10" xfId="20874"/>
    <cellStyle name="Normal 2 3 2 7 2 10 2" xfId="20875"/>
    <cellStyle name="Normal 2 3 2 7 2 11" xfId="20876"/>
    <cellStyle name="Normal 2 3 2 7 2 11 2" xfId="20877"/>
    <cellStyle name="Normal 2 3 2 7 2 12" xfId="20878"/>
    <cellStyle name="Normal 2 3 2 7 2 2" xfId="20879"/>
    <cellStyle name="Normal 2 3 2 7 2 2 10" xfId="20880"/>
    <cellStyle name="Normal 2 3 2 7 2 2 10 2" xfId="20881"/>
    <cellStyle name="Normal 2 3 2 7 2 2 11" xfId="20882"/>
    <cellStyle name="Normal 2 3 2 7 2 2 2" xfId="20883"/>
    <cellStyle name="Normal 2 3 2 7 2 2 2 2" xfId="20884"/>
    <cellStyle name="Normal 2 3 2 7 2 2 3" xfId="20885"/>
    <cellStyle name="Normal 2 3 2 7 2 2 3 2" xfId="20886"/>
    <cellStyle name="Normal 2 3 2 7 2 2 4" xfId="20887"/>
    <cellStyle name="Normal 2 3 2 7 2 2 4 2" xfId="20888"/>
    <cellStyle name="Normal 2 3 2 7 2 2 5" xfId="20889"/>
    <cellStyle name="Normal 2 3 2 7 2 2 5 2" xfId="20890"/>
    <cellStyle name="Normal 2 3 2 7 2 2 6" xfId="20891"/>
    <cellStyle name="Normal 2 3 2 7 2 2 6 2" xfId="20892"/>
    <cellStyle name="Normal 2 3 2 7 2 2 7" xfId="20893"/>
    <cellStyle name="Normal 2 3 2 7 2 2 7 2" xfId="20894"/>
    <cellStyle name="Normal 2 3 2 7 2 2 8" xfId="20895"/>
    <cellStyle name="Normal 2 3 2 7 2 2 8 2" xfId="20896"/>
    <cellStyle name="Normal 2 3 2 7 2 2 9" xfId="20897"/>
    <cellStyle name="Normal 2 3 2 7 2 2 9 2" xfId="20898"/>
    <cellStyle name="Normal 2 3 2 7 2 3" xfId="20899"/>
    <cellStyle name="Normal 2 3 2 7 2 3 2" xfId="20900"/>
    <cellStyle name="Normal 2 3 2 7 2 4" xfId="20901"/>
    <cellStyle name="Normal 2 3 2 7 2 4 2" xfId="20902"/>
    <cellStyle name="Normal 2 3 2 7 2 5" xfId="20903"/>
    <cellStyle name="Normal 2 3 2 7 2 5 2" xfId="20904"/>
    <cellStyle name="Normal 2 3 2 7 2 6" xfId="20905"/>
    <cellStyle name="Normal 2 3 2 7 2 6 2" xfId="20906"/>
    <cellStyle name="Normal 2 3 2 7 2 7" xfId="20907"/>
    <cellStyle name="Normal 2 3 2 7 2 7 2" xfId="20908"/>
    <cellStyle name="Normal 2 3 2 7 2 8" xfId="20909"/>
    <cellStyle name="Normal 2 3 2 7 2 8 2" xfId="20910"/>
    <cellStyle name="Normal 2 3 2 7 2 9" xfId="20911"/>
    <cellStyle name="Normal 2 3 2 7 2 9 2" xfId="20912"/>
    <cellStyle name="Normal 2 3 2 7 3" xfId="20913"/>
    <cellStyle name="Normal 2 3 2 7 3 10" xfId="20914"/>
    <cellStyle name="Normal 2 3 2 7 3 10 2" xfId="20915"/>
    <cellStyle name="Normal 2 3 2 7 3 11" xfId="20916"/>
    <cellStyle name="Normal 2 3 2 7 3 2" xfId="20917"/>
    <cellStyle name="Normal 2 3 2 7 3 2 2" xfId="20918"/>
    <cellStyle name="Normal 2 3 2 7 3 3" xfId="20919"/>
    <cellStyle name="Normal 2 3 2 7 3 3 2" xfId="20920"/>
    <cellStyle name="Normal 2 3 2 7 3 4" xfId="20921"/>
    <cellStyle name="Normal 2 3 2 7 3 4 2" xfId="20922"/>
    <cellStyle name="Normal 2 3 2 7 3 5" xfId="20923"/>
    <cellStyle name="Normal 2 3 2 7 3 5 2" xfId="20924"/>
    <cellStyle name="Normal 2 3 2 7 3 6" xfId="20925"/>
    <cellStyle name="Normal 2 3 2 7 3 6 2" xfId="20926"/>
    <cellStyle name="Normal 2 3 2 7 3 7" xfId="20927"/>
    <cellStyle name="Normal 2 3 2 7 3 7 2" xfId="20928"/>
    <cellStyle name="Normal 2 3 2 7 3 8" xfId="20929"/>
    <cellStyle name="Normal 2 3 2 7 3 8 2" xfId="20930"/>
    <cellStyle name="Normal 2 3 2 7 3 9" xfId="20931"/>
    <cellStyle name="Normal 2 3 2 7 3 9 2" xfId="20932"/>
    <cellStyle name="Normal 2 3 2 7 4" xfId="20933"/>
    <cellStyle name="Normal 2 3 2 7 4 2" xfId="20934"/>
    <cellStyle name="Normal 2 3 2 7 5" xfId="20935"/>
    <cellStyle name="Normal 2 3 2 7 5 2" xfId="20936"/>
    <cellStyle name="Normal 2 3 2 7 6" xfId="20937"/>
    <cellStyle name="Normal 2 3 2 7 6 2" xfId="20938"/>
    <cellStyle name="Normal 2 3 2 7 7" xfId="20939"/>
    <cellStyle name="Normal 2 3 2 7 7 2" xfId="20940"/>
    <cellStyle name="Normal 2 3 2 7 8" xfId="20941"/>
    <cellStyle name="Normal 2 3 2 7 8 2" xfId="20942"/>
    <cellStyle name="Normal 2 3 2 7 9" xfId="20943"/>
    <cellStyle name="Normal 2 3 2 7 9 2" xfId="20944"/>
    <cellStyle name="Normal 2 3 2 8" xfId="20945"/>
    <cellStyle name="Normal 2 3 2 8 10" xfId="20946"/>
    <cellStyle name="Normal 2 3 2 8 10 2" xfId="20947"/>
    <cellStyle name="Normal 2 3 2 8 11" xfId="20948"/>
    <cellStyle name="Normal 2 3 2 8 11 2" xfId="20949"/>
    <cellStyle name="Normal 2 3 2 8 12" xfId="20950"/>
    <cellStyle name="Normal 2 3 2 8 12 2" xfId="20951"/>
    <cellStyle name="Normal 2 3 2 8 13" xfId="20952"/>
    <cellStyle name="Normal 2 3 2 8 2" xfId="20953"/>
    <cellStyle name="Normal 2 3 2 8 2 10" xfId="20954"/>
    <cellStyle name="Normal 2 3 2 8 2 10 2" xfId="20955"/>
    <cellStyle name="Normal 2 3 2 8 2 11" xfId="20956"/>
    <cellStyle name="Normal 2 3 2 8 2 11 2" xfId="20957"/>
    <cellStyle name="Normal 2 3 2 8 2 12" xfId="20958"/>
    <cellStyle name="Normal 2 3 2 8 2 2" xfId="20959"/>
    <cellStyle name="Normal 2 3 2 8 2 2 10" xfId="20960"/>
    <cellStyle name="Normal 2 3 2 8 2 2 10 2" xfId="20961"/>
    <cellStyle name="Normal 2 3 2 8 2 2 11" xfId="20962"/>
    <cellStyle name="Normal 2 3 2 8 2 2 2" xfId="20963"/>
    <cellStyle name="Normal 2 3 2 8 2 2 2 2" xfId="20964"/>
    <cellStyle name="Normal 2 3 2 8 2 2 3" xfId="20965"/>
    <cellStyle name="Normal 2 3 2 8 2 2 3 2" xfId="20966"/>
    <cellStyle name="Normal 2 3 2 8 2 2 4" xfId="20967"/>
    <cellStyle name="Normal 2 3 2 8 2 2 4 2" xfId="20968"/>
    <cellStyle name="Normal 2 3 2 8 2 2 5" xfId="20969"/>
    <cellStyle name="Normal 2 3 2 8 2 2 5 2" xfId="20970"/>
    <cellStyle name="Normal 2 3 2 8 2 2 6" xfId="20971"/>
    <cellStyle name="Normal 2 3 2 8 2 2 6 2" xfId="20972"/>
    <cellStyle name="Normal 2 3 2 8 2 2 7" xfId="20973"/>
    <cellStyle name="Normal 2 3 2 8 2 2 7 2" xfId="20974"/>
    <cellStyle name="Normal 2 3 2 8 2 2 8" xfId="20975"/>
    <cellStyle name="Normal 2 3 2 8 2 2 8 2" xfId="20976"/>
    <cellStyle name="Normal 2 3 2 8 2 2 9" xfId="20977"/>
    <cellStyle name="Normal 2 3 2 8 2 2 9 2" xfId="20978"/>
    <cellStyle name="Normal 2 3 2 8 2 3" xfId="20979"/>
    <cellStyle name="Normal 2 3 2 8 2 3 2" xfId="20980"/>
    <cellStyle name="Normal 2 3 2 8 2 4" xfId="20981"/>
    <cellStyle name="Normal 2 3 2 8 2 4 2" xfId="20982"/>
    <cellStyle name="Normal 2 3 2 8 2 5" xfId="20983"/>
    <cellStyle name="Normal 2 3 2 8 2 5 2" xfId="20984"/>
    <cellStyle name="Normal 2 3 2 8 2 6" xfId="20985"/>
    <cellStyle name="Normal 2 3 2 8 2 6 2" xfId="20986"/>
    <cellStyle name="Normal 2 3 2 8 2 7" xfId="20987"/>
    <cellStyle name="Normal 2 3 2 8 2 7 2" xfId="20988"/>
    <cellStyle name="Normal 2 3 2 8 2 8" xfId="20989"/>
    <cellStyle name="Normal 2 3 2 8 2 8 2" xfId="20990"/>
    <cellStyle name="Normal 2 3 2 8 2 9" xfId="20991"/>
    <cellStyle name="Normal 2 3 2 8 2 9 2" xfId="20992"/>
    <cellStyle name="Normal 2 3 2 8 3" xfId="20993"/>
    <cellStyle name="Normal 2 3 2 8 3 10" xfId="20994"/>
    <cellStyle name="Normal 2 3 2 8 3 10 2" xfId="20995"/>
    <cellStyle name="Normal 2 3 2 8 3 11" xfId="20996"/>
    <cellStyle name="Normal 2 3 2 8 3 2" xfId="20997"/>
    <cellStyle name="Normal 2 3 2 8 3 2 2" xfId="20998"/>
    <cellStyle name="Normal 2 3 2 8 3 3" xfId="20999"/>
    <cellStyle name="Normal 2 3 2 8 3 3 2" xfId="21000"/>
    <cellStyle name="Normal 2 3 2 8 3 4" xfId="21001"/>
    <cellStyle name="Normal 2 3 2 8 3 4 2" xfId="21002"/>
    <cellStyle name="Normal 2 3 2 8 3 5" xfId="21003"/>
    <cellStyle name="Normal 2 3 2 8 3 5 2" xfId="21004"/>
    <cellStyle name="Normal 2 3 2 8 3 6" xfId="21005"/>
    <cellStyle name="Normal 2 3 2 8 3 6 2" xfId="21006"/>
    <cellStyle name="Normal 2 3 2 8 3 7" xfId="21007"/>
    <cellStyle name="Normal 2 3 2 8 3 7 2" xfId="21008"/>
    <cellStyle name="Normal 2 3 2 8 3 8" xfId="21009"/>
    <cellStyle name="Normal 2 3 2 8 3 8 2" xfId="21010"/>
    <cellStyle name="Normal 2 3 2 8 3 9" xfId="21011"/>
    <cellStyle name="Normal 2 3 2 8 3 9 2" xfId="21012"/>
    <cellStyle name="Normal 2 3 2 8 4" xfId="21013"/>
    <cellStyle name="Normal 2 3 2 8 4 2" xfId="21014"/>
    <cellStyle name="Normal 2 3 2 8 5" xfId="21015"/>
    <cellStyle name="Normal 2 3 2 8 5 2" xfId="21016"/>
    <cellStyle name="Normal 2 3 2 8 6" xfId="21017"/>
    <cellStyle name="Normal 2 3 2 8 6 2" xfId="21018"/>
    <cellStyle name="Normal 2 3 2 8 7" xfId="21019"/>
    <cellStyle name="Normal 2 3 2 8 7 2" xfId="21020"/>
    <cellStyle name="Normal 2 3 2 8 8" xfId="21021"/>
    <cellStyle name="Normal 2 3 2 8 8 2" xfId="21022"/>
    <cellStyle name="Normal 2 3 2 8 9" xfId="21023"/>
    <cellStyle name="Normal 2 3 2 8 9 2" xfId="21024"/>
    <cellStyle name="Normal 2 3 2 9" xfId="21025"/>
    <cellStyle name="Normal 2 3 2 9 2" xfId="21026"/>
    <cellStyle name="Normal 2 3 2 9 2 10" xfId="21027"/>
    <cellStyle name="Normal 2 3 2 9 2 10 2" xfId="21028"/>
    <cellStyle name="Normal 2 3 2 9 2 11" xfId="21029"/>
    <cellStyle name="Normal 2 3 2 9 2 11 2" xfId="21030"/>
    <cellStyle name="Normal 2 3 2 9 2 12" xfId="21031"/>
    <cellStyle name="Normal 2 3 2 9 2 12 2" xfId="21032"/>
    <cellStyle name="Normal 2 3 2 9 2 13" xfId="21033"/>
    <cellStyle name="Normal 2 3 2 9 2 13 2" xfId="21034"/>
    <cellStyle name="Normal 2 3 2 9 2 14" xfId="21035"/>
    <cellStyle name="Normal 2 3 2 9 2 14 2" xfId="21036"/>
    <cellStyle name="Normal 2 3 2 9 2 15" xfId="21037"/>
    <cellStyle name="Normal 2 3 2 9 2 15 2" xfId="21038"/>
    <cellStyle name="Normal 2 3 2 9 2 16" xfId="21039"/>
    <cellStyle name="Normal 2 3 2 9 2 16 2" xfId="21040"/>
    <cellStyle name="Normal 2 3 2 9 2 17" xfId="21041"/>
    <cellStyle name="Normal 2 3 2 9 2 2" xfId="21042"/>
    <cellStyle name="Normal 2 3 2 9 2 2 2" xfId="21043"/>
    <cellStyle name="Normal 2 3 2 9 2 2 2 10" xfId="21044"/>
    <cellStyle name="Normal 2 3 2 9 2 2 2 10 2" xfId="21045"/>
    <cellStyle name="Normal 2 3 2 9 2 2 2 11" xfId="21046"/>
    <cellStyle name="Normal 2 3 2 9 2 2 2 11 2" xfId="21047"/>
    <cellStyle name="Normal 2 3 2 9 2 2 2 12" xfId="21048"/>
    <cellStyle name="Normal 2 3 2 9 2 2 2 12 2" xfId="21049"/>
    <cellStyle name="Normal 2 3 2 9 2 2 2 13" xfId="21050"/>
    <cellStyle name="Normal 2 3 2 9 2 2 2 2" xfId="21051"/>
    <cellStyle name="Normal 2 3 2 9 2 2 2 2 10" xfId="21052"/>
    <cellStyle name="Normal 2 3 2 9 2 2 2 2 10 2" xfId="21053"/>
    <cellStyle name="Normal 2 3 2 9 2 2 2 2 11" xfId="21054"/>
    <cellStyle name="Normal 2 3 2 9 2 2 2 2 11 2" xfId="21055"/>
    <cellStyle name="Normal 2 3 2 9 2 2 2 2 12" xfId="21056"/>
    <cellStyle name="Normal 2 3 2 9 2 2 2 2 2" xfId="21057"/>
    <cellStyle name="Normal 2 3 2 9 2 2 2 2 2 10" xfId="21058"/>
    <cellStyle name="Normal 2 3 2 9 2 2 2 2 2 10 2" xfId="21059"/>
    <cellStyle name="Normal 2 3 2 9 2 2 2 2 2 11" xfId="21060"/>
    <cellStyle name="Normal 2 3 2 9 2 2 2 2 2 2" xfId="21061"/>
    <cellStyle name="Normal 2 3 2 9 2 2 2 2 2 2 2" xfId="21062"/>
    <cellStyle name="Normal 2 3 2 9 2 2 2 2 2 3" xfId="21063"/>
    <cellStyle name="Normal 2 3 2 9 2 2 2 2 2 3 2" xfId="21064"/>
    <cellStyle name="Normal 2 3 2 9 2 2 2 2 2 4" xfId="21065"/>
    <cellStyle name="Normal 2 3 2 9 2 2 2 2 2 4 2" xfId="21066"/>
    <cellStyle name="Normal 2 3 2 9 2 2 2 2 2 5" xfId="21067"/>
    <cellStyle name="Normal 2 3 2 9 2 2 2 2 2 5 2" xfId="21068"/>
    <cellStyle name="Normal 2 3 2 9 2 2 2 2 2 6" xfId="21069"/>
    <cellStyle name="Normal 2 3 2 9 2 2 2 2 2 6 2" xfId="21070"/>
    <cellStyle name="Normal 2 3 2 9 2 2 2 2 2 7" xfId="21071"/>
    <cellStyle name="Normal 2 3 2 9 2 2 2 2 2 7 2" xfId="21072"/>
    <cellStyle name="Normal 2 3 2 9 2 2 2 2 2 8" xfId="21073"/>
    <cellStyle name="Normal 2 3 2 9 2 2 2 2 2 8 2" xfId="21074"/>
    <cellStyle name="Normal 2 3 2 9 2 2 2 2 2 9" xfId="21075"/>
    <cellStyle name="Normal 2 3 2 9 2 2 2 2 2 9 2" xfId="21076"/>
    <cellStyle name="Normal 2 3 2 9 2 2 2 2 3" xfId="21077"/>
    <cellStyle name="Normal 2 3 2 9 2 2 2 2 3 2" xfId="21078"/>
    <cellStyle name="Normal 2 3 2 9 2 2 2 2 4" xfId="21079"/>
    <cellStyle name="Normal 2 3 2 9 2 2 2 2 4 2" xfId="21080"/>
    <cellStyle name="Normal 2 3 2 9 2 2 2 2 5" xfId="21081"/>
    <cellStyle name="Normal 2 3 2 9 2 2 2 2 5 2" xfId="21082"/>
    <cellStyle name="Normal 2 3 2 9 2 2 2 2 6" xfId="21083"/>
    <cellStyle name="Normal 2 3 2 9 2 2 2 2 6 2" xfId="21084"/>
    <cellStyle name="Normal 2 3 2 9 2 2 2 2 7" xfId="21085"/>
    <cellStyle name="Normal 2 3 2 9 2 2 2 2 7 2" xfId="21086"/>
    <cellStyle name="Normal 2 3 2 9 2 2 2 2 8" xfId="21087"/>
    <cellStyle name="Normal 2 3 2 9 2 2 2 2 8 2" xfId="21088"/>
    <cellStyle name="Normal 2 3 2 9 2 2 2 2 9" xfId="21089"/>
    <cellStyle name="Normal 2 3 2 9 2 2 2 2 9 2" xfId="21090"/>
    <cellStyle name="Normal 2 3 2 9 2 2 2 3" xfId="21091"/>
    <cellStyle name="Normal 2 3 2 9 2 2 2 3 10" xfId="21092"/>
    <cellStyle name="Normal 2 3 2 9 2 2 2 3 10 2" xfId="21093"/>
    <cellStyle name="Normal 2 3 2 9 2 2 2 3 11" xfId="21094"/>
    <cellStyle name="Normal 2 3 2 9 2 2 2 3 2" xfId="21095"/>
    <cellStyle name="Normal 2 3 2 9 2 2 2 3 2 2" xfId="21096"/>
    <cellStyle name="Normal 2 3 2 9 2 2 2 3 3" xfId="21097"/>
    <cellStyle name="Normal 2 3 2 9 2 2 2 3 3 2" xfId="21098"/>
    <cellStyle name="Normal 2 3 2 9 2 2 2 3 4" xfId="21099"/>
    <cellStyle name="Normal 2 3 2 9 2 2 2 3 4 2" xfId="21100"/>
    <cellStyle name="Normal 2 3 2 9 2 2 2 3 5" xfId="21101"/>
    <cellStyle name="Normal 2 3 2 9 2 2 2 3 5 2" xfId="21102"/>
    <cellStyle name="Normal 2 3 2 9 2 2 2 3 6" xfId="21103"/>
    <cellStyle name="Normal 2 3 2 9 2 2 2 3 6 2" xfId="21104"/>
    <cellStyle name="Normal 2 3 2 9 2 2 2 3 7" xfId="21105"/>
    <cellStyle name="Normal 2 3 2 9 2 2 2 3 7 2" xfId="21106"/>
    <cellStyle name="Normal 2 3 2 9 2 2 2 3 8" xfId="21107"/>
    <cellStyle name="Normal 2 3 2 9 2 2 2 3 8 2" xfId="21108"/>
    <cellStyle name="Normal 2 3 2 9 2 2 2 3 9" xfId="21109"/>
    <cellStyle name="Normal 2 3 2 9 2 2 2 3 9 2" xfId="21110"/>
    <cellStyle name="Normal 2 3 2 9 2 2 2 4" xfId="21111"/>
    <cellStyle name="Normal 2 3 2 9 2 2 2 4 2" xfId="21112"/>
    <cellStyle name="Normal 2 3 2 9 2 2 2 5" xfId="21113"/>
    <cellStyle name="Normal 2 3 2 9 2 2 2 5 2" xfId="21114"/>
    <cellStyle name="Normal 2 3 2 9 2 2 2 6" xfId="21115"/>
    <cellStyle name="Normal 2 3 2 9 2 2 2 6 2" xfId="21116"/>
    <cellStyle name="Normal 2 3 2 9 2 2 2 7" xfId="21117"/>
    <cellStyle name="Normal 2 3 2 9 2 2 2 7 2" xfId="21118"/>
    <cellStyle name="Normal 2 3 2 9 2 2 2 8" xfId="21119"/>
    <cellStyle name="Normal 2 3 2 9 2 2 2 8 2" xfId="21120"/>
    <cellStyle name="Normal 2 3 2 9 2 2 2 9" xfId="21121"/>
    <cellStyle name="Normal 2 3 2 9 2 2 2 9 2" xfId="21122"/>
    <cellStyle name="Normal 2 3 2 9 2 2 3" xfId="21123"/>
    <cellStyle name="Normal 2 3 2 9 2 2 3 10" xfId="21124"/>
    <cellStyle name="Normal 2 3 2 9 2 2 3 10 2" xfId="21125"/>
    <cellStyle name="Normal 2 3 2 9 2 2 3 11" xfId="21126"/>
    <cellStyle name="Normal 2 3 2 9 2 2 3 11 2" xfId="21127"/>
    <cellStyle name="Normal 2 3 2 9 2 2 3 12" xfId="21128"/>
    <cellStyle name="Normal 2 3 2 9 2 2 3 12 2" xfId="21129"/>
    <cellStyle name="Normal 2 3 2 9 2 2 3 13" xfId="21130"/>
    <cellStyle name="Normal 2 3 2 9 2 2 3 2" xfId="21131"/>
    <cellStyle name="Normal 2 3 2 9 2 2 3 2 10" xfId="21132"/>
    <cellStyle name="Normal 2 3 2 9 2 2 3 2 10 2" xfId="21133"/>
    <cellStyle name="Normal 2 3 2 9 2 2 3 2 11" xfId="21134"/>
    <cellStyle name="Normal 2 3 2 9 2 2 3 2 11 2" xfId="21135"/>
    <cellStyle name="Normal 2 3 2 9 2 2 3 2 12" xfId="21136"/>
    <cellStyle name="Normal 2 3 2 9 2 2 3 2 2" xfId="21137"/>
    <cellStyle name="Normal 2 3 2 9 2 2 3 2 2 10" xfId="21138"/>
    <cellStyle name="Normal 2 3 2 9 2 2 3 2 2 10 2" xfId="21139"/>
    <cellStyle name="Normal 2 3 2 9 2 2 3 2 2 11" xfId="21140"/>
    <cellStyle name="Normal 2 3 2 9 2 2 3 2 2 2" xfId="21141"/>
    <cellStyle name="Normal 2 3 2 9 2 2 3 2 2 2 2" xfId="21142"/>
    <cellStyle name="Normal 2 3 2 9 2 2 3 2 2 3" xfId="21143"/>
    <cellStyle name="Normal 2 3 2 9 2 2 3 2 2 3 2" xfId="21144"/>
    <cellStyle name="Normal 2 3 2 9 2 2 3 2 2 4" xfId="21145"/>
    <cellStyle name="Normal 2 3 2 9 2 2 3 2 2 4 2" xfId="21146"/>
    <cellStyle name="Normal 2 3 2 9 2 2 3 2 2 5" xfId="21147"/>
    <cellStyle name="Normal 2 3 2 9 2 2 3 2 2 5 2" xfId="21148"/>
    <cellStyle name="Normal 2 3 2 9 2 2 3 2 2 6" xfId="21149"/>
    <cellStyle name="Normal 2 3 2 9 2 2 3 2 2 6 2" xfId="21150"/>
    <cellStyle name="Normal 2 3 2 9 2 2 3 2 2 7" xfId="21151"/>
    <cellStyle name="Normal 2 3 2 9 2 2 3 2 2 7 2" xfId="21152"/>
    <cellStyle name="Normal 2 3 2 9 2 2 3 2 2 8" xfId="21153"/>
    <cellStyle name="Normal 2 3 2 9 2 2 3 2 2 8 2" xfId="21154"/>
    <cellStyle name="Normal 2 3 2 9 2 2 3 2 2 9" xfId="21155"/>
    <cellStyle name="Normal 2 3 2 9 2 2 3 2 2 9 2" xfId="21156"/>
    <cellStyle name="Normal 2 3 2 9 2 2 3 2 3" xfId="21157"/>
    <cellStyle name="Normal 2 3 2 9 2 2 3 2 3 2" xfId="21158"/>
    <cellStyle name="Normal 2 3 2 9 2 2 3 2 4" xfId="21159"/>
    <cellStyle name="Normal 2 3 2 9 2 2 3 2 4 2" xfId="21160"/>
    <cellStyle name="Normal 2 3 2 9 2 2 3 2 5" xfId="21161"/>
    <cellStyle name="Normal 2 3 2 9 2 2 3 2 5 2" xfId="21162"/>
    <cellStyle name="Normal 2 3 2 9 2 2 3 2 6" xfId="21163"/>
    <cellStyle name="Normal 2 3 2 9 2 2 3 2 6 2" xfId="21164"/>
    <cellStyle name="Normal 2 3 2 9 2 2 3 2 7" xfId="21165"/>
    <cellStyle name="Normal 2 3 2 9 2 2 3 2 7 2" xfId="21166"/>
    <cellStyle name="Normal 2 3 2 9 2 2 3 2 8" xfId="21167"/>
    <cellStyle name="Normal 2 3 2 9 2 2 3 2 8 2" xfId="21168"/>
    <cellStyle name="Normal 2 3 2 9 2 2 3 2 9" xfId="21169"/>
    <cellStyle name="Normal 2 3 2 9 2 2 3 2 9 2" xfId="21170"/>
    <cellStyle name="Normal 2 3 2 9 2 2 3 3" xfId="21171"/>
    <cellStyle name="Normal 2 3 2 9 2 2 3 3 10" xfId="21172"/>
    <cellStyle name="Normal 2 3 2 9 2 2 3 3 10 2" xfId="21173"/>
    <cellStyle name="Normal 2 3 2 9 2 2 3 3 11" xfId="21174"/>
    <cellStyle name="Normal 2 3 2 9 2 2 3 3 2" xfId="21175"/>
    <cellStyle name="Normal 2 3 2 9 2 2 3 3 2 2" xfId="21176"/>
    <cellStyle name="Normal 2 3 2 9 2 2 3 3 3" xfId="21177"/>
    <cellStyle name="Normal 2 3 2 9 2 2 3 3 3 2" xfId="21178"/>
    <cellStyle name="Normal 2 3 2 9 2 2 3 3 4" xfId="21179"/>
    <cellStyle name="Normal 2 3 2 9 2 2 3 3 4 2" xfId="21180"/>
    <cellStyle name="Normal 2 3 2 9 2 2 3 3 5" xfId="21181"/>
    <cellStyle name="Normal 2 3 2 9 2 2 3 3 5 2" xfId="21182"/>
    <cellStyle name="Normal 2 3 2 9 2 2 3 3 6" xfId="21183"/>
    <cellStyle name="Normal 2 3 2 9 2 2 3 3 6 2" xfId="21184"/>
    <cellStyle name="Normal 2 3 2 9 2 2 3 3 7" xfId="21185"/>
    <cellStyle name="Normal 2 3 2 9 2 2 3 3 7 2" xfId="21186"/>
    <cellStyle name="Normal 2 3 2 9 2 2 3 3 8" xfId="21187"/>
    <cellStyle name="Normal 2 3 2 9 2 2 3 3 8 2" xfId="21188"/>
    <cellStyle name="Normal 2 3 2 9 2 2 3 3 9" xfId="21189"/>
    <cellStyle name="Normal 2 3 2 9 2 2 3 3 9 2" xfId="21190"/>
    <cellStyle name="Normal 2 3 2 9 2 2 3 4" xfId="21191"/>
    <cellStyle name="Normal 2 3 2 9 2 2 3 4 2" xfId="21192"/>
    <cellStyle name="Normal 2 3 2 9 2 2 3 5" xfId="21193"/>
    <cellStyle name="Normal 2 3 2 9 2 2 3 5 2" xfId="21194"/>
    <cellStyle name="Normal 2 3 2 9 2 2 3 6" xfId="21195"/>
    <cellStyle name="Normal 2 3 2 9 2 2 3 6 2" xfId="21196"/>
    <cellStyle name="Normal 2 3 2 9 2 2 3 7" xfId="21197"/>
    <cellStyle name="Normal 2 3 2 9 2 2 3 7 2" xfId="21198"/>
    <cellStyle name="Normal 2 3 2 9 2 2 3 8" xfId="21199"/>
    <cellStyle name="Normal 2 3 2 9 2 2 3 8 2" xfId="21200"/>
    <cellStyle name="Normal 2 3 2 9 2 2 3 9" xfId="21201"/>
    <cellStyle name="Normal 2 3 2 9 2 2 3 9 2" xfId="21202"/>
    <cellStyle name="Normal 2 3 2 9 2 2 4" xfId="21203"/>
    <cellStyle name="Normal 2 3 2 9 2 2 4 10" xfId="21204"/>
    <cellStyle name="Normal 2 3 2 9 2 2 4 10 2" xfId="21205"/>
    <cellStyle name="Normal 2 3 2 9 2 2 4 11" xfId="21206"/>
    <cellStyle name="Normal 2 3 2 9 2 2 4 11 2" xfId="21207"/>
    <cellStyle name="Normal 2 3 2 9 2 2 4 12" xfId="21208"/>
    <cellStyle name="Normal 2 3 2 9 2 2 4 12 2" xfId="21209"/>
    <cellStyle name="Normal 2 3 2 9 2 2 4 13" xfId="21210"/>
    <cellStyle name="Normal 2 3 2 9 2 2 4 2" xfId="21211"/>
    <cellStyle name="Normal 2 3 2 9 2 2 4 2 10" xfId="21212"/>
    <cellStyle name="Normal 2 3 2 9 2 2 4 2 10 2" xfId="21213"/>
    <cellStyle name="Normal 2 3 2 9 2 2 4 2 11" xfId="21214"/>
    <cellStyle name="Normal 2 3 2 9 2 2 4 2 11 2" xfId="21215"/>
    <cellStyle name="Normal 2 3 2 9 2 2 4 2 12" xfId="21216"/>
    <cellStyle name="Normal 2 3 2 9 2 2 4 2 2" xfId="21217"/>
    <cellStyle name="Normal 2 3 2 9 2 2 4 2 2 10" xfId="21218"/>
    <cellStyle name="Normal 2 3 2 9 2 2 4 2 2 10 2" xfId="21219"/>
    <cellStyle name="Normal 2 3 2 9 2 2 4 2 2 11" xfId="21220"/>
    <cellStyle name="Normal 2 3 2 9 2 2 4 2 2 2" xfId="21221"/>
    <cellStyle name="Normal 2 3 2 9 2 2 4 2 2 2 2" xfId="21222"/>
    <cellStyle name="Normal 2 3 2 9 2 2 4 2 2 3" xfId="21223"/>
    <cellStyle name="Normal 2 3 2 9 2 2 4 2 2 3 2" xfId="21224"/>
    <cellStyle name="Normal 2 3 2 9 2 2 4 2 2 4" xfId="21225"/>
    <cellStyle name="Normal 2 3 2 9 2 2 4 2 2 4 2" xfId="21226"/>
    <cellStyle name="Normal 2 3 2 9 2 2 4 2 2 5" xfId="21227"/>
    <cellStyle name="Normal 2 3 2 9 2 2 4 2 2 5 2" xfId="21228"/>
    <cellStyle name="Normal 2 3 2 9 2 2 4 2 2 6" xfId="21229"/>
    <cellStyle name="Normal 2 3 2 9 2 2 4 2 2 6 2" xfId="21230"/>
    <cellStyle name="Normal 2 3 2 9 2 2 4 2 2 7" xfId="21231"/>
    <cellStyle name="Normal 2 3 2 9 2 2 4 2 2 7 2" xfId="21232"/>
    <cellStyle name="Normal 2 3 2 9 2 2 4 2 2 8" xfId="21233"/>
    <cellStyle name="Normal 2 3 2 9 2 2 4 2 2 8 2" xfId="21234"/>
    <cellStyle name="Normal 2 3 2 9 2 2 4 2 2 9" xfId="21235"/>
    <cellStyle name="Normal 2 3 2 9 2 2 4 2 2 9 2" xfId="21236"/>
    <cellStyle name="Normal 2 3 2 9 2 2 4 2 3" xfId="21237"/>
    <cellStyle name="Normal 2 3 2 9 2 2 4 2 3 2" xfId="21238"/>
    <cellStyle name="Normal 2 3 2 9 2 2 4 2 4" xfId="21239"/>
    <cellStyle name="Normal 2 3 2 9 2 2 4 2 4 2" xfId="21240"/>
    <cellStyle name="Normal 2 3 2 9 2 2 4 2 5" xfId="21241"/>
    <cellStyle name="Normal 2 3 2 9 2 2 4 2 5 2" xfId="21242"/>
    <cellStyle name="Normal 2 3 2 9 2 2 4 2 6" xfId="21243"/>
    <cellStyle name="Normal 2 3 2 9 2 2 4 2 6 2" xfId="21244"/>
    <cellStyle name="Normal 2 3 2 9 2 2 4 2 7" xfId="21245"/>
    <cellStyle name="Normal 2 3 2 9 2 2 4 2 7 2" xfId="21246"/>
    <cellStyle name="Normal 2 3 2 9 2 2 4 2 8" xfId="21247"/>
    <cellStyle name="Normal 2 3 2 9 2 2 4 2 8 2" xfId="21248"/>
    <cellStyle name="Normal 2 3 2 9 2 2 4 2 9" xfId="21249"/>
    <cellStyle name="Normal 2 3 2 9 2 2 4 2 9 2" xfId="21250"/>
    <cellStyle name="Normal 2 3 2 9 2 2 4 3" xfId="21251"/>
    <cellStyle name="Normal 2 3 2 9 2 2 4 3 10" xfId="21252"/>
    <cellStyle name="Normal 2 3 2 9 2 2 4 3 10 2" xfId="21253"/>
    <cellStyle name="Normal 2 3 2 9 2 2 4 3 11" xfId="21254"/>
    <cellStyle name="Normal 2 3 2 9 2 2 4 3 2" xfId="21255"/>
    <cellStyle name="Normal 2 3 2 9 2 2 4 3 2 2" xfId="21256"/>
    <cellStyle name="Normal 2 3 2 9 2 2 4 3 3" xfId="21257"/>
    <cellStyle name="Normal 2 3 2 9 2 2 4 3 3 2" xfId="21258"/>
    <cellStyle name="Normal 2 3 2 9 2 2 4 3 4" xfId="21259"/>
    <cellStyle name="Normal 2 3 2 9 2 2 4 3 4 2" xfId="21260"/>
    <cellStyle name="Normal 2 3 2 9 2 2 4 3 5" xfId="21261"/>
    <cellStyle name="Normal 2 3 2 9 2 2 4 3 5 2" xfId="21262"/>
    <cellStyle name="Normal 2 3 2 9 2 2 4 3 6" xfId="21263"/>
    <cellStyle name="Normal 2 3 2 9 2 2 4 3 6 2" xfId="21264"/>
    <cellStyle name="Normal 2 3 2 9 2 2 4 3 7" xfId="21265"/>
    <cellStyle name="Normal 2 3 2 9 2 2 4 3 7 2" xfId="21266"/>
    <cellStyle name="Normal 2 3 2 9 2 2 4 3 8" xfId="21267"/>
    <cellStyle name="Normal 2 3 2 9 2 2 4 3 8 2" xfId="21268"/>
    <cellStyle name="Normal 2 3 2 9 2 2 4 3 9" xfId="21269"/>
    <cellStyle name="Normal 2 3 2 9 2 2 4 3 9 2" xfId="21270"/>
    <cellStyle name="Normal 2 3 2 9 2 2 4 4" xfId="21271"/>
    <cellStyle name="Normal 2 3 2 9 2 2 4 4 2" xfId="21272"/>
    <cellStyle name="Normal 2 3 2 9 2 2 4 5" xfId="21273"/>
    <cellStyle name="Normal 2 3 2 9 2 2 4 5 2" xfId="21274"/>
    <cellStyle name="Normal 2 3 2 9 2 2 4 6" xfId="21275"/>
    <cellStyle name="Normal 2 3 2 9 2 2 4 6 2" xfId="21276"/>
    <cellStyle name="Normal 2 3 2 9 2 2 4 7" xfId="21277"/>
    <cellStyle name="Normal 2 3 2 9 2 2 4 7 2" xfId="21278"/>
    <cellStyle name="Normal 2 3 2 9 2 2 4 8" xfId="21279"/>
    <cellStyle name="Normal 2 3 2 9 2 2 4 8 2" xfId="21280"/>
    <cellStyle name="Normal 2 3 2 9 2 2 4 9" xfId="21281"/>
    <cellStyle name="Normal 2 3 2 9 2 2 4 9 2" xfId="21282"/>
    <cellStyle name="Normal 2 3 2 9 2 2 5" xfId="21283"/>
    <cellStyle name="Normal 2 3 2 9 2 2 5 10" xfId="21284"/>
    <cellStyle name="Normal 2 3 2 9 2 2 5 10 2" xfId="21285"/>
    <cellStyle name="Normal 2 3 2 9 2 2 5 11" xfId="21286"/>
    <cellStyle name="Normal 2 3 2 9 2 2 5 11 2" xfId="21287"/>
    <cellStyle name="Normal 2 3 2 9 2 2 5 12" xfId="21288"/>
    <cellStyle name="Normal 2 3 2 9 2 2 5 12 2" xfId="21289"/>
    <cellStyle name="Normal 2 3 2 9 2 2 5 13" xfId="21290"/>
    <cellStyle name="Normal 2 3 2 9 2 2 5 2" xfId="21291"/>
    <cellStyle name="Normal 2 3 2 9 2 2 5 2 10" xfId="21292"/>
    <cellStyle name="Normal 2 3 2 9 2 2 5 2 10 2" xfId="21293"/>
    <cellStyle name="Normal 2 3 2 9 2 2 5 2 11" xfId="21294"/>
    <cellStyle name="Normal 2 3 2 9 2 2 5 2 11 2" xfId="21295"/>
    <cellStyle name="Normal 2 3 2 9 2 2 5 2 12" xfId="21296"/>
    <cellStyle name="Normal 2 3 2 9 2 2 5 2 2" xfId="21297"/>
    <cellStyle name="Normal 2 3 2 9 2 2 5 2 2 10" xfId="21298"/>
    <cellStyle name="Normal 2 3 2 9 2 2 5 2 2 10 2" xfId="21299"/>
    <cellStyle name="Normal 2 3 2 9 2 2 5 2 2 11" xfId="21300"/>
    <cellStyle name="Normal 2 3 2 9 2 2 5 2 2 2" xfId="21301"/>
    <cellStyle name="Normal 2 3 2 9 2 2 5 2 2 2 2" xfId="21302"/>
    <cellStyle name="Normal 2 3 2 9 2 2 5 2 2 3" xfId="21303"/>
    <cellStyle name="Normal 2 3 2 9 2 2 5 2 2 3 2" xfId="21304"/>
    <cellStyle name="Normal 2 3 2 9 2 2 5 2 2 4" xfId="21305"/>
    <cellStyle name="Normal 2 3 2 9 2 2 5 2 2 4 2" xfId="21306"/>
    <cellStyle name="Normal 2 3 2 9 2 2 5 2 2 5" xfId="21307"/>
    <cellStyle name="Normal 2 3 2 9 2 2 5 2 2 5 2" xfId="21308"/>
    <cellStyle name="Normal 2 3 2 9 2 2 5 2 2 6" xfId="21309"/>
    <cellStyle name="Normal 2 3 2 9 2 2 5 2 2 6 2" xfId="21310"/>
    <cellStyle name="Normal 2 3 2 9 2 2 5 2 2 7" xfId="21311"/>
    <cellStyle name="Normal 2 3 2 9 2 2 5 2 2 7 2" xfId="21312"/>
    <cellStyle name="Normal 2 3 2 9 2 2 5 2 2 8" xfId="21313"/>
    <cellStyle name="Normal 2 3 2 9 2 2 5 2 2 8 2" xfId="21314"/>
    <cellStyle name="Normal 2 3 2 9 2 2 5 2 2 9" xfId="21315"/>
    <cellStyle name="Normal 2 3 2 9 2 2 5 2 2 9 2" xfId="21316"/>
    <cellStyle name="Normal 2 3 2 9 2 2 5 2 3" xfId="21317"/>
    <cellStyle name="Normal 2 3 2 9 2 2 5 2 3 2" xfId="21318"/>
    <cellStyle name="Normal 2 3 2 9 2 2 5 2 4" xfId="21319"/>
    <cellStyle name="Normal 2 3 2 9 2 2 5 2 4 2" xfId="21320"/>
    <cellStyle name="Normal 2 3 2 9 2 2 5 2 5" xfId="21321"/>
    <cellStyle name="Normal 2 3 2 9 2 2 5 2 5 2" xfId="21322"/>
    <cellStyle name="Normal 2 3 2 9 2 2 5 2 6" xfId="21323"/>
    <cellStyle name="Normal 2 3 2 9 2 2 5 2 6 2" xfId="21324"/>
    <cellStyle name="Normal 2 3 2 9 2 2 5 2 7" xfId="21325"/>
    <cellStyle name="Normal 2 3 2 9 2 2 5 2 7 2" xfId="21326"/>
    <cellStyle name="Normal 2 3 2 9 2 2 5 2 8" xfId="21327"/>
    <cellStyle name="Normal 2 3 2 9 2 2 5 2 8 2" xfId="21328"/>
    <cellStyle name="Normal 2 3 2 9 2 2 5 2 9" xfId="21329"/>
    <cellStyle name="Normal 2 3 2 9 2 2 5 2 9 2" xfId="21330"/>
    <cellStyle name="Normal 2 3 2 9 2 2 5 3" xfId="21331"/>
    <cellStyle name="Normal 2 3 2 9 2 2 5 3 10" xfId="21332"/>
    <cellStyle name="Normal 2 3 2 9 2 2 5 3 10 2" xfId="21333"/>
    <cellStyle name="Normal 2 3 2 9 2 2 5 3 11" xfId="21334"/>
    <cellStyle name="Normal 2 3 2 9 2 2 5 3 2" xfId="21335"/>
    <cellStyle name="Normal 2 3 2 9 2 2 5 3 2 2" xfId="21336"/>
    <cellStyle name="Normal 2 3 2 9 2 2 5 3 3" xfId="21337"/>
    <cellStyle name="Normal 2 3 2 9 2 2 5 3 3 2" xfId="21338"/>
    <cellStyle name="Normal 2 3 2 9 2 2 5 3 4" xfId="21339"/>
    <cellStyle name="Normal 2 3 2 9 2 2 5 3 4 2" xfId="21340"/>
    <cellStyle name="Normal 2 3 2 9 2 2 5 3 5" xfId="21341"/>
    <cellStyle name="Normal 2 3 2 9 2 2 5 3 5 2" xfId="21342"/>
    <cellStyle name="Normal 2 3 2 9 2 2 5 3 6" xfId="21343"/>
    <cellStyle name="Normal 2 3 2 9 2 2 5 3 6 2" xfId="21344"/>
    <cellStyle name="Normal 2 3 2 9 2 2 5 3 7" xfId="21345"/>
    <cellStyle name="Normal 2 3 2 9 2 2 5 3 7 2" xfId="21346"/>
    <cellStyle name="Normal 2 3 2 9 2 2 5 3 8" xfId="21347"/>
    <cellStyle name="Normal 2 3 2 9 2 2 5 3 8 2" xfId="21348"/>
    <cellStyle name="Normal 2 3 2 9 2 2 5 3 9" xfId="21349"/>
    <cellStyle name="Normal 2 3 2 9 2 2 5 3 9 2" xfId="21350"/>
    <cellStyle name="Normal 2 3 2 9 2 2 5 4" xfId="21351"/>
    <cellStyle name="Normal 2 3 2 9 2 2 5 4 2" xfId="21352"/>
    <cellStyle name="Normal 2 3 2 9 2 2 5 5" xfId="21353"/>
    <cellStyle name="Normal 2 3 2 9 2 2 5 5 2" xfId="21354"/>
    <cellStyle name="Normal 2 3 2 9 2 2 5 6" xfId="21355"/>
    <cellStyle name="Normal 2 3 2 9 2 2 5 6 2" xfId="21356"/>
    <cellStyle name="Normal 2 3 2 9 2 2 5 7" xfId="21357"/>
    <cellStyle name="Normal 2 3 2 9 2 2 5 7 2" xfId="21358"/>
    <cellStyle name="Normal 2 3 2 9 2 2 5 8" xfId="21359"/>
    <cellStyle name="Normal 2 3 2 9 2 2 5 8 2" xfId="21360"/>
    <cellStyle name="Normal 2 3 2 9 2 2 5 9" xfId="21361"/>
    <cellStyle name="Normal 2 3 2 9 2 2 5 9 2" xfId="21362"/>
    <cellStyle name="Normal 2 3 2 9 2 2 6" xfId="41976"/>
    <cellStyle name="Normal 2 3 2 9 2 3" xfId="21363"/>
    <cellStyle name="Normal 2 3 2 9 2 3 2" xfId="41977"/>
    <cellStyle name="Normal 2 3 2 9 2 4" xfId="21364"/>
    <cellStyle name="Normal 2 3 2 9 2 4 2" xfId="41978"/>
    <cellStyle name="Normal 2 3 2 9 2 5" xfId="21365"/>
    <cellStyle name="Normal 2 3 2 9 2 5 2" xfId="41979"/>
    <cellStyle name="Normal 2 3 2 9 2 6" xfId="21366"/>
    <cellStyle name="Normal 2 3 2 9 2 6 10" xfId="21367"/>
    <cellStyle name="Normal 2 3 2 9 2 6 10 2" xfId="21368"/>
    <cellStyle name="Normal 2 3 2 9 2 6 11" xfId="21369"/>
    <cellStyle name="Normal 2 3 2 9 2 6 11 2" xfId="21370"/>
    <cellStyle name="Normal 2 3 2 9 2 6 12" xfId="21371"/>
    <cellStyle name="Normal 2 3 2 9 2 6 2" xfId="21372"/>
    <cellStyle name="Normal 2 3 2 9 2 6 2 10" xfId="21373"/>
    <cellStyle name="Normal 2 3 2 9 2 6 2 10 2" xfId="21374"/>
    <cellStyle name="Normal 2 3 2 9 2 6 2 11" xfId="21375"/>
    <cellStyle name="Normal 2 3 2 9 2 6 2 2" xfId="21376"/>
    <cellStyle name="Normal 2 3 2 9 2 6 2 2 2" xfId="21377"/>
    <cellStyle name="Normal 2 3 2 9 2 6 2 3" xfId="21378"/>
    <cellStyle name="Normal 2 3 2 9 2 6 2 3 2" xfId="21379"/>
    <cellStyle name="Normal 2 3 2 9 2 6 2 4" xfId="21380"/>
    <cellStyle name="Normal 2 3 2 9 2 6 2 4 2" xfId="21381"/>
    <cellStyle name="Normal 2 3 2 9 2 6 2 5" xfId="21382"/>
    <cellStyle name="Normal 2 3 2 9 2 6 2 5 2" xfId="21383"/>
    <cellStyle name="Normal 2 3 2 9 2 6 2 6" xfId="21384"/>
    <cellStyle name="Normal 2 3 2 9 2 6 2 6 2" xfId="21385"/>
    <cellStyle name="Normal 2 3 2 9 2 6 2 7" xfId="21386"/>
    <cellStyle name="Normal 2 3 2 9 2 6 2 7 2" xfId="21387"/>
    <cellStyle name="Normal 2 3 2 9 2 6 2 8" xfId="21388"/>
    <cellStyle name="Normal 2 3 2 9 2 6 2 8 2" xfId="21389"/>
    <cellStyle name="Normal 2 3 2 9 2 6 2 9" xfId="21390"/>
    <cellStyle name="Normal 2 3 2 9 2 6 2 9 2" xfId="21391"/>
    <cellStyle name="Normal 2 3 2 9 2 6 3" xfId="21392"/>
    <cellStyle name="Normal 2 3 2 9 2 6 3 2" xfId="21393"/>
    <cellStyle name="Normal 2 3 2 9 2 6 4" xfId="21394"/>
    <cellStyle name="Normal 2 3 2 9 2 6 4 2" xfId="21395"/>
    <cellStyle name="Normal 2 3 2 9 2 6 5" xfId="21396"/>
    <cellStyle name="Normal 2 3 2 9 2 6 5 2" xfId="21397"/>
    <cellStyle name="Normal 2 3 2 9 2 6 6" xfId="21398"/>
    <cellStyle name="Normal 2 3 2 9 2 6 6 2" xfId="21399"/>
    <cellStyle name="Normal 2 3 2 9 2 6 7" xfId="21400"/>
    <cellStyle name="Normal 2 3 2 9 2 6 7 2" xfId="21401"/>
    <cellStyle name="Normal 2 3 2 9 2 6 8" xfId="21402"/>
    <cellStyle name="Normal 2 3 2 9 2 6 8 2" xfId="21403"/>
    <cellStyle name="Normal 2 3 2 9 2 6 9" xfId="21404"/>
    <cellStyle name="Normal 2 3 2 9 2 6 9 2" xfId="21405"/>
    <cellStyle name="Normal 2 3 2 9 2 7" xfId="21406"/>
    <cellStyle name="Normal 2 3 2 9 2 7 10" xfId="21407"/>
    <cellStyle name="Normal 2 3 2 9 2 7 10 2" xfId="21408"/>
    <cellStyle name="Normal 2 3 2 9 2 7 11" xfId="21409"/>
    <cellStyle name="Normal 2 3 2 9 2 7 2" xfId="21410"/>
    <cellStyle name="Normal 2 3 2 9 2 7 2 2" xfId="21411"/>
    <cellStyle name="Normal 2 3 2 9 2 7 3" xfId="21412"/>
    <cellStyle name="Normal 2 3 2 9 2 7 3 2" xfId="21413"/>
    <cellStyle name="Normal 2 3 2 9 2 7 4" xfId="21414"/>
    <cellStyle name="Normal 2 3 2 9 2 7 4 2" xfId="21415"/>
    <cellStyle name="Normal 2 3 2 9 2 7 5" xfId="21416"/>
    <cellStyle name="Normal 2 3 2 9 2 7 5 2" xfId="21417"/>
    <cellStyle name="Normal 2 3 2 9 2 7 6" xfId="21418"/>
    <cellStyle name="Normal 2 3 2 9 2 7 6 2" xfId="21419"/>
    <cellStyle name="Normal 2 3 2 9 2 7 7" xfId="21420"/>
    <cellStyle name="Normal 2 3 2 9 2 7 7 2" xfId="21421"/>
    <cellStyle name="Normal 2 3 2 9 2 7 8" xfId="21422"/>
    <cellStyle name="Normal 2 3 2 9 2 7 8 2" xfId="21423"/>
    <cellStyle name="Normal 2 3 2 9 2 7 9" xfId="21424"/>
    <cellStyle name="Normal 2 3 2 9 2 7 9 2" xfId="21425"/>
    <cellStyle name="Normal 2 3 2 9 2 8" xfId="21426"/>
    <cellStyle name="Normal 2 3 2 9 2 8 2" xfId="21427"/>
    <cellStyle name="Normal 2 3 2 9 2 9" xfId="21428"/>
    <cellStyle name="Normal 2 3 2 9 2 9 2" xfId="21429"/>
    <cellStyle name="Normal 2 3 2 9 3" xfId="21430"/>
    <cellStyle name="Normal 2 3 2 9 3 10" xfId="21431"/>
    <cellStyle name="Normal 2 3 2 9 3 10 2" xfId="21432"/>
    <cellStyle name="Normal 2 3 2 9 3 11" xfId="21433"/>
    <cellStyle name="Normal 2 3 2 9 3 11 2" xfId="21434"/>
    <cellStyle name="Normal 2 3 2 9 3 12" xfId="21435"/>
    <cellStyle name="Normal 2 3 2 9 3 12 2" xfId="21436"/>
    <cellStyle name="Normal 2 3 2 9 3 13" xfId="21437"/>
    <cellStyle name="Normal 2 3 2 9 3 2" xfId="21438"/>
    <cellStyle name="Normal 2 3 2 9 3 2 10" xfId="21439"/>
    <cellStyle name="Normal 2 3 2 9 3 2 10 2" xfId="21440"/>
    <cellStyle name="Normal 2 3 2 9 3 2 11" xfId="21441"/>
    <cellStyle name="Normal 2 3 2 9 3 2 11 2" xfId="21442"/>
    <cellStyle name="Normal 2 3 2 9 3 2 12" xfId="21443"/>
    <cellStyle name="Normal 2 3 2 9 3 2 2" xfId="21444"/>
    <cellStyle name="Normal 2 3 2 9 3 2 2 10" xfId="21445"/>
    <cellStyle name="Normal 2 3 2 9 3 2 2 10 2" xfId="21446"/>
    <cellStyle name="Normal 2 3 2 9 3 2 2 11" xfId="21447"/>
    <cellStyle name="Normal 2 3 2 9 3 2 2 2" xfId="21448"/>
    <cellStyle name="Normal 2 3 2 9 3 2 2 2 2" xfId="21449"/>
    <cellStyle name="Normal 2 3 2 9 3 2 2 3" xfId="21450"/>
    <cellStyle name="Normal 2 3 2 9 3 2 2 3 2" xfId="21451"/>
    <cellStyle name="Normal 2 3 2 9 3 2 2 4" xfId="21452"/>
    <cellStyle name="Normal 2 3 2 9 3 2 2 4 2" xfId="21453"/>
    <cellStyle name="Normal 2 3 2 9 3 2 2 5" xfId="21454"/>
    <cellStyle name="Normal 2 3 2 9 3 2 2 5 2" xfId="21455"/>
    <cellStyle name="Normal 2 3 2 9 3 2 2 6" xfId="21456"/>
    <cellStyle name="Normal 2 3 2 9 3 2 2 6 2" xfId="21457"/>
    <cellStyle name="Normal 2 3 2 9 3 2 2 7" xfId="21458"/>
    <cellStyle name="Normal 2 3 2 9 3 2 2 7 2" xfId="21459"/>
    <cellStyle name="Normal 2 3 2 9 3 2 2 8" xfId="21460"/>
    <cellStyle name="Normal 2 3 2 9 3 2 2 8 2" xfId="21461"/>
    <cellStyle name="Normal 2 3 2 9 3 2 2 9" xfId="21462"/>
    <cellStyle name="Normal 2 3 2 9 3 2 2 9 2" xfId="21463"/>
    <cellStyle name="Normal 2 3 2 9 3 2 3" xfId="21464"/>
    <cellStyle name="Normal 2 3 2 9 3 2 3 2" xfId="21465"/>
    <cellStyle name="Normal 2 3 2 9 3 2 4" xfId="21466"/>
    <cellStyle name="Normal 2 3 2 9 3 2 4 2" xfId="21467"/>
    <cellStyle name="Normal 2 3 2 9 3 2 5" xfId="21468"/>
    <cellStyle name="Normal 2 3 2 9 3 2 5 2" xfId="21469"/>
    <cellStyle name="Normal 2 3 2 9 3 2 6" xfId="21470"/>
    <cellStyle name="Normal 2 3 2 9 3 2 6 2" xfId="21471"/>
    <cellStyle name="Normal 2 3 2 9 3 2 7" xfId="21472"/>
    <cellStyle name="Normal 2 3 2 9 3 2 7 2" xfId="21473"/>
    <cellStyle name="Normal 2 3 2 9 3 2 8" xfId="21474"/>
    <cellStyle name="Normal 2 3 2 9 3 2 8 2" xfId="21475"/>
    <cellStyle name="Normal 2 3 2 9 3 2 9" xfId="21476"/>
    <cellStyle name="Normal 2 3 2 9 3 2 9 2" xfId="21477"/>
    <cellStyle name="Normal 2 3 2 9 3 3" xfId="21478"/>
    <cellStyle name="Normal 2 3 2 9 3 3 10" xfId="21479"/>
    <cellStyle name="Normal 2 3 2 9 3 3 10 2" xfId="21480"/>
    <cellStyle name="Normal 2 3 2 9 3 3 11" xfId="21481"/>
    <cellStyle name="Normal 2 3 2 9 3 3 2" xfId="21482"/>
    <cellStyle name="Normal 2 3 2 9 3 3 2 2" xfId="21483"/>
    <cellStyle name="Normal 2 3 2 9 3 3 3" xfId="21484"/>
    <cellStyle name="Normal 2 3 2 9 3 3 3 2" xfId="21485"/>
    <cellStyle name="Normal 2 3 2 9 3 3 4" xfId="21486"/>
    <cellStyle name="Normal 2 3 2 9 3 3 4 2" xfId="21487"/>
    <cellStyle name="Normal 2 3 2 9 3 3 5" xfId="21488"/>
    <cellStyle name="Normal 2 3 2 9 3 3 5 2" xfId="21489"/>
    <cellStyle name="Normal 2 3 2 9 3 3 6" xfId="21490"/>
    <cellStyle name="Normal 2 3 2 9 3 3 6 2" xfId="21491"/>
    <cellStyle name="Normal 2 3 2 9 3 3 7" xfId="21492"/>
    <cellStyle name="Normal 2 3 2 9 3 3 7 2" xfId="21493"/>
    <cellStyle name="Normal 2 3 2 9 3 3 8" xfId="21494"/>
    <cellStyle name="Normal 2 3 2 9 3 3 8 2" xfId="21495"/>
    <cellStyle name="Normal 2 3 2 9 3 3 9" xfId="21496"/>
    <cellStyle name="Normal 2 3 2 9 3 3 9 2" xfId="21497"/>
    <cellStyle name="Normal 2 3 2 9 3 4" xfId="21498"/>
    <cellStyle name="Normal 2 3 2 9 3 4 2" xfId="21499"/>
    <cellStyle name="Normal 2 3 2 9 3 5" xfId="21500"/>
    <cellStyle name="Normal 2 3 2 9 3 5 2" xfId="21501"/>
    <cellStyle name="Normal 2 3 2 9 3 6" xfId="21502"/>
    <cellStyle name="Normal 2 3 2 9 3 6 2" xfId="21503"/>
    <cellStyle name="Normal 2 3 2 9 3 7" xfId="21504"/>
    <cellStyle name="Normal 2 3 2 9 3 7 2" xfId="21505"/>
    <cellStyle name="Normal 2 3 2 9 3 8" xfId="21506"/>
    <cellStyle name="Normal 2 3 2 9 3 8 2" xfId="21507"/>
    <cellStyle name="Normal 2 3 2 9 3 9" xfId="21508"/>
    <cellStyle name="Normal 2 3 2 9 3 9 2" xfId="21509"/>
    <cellStyle name="Normal 2 3 2 9 4" xfId="21510"/>
    <cellStyle name="Normal 2 3 2 9 4 10" xfId="21511"/>
    <cellStyle name="Normal 2 3 2 9 4 10 2" xfId="21512"/>
    <cellStyle name="Normal 2 3 2 9 4 11" xfId="21513"/>
    <cellStyle name="Normal 2 3 2 9 4 11 2" xfId="21514"/>
    <cellStyle name="Normal 2 3 2 9 4 12" xfId="21515"/>
    <cellStyle name="Normal 2 3 2 9 4 12 2" xfId="21516"/>
    <cellStyle name="Normal 2 3 2 9 4 13" xfId="21517"/>
    <cellStyle name="Normal 2 3 2 9 4 2" xfId="21518"/>
    <cellStyle name="Normal 2 3 2 9 4 2 10" xfId="21519"/>
    <cellStyle name="Normal 2 3 2 9 4 2 10 2" xfId="21520"/>
    <cellStyle name="Normal 2 3 2 9 4 2 11" xfId="21521"/>
    <cellStyle name="Normal 2 3 2 9 4 2 11 2" xfId="21522"/>
    <cellStyle name="Normal 2 3 2 9 4 2 12" xfId="21523"/>
    <cellStyle name="Normal 2 3 2 9 4 2 2" xfId="21524"/>
    <cellStyle name="Normal 2 3 2 9 4 2 2 10" xfId="21525"/>
    <cellStyle name="Normal 2 3 2 9 4 2 2 10 2" xfId="21526"/>
    <cellStyle name="Normal 2 3 2 9 4 2 2 11" xfId="21527"/>
    <cellStyle name="Normal 2 3 2 9 4 2 2 2" xfId="21528"/>
    <cellStyle name="Normal 2 3 2 9 4 2 2 2 2" xfId="21529"/>
    <cellStyle name="Normal 2 3 2 9 4 2 2 3" xfId="21530"/>
    <cellStyle name="Normal 2 3 2 9 4 2 2 3 2" xfId="21531"/>
    <cellStyle name="Normal 2 3 2 9 4 2 2 4" xfId="21532"/>
    <cellStyle name="Normal 2 3 2 9 4 2 2 4 2" xfId="21533"/>
    <cellStyle name="Normal 2 3 2 9 4 2 2 5" xfId="21534"/>
    <cellStyle name="Normal 2 3 2 9 4 2 2 5 2" xfId="21535"/>
    <cellStyle name="Normal 2 3 2 9 4 2 2 6" xfId="21536"/>
    <cellStyle name="Normal 2 3 2 9 4 2 2 6 2" xfId="21537"/>
    <cellStyle name="Normal 2 3 2 9 4 2 2 7" xfId="21538"/>
    <cellStyle name="Normal 2 3 2 9 4 2 2 7 2" xfId="21539"/>
    <cellStyle name="Normal 2 3 2 9 4 2 2 8" xfId="21540"/>
    <cellStyle name="Normal 2 3 2 9 4 2 2 8 2" xfId="21541"/>
    <cellStyle name="Normal 2 3 2 9 4 2 2 9" xfId="21542"/>
    <cellStyle name="Normal 2 3 2 9 4 2 2 9 2" xfId="21543"/>
    <cellStyle name="Normal 2 3 2 9 4 2 3" xfId="21544"/>
    <cellStyle name="Normal 2 3 2 9 4 2 3 2" xfId="21545"/>
    <cellStyle name="Normal 2 3 2 9 4 2 4" xfId="21546"/>
    <cellStyle name="Normal 2 3 2 9 4 2 4 2" xfId="21547"/>
    <cellStyle name="Normal 2 3 2 9 4 2 5" xfId="21548"/>
    <cellStyle name="Normal 2 3 2 9 4 2 5 2" xfId="21549"/>
    <cellStyle name="Normal 2 3 2 9 4 2 6" xfId="21550"/>
    <cellStyle name="Normal 2 3 2 9 4 2 6 2" xfId="21551"/>
    <cellStyle name="Normal 2 3 2 9 4 2 7" xfId="21552"/>
    <cellStyle name="Normal 2 3 2 9 4 2 7 2" xfId="21553"/>
    <cellStyle name="Normal 2 3 2 9 4 2 8" xfId="21554"/>
    <cellStyle name="Normal 2 3 2 9 4 2 8 2" xfId="21555"/>
    <cellStyle name="Normal 2 3 2 9 4 2 9" xfId="21556"/>
    <cellStyle name="Normal 2 3 2 9 4 2 9 2" xfId="21557"/>
    <cellStyle name="Normal 2 3 2 9 4 3" xfId="21558"/>
    <cellStyle name="Normal 2 3 2 9 4 3 10" xfId="21559"/>
    <cellStyle name="Normal 2 3 2 9 4 3 10 2" xfId="21560"/>
    <cellStyle name="Normal 2 3 2 9 4 3 11" xfId="21561"/>
    <cellStyle name="Normal 2 3 2 9 4 3 2" xfId="21562"/>
    <cellStyle name="Normal 2 3 2 9 4 3 2 2" xfId="21563"/>
    <cellStyle name="Normal 2 3 2 9 4 3 3" xfId="21564"/>
    <cellStyle name="Normal 2 3 2 9 4 3 3 2" xfId="21565"/>
    <cellStyle name="Normal 2 3 2 9 4 3 4" xfId="21566"/>
    <cellStyle name="Normal 2 3 2 9 4 3 4 2" xfId="21567"/>
    <cellStyle name="Normal 2 3 2 9 4 3 5" xfId="21568"/>
    <cellStyle name="Normal 2 3 2 9 4 3 5 2" xfId="21569"/>
    <cellStyle name="Normal 2 3 2 9 4 3 6" xfId="21570"/>
    <cellStyle name="Normal 2 3 2 9 4 3 6 2" xfId="21571"/>
    <cellStyle name="Normal 2 3 2 9 4 3 7" xfId="21572"/>
    <cellStyle name="Normal 2 3 2 9 4 3 7 2" xfId="21573"/>
    <cellStyle name="Normal 2 3 2 9 4 3 8" xfId="21574"/>
    <cellStyle name="Normal 2 3 2 9 4 3 8 2" xfId="21575"/>
    <cellStyle name="Normal 2 3 2 9 4 3 9" xfId="21576"/>
    <cellStyle name="Normal 2 3 2 9 4 3 9 2" xfId="21577"/>
    <cellStyle name="Normal 2 3 2 9 4 4" xfId="21578"/>
    <cellStyle name="Normal 2 3 2 9 4 4 2" xfId="21579"/>
    <cellStyle name="Normal 2 3 2 9 4 5" xfId="21580"/>
    <cellStyle name="Normal 2 3 2 9 4 5 2" xfId="21581"/>
    <cellStyle name="Normal 2 3 2 9 4 6" xfId="21582"/>
    <cellStyle name="Normal 2 3 2 9 4 6 2" xfId="21583"/>
    <cellStyle name="Normal 2 3 2 9 4 7" xfId="21584"/>
    <cellStyle name="Normal 2 3 2 9 4 7 2" xfId="21585"/>
    <cellStyle name="Normal 2 3 2 9 4 8" xfId="21586"/>
    <cellStyle name="Normal 2 3 2 9 4 8 2" xfId="21587"/>
    <cellStyle name="Normal 2 3 2 9 4 9" xfId="21588"/>
    <cellStyle name="Normal 2 3 2 9 4 9 2" xfId="21589"/>
    <cellStyle name="Normal 2 3 2 9 5" xfId="21590"/>
    <cellStyle name="Normal 2 3 2 9 5 10" xfId="21591"/>
    <cellStyle name="Normal 2 3 2 9 5 10 2" xfId="21592"/>
    <cellStyle name="Normal 2 3 2 9 5 11" xfId="21593"/>
    <cellStyle name="Normal 2 3 2 9 5 11 2" xfId="21594"/>
    <cellStyle name="Normal 2 3 2 9 5 12" xfId="21595"/>
    <cellStyle name="Normal 2 3 2 9 5 12 2" xfId="21596"/>
    <cellStyle name="Normal 2 3 2 9 5 13" xfId="21597"/>
    <cellStyle name="Normal 2 3 2 9 5 2" xfId="21598"/>
    <cellStyle name="Normal 2 3 2 9 5 2 10" xfId="21599"/>
    <cellStyle name="Normal 2 3 2 9 5 2 10 2" xfId="21600"/>
    <cellStyle name="Normal 2 3 2 9 5 2 11" xfId="21601"/>
    <cellStyle name="Normal 2 3 2 9 5 2 11 2" xfId="21602"/>
    <cellStyle name="Normal 2 3 2 9 5 2 12" xfId="21603"/>
    <cellStyle name="Normal 2 3 2 9 5 2 2" xfId="21604"/>
    <cellStyle name="Normal 2 3 2 9 5 2 2 10" xfId="21605"/>
    <cellStyle name="Normal 2 3 2 9 5 2 2 10 2" xfId="21606"/>
    <cellStyle name="Normal 2 3 2 9 5 2 2 11" xfId="21607"/>
    <cellStyle name="Normal 2 3 2 9 5 2 2 2" xfId="21608"/>
    <cellStyle name="Normal 2 3 2 9 5 2 2 2 2" xfId="21609"/>
    <cellStyle name="Normal 2 3 2 9 5 2 2 3" xfId="21610"/>
    <cellStyle name="Normal 2 3 2 9 5 2 2 3 2" xfId="21611"/>
    <cellStyle name="Normal 2 3 2 9 5 2 2 4" xfId="21612"/>
    <cellStyle name="Normal 2 3 2 9 5 2 2 4 2" xfId="21613"/>
    <cellStyle name="Normal 2 3 2 9 5 2 2 5" xfId="21614"/>
    <cellStyle name="Normal 2 3 2 9 5 2 2 5 2" xfId="21615"/>
    <cellStyle name="Normal 2 3 2 9 5 2 2 6" xfId="21616"/>
    <cellStyle name="Normal 2 3 2 9 5 2 2 6 2" xfId="21617"/>
    <cellStyle name="Normal 2 3 2 9 5 2 2 7" xfId="21618"/>
    <cellStyle name="Normal 2 3 2 9 5 2 2 7 2" xfId="21619"/>
    <cellStyle name="Normal 2 3 2 9 5 2 2 8" xfId="21620"/>
    <cellStyle name="Normal 2 3 2 9 5 2 2 8 2" xfId="21621"/>
    <cellStyle name="Normal 2 3 2 9 5 2 2 9" xfId="21622"/>
    <cellStyle name="Normal 2 3 2 9 5 2 2 9 2" xfId="21623"/>
    <cellStyle name="Normal 2 3 2 9 5 2 3" xfId="21624"/>
    <cellStyle name="Normal 2 3 2 9 5 2 3 2" xfId="21625"/>
    <cellStyle name="Normal 2 3 2 9 5 2 4" xfId="21626"/>
    <cellStyle name="Normal 2 3 2 9 5 2 4 2" xfId="21627"/>
    <cellStyle name="Normal 2 3 2 9 5 2 5" xfId="21628"/>
    <cellStyle name="Normal 2 3 2 9 5 2 5 2" xfId="21629"/>
    <cellStyle name="Normal 2 3 2 9 5 2 6" xfId="21630"/>
    <cellStyle name="Normal 2 3 2 9 5 2 6 2" xfId="21631"/>
    <cellStyle name="Normal 2 3 2 9 5 2 7" xfId="21632"/>
    <cellStyle name="Normal 2 3 2 9 5 2 7 2" xfId="21633"/>
    <cellStyle name="Normal 2 3 2 9 5 2 8" xfId="21634"/>
    <cellStyle name="Normal 2 3 2 9 5 2 8 2" xfId="21635"/>
    <cellStyle name="Normal 2 3 2 9 5 2 9" xfId="21636"/>
    <cellStyle name="Normal 2 3 2 9 5 2 9 2" xfId="21637"/>
    <cellStyle name="Normal 2 3 2 9 5 3" xfId="21638"/>
    <cellStyle name="Normal 2 3 2 9 5 3 10" xfId="21639"/>
    <cellStyle name="Normal 2 3 2 9 5 3 10 2" xfId="21640"/>
    <cellStyle name="Normal 2 3 2 9 5 3 11" xfId="21641"/>
    <cellStyle name="Normal 2 3 2 9 5 3 2" xfId="21642"/>
    <cellStyle name="Normal 2 3 2 9 5 3 2 2" xfId="21643"/>
    <cellStyle name="Normal 2 3 2 9 5 3 3" xfId="21644"/>
    <cellStyle name="Normal 2 3 2 9 5 3 3 2" xfId="21645"/>
    <cellStyle name="Normal 2 3 2 9 5 3 4" xfId="21646"/>
    <cellStyle name="Normal 2 3 2 9 5 3 4 2" xfId="21647"/>
    <cellStyle name="Normal 2 3 2 9 5 3 5" xfId="21648"/>
    <cellStyle name="Normal 2 3 2 9 5 3 5 2" xfId="21649"/>
    <cellStyle name="Normal 2 3 2 9 5 3 6" xfId="21650"/>
    <cellStyle name="Normal 2 3 2 9 5 3 6 2" xfId="21651"/>
    <cellStyle name="Normal 2 3 2 9 5 3 7" xfId="21652"/>
    <cellStyle name="Normal 2 3 2 9 5 3 7 2" xfId="21653"/>
    <cellStyle name="Normal 2 3 2 9 5 3 8" xfId="21654"/>
    <cellStyle name="Normal 2 3 2 9 5 3 8 2" xfId="21655"/>
    <cellStyle name="Normal 2 3 2 9 5 3 9" xfId="21656"/>
    <cellStyle name="Normal 2 3 2 9 5 3 9 2" xfId="21657"/>
    <cellStyle name="Normal 2 3 2 9 5 4" xfId="21658"/>
    <cellStyle name="Normal 2 3 2 9 5 4 2" xfId="21659"/>
    <cellStyle name="Normal 2 3 2 9 5 5" xfId="21660"/>
    <cellStyle name="Normal 2 3 2 9 5 5 2" xfId="21661"/>
    <cellStyle name="Normal 2 3 2 9 5 6" xfId="21662"/>
    <cellStyle name="Normal 2 3 2 9 5 6 2" xfId="21663"/>
    <cellStyle name="Normal 2 3 2 9 5 7" xfId="21664"/>
    <cellStyle name="Normal 2 3 2 9 5 7 2" xfId="21665"/>
    <cellStyle name="Normal 2 3 2 9 5 8" xfId="21666"/>
    <cellStyle name="Normal 2 3 2 9 5 8 2" xfId="21667"/>
    <cellStyle name="Normal 2 3 2 9 5 9" xfId="21668"/>
    <cellStyle name="Normal 2 3 2 9 5 9 2" xfId="21669"/>
    <cellStyle name="Normal 2 3 2 9 6" xfId="21670"/>
    <cellStyle name="Normal 2 3 2 9 6 10" xfId="21671"/>
    <cellStyle name="Normal 2 3 2 9 6 10 2" xfId="21672"/>
    <cellStyle name="Normal 2 3 2 9 6 11" xfId="21673"/>
    <cellStyle name="Normal 2 3 2 9 6 11 2" xfId="21674"/>
    <cellStyle name="Normal 2 3 2 9 6 12" xfId="21675"/>
    <cellStyle name="Normal 2 3 2 9 6 12 2" xfId="21676"/>
    <cellStyle name="Normal 2 3 2 9 6 13" xfId="21677"/>
    <cellStyle name="Normal 2 3 2 9 6 2" xfId="21678"/>
    <cellStyle name="Normal 2 3 2 9 6 2 10" xfId="21679"/>
    <cellStyle name="Normal 2 3 2 9 6 2 10 2" xfId="21680"/>
    <cellStyle name="Normal 2 3 2 9 6 2 11" xfId="21681"/>
    <cellStyle name="Normal 2 3 2 9 6 2 11 2" xfId="21682"/>
    <cellStyle name="Normal 2 3 2 9 6 2 12" xfId="21683"/>
    <cellStyle name="Normal 2 3 2 9 6 2 2" xfId="21684"/>
    <cellStyle name="Normal 2 3 2 9 6 2 2 10" xfId="21685"/>
    <cellStyle name="Normal 2 3 2 9 6 2 2 10 2" xfId="21686"/>
    <cellStyle name="Normal 2 3 2 9 6 2 2 11" xfId="21687"/>
    <cellStyle name="Normal 2 3 2 9 6 2 2 2" xfId="21688"/>
    <cellStyle name="Normal 2 3 2 9 6 2 2 2 2" xfId="21689"/>
    <cellStyle name="Normal 2 3 2 9 6 2 2 3" xfId="21690"/>
    <cellStyle name="Normal 2 3 2 9 6 2 2 3 2" xfId="21691"/>
    <cellStyle name="Normal 2 3 2 9 6 2 2 4" xfId="21692"/>
    <cellStyle name="Normal 2 3 2 9 6 2 2 4 2" xfId="21693"/>
    <cellStyle name="Normal 2 3 2 9 6 2 2 5" xfId="21694"/>
    <cellStyle name="Normal 2 3 2 9 6 2 2 5 2" xfId="21695"/>
    <cellStyle name="Normal 2 3 2 9 6 2 2 6" xfId="21696"/>
    <cellStyle name="Normal 2 3 2 9 6 2 2 6 2" xfId="21697"/>
    <cellStyle name="Normal 2 3 2 9 6 2 2 7" xfId="21698"/>
    <cellStyle name="Normal 2 3 2 9 6 2 2 7 2" xfId="21699"/>
    <cellStyle name="Normal 2 3 2 9 6 2 2 8" xfId="21700"/>
    <cellStyle name="Normal 2 3 2 9 6 2 2 8 2" xfId="21701"/>
    <cellStyle name="Normal 2 3 2 9 6 2 2 9" xfId="21702"/>
    <cellStyle name="Normal 2 3 2 9 6 2 2 9 2" xfId="21703"/>
    <cellStyle name="Normal 2 3 2 9 6 2 3" xfId="21704"/>
    <cellStyle name="Normal 2 3 2 9 6 2 3 2" xfId="21705"/>
    <cellStyle name="Normal 2 3 2 9 6 2 4" xfId="21706"/>
    <cellStyle name="Normal 2 3 2 9 6 2 4 2" xfId="21707"/>
    <cellStyle name="Normal 2 3 2 9 6 2 5" xfId="21708"/>
    <cellStyle name="Normal 2 3 2 9 6 2 5 2" xfId="21709"/>
    <cellStyle name="Normal 2 3 2 9 6 2 6" xfId="21710"/>
    <cellStyle name="Normal 2 3 2 9 6 2 6 2" xfId="21711"/>
    <cellStyle name="Normal 2 3 2 9 6 2 7" xfId="21712"/>
    <cellStyle name="Normal 2 3 2 9 6 2 7 2" xfId="21713"/>
    <cellStyle name="Normal 2 3 2 9 6 2 8" xfId="21714"/>
    <cellStyle name="Normal 2 3 2 9 6 2 8 2" xfId="21715"/>
    <cellStyle name="Normal 2 3 2 9 6 2 9" xfId="21716"/>
    <cellStyle name="Normal 2 3 2 9 6 2 9 2" xfId="21717"/>
    <cellStyle name="Normal 2 3 2 9 6 3" xfId="21718"/>
    <cellStyle name="Normal 2 3 2 9 6 3 10" xfId="21719"/>
    <cellStyle name="Normal 2 3 2 9 6 3 10 2" xfId="21720"/>
    <cellStyle name="Normal 2 3 2 9 6 3 11" xfId="21721"/>
    <cellStyle name="Normal 2 3 2 9 6 3 2" xfId="21722"/>
    <cellStyle name="Normal 2 3 2 9 6 3 2 2" xfId="21723"/>
    <cellStyle name="Normal 2 3 2 9 6 3 3" xfId="21724"/>
    <cellStyle name="Normal 2 3 2 9 6 3 3 2" xfId="21725"/>
    <cellStyle name="Normal 2 3 2 9 6 3 4" xfId="21726"/>
    <cellStyle name="Normal 2 3 2 9 6 3 4 2" xfId="21727"/>
    <cellStyle name="Normal 2 3 2 9 6 3 5" xfId="21728"/>
    <cellStyle name="Normal 2 3 2 9 6 3 5 2" xfId="21729"/>
    <cellStyle name="Normal 2 3 2 9 6 3 6" xfId="21730"/>
    <cellStyle name="Normal 2 3 2 9 6 3 6 2" xfId="21731"/>
    <cellStyle name="Normal 2 3 2 9 6 3 7" xfId="21732"/>
    <cellStyle name="Normal 2 3 2 9 6 3 7 2" xfId="21733"/>
    <cellStyle name="Normal 2 3 2 9 6 3 8" xfId="21734"/>
    <cellStyle name="Normal 2 3 2 9 6 3 8 2" xfId="21735"/>
    <cellStyle name="Normal 2 3 2 9 6 3 9" xfId="21736"/>
    <cellStyle name="Normal 2 3 2 9 6 3 9 2" xfId="21737"/>
    <cellStyle name="Normal 2 3 2 9 6 4" xfId="21738"/>
    <cellStyle name="Normal 2 3 2 9 6 4 2" xfId="21739"/>
    <cellStyle name="Normal 2 3 2 9 6 5" xfId="21740"/>
    <cellStyle name="Normal 2 3 2 9 6 5 2" xfId="21741"/>
    <cellStyle name="Normal 2 3 2 9 6 6" xfId="21742"/>
    <cellStyle name="Normal 2 3 2 9 6 6 2" xfId="21743"/>
    <cellStyle name="Normal 2 3 2 9 6 7" xfId="21744"/>
    <cellStyle name="Normal 2 3 2 9 6 7 2" xfId="21745"/>
    <cellStyle name="Normal 2 3 2 9 6 8" xfId="21746"/>
    <cellStyle name="Normal 2 3 2 9 6 8 2" xfId="21747"/>
    <cellStyle name="Normal 2 3 2 9 6 9" xfId="21748"/>
    <cellStyle name="Normal 2 3 2 9 6 9 2" xfId="21749"/>
    <cellStyle name="Normal 2 3 2 9 7" xfId="41980"/>
    <cellStyle name="Normal 2 3 20" xfId="21750"/>
    <cellStyle name="Normal 2 3 21" xfId="21751"/>
    <cellStyle name="Normal 2 3 22" xfId="21752"/>
    <cellStyle name="Normal 2 3 23" xfId="21753"/>
    <cellStyle name="Normal 2 3 24" xfId="21754"/>
    <cellStyle name="Normal 2 3 25" xfId="21755"/>
    <cellStyle name="Normal 2 3 26" xfId="21756"/>
    <cellStyle name="Normal 2 3 27" xfId="21757"/>
    <cellStyle name="Normal 2 3 28" xfId="21758"/>
    <cellStyle name="Normal 2 3 29" xfId="21759"/>
    <cellStyle name="Normal 2 3 3" xfId="21760"/>
    <cellStyle name="Normal 2 3 3 10" xfId="21761"/>
    <cellStyle name="Normal 2 3 3 10 10" xfId="21762"/>
    <cellStyle name="Normal 2 3 3 10 10 2" xfId="21763"/>
    <cellStyle name="Normal 2 3 3 10 11" xfId="21764"/>
    <cellStyle name="Normal 2 3 3 10 11 2" xfId="21765"/>
    <cellStyle name="Normal 2 3 3 10 12" xfId="21766"/>
    <cellStyle name="Normal 2 3 3 10 12 2" xfId="21767"/>
    <cellStyle name="Normal 2 3 3 10 13" xfId="21768"/>
    <cellStyle name="Normal 2 3 3 10 2" xfId="21769"/>
    <cellStyle name="Normal 2 3 3 10 2 10" xfId="21770"/>
    <cellStyle name="Normal 2 3 3 10 2 10 2" xfId="21771"/>
    <cellStyle name="Normal 2 3 3 10 2 11" xfId="21772"/>
    <cellStyle name="Normal 2 3 3 10 2 11 2" xfId="21773"/>
    <cellStyle name="Normal 2 3 3 10 2 12" xfId="21774"/>
    <cellStyle name="Normal 2 3 3 10 2 2" xfId="21775"/>
    <cellStyle name="Normal 2 3 3 10 2 2 10" xfId="21776"/>
    <cellStyle name="Normal 2 3 3 10 2 2 10 2" xfId="21777"/>
    <cellStyle name="Normal 2 3 3 10 2 2 11" xfId="21778"/>
    <cellStyle name="Normal 2 3 3 10 2 2 2" xfId="21779"/>
    <cellStyle name="Normal 2 3 3 10 2 2 2 2" xfId="21780"/>
    <cellStyle name="Normal 2 3 3 10 2 2 3" xfId="21781"/>
    <cellStyle name="Normal 2 3 3 10 2 2 3 2" xfId="21782"/>
    <cellStyle name="Normal 2 3 3 10 2 2 4" xfId="21783"/>
    <cellStyle name="Normal 2 3 3 10 2 2 4 2" xfId="21784"/>
    <cellStyle name="Normal 2 3 3 10 2 2 5" xfId="21785"/>
    <cellStyle name="Normal 2 3 3 10 2 2 5 2" xfId="21786"/>
    <cellStyle name="Normal 2 3 3 10 2 2 6" xfId="21787"/>
    <cellStyle name="Normal 2 3 3 10 2 2 6 2" xfId="21788"/>
    <cellStyle name="Normal 2 3 3 10 2 2 7" xfId="21789"/>
    <cellStyle name="Normal 2 3 3 10 2 2 7 2" xfId="21790"/>
    <cellStyle name="Normal 2 3 3 10 2 2 8" xfId="21791"/>
    <cellStyle name="Normal 2 3 3 10 2 2 8 2" xfId="21792"/>
    <cellStyle name="Normal 2 3 3 10 2 2 9" xfId="21793"/>
    <cellStyle name="Normal 2 3 3 10 2 2 9 2" xfId="21794"/>
    <cellStyle name="Normal 2 3 3 10 2 3" xfId="21795"/>
    <cellStyle name="Normal 2 3 3 10 2 3 2" xfId="21796"/>
    <cellStyle name="Normal 2 3 3 10 2 4" xfId="21797"/>
    <cellStyle name="Normal 2 3 3 10 2 4 2" xfId="21798"/>
    <cellStyle name="Normal 2 3 3 10 2 5" xfId="21799"/>
    <cellStyle name="Normal 2 3 3 10 2 5 2" xfId="21800"/>
    <cellStyle name="Normal 2 3 3 10 2 6" xfId="21801"/>
    <cellStyle name="Normal 2 3 3 10 2 6 2" xfId="21802"/>
    <cellStyle name="Normal 2 3 3 10 2 7" xfId="21803"/>
    <cellStyle name="Normal 2 3 3 10 2 7 2" xfId="21804"/>
    <cellStyle name="Normal 2 3 3 10 2 8" xfId="21805"/>
    <cellStyle name="Normal 2 3 3 10 2 8 2" xfId="21806"/>
    <cellStyle name="Normal 2 3 3 10 2 9" xfId="21807"/>
    <cellStyle name="Normal 2 3 3 10 2 9 2" xfId="21808"/>
    <cellStyle name="Normal 2 3 3 10 3" xfId="21809"/>
    <cellStyle name="Normal 2 3 3 10 3 10" xfId="21810"/>
    <cellStyle name="Normal 2 3 3 10 3 10 2" xfId="21811"/>
    <cellStyle name="Normal 2 3 3 10 3 11" xfId="21812"/>
    <cellStyle name="Normal 2 3 3 10 3 2" xfId="21813"/>
    <cellStyle name="Normal 2 3 3 10 3 2 2" xfId="21814"/>
    <cellStyle name="Normal 2 3 3 10 3 3" xfId="21815"/>
    <cellStyle name="Normal 2 3 3 10 3 3 2" xfId="21816"/>
    <cellStyle name="Normal 2 3 3 10 3 4" xfId="21817"/>
    <cellStyle name="Normal 2 3 3 10 3 4 2" xfId="21818"/>
    <cellStyle name="Normal 2 3 3 10 3 5" xfId="21819"/>
    <cellStyle name="Normal 2 3 3 10 3 5 2" xfId="21820"/>
    <cellStyle name="Normal 2 3 3 10 3 6" xfId="21821"/>
    <cellStyle name="Normal 2 3 3 10 3 6 2" xfId="21822"/>
    <cellStyle name="Normal 2 3 3 10 3 7" xfId="21823"/>
    <cellStyle name="Normal 2 3 3 10 3 7 2" xfId="21824"/>
    <cellStyle name="Normal 2 3 3 10 3 8" xfId="21825"/>
    <cellStyle name="Normal 2 3 3 10 3 8 2" xfId="21826"/>
    <cellStyle name="Normal 2 3 3 10 3 9" xfId="21827"/>
    <cellStyle name="Normal 2 3 3 10 3 9 2" xfId="21828"/>
    <cellStyle name="Normal 2 3 3 10 4" xfId="21829"/>
    <cellStyle name="Normal 2 3 3 10 4 2" xfId="21830"/>
    <cellStyle name="Normal 2 3 3 10 5" xfId="21831"/>
    <cellStyle name="Normal 2 3 3 10 5 2" xfId="21832"/>
    <cellStyle name="Normal 2 3 3 10 6" xfId="21833"/>
    <cellStyle name="Normal 2 3 3 10 6 2" xfId="21834"/>
    <cellStyle name="Normal 2 3 3 10 7" xfId="21835"/>
    <cellStyle name="Normal 2 3 3 10 7 2" xfId="21836"/>
    <cellStyle name="Normal 2 3 3 10 8" xfId="21837"/>
    <cellStyle name="Normal 2 3 3 10 8 2" xfId="21838"/>
    <cellStyle name="Normal 2 3 3 10 9" xfId="21839"/>
    <cellStyle name="Normal 2 3 3 10 9 2" xfId="21840"/>
    <cellStyle name="Normal 2 3 3 2" xfId="21841"/>
    <cellStyle name="Normal 2 3 3 2 10" xfId="41981"/>
    <cellStyle name="Normal 2 3 3 2 2" xfId="21842"/>
    <cellStyle name="Normal 2 3 3 2 2 10" xfId="21843"/>
    <cellStyle name="Normal 2 3 3 2 2 10 2" xfId="21844"/>
    <cellStyle name="Normal 2 3 3 2 2 11" xfId="21845"/>
    <cellStyle name="Normal 2 3 3 2 2 11 2" xfId="21846"/>
    <cellStyle name="Normal 2 3 3 2 2 12" xfId="21847"/>
    <cellStyle name="Normal 2 3 3 2 2 12 2" xfId="21848"/>
    <cellStyle name="Normal 2 3 3 2 2 13" xfId="21849"/>
    <cellStyle name="Normal 2 3 3 2 2 13 2" xfId="21850"/>
    <cellStyle name="Normal 2 3 3 2 2 14" xfId="21851"/>
    <cellStyle name="Normal 2 3 3 2 2 14 2" xfId="21852"/>
    <cellStyle name="Normal 2 3 3 2 2 15" xfId="21853"/>
    <cellStyle name="Normal 2 3 3 2 2 15 2" xfId="21854"/>
    <cellStyle name="Normal 2 3 3 2 2 16" xfId="21855"/>
    <cellStyle name="Normal 2 3 3 2 2 16 2" xfId="21856"/>
    <cellStyle name="Normal 2 3 3 2 2 17" xfId="21857"/>
    <cellStyle name="Normal 2 3 3 2 2 17 2" xfId="21858"/>
    <cellStyle name="Normal 2 3 3 2 2 18" xfId="21859"/>
    <cellStyle name="Normal 2 3 3 2 2 2" xfId="21860"/>
    <cellStyle name="Normal 2 3 3 2 2 2 2" xfId="21861"/>
    <cellStyle name="Normal 2 3 3 2 2 2 2 10" xfId="21862"/>
    <cellStyle name="Normal 2 3 3 2 2 2 2 10 2" xfId="21863"/>
    <cellStyle name="Normal 2 3 3 2 2 2 2 11" xfId="21864"/>
    <cellStyle name="Normal 2 3 3 2 2 2 2 11 2" xfId="21865"/>
    <cellStyle name="Normal 2 3 3 2 2 2 2 12" xfId="21866"/>
    <cellStyle name="Normal 2 3 3 2 2 2 2 12 2" xfId="21867"/>
    <cellStyle name="Normal 2 3 3 2 2 2 2 13" xfId="21868"/>
    <cellStyle name="Normal 2 3 3 2 2 2 2 13 2" xfId="21869"/>
    <cellStyle name="Normal 2 3 3 2 2 2 2 14" xfId="21870"/>
    <cellStyle name="Normal 2 3 3 2 2 2 2 14 2" xfId="21871"/>
    <cellStyle name="Normal 2 3 3 2 2 2 2 15" xfId="21872"/>
    <cellStyle name="Normal 2 3 3 2 2 2 2 15 2" xfId="21873"/>
    <cellStyle name="Normal 2 3 3 2 2 2 2 16" xfId="21874"/>
    <cellStyle name="Normal 2 3 3 2 2 2 2 16 2" xfId="21875"/>
    <cellStyle name="Normal 2 3 3 2 2 2 2 17" xfId="21876"/>
    <cellStyle name="Normal 2 3 3 2 2 2 2 2" xfId="21877"/>
    <cellStyle name="Normal 2 3 3 2 2 2 2 2 2" xfId="41982"/>
    <cellStyle name="Normal 2 3 3 2 2 2 2 3" xfId="21878"/>
    <cellStyle name="Normal 2 3 3 2 2 2 2 3 2" xfId="41983"/>
    <cellStyle name="Normal 2 3 3 2 2 2 2 4" xfId="21879"/>
    <cellStyle name="Normal 2 3 3 2 2 2 2 4 2" xfId="41984"/>
    <cellStyle name="Normal 2 3 3 2 2 2 2 5" xfId="21880"/>
    <cellStyle name="Normal 2 3 3 2 2 2 2 5 2" xfId="41985"/>
    <cellStyle name="Normal 2 3 3 2 2 2 2 6" xfId="21881"/>
    <cellStyle name="Normal 2 3 3 2 2 2 2 6 10" xfId="21882"/>
    <cellStyle name="Normal 2 3 3 2 2 2 2 6 10 2" xfId="21883"/>
    <cellStyle name="Normal 2 3 3 2 2 2 2 6 11" xfId="21884"/>
    <cellStyle name="Normal 2 3 3 2 2 2 2 6 11 2" xfId="21885"/>
    <cellStyle name="Normal 2 3 3 2 2 2 2 6 12" xfId="21886"/>
    <cellStyle name="Normal 2 3 3 2 2 2 2 6 2" xfId="21887"/>
    <cellStyle name="Normal 2 3 3 2 2 2 2 6 2 10" xfId="21888"/>
    <cellStyle name="Normal 2 3 3 2 2 2 2 6 2 10 2" xfId="21889"/>
    <cellStyle name="Normal 2 3 3 2 2 2 2 6 2 11" xfId="21890"/>
    <cellStyle name="Normal 2 3 3 2 2 2 2 6 2 2" xfId="21891"/>
    <cellStyle name="Normal 2 3 3 2 2 2 2 6 2 2 2" xfId="21892"/>
    <cellStyle name="Normal 2 3 3 2 2 2 2 6 2 3" xfId="21893"/>
    <cellStyle name="Normal 2 3 3 2 2 2 2 6 2 3 2" xfId="21894"/>
    <cellStyle name="Normal 2 3 3 2 2 2 2 6 2 4" xfId="21895"/>
    <cellStyle name="Normal 2 3 3 2 2 2 2 6 2 4 2" xfId="21896"/>
    <cellStyle name="Normal 2 3 3 2 2 2 2 6 2 5" xfId="21897"/>
    <cellStyle name="Normal 2 3 3 2 2 2 2 6 2 5 2" xfId="21898"/>
    <cellStyle name="Normal 2 3 3 2 2 2 2 6 2 6" xfId="21899"/>
    <cellStyle name="Normal 2 3 3 2 2 2 2 6 2 6 2" xfId="21900"/>
    <cellStyle name="Normal 2 3 3 2 2 2 2 6 2 7" xfId="21901"/>
    <cellStyle name="Normal 2 3 3 2 2 2 2 6 2 7 2" xfId="21902"/>
    <cellStyle name="Normal 2 3 3 2 2 2 2 6 2 8" xfId="21903"/>
    <cellStyle name="Normal 2 3 3 2 2 2 2 6 2 8 2" xfId="21904"/>
    <cellStyle name="Normal 2 3 3 2 2 2 2 6 2 9" xfId="21905"/>
    <cellStyle name="Normal 2 3 3 2 2 2 2 6 2 9 2" xfId="21906"/>
    <cellStyle name="Normal 2 3 3 2 2 2 2 6 3" xfId="21907"/>
    <cellStyle name="Normal 2 3 3 2 2 2 2 6 3 2" xfId="21908"/>
    <cellStyle name="Normal 2 3 3 2 2 2 2 6 4" xfId="21909"/>
    <cellStyle name="Normal 2 3 3 2 2 2 2 6 4 2" xfId="21910"/>
    <cellStyle name="Normal 2 3 3 2 2 2 2 6 5" xfId="21911"/>
    <cellStyle name="Normal 2 3 3 2 2 2 2 6 5 2" xfId="21912"/>
    <cellStyle name="Normal 2 3 3 2 2 2 2 6 6" xfId="21913"/>
    <cellStyle name="Normal 2 3 3 2 2 2 2 6 6 2" xfId="21914"/>
    <cellStyle name="Normal 2 3 3 2 2 2 2 6 7" xfId="21915"/>
    <cellStyle name="Normal 2 3 3 2 2 2 2 6 7 2" xfId="21916"/>
    <cellStyle name="Normal 2 3 3 2 2 2 2 6 8" xfId="21917"/>
    <cellStyle name="Normal 2 3 3 2 2 2 2 6 8 2" xfId="21918"/>
    <cellStyle name="Normal 2 3 3 2 2 2 2 6 9" xfId="21919"/>
    <cellStyle name="Normal 2 3 3 2 2 2 2 6 9 2" xfId="21920"/>
    <cellStyle name="Normal 2 3 3 2 2 2 2 7" xfId="21921"/>
    <cellStyle name="Normal 2 3 3 2 2 2 2 7 10" xfId="21922"/>
    <cellStyle name="Normal 2 3 3 2 2 2 2 7 10 2" xfId="21923"/>
    <cellStyle name="Normal 2 3 3 2 2 2 2 7 11" xfId="21924"/>
    <cellStyle name="Normal 2 3 3 2 2 2 2 7 2" xfId="21925"/>
    <cellStyle name="Normal 2 3 3 2 2 2 2 7 2 2" xfId="21926"/>
    <cellStyle name="Normal 2 3 3 2 2 2 2 7 3" xfId="21927"/>
    <cellStyle name="Normal 2 3 3 2 2 2 2 7 3 2" xfId="21928"/>
    <cellStyle name="Normal 2 3 3 2 2 2 2 7 4" xfId="21929"/>
    <cellStyle name="Normal 2 3 3 2 2 2 2 7 4 2" xfId="21930"/>
    <cellStyle name="Normal 2 3 3 2 2 2 2 7 5" xfId="21931"/>
    <cellStyle name="Normal 2 3 3 2 2 2 2 7 5 2" xfId="21932"/>
    <cellStyle name="Normal 2 3 3 2 2 2 2 7 6" xfId="21933"/>
    <cellStyle name="Normal 2 3 3 2 2 2 2 7 6 2" xfId="21934"/>
    <cellStyle name="Normal 2 3 3 2 2 2 2 7 7" xfId="21935"/>
    <cellStyle name="Normal 2 3 3 2 2 2 2 7 7 2" xfId="21936"/>
    <cellStyle name="Normal 2 3 3 2 2 2 2 7 8" xfId="21937"/>
    <cellStyle name="Normal 2 3 3 2 2 2 2 7 8 2" xfId="21938"/>
    <cellStyle name="Normal 2 3 3 2 2 2 2 7 9" xfId="21939"/>
    <cellStyle name="Normal 2 3 3 2 2 2 2 7 9 2" xfId="21940"/>
    <cellStyle name="Normal 2 3 3 2 2 2 2 8" xfId="21941"/>
    <cellStyle name="Normal 2 3 3 2 2 2 2 8 2" xfId="21942"/>
    <cellStyle name="Normal 2 3 3 2 2 2 2 9" xfId="21943"/>
    <cellStyle name="Normal 2 3 3 2 2 2 2 9 2" xfId="21944"/>
    <cellStyle name="Normal 2 3 3 2 2 2 3" xfId="21945"/>
    <cellStyle name="Normal 2 3 3 2 2 2 3 10" xfId="21946"/>
    <cellStyle name="Normal 2 3 3 2 2 2 3 10 2" xfId="21947"/>
    <cellStyle name="Normal 2 3 3 2 2 2 3 11" xfId="21948"/>
    <cellStyle name="Normal 2 3 3 2 2 2 3 11 2" xfId="21949"/>
    <cellStyle name="Normal 2 3 3 2 2 2 3 12" xfId="21950"/>
    <cellStyle name="Normal 2 3 3 2 2 2 3 12 2" xfId="21951"/>
    <cellStyle name="Normal 2 3 3 2 2 2 3 13" xfId="21952"/>
    <cellStyle name="Normal 2 3 3 2 2 2 3 2" xfId="21953"/>
    <cellStyle name="Normal 2 3 3 2 2 2 3 2 10" xfId="21954"/>
    <cellStyle name="Normal 2 3 3 2 2 2 3 2 10 2" xfId="21955"/>
    <cellStyle name="Normal 2 3 3 2 2 2 3 2 11" xfId="21956"/>
    <cellStyle name="Normal 2 3 3 2 2 2 3 2 11 2" xfId="21957"/>
    <cellStyle name="Normal 2 3 3 2 2 2 3 2 12" xfId="21958"/>
    <cellStyle name="Normal 2 3 3 2 2 2 3 2 2" xfId="21959"/>
    <cellStyle name="Normal 2 3 3 2 2 2 3 2 2 10" xfId="21960"/>
    <cellStyle name="Normal 2 3 3 2 2 2 3 2 2 10 2" xfId="21961"/>
    <cellStyle name="Normal 2 3 3 2 2 2 3 2 2 11" xfId="21962"/>
    <cellStyle name="Normal 2 3 3 2 2 2 3 2 2 2" xfId="21963"/>
    <cellStyle name="Normal 2 3 3 2 2 2 3 2 2 2 2" xfId="21964"/>
    <cellStyle name="Normal 2 3 3 2 2 2 3 2 2 3" xfId="21965"/>
    <cellStyle name="Normal 2 3 3 2 2 2 3 2 2 3 2" xfId="21966"/>
    <cellStyle name="Normal 2 3 3 2 2 2 3 2 2 4" xfId="21967"/>
    <cellStyle name="Normal 2 3 3 2 2 2 3 2 2 4 2" xfId="21968"/>
    <cellStyle name="Normal 2 3 3 2 2 2 3 2 2 5" xfId="21969"/>
    <cellStyle name="Normal 2 3 3 2 2 2 3 2 2 5 2" xfId="21970"/>
    <cellStyle name="Normal 2 3 3 2 2 2 3 2 2 6" xfId="21971"/>
    <cellStyle name="Normal 2 3 3 2 2 2 3 2 2 6 2" xfId="21972"/>
    <cellStyle name="Normal 2 3 3 2 2 2 3 2 2 7" xfId="21973"/>
    <cellStyle name="Normal 2 3 3 2 2 2 3 2 2 7 2" xfId="21974"/>
    <cellStyle name="Normal 2 3 3 2 2 2 3 2 2 8" xfId="21975"/>
    <cellStyle name="Normal 2 3 3 2 2 2 3 2 2 8 2" xfId="21976"/>
    <cellStyle name="Normal 2 3 3 2 2 2 3 2 2 9" xfId="21977"/>
    <cellStyle name="Normal 2 3 3 2 2 2 3 2 2 9 2" xfId="21978"/>
    <cellStyle name="Normal 2 3 3 2 2 2 3 2 3" xfId="21979"/>
    <cellStyle name="Normal 2 3 3 2 2 2 3 2 3 2" xfId="21980"/>
    <cellStyle name="Normal 2 3 3 2 2 2 3 2 4" xfId="21981"/>
    <cellStyle name="Normal 2 3 3 2 2 2 3 2 4 2" xfId="21982"/>
    <cellStyle name="Normal 2 3 3 2 2 2 3 2 5" xfId="21983"/>
    <cellStyle name="Normal 2 3 3 2 2 2 3 2 5 2" xfId="21984"/>
    <cellStyle name="Normal 2 3 3 2 2 2 3 2 6" xfId="21985"/>
    <cellStyle name="Normal 2 3 3 2 2 2 3 2 6 2" xfId="21986"/>
    <cellStyle name="Normal 2 3 3 2 2 2 3 2 7" xfId="21987"/>
    <cellStyle name="Normal 2 3 3 2 2 2 3 2 7 2" xfId="21988"/>
    <cellStyle name="Normal 2 3 3 2 2 2 3 2 8" xfId="21989"/>
    <cellStyle name="Normal 2 3 3 2 2 2 3 2 8 2" xfId="21990"/>
    <cellStyle name="Normal 2 3 3 2 2 2 3 2 9" xfId="21991"/>
    <cellStyle name="Normal 2 3 3 2 2 2 3 2 9 2" xfId="21992"/>
    <cellStyle name="Normal 2 3 3 2 2 2 3 3" xfId="21993"/>
    <cellStyle name="Normal 2 3 3 2 2 2 3 3 10" xfId="21994"/>
    <cellStyle name="Normal 2 3 3 2 2 2 3 3 10 2" xfId="21995"/>
    <cellStyle name="Normal 2 3 3 2 2 2 3 3 11" xfId="21996"/>
    <cellStyle name="Normal 2 3 3 2 2 2 3 3 2" xfId="21997"/>
    <cellStyle name="Normal 2 3 3 2 2 2 3 3 2 2" xfId="21998"/>
    <cellStyle name="Normal 2 3 3 2 2 2 3 3 3" xfId="21999"/>
    <cellStyle name="Normal 2 3 3 2 2 2 3 3 3 2" xfId="22000"/>
    <cellStyle name="Normal 2 3 3 2 2 2 3 3 4" xfId="22001"/>
    <cellStyle name="Normal 2 3 3 2 2 2 3 3 4 2" xfId="22002"/>
    <cellStyle name="Normal 2 3 3 2 2 2 3 3 5" xfId="22003"/>
    <cellStyle name="Normal 2 3 3 2 2 2 3 3 5 2" xfId="22004"/>
    <cellStyle name="Normal 2 3 3 2 2 2 3 3 6" xfId="22005"/>
    <cellStyle name="Normal 2 3 3 2 2 2 3 3 6 2" xfId="22006"/>
    <cellStyle name="Normal 2 3 3 2 2 2 3 3 7" xfId="22007"/>
    <cellStyle name="Normal 2 3 3 2 2 2 3 3 7 2" xfId="22008"/>
    <cellStyle name="Normal 2 3 3 2 2 2 3 3 8" xfId="22009"/>
    <cellStyle name="Normal 2 3 3 2 2 2 3 3 8 2" xfId="22010"/>
    <cellStyle name="Normal 2 3 3 2 2 2 3 3 9" xfId="22011"/>
    <cellStyle name="Normal 2 3 3 2 2 2 3 3 9 2" xfId="22012"/>
    <cellStyle name="Normal 2 3 3 2 2 2 3 4" xfId="22013"/>
    <cellStyle name="Normal 2 3 3 2 2 2 3 4 2" xfId="22014"/>
    <cellStyle name="Normal 2 3 3 2 2 2 3 5" xfId="22015"/>
    <cellStyle name="Normal 2 3 3 2 2 2 3 5 2" xfId="22016"/>
    <cellStyle name="Normal 2 3 3 2 2 2 3 6" xfId="22017"/>
    <cellStyle name="Normal 2 3 3 2 2 2 3 6 2" xfId="22018"/>
    <cellStyle name="Normal 2 3 3 2 2 2 3 7" xfId="22019"/>
    <cellStyle name="Normal 2 3 3 2 2 2 3 7 2" xfId="22020"/>
    <cellStyle name="Normal 2 3 3 2 2 2 3 8" xfId="22021"/>
    <cellStyle name="Normal 2 3 3 2 2 2 3 8 2" xfId="22022"/>
    <cellStyle name="Normal 2 3 3 2 2 2 3 9" xfId="22023"/>
    <cellStyle name="Normal 2 3 3 2 2 2 3 9 2" xfId="22024"/>
    <cellStyle name="Normal 2 3 3 2 2 2 4" xfId="22025"/>
    <cellStyle name="Normal 2 3 3 2 2 2 4 10" xfId="22026"/>
    <cellStyle name="Normal 2 3 3 2 2 2 4 10 2" xfId="22027"/>
    <cellStyle name="Normal 2 3 3 2 2 2 4 11" xfId="22028"/>
    <cellStyle name="Normal 2 3 3 2 2 2 4 11 2" xfId="22029"/>
    <cellStyle name="Normal 2 3 3 2 2 2 4 12" xfId="22030"/>
    <cellStyle name="Normal 2 3 3 2 2 2 4 12 2" xfId="22031"/>
    <cellStyle name="Normal 2 3 3 2 2 2 4 13" xfId="22032"/>
    <cellStyle name="Normal 2 3 3 2 2 2 4 2" xfId="22033"/>
    <cellStyle name="Normal 2 3 3 2 2 2 4 2 10" xfId="22034"/>
    <cellStyle name="Normal 2 3 3 2 2 2 4 2 10 2" xfId="22035"/>
    <cellStyle name="Normal 2 3 3 2 2 2 4 2 11" xfId="22036"/>
    <cellStyle name="Normal 2 3 3 2 2 2 4 2 11 2" xfId="22037"/>
    <cellStyle name="Normal 2 3 3 2 2 2 4 2 12" xfId="22038"/>
    <cellStyle name="Normal 2 3 3 2 2 2 4 2 2" xfId="22039"/>
    <cellStyle name="Normal 2 3 3 2 2 2 4 2 2 10" xfId="22040"/>
    <cellStyle name="Normal 2 3 3 2 2 2 4 2 2 10 2" xfId="22041"/>
    <cellStyle name="Normal 2 3 3 2 2 2 4 2 2 11" xfId="22042"/>
    <cellStyle name="Normal 2 3 3 2 2 2 4 2 2 2" xfId="22043"/>
    <cellStyle name="Normal 2 3 3 2 2 2 4 2 2 2 2" xfId="22044"/>
    <cellStyle name="Normal 2 3 3 2 2 2 4 2 2 3" xfId="22045"/>
    <cellStyle name="Normal 2 3 3 2 2 2 4 2 2 3 2" xfId="22046"/>
    <cellStyle name="Normal 2 3 3 2 2 2 4 2 2 4" xfId="22047"/>
    <cellStyle name="Normal 2 3 3 2 2 2 4 2 2 4 2" xfId="22048"/>
    <cellStyle name="Normal 2 3 3 2 2 2 4 2 2 5" xfId="22049"/>
    <cellStyle name="Normal 2 3 3 2 2 2 4 2 2 5 2" xfId="22050"/>
    <cellStyle name="Normal 2 3 3 2 2 2 4 2 2 6" xfId="22051"/>
    <cellStyle name="Normal 2 3 3 2 2 2 4 2 2 6 2" xfId="22052"/>
    <cellStyle name="Normal 2 3 3 2 2 2 4 2 2 7" xfId="22053"/>
    <cellStyle name="Normal 2 3 3 2 2 2 4 2 2 7 2" xfId="22054"/>
    <cellStyle name="Normal 2 3 3 2 2 2 4 2 2 8" xfId="22055"/>
    <cellStyle name="Normal 2 3 3 2 2 2 4 2 2 8 2" xfId="22056"/>
    <cellStyle name="Normal 2 3 3 2 2 2 4 2 2 9" xfId="22057"/>
    <cellStyle name="Normal 2 3 3 2 2 2 4 2 2 9 2" xfId="22058"/>
    <cellStyle name="Normal 2 3 3 2 2 2 4 2 3" xfId="22059"/>
    <cellStyle name="Normal 2 3 3 2 2 2 4 2 3 2" xfId="22060"/>
    <cellStyle name="Normal 2 3 3 2 2 2 4 2 4" xfId="22061"/>
    <cellStyle name="Normal 2 3 3 2 2 2 4 2 4 2" xfId="22062"/>
    <cellStyle name="Normal 2 3 3 2 2 2 4 2 5" xfId="22063"/>
    <cellStyle name="Normal 2 3 3 2 2 2 4 2 5 2" xfId="22064"/>
    <cellStyle name="Normal 2 3 3 2 2 2 4 2 6" xfId="22065"/>
    <cellStyle name="Normal 2 3 3 2 2 2 4 2 6 2" xfId="22066"/>
    <cellStyle name="Normal 2 3 3 2 2 2 4 2 7" xfId="22067"/>
    <cellStyle name="Normal 2 3 3 2 2 2 4 2 7 2" xfId="22068"/>
    <cellStyle name="Normal 2 3 3 2 2 2 4 2 8" xfId="22069"/>
    <cellStyle name="Normal 2 3 3 2 2 2 4 2 8 2" xfId="22070"/>
    <cellStyle name="Normal 2 3 3 2 2 2 4 2 9" xfId="22071"/>
    <cellStyle name="Normal 2 3 3 2 2 2 4 2 9 2" xfId="22072"/>
    <cellStyle name="Normal 2 3 3 2 2 2 4 3" xfId="22073"/>
    <cellStyle name="Normal 2 3 3 2 2 2 4 3 10" xfId="22074"/>
    <cellStyle name="Normal 2 3 3 2 2 2 4 3 10 2" xfId="22075"/>
    <cellStyle name="Normal 2 3 3 2 2 2 4 3 11" xfId="22076"/>
    <cellStyle name="Normal 2 3 3 2 2 2 4 3 2" xfId="22077"/>
    <cellStyle name="Normal 2 3 3 2 2 2 4 3 2 2" xfId="22078"/>
    <cellStyle name="Normal 2 3 3 2 2 2 4 3 3" xfId="22079"/>
    <cellStyle name="Normal 2 3 3 2 2 2 4 3 3 2" xfId="22080"/>
    <cellStyle name="Normal 2 3 3 2 2 2 4 3 4" xfId="22081"/>
    <cellStyle name="Normal 2 3 3 2 2 2 4 3 4 2" xfId="22082"/>
    <cellStyle name="Normal 2 3 3 2 2 2 4 3 5" xfId="22083"/>
    <cellStyle name="Normal 2 3 3 2 2 2 4 3 5 2" xfId="22084"/>
    <cellStyle name="Normal 2 3 3 2 2 2 4 3 6" xfId="22085"/>
    <cellStyle name="Normal 2 3 3 2 2 2 4 3 6 2" xfId="22086"/>
    <cellStyle name="Normal 2 3 3 2 2 2 4 3 7" xfId="22087"/>
    <cellStyle name="Normal 2 3 3 2 2 2 4 3 7 2" xfId="22088"/>
    <cellStyle name="Normal 2 3 3 2 2 2 4 3 8" xfId="22089"/>
    <cellStyle name="Normal 2 3 3 2 2 2 4 3 8 2" xfId="22090"/>
    <cellStyle name="Normal 2 3 3 2 2 2 4 3 9" xfId="22091"/>
    <cellStyle name="Normal 2 3 3 2 2 2 4 3 9 2" xfId="22092"/>
    <cellStyle name="Normal 2 3 3 2 2 2 4 4" xfId="22093"/>
    <cellStyle name="Normal 2 3 3 2 2 2 4 4 2" xfId="22094"/>
    <cellStyle name="Normal 2 3 3 2 2 2 4 5" xfId="22095"/>
    <cellStyle name="Normal 2 3 3 2 2 2 4 5 2" xfId="22096"/>
    <cellStyle name="Normal 2 3 3 2 2 2 4 6" xfId="22097"/>
    <cellStyle name="Normal 2 3 3 2 2 2 4 6 2" xfId="22098"/>
    <cellStyle name="Normal 2 3 3 2 2 2 4 7" xfId="22099"/>
    <cellStyle name="Normal 2 3 3 2 2 2 4 7 2" xfId="22100"/>
    <cellStyle name="Normal 2 3 3 2 2 2 4 8" xfId="22101"/>
    <cellStyle name="Normal 2 3 3 2 2 2 4 8 2" xfId="22102"/>
    <cellStyle name="Normal 2 3 3 2 2 2 4 9" xfId="22103"/>
    <cellStyle name="Normal 2 3 3 2 2 2 4 9 2" xfId="22104"/>
    <cellStyle name="Normal 2 3 3 2 2 2 5" xfId="22105"/>
    <cellStyle name="Normal 2 3 3 2 2 2 5 10" xfId="22106"/>
    <cellStyle name="Normal 2 3 3 2 2 2 5 10 2" xfId="22107"/>
    <cellStyle name="Normal 2 3 3 2 2 2 5 11" xfId="22108"/>
    <cellStyle name="Normal 2 3 3 2 2 2 5 11 2" xfId="22109"/>
    <cellStyle name="Normal 2 3 3 2 2 2 5 12" xfId="22110"/>
    <cellStyle name="Normal 2 3 3 2 2 2 5 12 2" xfId="22111"/>
    <cellStyle name="Normal 2 3 3 2 2 2 5 13" xfId="22112"/>
    <cellStyle name="Normal 2 3 3 2 2 2 5 2" xfId="22113"/>
    <cellStyle name="Normal 2 3 3 2 2 2 5 2 10" xfId="22114"/>
    <cellStyle name="Normal 2 3 3 2 2 2 5 2 10 2" xfId="22115"/>
    <cellStyle name="Normal 2 3 3 2 2 2 5 2 11" xfId="22116"/>
    <cellStyle name="Normal 2 3 3 2 2 2 5 2 11 2" xfId="22117"/>
    <cellStyle name="Normal 2 3 3 2 2 2 5 2 12" xfId="22118"/>
    <cellStyle name="Normal 2 3 3 2 2 2 5 2 2" xfId="22119"/>
    <cellStyle name="Normal 2 3 3 2 2 2 5 2 2 10" xfId="22120"/>
    <cellStyle name="Normal 2 3 3 2 2 2 5 2 2 10 2" xfId="22121"/>
    <cellStyle name="Normal 2 3 3 2 2 2 5 2 2 11" xfId="22122"/>
    <cellStyle name="Normal 2 3 3 2 2 2 5 2 2 2" xfId="22123"/>
    <cellStyle name="Normal 2 3 3 2 2 2 5 2 2 2 2" xfId="22124"/>
    <cellStyle name="Normal 2 3 3 2 2 2 5 2 2 3" xfId="22125"/>
    <cellStyle name="Normal 2 3 3 2 2 2 5 2 2 3 2" xfId="22126"/>
    <cellStyle name="Normal 2 3 3 2 2 2 5 2 2 4" xfId="22127"/>
    <cellStyle name="Normal 2 3 3 2 2 2 5 2 2 4 2" xfId="22128"/>
    <cellStyle name="Normal 2 3 3 2 2 2 5 2 2 5" xfId="22129"/>
    <cellStyle name="Normal 2 3 3 2 2 2 5 2 2 5 2" xfId="22130"/>
    <cellStyle name="Normal 2 3 3 2 2 2 5 2 2 6" xfId="22131"/>
    <cellStyle name="Normal 2 3 3 2 2 2 5 2 2 6 2" xfId="22132"/>
    <cellStyle name="Normal 2 3 3 2 2 2 5 2 2 7" xfId="22133"/>
    <cellStyle name="Normal 2 3 3 2 2 2 5 2 2 7 2" xfId="22134"/>
    <cellStyle name="Normal 2 3 3 2 2 2 5 2 2 8" xfId="22135"/>
    <cellStyle name="Normal 2 3 3 2 2 2 5 2 2 8 2" xfId="22136"/>
    <cellStyle name="Normal 2 3 3 2 2 2 5 2 2 9" xfId="22137"/>
    <cellStyle name="Normal 2 3 3 2 2 2 5 2 2 9 2" xfId="22138"/>
    <cellStyle name="Normal 2 3 3 2 2 2 5 2 3" xfId="22139"/>
    <cellStyle name="Normal 2 3 3 2 2 2 5 2 3 2" xfId="22140"/>
    <cellStyle name="Normal 2 3 3 2 2 2 5 2 4" xfId="22141"/>
    <cellStyle name="Normal 2 3 3 2 2 2 5 2 4 2" xfId="22142"/>
    <cellStyle name="Normal 2 3 3 2 2 2 5 2 5" xfId="22143"/>
    <cellStyle name="Normal 2 3 3 2 2 2 5 2 5 2" xfId="22144"/>
    <cellStyle name="Normal 2 3 3 2 2 2 5 2 6" xfId="22145"/>
    <cellStyle name="Normal 2 3 3 2 2 2 5 2 6 2" xfId="22146"/>
    <cellStyle name="Normal 2 3 3 2 2 2 5 2 7" xfId="22147"/>
    <cellStyle name="Normal 2 3 3 2 2 2 5 2 7 2" xfId="22148"/>
    <cellStyle name="Normal 2 3 3 2 2 2 5 2 8" xfId="22149"/>
    <cellStyle name="Normal 2 3 3 2 2 2 5 2 8 2" xfId="22150"/>
    <cellStyle name="Normal 2 3 3 2 2 2 5 2 9" xfId="22151"/>
    <cellStyle name="Normal 2 3 3 2 2 2 5 2 9 2" xfId="22152"/>
    <cellStyle name="Normal 2 3 3 2 2 2 5 3" xfId="22153"/>
    <cellStyle name="Normal 2 3 3 2 2 2 5 3 10" xfId="22154"/>
    <cellStyle name="Normal 2 3 3 2 2 2 5 3 10 2" xfId="22155"/>
    <cellStyle name="Normal 2 3 3 2 2 2 5 3 11" xfId="22156"/>
    <cellStyle name="Normal 2 3 3 2 2 2 5 3 2" xfId="22157"/>
    <cellStyle name="Normal 2 3 3 2 2 2 5 3 2 2" xfId="22158"/>
    <cellStyle name="Normal 2 3 3 2 2 2 5 3 3" xfId="22159"/>
    <cellStyle name="Normal 2 3 3 2 2 2 5 3 3 2" xfId="22160"/>
    <cellStyle name="Normal 2 3 3 2 2 2 5 3 4" xfId="22161"/>
    <cellStyle name="Normal 2 3 3 2 2 2 5 3 4 2" xfId="22162"/>
    <cellStyle name="Normal 2 3 3 2 2 2 5 3 5" xfId="22163"/>
    <cellStyle name="Normal 2 3 3 2 2 2 5 3 5 2" xfId="22164"/>
    <cellStyle name="Normal 2 3 3 2 2 2 5 3 6" xfId="22165"/>
    <cellStyle name="Normal 2 3 3 2 2 2 5 3 6 2" xfId="22166"/>
    <cellStyle name="Normal 2 3 3 2 2 2 5 3 7" xfId="22167"/>
    <cellStyle name="Normal 2 3 3 2 2 2 5 3 7 2" xfId="22168"/>
    <cellStyle name="Normal 2 3 3 2 2 2 5 3 8" xfId="22169"/>
    <cellStyle name="Normal 2 3 3 2 2 2 5 3 8 2" xfId="22170"/>
    <cellStyle name="Normal 2 3 3 2 2 2 5 3 9" xfId="22171"/>
    <cellStyle name="Normal 2 3 3 2 2 2 5 3 9 2" xfId="22172"/>
    <cellStyle name="Normal 2 3 3 2 2 2 5 4" xfId="22173"/>
    <cellStyle name="Normal 2 3 3 2 2 2 5 4 2" xfId="22174"/>
    <cellStyle name="Normal 2 3 3 2 2 2 5 5" xfId="22175"/>
    <cellStyle name="Normal 2 3 3 2 2 2 5 5 2" xfId="22176"/>
    <cellStyle name="Normal 2 3 3 2 2 2 5 6" xfId="22177"/>
    <cellStyle name="Normal 2 3 3 2 2 2 5 6 2" xfId="22178"/>
    <cellStyle name="Normal 2 3 3 2 2 2 5 7" xfId="22179"/>
    <cellStyle name="Normal 2 3 3 2 2 2 5 7 2" xfId="22180"/>
    <cellStyle name="Normal 2 3 3 2 2 2 5 8" xfId="22181"/>
    <cellStyle name="Normal 2 3 3 2 2 2 5 8 2" xfId="22182"/>
    <cellStyle name="Normal 2 3 3 2 2 2 5 9" xfId="22183"/>
    <cellStyle name="Normal 2 3 3 2 2 2 5 9 2" xfId="22184"/>
    <cellStyle name="Normal 2 3 3 2 2 2 6" xfId="41986"/>
    <cellStyle name="Normal 2 3 3 2 2 3" xfId="22185"/>
    <cellStyle name="Normal 2 3 3 2 2 3 2" xfId="41987"/>
    <cellStyle name="Normal 2 3 3 2 2 4" xfId="22186"/>
    <cellStyle name="Normal 2 3 3 2 2 4 2" xfId="41988"/>
    <cellStyle name="Normal 2 3 3 2 2 5" xfId="22187"/>
    <cellStyle name="Normal 2 3 3 2 2 5 2" xfId="41989"/>
    <cellStyle name="Normal 2 3 3 2 2 6" xfId="22188"/>
    <cellStyle name="Normal 2 3 3 2 2 6 2" xfId="41990"/>
    <cellStyle name="Normal 2 3 3 2 2 7" xfId="22189"/>
    <cellStyle name="Normal 2 3 3 2 2 7 10" xfId="22190"/>
    <cellStyle name="Normal 2 3 3 2 2 7 10 2" xfId="22191"/>
    <cellStyle name="Normal 2 3 3 2 2 7 11" xfId="22192"/>
    <cellStyle name="Normal 2 3 3 2 2 7 11 2" xfId="22193"/>
    <cellStyle name="Normal 2 3 3 2 2 7 12" xfId="22194"/>
    <cellStyle name="Normal 2 3 3 2 2 7 2" xfId="22195"/>
    <cellStyle name="Normal 2 3 3 2 2 7 2 10" xfId="22196"/>
    <cellStyle name="Normal 2 3 3 2 2 7 2 10 2" xfId="22197"/>
    <cellStyle name="Normal 2 3 3 2 2 7 2 11" xfId="22198"/>
    <cellStyle name="Normal 2 3 3 2 2 7 2 2" xfId="22199"/>
    <cellStyle name="Normal 2 3 3 2 2 7 2 2 2" xfId="22200"/>
    <cellStyle name="Normal 2 3 3 2 2 7 2 3" xfId="22201"/>
    <cellStyle name="Normal 2 3 3 2 2 7 2 3 2" xfId="22202"/>
    <cellStyle name="Normal 2 3 3 2 2 7 2 4" xfId="22203"/>
    <cellStyle name="Normal 2 3 3 2 2 7 2 4 2" xfId="22204"/>
    <cellStyle name="Normal 2 3 3 2 2 7 2 5" xfId="22205"/>
    <cellStyle name="Normal 2 3 3 2 2 7 2 5 2" xfId="22206"/>
    <cellStyle name="Normal 2 3 3 2 2 7 2 6" xfId="22207"/>
    <cellStyle name="Normal 2 3 3 2 2 7 2 6 2" xfId="22208"/>
    <cellStyle name="Normal 2 3 3 2 2 7 2 7" xfId="22209"/>
    <cellStyle name="Normal 2 3 3 2 2 7 2 7 2" xfId="22210"/>
    <cellStyle name="Normal 2 3 3 2 2 7 2 8" xfId="22211"/>
    <cellStyle name="Normal 2 3 3 2 2 7 2 8 2" xfId="22212"/>
    <cellStyle name="Normal 2 3 3 2 2 7 2 9" xfId="22213"/>
    <cellStyle name="Normal 2 3 3 2 2 7 2 9 2" xfId="22214"/>
    <cellStyle name="Normal 2 3 3 2 2 7 3" xfId="22215"/>
    <cellStyle name="Normal 2 3 3 2 2 7 3 2" xfId="22216"/>
    <cellStyle name="Normal 2 3 3 2 2 7 4" xfId="22217"/>
    <cellStyle name="Normal 2 3 3 2 2 7 4 2" xfId="22218"/>
    <cellStyle name="Normal 2 3 3 2 2 7 5" xfId="22219"/>
    <cellStyle name="Normal 2 3 3 2 2 7 5 2" xfId="22220"/>
    <cellStyle name="Normal 2 3 3 2 2 7 6" xfId="22221"/>
    <cellStyle name="Normal 2 3 3 2 2 7 6 2" xfId="22222"/>
    <cellStyle name="Normal 2 3 3 2 2 7 7" xfId="22223"/>
    <cellStyle name="Normal 2 3 3 2 2 7 7 2" xfId="22224"/>
    <cellStyle name="Normal 2 3 3 2 2 7 8" xfId="22225"/>
    <cellStyle name="Normal 2 3 3 2 2 7 8 2" xfId="22226"/>
    <cellStyle name="Normal 2 3 3 2 2 7 9" xfId="22227"/>
    <cellStyle name="Normal 2 3 3 2 2 7 9 2" xfId="22228"/>
    <cellStyle name="Normal 2 3 3 2 2 8" xfId="22229"/>
    <cellStyle name="Normal 2 3 3 2 2 8 10" xfId="22230"/>
    <cellStyle name="Normal 2 3 3 2 2 8 10 2" xfId="22231"/>
    <cellStyle name="Normal 2 3 3 2 2 8 11" xfId="22232"/>
    <cellStyle name="Normal 2 3 3 2 2 8 2" xfId="22233"/>
    <cellStyle name="Normal 2 3 3 2 2 8 2 2" xfId="22234"/>
    <cellStyle name="Normal 2 3 3 2 2 8 3" xfId="22235"/>
    <cellStyle name="Normal 2 3 3 2 2 8 3 2" xfId="22236"/>
    <cellStyle name="Normal 2 3 3 2 2 8 4" xfId="22237"/>
    <cellStyle name="Normal 2 3 3 2 2 8 4 2" xfId="22238"/>
    <cellStyle name="Normal 2 3 3 2 2 8 5" xfId="22239"/>
    <cellStyle name="Normal 2 3 3 2 2 8 5 2" xfId="22240"/>
    <cellStyle name="Normal 2 3 3 2 2 8 6" xfId="22241"/>
    <cellStyle name="Normal 2 3 3 2 2 8 6 2" xfId="22242"/>
    <cellStyle name="Normal 2 3 3 2 2 8 7" xfId="22243"/>
    <cellStyle name="Normal 2 3 3 2 2 8 7 2" xfId="22244"/>
    <cellStyle name="Normal 2 3 3 2 2 8 8" xfId="22245"/>
    <cellStyle name="Normal 2 3 3 2 2 8 8 2" xfId="22246"/>
    <cellStyle name="Normal 2 3 3 2 2 8 9" xfId="22247"/>
    <cellStyle name="Normal 2 3 3 2 2 8 9 2" xfId="22248"/>
    <cellStyle name="Normal 2 3 3 2 2 9" xfId="22249"/>
    <cellStyle name="Normal 2 3 3 2 2 9 2" xfId="22250"/>
    <cellStyle name="Normal 2 3 3 2 3" xfId="22251"/>
    <cellStyle name="Normal 2 3 3 2 3 2" xfId="41991"/>
    <cellStyle name="Normal 2 3 3 2 4" xfId="22252"/>
    <cellStyle name="Normal 2 3 3 2 4 2" xfId="41992"/>
    <cellStyle name="Normal 2 3 3 2 5" xfId="22253"/>
    <cellStyle name="Normal 2 3 3 2 5 2" xfId="41993"/>
    <cellStyle name="Normal 2 3 3 2 6" xfId="22254"/>
    <cellStyle name="Normal 2 3 3 2 6 10" xfId="22255"/>
    <cellStyle name="Normal 2 3 3 2 6 10 2" xfId="22256"/>
    <cellStyle name="Normal 2 3 3 2 6 11" xfId="22257"/>
    <cellStyle name="Normal 2 3 3 2 6 11 2" xfId="22258"/>
    <cellStyle name="Normal 2 3 3 2 6 12" xfId="22259"/>
    <cellStyle name="Normal 2 3 3 2 6 12 2" xfId="22260"/>
    <cellStyle name="Normal 2 3 3 2 6 13" xfId="22261"/>
    <cellStyle name="Normal 2 3 3 2 6 13 2" xfId="22262"/>
    <cellStyle name="Normal 2 3 3 2 6 14" xfId="22263"/>
    <cellStyle name="Normal 2 3 3 2 6 14 2" xfId="22264"/>
    <cellStyle name="Normal 2 3 3 2 6 15" xfId="22265"/>
    <cellStyle name="Normal 2 3 3 2 6 15 2" xfId="22266"/>
    <cellStyle name="Normal 2 3 3 2 6 16" xfId="22267"/>
    <cellStyle name="Normal 2 3 3 2 6 16 2" xfId="22268"/>
    <cellStyle name="Normal 2 3 3 2 6 17" xfId="22269"/>
    <cellStyle name="Normal 2 3 3 2 6 2" xfId="22270"/>
    <cellStyle name="Normal 2 3 3 2 6 2 2" xfId="41994"/>
    <cellStyle name="Normal 2 3 3 2 6 3" xfId="22271"/>
    <cellStyle name="Normal 2 3 3 2 6 3 2" xfId="41995"/>
    <cellStyle name="Normal 2 3 3 2 6 4" xfId="22272"/>
    <cellStyle name="Normal 2 3 3 2 6 4 2" xfId="41996"/>
    <cellStyle name="Normal 2 3 3 2 6 5" xfId="22273"/>
    <cellStyle name="Normal 2 3 3 2 6 5 2" xfId="41997"/>
    <cellStyle name="Normal 2 3 3 2 6 6" xfId="22274"/>
    <cellStyle name="Normal 2 3 3 2 6 6 10" xfId="22275"/>
    <cellStyle name="Normal 2 3 3 2 6 6 10 2" xfId="22276"/>
    <cellStyle name="Normal 2 3 3 2 6 6 11" xfId="22277"/>
    <cellStyle name="Normal 2 3 3 2 6 6 11 2" xfId="22278"/>
    <cellStyle name="Normal 2 3 3 2 6 6 12" xfId="22279"/>
    <cellStyle name="Normal 2 3 3 2 6 6 2" xfId="22280"/>
    <cellStyle name="Normal 2 3 3 2 6 6 2 10" xfId="22281"/>
    <cellStyle name="Normal 2 3 3 2 6 6 2 10 2" xfId="22282"/>
    <cellStyle name="Normal 2 3 3 2 6 6 2 11" xfId="22283"/>
    <cellStyle name="Normal 2 3 3 2 6 6 2 2" xfId="22284"/>
    <cellStyle name="Normal 2 3 3 2 6 6 2 2 2" xfId="22285"/>
    <cellStyle name="Normal 2 3 3 2 6 6 2 3" xfId="22286"/>
    <cellStyle name="Normal 2 3 3 2 6 6 2 3 2" xfId="22287"/>
    <cellStyle name="Normal 2 3 3 2 6 6 2 4" xfId="22288"/>
    <cellStyle name="Normal 2 3 3 2 6 6 2 4 2" xfId="22289"/>
    <cellStyle name="Normal 2 3 3 2 6 6 2 5" xfId="22290"/>
    <cellStyle name="Normal 2 3 3 2 6 6 2 5 2" xfId="22291"/>
    <cellStyle name="Normal 2 3 3 2 6 6 2 6" xfId="22292"/>
    <cellStyle name="Normal 2 3 3 2 6 6 2 6 2" xfId="22293"/>
    <cellStyle name="Normal 2 3 3 2 6 6 2 7" xfId="22294"/>
    <cellStyle name="Normal 2 3 3 2 6 6 2 7 2" xfId="22295"/>
    <cellStyle name="Normal 2 3 3 2 6 6 2 8" xfId="22296"/>
    <cellStyle name="Normal 2 3 3 2 6 6 2 8 2" xfId="22297"/>
    <cellStyle name="Normal 2 3 3 2 6 6 2 9" xfId="22298"/>
    <cellStyle name="Normal 2 3 3 2 6 6 2 9 2" xfId="22299"/>
    <cellStyle name="Normal 2 3 3 2 6 6 3" xfId="22300"/>
    <cellStyle name="Normal 2 3 3 2 6 6 3 2" xfId="22301"/>
    <cellStyle name="Normal 2 3 3 2 6 6 4" xfId="22302"/>
    <cellStyle name="Normal 2 3 3 2 6 6 4 2" xfId="22303"/>
    <cellStyle name="Normal 2 3 3 2 6 6 5" xfId="22304"/>
    <cellStyle name="Normal 2 3 3 2 6 6 5 2" xfId="22305"/>
    <cellStyle name="Normal 2 3 3 2 6 6 6" xfId="22306"/>
    <cellStyle name="Normal 2 3 3 2 6 6 6 2" xfId="22307"/>
    <cellStyle name="Normal 2 3 3 2 6 6 7" xfId="22308"/>
    <cellStyle name="Normal 2 3 3 2 6 6 7 2" xfId="22309"/>
    <cellStyle name="Normal 2 3 3 2 6 6 8" xfId="22310"/>
    <cellStyle name="Normal 2 3 3 2 6 6 8 2" xfId="22311"/>
    <cellStyle name="Normal 2 3 3 2 6 6 9" xfId="22312"/>
    <cellStyle name="Normal 2 3 3 2 6 6 9 2" xfId="22313"/>
    <cellStyle name="Normal 2 3 3 2 6 7" xfId="22314"/>
    <cellStyle name="Normal 2 3 3 2 6 7 10" xfId="22315"/>
    <cellStyle name="Normal 2 3 3 2 6 7 10 2" xfId="22316"/>
    <cellStyle name="Normal 2 3 3 2 6 7 11" xfId="22317"/>
    <cellStyle name="Normal 2 3 3 2 6 7 2" xfId="22318"/>
    <cellStyle name="Normal 2 3 3 2 6 7 2 2" xfId="22319"/>
    <cellStyle name="Normal 2 3 3 2 6 7 3" xfId="22320"/>
    <cellStyle name="Normal 2 3 3 2 6 7 3 2" xfId="22321"/>
    <cellStyle name="Normal 2 3 3 2 6 7 4" xfId="22322"/>
    <cellStyle name="Normal 2 3 3 2 6 7 4 2" xfId="22323"/>
    <cellStyle name="Normal 2 3 3 2 6 7 5" xfId="22324"/>
    <cellStyle name="Normal 2 3 3 2 6 7 5 2" xfId="22325"/>
    <cellStyle name="Normal 2 3 3 2 6 7 6" xfId="22326"/>
    <cellStyle name="Normal 2 3 3 2 6 7 6 2" xfId="22327"/>
    <cellStyle name="Normal 2 3 3 2 6 7 7" xfId="22328"/>
    <cellStyle name="Normal 2 3 3 2 6 7 7 2" xfId="22329"/>
    <cellStyle name="Normal 2 3 3 2 6 7 8" xfId="22330"/>
    <cellStyle name="Normal 2 3 3 2 6 7 8 2" xfId="22331"/>
    <cellStyle name="Normal 2 3 3 2 6 7 9" xfId="22332"/>
    <cellStyle name="Normal 2 3 3 2 6 7 9 2" xfId="22333"/>
    <cellStyle name="Normal 2 3 3 2 6 8" xfId="22334"/>
    <cellStyle name="Normal 2 3 3 2 6 8 2" xfId="22335"/>
    <cellStyle name="Normal 2 3 3 2 6 9" xfId="22336"/>
    <cellStyle name="Normal 2 3 3 2 6 9 2" xfId="22337"/>
    <cellStyle name="Normal 2 3 3 2 7" xfId="22338"/>
    <cellStyle name="Normal 2 3 3 2 7 10" xfId="22339"/>
    <cellStyle name="Normal 2 3 3 2 7 10 2" xfId="22340"/>
    <cellStyle name="Normal 2 3 3 2 7 11" xfId="22341"/>
    <cellStyle name="Normal 2 3 3 2 7 11 2" xfId="22342"/>
    <cellStyle name="Normal 2 3 3 2 7 12" xfId="22343"/>
    <cellStyle name="Normal 2 3 3 2 7 12 2" xfId="22344"/>
    <cellStyle name="Normal 2 3 3 2 7 13" xfId="22345"/>
    <cellStyle name="Normal 2 3 3 2 7 2" xfId="22346"/>
    <cellStyle name="Normal 2 3 3 2 7 2 10" xfId="22347"/>
    <cellStyle name="Normal 2 3 3 2 7 2 10 2" xfId="22348"/>
    <cellStyle name="Normal 2 3 3 2 7 2 11" xfId="22349"/>
    <cellStyle name="Normal 2 3 3 2 7 2 11 2" xfId="22350"/>
    <cellStyle name="Normal 2 3 3 2 7 2 12" xfId="22351"/>
    <cellStyle name="Normal 2 3 3 2 7 2 2" xfId="22352"/>
    <cellStyle name="Normal 2 3 3 2 7 2 2 10" xfId="22353"/>
    <cellStyle name="Normal 2 3 3 2 7 2 2 10 2" xfId="22354"/>
    <cellStyle name="Normal 2 3 3 2 7 2 2 11" xfId="22355"/>
    <cellStyle name="Normal 2 3 3 2 7 2 2 2" xfId="22356"/>
    <cellStyle name="Normal 2 3 3 2 7 2 2 2 2" xfId="22357"/>
    <cellStyle name="Normal 2 3 3 2 7 2 2 3" xfId="22358"/>
    <cellStyle name="Normal 2 3 3 2 7 2 2 3 2" xfId="22359"/>
    <cellStyle name="Normal 2 3 3 2 7 2 2 4" xfId="22360"/>
    <cellStyle name="Normal 2 3 3 2 7 2 2 4 2" xfId="22361"/>
    <cellStyle name="Normal 2 3 3 2 7 2 2 5" xfId="22362"/>
    <cellStyle name="Normal 2 3 3 2 7 2 2 5 2" xfId="22363"/>
    <cellStyle name="Normal 2 3 3 2 7 2 2 6" xfId="22364"/>
    <cellStyle name="Normal 2 3 3 2 7 2 2 6 2" xfId="22365"/>
    <cellStyle name="Normal 2 3 3 2 7 2 2 7" xfId="22366"/>
    <cellStyle name="Normal 2 3 3 2 7 2 2 7 2" xfId="22367"/>
    <cellStyle name="Normal 2 3 3 2 7 2 2 8" xfId="22368"/>
    <cellStyle name="Normal 2 3 3 2 7 2 2 8 2" xfId="22369"/>
    <cellStyle name="Normal 2 3 3 2 7 2 2 9" xfId="22370"/>
    <cellStyle name="Normal 2 3 3 2 7 2 2 9 2" xfId="22371"/>
    <cellStyle name="Normal 2 3 3 2 7 2 3" xfId="22372"/>
    <cellStyle name="Normal 2 3 3 2 7 2 3 2" xfId="22373"/>
    <cellStyle name="Normal 2 3 3 2 7 2 4" xfId="22374"/>
    <cellStyle name="Normal 2 3 3 2 7 2 4 2" xfId="22375"/>
    <cellStyle name="Normal 2 3 3 2 7 2 5" xfId="22376"/>
    <cellStyle name="Normal 2 3 3 2 7 2 5 2" xfId="22377"/>
    <cellStyle name="Normal 2 3 3 2 7 2 6" xfId="22378"/>
    <cellStyle name="Normal 2 3 3 2 7 2 6 2" xfId="22379"/>
    <cellStyle name="Normal 2 3 3 2 7 2 7" xfId="22380"/>
    <cellStyle name="Normal 2 3 3 2 7 2 7 2" xfId="22381"/>
    <cellStyle name="Normal 2 3 3 2 7 2 8" xfId="22382"/>
    <cellStyle name="Normal 2 3 3 2 7 2 8 2" xfId="22383"/>
    <cellStyle name="Normal 2 3 3 2 7 2 9" xfId="22384"/>
    <cellStyle name="Normal 2 3 3 2 7 2 9 2" xfId="22385"/>
    <cellStyle name="Normal 2 3 3 2 7 3" xfId="22386"/>
    <cellStyle name="Normal 2 3 3 2 7 3 10" xfId="22387"/>
    <cellStyle name="Normal 2 3 3 2 7 3 10 2" xfId="22388"/>
    <cellStyle name="Normal 2 3 3 2 7 3 11" xfId="22389"/>
    <cellStyle name="Normal 2 3 3 2 7 3 2" xfId="22390"/>
    <cellStyle name="Normal 2 3 3 2 7 3 2 2" xfId="22391"/>
    <cellStyle name="Normal 2 3 3 2 7 3 3" xfId="22392"/>
    <cellStyle name="Normal 2 3 3 2 7 3 3 2" xfId="22393"/>
    <cellStyle name="Normal 2 3 3 2 7 3 4" xfId="22394"/>
    <cellStyle name="Normal 2 3 3 2 7 3 4 2" xfId="22395"/>
    <cellStyle name="Normal 2 3 3 2 7 3 5" xfId="22396"/>
    <cellStyle name="Normal 2 3 3 2 7 3 5 2" xfId="22397"/>
    <cellStyle name="Normal 2 3 3 2 7 3 6" xfId="22398"/>
    <cellStyle name="Normal 2 3 3 2 7 3 6 2" xfId="22399"/>
    <cellStyle name="Normal 2 3 3 2 7 3 7" xfId="22400"/>
    <cellStyle name="Normal 2 3 3 2 7 3 7 2" xfId="22401"/>
    <cellStyle name="Normal 2 3 3 2 7 3 8" xfId="22402"/>
    <cellStyle name="Normal 2 3 3 2 7 3 8 2" xfId="22403"/>
    <cellStyle name="Normal 2 3 3 2 7 3 9" xfId="22404"/>
    <cellStyle name="Normal 2 3 3 2 7 3 9 2" xfId="22405"/>
    <cellStyle name="Normal 2 3 3 2 7 4" xfId="22406"/>
    <cellStyle name="Normal 2 3 3 2 7 4 2" xfId="22407"/>
    <cellStyle name="Normal 2 3 3 2 7 5" xfId="22408"/>
    <cellStyle name="Normal 2 3 3 2 7 5 2" xfId="22409"/>
    <cellStyle name="Normal 2 3 3 2 7 6" xfId="22410"/>
    <cellStyle name="Normal 2 3 3 2 7 6 2" xfId="22411"/>
    <cellStyle name="Normal 2 3 3 2 7 7" xfId="22412"/>
    <cellStyle name="Normal 2 3 3 2 7 7 2" xfId="22413"/>
    <cellStyle name="Normal 2 3 3 2 7 8" xfId="22414"/>
    <cellStyle name="Normal 2 3 3 2 7 8 2" xfId="22415"/>
    <cellStyle name="Normal 2 3 3 2 7 9" xfId="22416"/>
    <cellStyle name="Normal 2 3 3 2 7 9 2" xfId="22417"/>
    <cellStyle name="Normal 2 3 3 2 8" xfId="22418"/>
    <cellStyle name="Normal 2 3 3 2 8 10" xfId="22419"/>
    <cellStyle name="Normal 2 3 3 2 8 10 2" xfId="22420"/>
    <cellStyle name="Normal 2 3 3 2 8 11" xfId="22421"/>
    <cellStyle name="Normal 2 3 3 2 8 11 2" xfId="22422"/>
    <cellStyle name="Normal 2 3 3 2 8 12" xfId="22423"/>
    <cellStyle name="Normal 2 3 3 2 8 12 2" xfId="22424"/>
    <cellStyle name="Normal 2 3 3 2 8 13" xfId="22425"/>
    <cellStyle name="Normal 2 3 3 2 8 2" xfId="22426"/>
    <cellStyle name="Normal 2 3 3 2 8 2 10" xfId="22427"/>
    <cellStyle name="Normal 2 3 3 2 8 2 10 2" xfId="22428"/>
    <cellStyle name="Normal 2 3 3 2 8 2 11" xfId="22429"/>
    <cellStyle name="Normal 2 3 3 2 8 2 11 2" xfId="22430"/>
    <cellStyle name="Normal 2 3 3 2 8 2 12" xfId="22431"/>
    <cellStyle name="Normal 2 3 3 2 8 2 2" xfId="22432"/>
    <cellStyle name="Normal 2 3 3 2 8 2 2 10" xfId="22433"/>
    <cellStyle name="Normal 2 3 3 2 8 2 2 10 2" xfId="22434"/>
    <cellStyle name="Normal 2 3 3 2 8 2 2 11" xfId="22435"/>
    <cellStyle name="Normal 2 3 3 2 8 2 2 2" xfId="22436"/>
    <cellStyle name="Normal 2 3 3 2 8 2 2 2 2" xfId="22437"/>
    <cellStyle name="Normal 2 3 3 2 8 2 2 3" xfId="22438"/>
    <cellStyle name="Normal 2 3 3 2 8 2 2 3 2" xfId="22439"/>
    <cellStyle name="Normal 2 3 3 2 8 2 2 4" xfId="22440"/>
    <cellStyle name="Normal 2 3 3 2 8 2 2 4 2" xfId="22441"/>
    <cellStyle name="Normal 2 3 3 2 8 2 2 5" xfId="22442"/>
    <cellStyle name="Normal 2 3 3 2 8 2 2 5 2" xfId="22443"/>
    <cellStyle name="Normal 2 3 3 2 8 2 2 6" xfId="22444"/>
    <cellStyle name="Normal 2 3 3 2 8 2 2 6 2" xfId="22445"/>
    <cellStyle name="Normal 2 3 3 2 8 2 2 7" xfId="22446"/>
    <cellStyle name="Normal 2 3 3 2 8 2 2 7 2" xfId="22447"/>
    <cellStyle name="Normal 2 3 3 2 8 2 2 8" xfId="22448"/>
    <cellStyle name="Normal 2 3 3 2 8 2 2 8 2" xfId="22449"/>
    <cellStyle name="Normal 2 3 3 2 8 2 2 9" xfId="22450"/>
    <cellStyle name="Normal 2 3 3 2 8 2 2 9 2" xfId="22451"/>
    <cellStyle name="Normal 2 3 3 2 8 2 3" xfId="22452"/>
    <cellStyle name="Normal 2 3 3 2 8 2 3 2" xfId="22453"/>
    <cellStyle name="Normal 2 3 3 2 8 2 4" xfId="22454"/>
    <cellStyle name="Normal 2 3 3 2 8 2 4 2" xfId="22455"/>
    <cellStyle name="Normal 2 3 3 2 8 2 5" xfId="22456"/>
    <cellStyle name="Normal 2 3 3 2 8 2 5 2" xfId="22457"/>
    <cellStyle name="Normal 2 3 3 2 8 2 6" xfId="22458"/>
    <cellStyle name="Normal 2 3 3 2 8 2 6 2" xfId="22459"/>
    <cellStyle name="Normal 2 3 3 2 8 2 7" xfId="22460"/>
    <cellStyle name="Normal 2 3 3 2 8 2 7 2" xfId="22461"/>
    <cellStyle name="Normal 2 3 3 2 8 2 8" xfId="22462"/>
    <cellStyle name="Normal 2 3 3 2 8 2 8 2" xfId="22463"/>
    <cellStyle name="Normal 2 3 3 2 8 2 9" xfId="22464"/>
    <cellStyle name="Normal 2 3 3 2 8 2 9 2" xfId="22465"/>
    <cellStyle name="Normal 2 3 3 2 8 3" xfId="22466"/>
    <cellStyle name="Normal 2 3 3 2 8 3 10" xfId="22467"/>
    <cellStyle name="Normal 2 3 3 2 8 3 10 2" xfId="22468"/>
    <cellStyle name="Normal 2 3 3 2 8 3 11" xfId="22469"/>
    <cellStyle name="Normal 2 3 3 2 8 3 2" xfId="22470"/>
    <cellStyle name="Normal 2 3 3 2 8 3 2 2" xfId="22471"/>
    <cellStyle name="Normal 2 3 3 2 8 3 3" xfId="22472"/>
    <cellStyle name="Normal 2 3 3 2 8 3 3 2" xfId="22473"/>
    <cellStyle name="Normal 2 3 3 2 8 3 4" xfId="22474"/>
    <cellStyle name="Normal 2 3 3 2 8 3 4 2" xfId="22475"/>
    <cellStyle name="Normal 2 3 3 2 8 3 5" xfId="22476"/>
    <cellStyle name="Normal 2 3 3 2 8 3 5 2" xfId="22477"/>
    <cellStyle name="Normal 2 3 3 2 8 3 6" xfId="22478"/>
    <cellStyle name="Normal 2 3 3 2 8 3 6 2" xfId="22479"/>
    <cellStyle name="Normal 2 3 3 2 8 3 7" xfId="22480"/>
    <cellStyle name="Normal 2 3 3 2 8 3 7 2" xfId="22481"/>
    <cellStyle name="Normal 2 3 3 2 8 3 8" xfId="22482"/>
    <cellStyle name="Normal 2 3 3 2 8 3 8 2" xfId="22483"/>
    <cellStyle name="Normal 2 3 3 2 8 3 9" xfId="22484"/>
    <cellStyle name="Normal 2 3 3 2 8 3 9 2" xfId="22485"/>
    <cellStyle name="Normal 2 3 3 2 8 4" xfId="22486"/>
    <cellStyle name="Normal 2 3 3 2 8 4 2" xfId="22487"/>
    <cellStyle name="Normal 2 3 3 2 8 5" xfId="22488"/>
    <cellStyle name="Normal 2 3 3 2 8 5 2" xfId="22489"/>
    <cellStyle name="Normal 2 3 3 2 8 6" xfId="22490"/>
    <cellStyle name="Normal 2 3 3 2 8 6 2" xfId="22491"/>
    <cellStyle name="Normal 2 3 3 2 8 7" xfId="22492"/>
    <cellStyle name="Normal 2 3 3 2 8 7 2" xfId="22493"/>
    <cellStyle name="Normal 2 3 3 2 8 8" xfId="22494"/>
    <cellStyle name="Normal 2 3 3 2 8 8 2" xfId="22495"/>
    <cellStyle name="Normal 2 3 3 2 8 9" xfId="22496"/>
    <cellStyle name="Normal 2 3 3 2 8 9 2" xfId="22497"/>
    <cellStyle name="Normal 2 3 3 2 9" xfId="22498"/>
    <cellStyle name="Normal 2 3 3 2 9 10" xfId="22499"/>
    <cellStyle name="Normal 2 3 3 2 9 10 2" xfId="22500"/>
    <cellStyle name="Normal 2 3 3 2 9 11" xfId="22501"/>
    <cellStyle name="Normal 2 3 3 2 9 11 2" xfId="22502"/>
    <cellStyle name="Normal 2 3 3 2 9 12" xfId="22503"/>
    <cellStyle name="Normal 2 3 3 2 9 12 2" xfId="22504"/>
    <cellStyle name="Normal 2 3 3 2 9 13" xfId="22505"/>
    <cellStyle name="Normal 2 3 3 2 9 2" xfId="22506"/>
    <cellStyle name="Normal 2 3 3 2 9 2 10" xfId="22507"/>
    <cellStyle name="Normal 2 3 3 2 9 2 10 2" xfId="22508"/>
    <cellStyle name="Normal 2 3 3 2 9 2 11" xfId="22509"/>
    <cellStyle name="Normal 2 3 3 2 9 2 11 2" xfId="22510"/>
    <cellStyle name="Normal 2 3 3 2 9 2 12" xfId="22511"/>
    <cellStyle name="Normal 2 3 3 2 9 2 2" xfId="22512"/>
    <cellStyle name="Normal 2 3 3 2 9 2 2 10" xfId="22513"/>
    <cellStyle name="Normal 2 3 3 2 9 2 2 10 2" xfId="22514"/>
    <cellStyle name="Normal 2 3 3 2 9 2 2 11" xfId="22515"/>
    <cellStyle name="Normal 2 3 3 2 9 2 2 2" xfId="22516"/>
    <cellStyle name="Normal 2 3 3 2 9 2 2 2 2" xfId="22517"/>
    <cellStyle name="Normal 2 3 3 2 9 2 2 3" xfId="22518"/>
    <cellStyle name="Normal 2 3 3 2 9 2 2 3 2" xfId="22519"/>
    <cellStyle name="Normal 2 3 3 2 9 2 2 4" xfId="22520"/>
    <cellStyle name="Normal 2 3 3 2 9 2 2 4 2" xfId="22521"/>
    <cellStyle name="Normal 2 3 3 2 9 2 2 5" xfId="22522"/>
    <cellStyle name="Normal 2 3 3 2 9 2 2 5 2" xfId="22523"/>
    <cellStyle name="Normal 2 3 3 2 9 2 2 6" xfId="22524"/>
    <cellStyle name="Normal 2 3 3 2 9 2 2 6 2" xfId="22525"/>
    <cellStyle name="Normal 2 3 3 2 9 2 2 7" xfId="22526"/>
    <cellStyle name="Normal 2 3 3 2 9 2 2 7 2" xfId="22527"/>
    <cellStyle name="Normal 2 3 3 2 9 2 2 8" xfId="22528"/>
    <cellStyle name="Normal 2 3 3 2 9 2 2 8 2" xfId="22529"/>
    <cellStyle name="Normal 2 3 3 2 9 2 2 9" xfId="22530"/>
    <cellStyle name="Normal 2 3 3 2 9 2 2 9 2" xfId="22531"/>
    <cellStyle name="Normal 2 3 3 2 9 2 3" xfId="22532"/>
    <cellStyle name="Normal 2 3 3 2 9 2 3 2" xfId="22533"/>
    <cellStyle name="Normal 2 3 3 2 9 2 4" xfId="22534"/>
    <cellStyle name="Normal 2 3 3 2 9 2 4 2" xfId="22535"/>
    <cellStyle name="Normal 2 3 3 2 9 2 5" xfId="22536"/>
    <cellStyle name="Normal 2 3 3 2 9 2 5 2" xfId="22537"/>
    <cellStyle name="Normal 2 3 3 2 9 2 6" xfId="22538"/>
    <cellStyle name="Normal 2 3 3 2 9 2 6 2" xfId="22539"/>
    <cellStyle name="Normal 2 3 3 2 9 2 7" xfId="22540"/>
    <cellStyle name="Normal 2 3 3 2 9 2 7 2" xfId="22541"/>
    <cellStyle name="Normal 2 3 3 2 9 2 8" xfId="22542"/>
    <cellStyle name="Normal 2 3 3 2 9 2 8 2" xfId="22543"/>
    <cellStyle name="Normal 2 3 3 2 9 2 9" xfId="22544"/>
    <cellStyle name="Normal 2 3 3 2 9 2 9 2" xfId="22545"/>
    <cellStyle name="Normal 2 3 3 2 9 3" xfId="22546"/>
    <cellStyle name="Normal 2 3 3 2 9 3 10" xfId="22547"/>
    <cellStyle name="Normal 2 3 3 2 9 3 10 2" xfId="22548"/>
    <cellStyle name="Normal 2 3 3 2 9 3 11" xfId="22549"/>
    <cellStyle name="Normal 2 3 3 2 9 3 2" xfId="22550"/>
    <cellStyle name="Normal 2 3 3 2 9 3 2 2" xfId="22551"/>
    <cellStyle name="Normal 2 3 3 2 9 3 3" xfId="22552"/>
    <cellStyle name="Normal 2 3 3 2 9 3 3 2" xfId="22553"/>
    <cellStyle name="Normal 2 3 3 2 9 3 4" xfId="22554"/>
    <cellStyle name="Normal 2 3 3 2 9 3 4 2" xfId="22555"/>
    <cellStyle name="Normal 2 3 3 2 9 3 5" xfId="22556"/>
    <cellStyle name="Normal 2 3 3 2 9 3 5 2" xfId="22557"/>
    <cellStyle name="Normal 2 3 3 2 9 3 6" xfId="22558"/>
    <cellStyle name="Normal 2 3 3 2 9 3 6 2" xfId="22559"/>
    <cellStyle name="Normal 2 3 3 2 9 3 7" xfId="22560"/>
    <cellStyle name="Normal 2 3 3 2 9 3 7 2" xfId="22561"/>
    <cellStyle name="Normal 2 3 3 2 9 3 8" xfId="22562"/>
    <cellStyle name="Normal 2 3 3 2 9 3 8 2" xfId="22563"/>
    <cellStyle name="Normal 2 3 3 2 9 3 9" xfId="22564"/>
    <cellStyle name="Normal 2 3 3 2 9 3 9 2" xfId="22565"/>
    <cellStyle name="Normal 2 3 3 2 9 4" xfId="22566"/>
    <cellStyle name="Normal 2 3 3 2 9 4 2" xfId="22567"/>
    <cellStyle name="Normal 2 3 3 2 9 5" xfId="22568"/>
    <cellStyle name="Normal 2 3 3 2 9 5 2" xfId="22569"/>
    <cellStyle name="Normal 2 3 3 2 9 6" xfId="22570"/>
    <cellStyle name="Normal 2 3 3 2 9 6 2" xfId="22571"/>
    <cellStyle name="Normal 2 3 3 2 9 7" xfId="22572"/>
    <cellStyle name="Normal 2 3 3 2 9 7 2" xfId="22573"/>
    <cellStyle name="Normal 2 3 3 2 9 8" xfId="22574"/>
    <cellStyle name="Normal 2 3 3 2 9 8 2" xfId="22575"/>
    <cellStyle name="Normal 2 3 3 2 9 9" xfId="22576"/>
    <cellStyle name="Normal 2 3 3 2 9 9 2" xfId="22577"/>
    <cellStyle name="Normal 2 3 3 3" xfId="22578"/>
    <cellStyle name="Normal 2 3 3 3 2" xfId="22579"/>
    <cellStyle name="Normal 2 3 3 3 2 10" xfId="22580"/>
    <cellStyle name="Normal 2 3 3 3 2 10 2" xfId="22581"/>
    <cellStyle name="Normal 2 3 3 3 2 11" xfId="22582"/>
    <cellStyle name="Normal 2 3 3 3 2 11 2" xfId="22583"/>
    <cellStyle name="Normal 2 3 3 3 2 12" xfId="22584"/>
    <cellStyle name="Normal 2 3 3 3 2 12 2" xfId="22585"/>
    <cellStyle name="Normal 2 3 3 3 2 13" xfId="22586"/>
    <cellStyle name="Normal 2 3 3 3 2 13 2" xfId="22587"/>
    <cellStyle name="Normal 2 3 3 3 2 14" xfId="22588"/>
    <cellStyle name="Normal 2 3 3 3 2 14 2" xfId="22589"/>
    <cellStyle name="Normal 2 3 3 3 2 15" xfId="22590"/>
    <cellStyle name="Normal 2 3 3 3 2 15 2" xfId="22591"/>
    <cellStyle name="Normal 2 3 3 3 2 16" xfId="22592"/>
    <cellStyle name="Normal 2 3 3 3 2 16 2" xfId="22593"/>
    <cellStyle name="Normal 2 3 3 3 2 17" xfId="22594"/>
    <cellStyle name="Normal 2 3 3 3 2 2" xfId="22595"/>
    <cellStyle name="Normal 2 3 3 3 2 2 2" xfId="22596"/>
    <cellStyle name="Normal 2 3 3 3 2 2 2 10" xfId="22597"/>
    <cellStyle name="Normal 2 3 3 3 2 2 2 10 2" xfId="22598"/>
    <cellStyle name="Normal 2 3 3 3 2 2 2 11" xfId="22599"/>
    <cellStyle name="Normal 2 3 3 3 2 2 2 11 2" xfId="22600"/>
    <cellStyle name="Normal 2 3 3 3 2 2 2 12" xfId="22601"/>
    <cellStyle name="Normal 2 3 3 3 2 2 2 12 2" xfId="22602"/>
    <cellStyle name="Normal 2 3 3 3 2 2 2 13" xfId="22603"/>
    <cellStyle name="Normal 2 3 3 3 2 2 2 2" xfId="22604"/>
    <cellStyle name="Normal 2 3 3 3 2 2 2 2 10" xfId="22605"/>
    <cellStyle name="Normal 2 3 3 3 2 2 2 2 10 2" xfId="22606"/>
    <cellStyle name="Normal 2 3 3 3 2 2 2 2 11" xfId="22607"/>
    <cellStyle name="Normal 2 3 3 3 2 2 2 2 11 2" xfId="22608"/>
    <cellStyle name="Normal 2 3 3 3 2 2 2 2 12" xfId="22609"/>
    <cellStyle name="Normal 2 3 3 3 2 2 2 2 2" xfId="22610"/>
    <cellStyle name="Normal 2 3 3 3 2 2 2 2 2 10" xfId="22611"/>
    <cellStyle name="Normal 2 3 3 3 2 2 2 2 2 10 2" xfId="22612"/>
    <cellStyle name="Normal 2 3 3 3 2 2 2 2 2 11" xfId="22613"/>
    <cellStyle name="Normal 2 3 3 3 2 2 2 2 2 2" xfId="22614"/>
    <cellStyle name="Normal 2 3 3 3 2 2 2 2 2 2 2" xfId="22615"/>
    <cellStyle name="Normal 2 3 3 3 2 2 2 2 2 3" xfId="22616"/>
    <cellStyle name="Normal 2 3 3 3 2 2 2 2 2 3 2" xfId="22617"/>
    <cellStyle name="Normal 2 3 3 3 2 2 2 2 2 4" xfId="22618"/>
    <cellStyle name="Normal 2 3 3 3 2 2 2 2 2 4 2" xfId="22619"/>
    <cellStyle name="Normal 2 3 3 3 2 2 2 2 2 5" xfId="22620"/>
    <cellStyle name="Normal 2 3 3 3 2 2 2 2 2 5 2" xfId="22621"/>
    <cellStyle name="Normal 2 3 3 3 2 2 2 2 2 6" xfId="22622"/>
    <cellStyle name="Normal 2 3 3 3 2 2 2 2 2 6 2" xfId="22623"/>
    <cellStyle name="Normal 2 3 3 3 2 2 2 2 2 7" xfId="22624"/>
    <cellStyle name="Normal 2 3 3 3 2 2 2 2 2 7 2" xfId="22625"/>
    <cellStyle name="Normal 2 3 3 3 2 2 2 2 2 8" xfId="22626"/>
    <cellStyle name="Normal 2 3 3 3 2 2 2 2 2 8 2" xfId="22627"/>
    <cellStyle name="Normal 2 3 3 3 2 2 2 2 2 9" xfId="22628"/>
    <cellStyle name="Normal 2 3 3 3 2 2 2 2 2 9 2" xfId="22629"/>
    <cellStyle name="Normal 2 3 3 3 2 2 2 2 3" xfId="22630"/>
    <cellStyle name="Normal 2 3 3 3 2 2 2 2 3 2" xfId="22631"/>
    <cellStyle name="Normal 2 3 3 3 2 2 2 2 4" xfId="22632"/>
    <cellStyle name="Normal 2 3 3 3 2 2 2 2 4 2" xfId="22633"/>
    <cellStyle name="Normal 2 3 3 3 2 2 2 2 5" xfId="22634"/>
    <cellStyle name="Normal 2 3 3 3 2 2 2 2 5 2" xfId="22635"/>
    <cellStyle name="Normal 2 3 3 3 2 2 2 2 6" xfId="22636"/>
    <cellStyle name="Normal 2 3 3 3 2 2 2 2 6 2" xfId="22637"/>
    <cellStyle name="Normal 2 3 3 3 2 2 2 2 7" xfId="22638"/>
    <cellStyle name="Normal 2 3 3 3 2 2 2 2 7 2" xfId="22639"/>
    <cellStyle name="Normal 2 3 3 3 2 2 2 2 8" xfId="22640"/>
    <cellStyle name="Normal 2 3 3 3 2 2 2 2 8 2" xfId="22641"/>
    <cellStyle name="Normal 2 3 3 3 2 2 2 2 9" xfId="22642"/>
    <cellStyle name="Normal 2 3 3 3 2 2 2 2 9 2" xfId="22643"/>
    <cellStyle name="Normal 2 3 3 3 2 2 2 3" xfId="22644"/>
    <cellStyle name="Normal 2 3 3 3 2 2 2 3 10" xfId="22645"/>
    <cellStyle name="Normal 2 3 3 3 2 2 2 3 10 2" xfId="22646"/>
    <cellStyle name="Normal 2 3 3 3 2 2 2 3 11" xfId="22647"/>
    <cellStyle name="Normal 2 3 3 3 2 2 2 3 2" xfId="22648"/>
    <cellStyle name="Normal 2 3 3 3 2 2 2 3 2 2" xfId="22649"/>
    <cellStyle name="Normal 2 3 3 3 2 2 2 3 3" xfId="22650"/>
    <cellStyle name="Normal 2 3 3 3 2 2 2 3 3 2" xfId="22651"/>
    <cellStyle name="Normal 2 3 3 3 2 2 2 3 4" xfId="22652"/>
    <cellStyle name="Normal 2 3 3 3 2 2 2 3 4 2" xfId="22653"/>
    <cellStyle name="Normal 2 3 3 3 2 2 2 3 5" xfId="22654"/>
    <cellStyle name="Normal 2 3 3 3 2 2 2 3 5 2" xfId="22655"/>
    <cellStyle name="Normal 2 3 3 3 2 2 2 3 6" xfId="22656"/>
    <cellStyle name="Normal 2 3 3 3 2 2 2 3 6 2" xfId="22657"/>
    <cellStyle name="Normal 2 3 3 3 2 2 2 3 7" xfId="22658"/>
    <cellStyle name="Normal 2 3 3 3 2 2 2 3 7 2" xfId="22659"/>
    <cellStyle name="Normal 2 3 3 3 2 2 2 3 8" xfId="22660"/>
    <cellStyle name="Normal 2 3 3 3 2 2 2 3 8 2" xfId="22661"/>
    <cellStyle name="Normal 2 3 3 3 2 2 2 3 9" xfId="22662"/>
    <cellStyle name="Normal 2 3 3 3 2 2 2 3 9 2" xfId="22663"/>
    <cellStyle name="Normal 2 3 3 3 2 2 2 4" xfId="22664"/>
    <cellStyle name="Normal 2 3 3 3 2 2 2 4 2" xfId="22665"/>
    <cellStyle name="Normal 2 3 3 3 2 2 2 5" xfId="22666"/>
    <cellStyle name="Normal 2 3 3 3 2 2 2 5 2" xfId="22667"/>
    <cellStyle name="Normal 2 3 3 3 2 2 2 6" xfId="22668"/>
    <cellStyle name="Normal 2 3 3 3 2 2 2 6 2" xfId="22669"/>
    <cellStyle name="Normal 2 3 3 3 2 2 2 7" xfId="22670"/>
    <cellStyle name="Normal 2 3 3 3 2 2 2 7 2" xfId="22671"/>
    <cellStyle name="Normal 2 3 3 3 2 2 2 8" xfId="22672"/>
    <cellStyle name="Normal 2 3 3 3 2 2 2 8 2" xfId="22673"/>
    <cellStyle name="Normal 2 3 3 3 2 2 2 9" xfId="22674"/>
    <cellStyle name="Normal 2 3 3 3 2 2 2 9 2" xfId="22675"/>
    <cellStyle name="Normal 2 3 3 3 2 2 3" xfId="22676"/>
    <cellStyle name="Normal 2 3 3 3 2 2 3 10" xfId="22677"/>
    <cellStyle name="Normal 2 3 3 3 2 2 3 10 2" xfId="22678"/>
    <cellStyle name="Normal 2 3 3 3 2 2 3 11" xfId="22679"/>
    <cellStyle name="Normal 2 3 3 3 2 2 3 11 2" xfId="22680"/>
    <cellStyle name="Normal 2 3 3 3 2 2 3 12" xfId="22681"/>
    <cellStyle name="Normal 2 3 3 3 2 2 3 12 2" xfId="22682"/>
    <cellStyle name="Normal 2 3 3 3 2 2 3 13" xfId="22683"/>
    <cellStyle name="Normal 2 3 3 3 2 2 3 2" xfId="22684"/>
    <cellStyle name="Normal 2 3 3 3 2 2 3 2 10" xfId="22685"/>
    <cellStyle name="Normal 2 3 3 3 2 2 3 2 10 2" xfId="22686"/>
    <cellStyle name="Normal 2 3 3 3 2 2 3 2 11" xfId="22687"/>
    <cellStyle name="Normal 2 3 3 3 2 2 3 2 11 2" xfId="22688"/>
    <cellStyle name="Normal 2 3 3 3 2 2 3 2 12" xfId="22689"/>
    <cellStyle name="Normal 2 3 3 3 2 2 3 2 2" xfId="22690"/>
    <cellStyle name="Normal 2 3 3 3 2 2 3 2 2 10" xfId="22691"/>
    <cellStyle name="Normal 2 3 3 3 2 2 3 2 2 10 2" xfId="22692"/>
    <cellStyle name="Normal 2 3 3 3 2 2 3 2 2 11" xfId="22693"/>
    <cellStyle name="Normal 2 3 3 3 2 2 3 2 2 2" xfId="22694"/>
    <cellStyle name="Normal 2 3 3 3 2 2 3 2 2 2 2" xfId="22695"/>
    <cellStyle name="Normal 2 3 3 3 2 2 3 2 2 3" xfId="22696"/>
    <cellStyle name="Normal 2 3 3 3 2 2 3 2 2 3 2" xfId="22697"/>
    <cellStyle name="Normal 2 3 3 3 2 2 3 2 2 4" xfId="22698"/>
    <cellStyle name="Normal 2 3 3 3 2 2 3 2 2 4 2" xfId="22699"/>
    <cellStyle name="Normal 2 3 3 3 2 2 3 2 2 5" xfId="22700"/>
    <cellStyle name="Normal 2 3 3 3 2 2 3 2 2 5 2" xfId="22701"/>
    <cellStyle name="Normal 2 3 3 3 2 2 3 2 2 6" xfId="22702"/>
    <cellStyle name="Normal 2 3 3 3 2 2 3 2 2 6 2" xfId="22703"/>
    <cellStyle name="Normal 2 3 3 3 2 2 3 2 2 7" xfId="22704"/>
    <cellStyle name="Normal 2 3 3 3 2 2 3 2 2 7 2" xfId="22705"/>
    <cellStyle name="Normal 2 3 3 3 2 2 3 2 2 8" xfId="22706"/>
    <cellStyle name="Normal 2 3 3 3 2 2 3 2 2 8 2" xfId="22707"/>
    <cellStyle name="Normal 2 3 3 3 2 2 3 2 2 9" xfId="22708"/>
    <cellStyle name="Normal 2 3 3 3 2 2 3 2 2 9 2" xfId="22709"/>
    <cellStyle name="Normal 2 3 3 3 2 2 3 2 3" xfId="22710"/>
    <cellStyle name="Normal 2 3 3 3 2 2 3 2 3 2" xfId="22711"/>
    <cellStyle name="Normal 2 3 3 3 2 2 3 2 4" xfId="22712"/>
    <cellStyle name="Normal 2 3 3 3 2 2 3 2 4 2" xfId="22713"/>
    <cellStyle name="Normal 2 3 3 3 2 2 3 2 5" xfId="22714"/>
    <cellStyle name="Normal 2 3 3 3 2 2 3 2 5 2" xfId="22715"/>
    <cellStyle name="Normal 2 3 3 3 2 2 3 2 6" xfId="22716"/>
    <cellStyle name="Normal 2 3 3 3 2 2 3 2 6 2" xfId="22717"/>
    <cellStyle name="Normal 2 3 3 3 2 2 3 2 7" xfId="22718"/>
    <cellStyle name="Normal 2 3 3 3 2 2 3 2 7 2" xfId="22719"/>
    <cellStyle name="Normal 2 3 3 3 2 2 3 2 8" xfId="22720"/>
    <cellStyle name="Normal 2 3 3 3 2 2 3 2 8 2" xfId="22721"/>
    <cellStyle name="Normal 2 3 3 3 2 2 3 2 9" xfId="22722"/>
    <cellStyle name="Normal 2 3 3 3 2 2 3 2 9 2" xfId="22723"/>
    <cellStyle name="Normal 2 3 3 3 2 2 3 3" xfId="22724"/>
    <cellStyle name="Normal 2 3 3 3 2 2 3 3 10" xfId="22725"/>
    <cellStyle name="Normal 2 3 3 3 2 2 3 3 10 2" xfId="22726"/>
    <cellStyle name="Normal 2 3 3 3 2 2 3 3 11" xfId="22727"/>
    <cellStyle name="Normal 2 3 3 3 2 2 3 3 2" xfId="22728"/>
    <cellStyle name="Normal 2 3 3 3 2 2 3 3 2 2" xfId="22729"/>
    <cellStyle name="Normal 2 3 3 3 2 2 3 3 3" xfId="22730"/>
    <cellStyle name="Normal 2 3 3 3 2 2 3 3 3 2" xfId="22731"/>
    <cellStyle name="Normal 2 3 3 3 2 2 3 3 4" xfId="22732"/>
    <cellStyle name="Normal 2 3 3 3 2 2 3 3 4 2" xfId="22733"/>
    <cellStyle name="Normal 2 3 3 3 2 2 3 3 5" xfId="22734"/>
    <cellStyle name="Normal 2 3 3 3 2 2 3 3 5 2" xfId="22735"/>
    <cellStyle name="Normal 2 3 3 3 2 2 3 3 6" xfId="22736"/>
    <cellStyle name="Normal 2 3 3 3 2 2 3 3 6 2" xfId="22737"/>
    <cellStyle name="Normal 2 3 3 3 2 2 3 3 7" xfId="22738"/>
    <cellStyle name="Normal 2 3 3 3 2 2 3 3 7 2" xfId="22739"/>
    <cellStyle name="Normal 2 3 3 3 2 2 3 3 8" xfId="22740"/>
    <cellStyle name="Normal 2 3 3 3 2 2 3 3 8 2" xfId="22741"/>
    <cellStyle name="Normal 2 3 3 3 2 2 3 3 9" xfId="22742"/>
    <cellStyle name="Normal 2 3 3 3 2 2 3 3 9 2" xfId="22743"/>
    <cellStyle name="Normal 2 3 3 3 2 2 3 4" xfId="22744"/>
    <cellStyle name="Normal 2 3 3 3 2 2 3 4 2" xfId="22745"/>
    <cellStyle name="Normal 2 3 3 3 2 2 3 5" xfId="22746"/>
    <cellStyle name="Normal 2 3 3 3 2 2 3 5 2" xfId="22747"/>
    <cellStyle name="Normal 2 3 3 3 2 2 3 6" xfId="22748"/>
    <cellStyle name="Normal 2 3 3 3 2 2 3 6 2" xfId="22749"/>
    <cellStyle name="Normal 2 3 3 3 2 2 3 7" xfId="22750"/>
    <cellStyle name="Normal 2 3 3 3 2 2 3 7 2" xfId="22751"/>
    <cellStyle name="Normal 2 3 3 3 2 2 3 8" xfId="22752"/>
    <cellStyle name="Normal 2 3 3 3 2 2 3 8 2" xfId="22753"/>
    <cellStyle name="Normal 2 3 3 3 2 2 3 9" xfId="22754"/>
    <cellStyle name="Normal 2 3 3 3 2 2 3 9 2" xfId="22755"/>
    <cellStyle name="Normal 2 3 3 3 2 2 4" xfId="22756"/>
    <cellStyle name="Normal 2 3 3 3 2 2 4 10" xfId="22757"/>
    <cellStyle name="Normal 2 3 3 3 2 2 4 10 2" xfId="22758"/>
    <cellStyle name="Normal 2 3 3 3 2 2 4 11" xfId="22759"/>
    <cellStyle name="Normal 2 3 3 3 2 2 4 11 2" xfId="22760"/>
    <cellStyle name="Normal 2 3 3 3 2 2 4 12" xfId="22761"/>
    <cellStyle name="Normal 2 3 3 3 2 2 4 12 2" xfId="22762"/>
    <cellStyle name="Normal 2 3 3 3 2 2 4 13" xfId="22763"/>
    <cellStyle name="Normal 2 3 3 3 2 2 4 2" xfId="22764"/>
    <cellStyle name="Normal 2 3 3 3 2 2 4 2 10" xfId="22765"/>
    <cellStyle name="Normal 2 3 3 3 2 2 4 2 10 2" xfId="22766"/>
    <cellStyle name="Normal 2 3 3 3 2 2 4 2 11" xfId="22767"/>
    <cellStyle name="Normal 2 3 3 3 2 2 4 2 11 2" xfId="22768"/>
    <cellStyle name="Normal 2 3 3 3 2 2 4 2 12" xfId="22769"/>
    <cellStyle name="Normal 2 3 3 3 2 2 4 2 2" xfId="22770"/>
    <cellStyle name="Normal 2 3 3 3 2 2 4 2 2 10" xfId="22771"/>
    <cellStyle name="Normal 2 3 3 3 2 2 4 2 2 10 2" xfId="22772"/>
    <cellStyle name="Normal 2 3 3 3 2 2 4 2 2 11" xfId="22773"/>
    <cellStyle name="Normal 2 3 3 3 2 2 4 2 2 2" xfId="22774"/>
    <cellStyle name="Normal 2 3 3 3 2 2 4 2 2 2 2" xfId="22775"/>
    <cellStyle name="Normal 2 3 3 3 2 2 4 2 2 3" xfId="22776"/>
    <cellStyle name="Normal 2 3 3 3 2 2 4 2 2 3 2" xfId="22777"/>
    <cellStyle name="Normal 2 3 3 3 2 2 4 2 2 4" xfId="22778"/>
    <cellStyle name="Normal 2 3 3 3 2 2 4 2 2 4 2" xfId="22779"/>
    <cellStyle name="Normal 2 3 3 3 2 2 4 2 2 5" xfId="22780"/>
    <cellStyle name="Normal 2 3 3 3 2 2 4 2 2 5 2" xfId="22781"/>
    <cellStyle name="Normal 2 3 3 3 2 2 4 2 2 6" xfId="22782"/>
    <cellStyle name="Normal 2 3 3 3 2 2 4 2 2 6 2" xfId="22783"/>
    <cellStyle name="Normal 2 3 3 3 2 2 4 2 2 7" xfId="22784"/>
    <cellStyle name="Normal 2 3 3 3 2 2 4 2 2 7 2" xfId="22785"/>
    <cellStyle name="Normal 2 3 3 3 2 2 4 2 2 8" xfId="22786"/>
    <cellStyle name="Normal 2 3 3 3 2 2 4 2 2 8 2" xfId="22787"/>
    <cellStyle name="Normal 2 3 3 3 2 2 4 2 2 9" xfId="22788"/>
    <cellStyle name="Normal 2 3 3 3 2 2 4 2 2 9 2" xfId="22789"/>
    <cellStyle name="Normal 2 3 3 3 2 2 4 2 3" xfId="22790"/>
    <cellStyle name="Normal 2 3 3 3 2 2 4 2 3 2" xfId="22791"/>
    <cellStyle name="Normal 2 3 3 3 2 2 4 2 4" xfId="22792"/>
    <cellStyle name="Normal 2 3 3 3 2 2 4 2 4 2" xfId="22793"/>
    <cellStyle name="Normal 2 3 3 3 2 2 4 2 5" xfId="22794"/>
    <cellStyle name="Normal 2 3 3 3 2 2 4 2 5 2" xfId="22795"/>
    <cellStyle name="Normal 2 3 3 3 2 2 4 2 6" xfId="22796"/>
    <cellStyle name="Normal 2 3 3 3 2 2 4 2 6 2" xfId="22797"/>
    <cellStyle name="Normal 2 3 3 3 2 2 4 2 7" xfId="22798"/>
    <cellStyle name="Normal 2 3 3 3 2 2 4 2 7 2" xfId="22799"/>
    <cellStyle name="Normal 2 3 3 3 2 2 4 2 8" xfId="22800"/>
    <cellStyle name="Normal 2 3 3 3 2 2 4 2 8 2" xfId="22801"/>
    <cellStyle name="Normal 2 3 3 3 2 2 4 2 9" xfId="22802"/>
    <cellStyle name="Normal 2 3 3 3 2 2 4 2 9 2" xfId="22803"/>
    <cellStyle name="Normal 2 3 3 3 2 2 4 3" xfId="22804"/>
    <cellStyle name="Normal 2 3 3 3 2 2 4 3 10" xfId="22805"/>
    <cellStyle name="Normal 2 3 3 3 2 2 4 3 10 2" xfId="22806"/>
    <cellStyle name="Normal 2 3 3 3 2 2 4 3 11" xfId="22807"/>
    <cellStyle name="Normal 2 3 3 3 2 2 4 3 2" xfId="22808"/>
    <cellStyle name="Normal 2 3 3 3 2 2 4 3 2 2" xfId="22809"/>
    <cellStyle name="Normal 2 3 3 3 2 2 4 3 3" xfId="22810"/>
    <cellStyle name="Normal 2 3 3 3 2 2 4 3 3 2" xfId="22811"/>
    <cellStyle name="Normal 2 3 3 3 2 2 4 3 4" xfId="22812"/>
    <cellStyle name="Normal 2 3 3 3 2 2 4 3 4 2" xfId="22813"/>
    <cellStyle name="Normal 2 3 3 3 2 2 4 3 5" xfId="22814"/>
    <cellStyle name="Normal 2 3 3 3 2 2 4 3 5 2" xfId="22815"/>
    <cellStyle name="Normal 2 3 3 3 2 2 4 3 6" xfId="22816"/>
    <cellStyle name="Normal 2 3 3 3 2 2 4 3 6 2" xfId="22817"/>
    <cellStyle name="Normal 2 3 3 3 2 2 4 3 7" xfId="22818"/>
    <cellStyle name="Normal 2 3 3 3 2 2 4 3 7 2" xfId="22819"/>
    <cellStyle name="Normal 2 3 3 3 2 2 4 3 8" xfId="22820"/>
    <cellStyle name="Normal 2 3 3 3 2 2 4 3 8 2" xfId="22821"/>
    <cellStyle name="Normal 2 3 3 3 2 2 4 3 9" xfId="22822"/>
    <cellStyle name="Normal 2 3 3 3 2 2 4 3 9 2" xfId="22823"/>
    <cellStyle name="Normal 2 3 3 3 2 2 4 4" xfId="22824"/>
    <cellStyle name="Normal 2 3 3 3 2 2 4 4 2" xfId="22825"/>
    <cellStyle name="Normal 2 3 3 3 2 2 4 5" xfId="22826"/>
    <cellStyle name="Normal 2 3 3 3 2 2 4 5 2" xfId="22827"/>
    <cellStyle name="Normal 2 3 3 3 2 2 4 6" xfId="22828"/>
    <cellStyle name="Normal 2 3 3 3 2 2 4 6 2" xfId="22829"/>
    <cellStyle name="Normal 2 3 3 3 2 2 4 7" xfId="22830"/>
    <cellStyle name="Normal 2 3 3 3 2 2 4 7 2" xfId="22831"/>
    <cellStyle name="Normal 2 3 3 3 2 2 4 8" xfId="22832"/>
    <cellStyle name="Normal 2 3 3 3 2 2 4 8 2" xfId="22833"/>
    <cellStyle name="Normal 2 3 3 3 2 2 4 9" xfId="22834"/>
    <cellStyle name="Normal 2 3 3 3 2 2 4 9 2" xfId="22835"/>
    <cellStyle name="Normal 2 3 3 3 2 2 5" xfId="22836"/>
    <cellStyle name="Normal 2 3 3 3 2 2 5 10" xfId="22837"/>
    <cellStyle name="Normal 2 3 3 3 2 2 5 10 2" xfId="22838"/>
    <cellStyle name="Normal 2 3 3 3 2 2 5 11" xfId="22839"/>
    <cellStyle name="Normal 2 3 3 3 2 2 5 11 2" xfId="22840"/>
    <cellStyle name="Normal 2 3 3 3 2 2 5 12" xfId="22841"/>
    <cellStyle name="Normal 2 3 3 3 2 2 5 12 2" xfId="22842"/>
    <cellStyle name="Normal 2 3 3 3 2 2 5 13" xfId="22843"/>
    <cellStyle name="Normal 2 3 3 3 2 2 5 2" xfId="22844"/>
    <cellStyle name="Normal 2 3 3 3 2 2 5 2 10" xfId="22845"/>
    <cellStyle name="Normal 2 3 3 3 2 2 5 2 10 2" xfId="22846"/>
    <cellStyle name="Normal 2 3 3 3 2 2 5 2 11" xfId="22847"/>
    <cellStyle name="Normal 2 3 3 3 2 2 5 2 11 2" xfId="22848"/>
    <cellStyle name="Normal 2 3 3 3 2 2 5 2 12" xfId="22849"/>
    <cellStyle name="Normal 2 3 3 3 2 2 5 2 2" xfId="22850"/>
    <cellStyle name="Normal 2 3 3 3 2 2 5 2 2 10" xfId="22851"/>
    <cellStyle name="Normal 2 3 3 3 2 2 5 2 2 10 2" xfId="22852"/>
    <cellStyle name="Normal 2 3 3 3 2 2 5 2 2 11" xfId="22853"/>
    <cellStyle name="Normal 2 3 3 3 2 2 5 2 2 2" xfId="22854"/>
    <cellStyle name="Normal 2 3 3 3 2 2 5 2 2 2 2" xfId="22855"/>
    <cellStyle name="Normal 2 3 3 3 2 2 5 2 2 3" xfId="22856"/>
    <cellStyle name="Normal 2 3 3 3 2 2 5 2 2 3 2" xfId="22857"/>
    <cellStyle name="Normal 2 3 3 3 2 2 5 2 2 4" xfId="22858"/>
    <cellStyle name="Normal 2 3 3 3 2 2 5 2 2 4 2" xfId="22859"/>
    <cellStyle name="Normal 2 3 3 3 2 2 5 2 2 5" xfId="22860"/>
    <cellStyle name="Normal 2 3 3 3 2 2 5 2 2 5 2" xfId="22861"/>
    <cellStyle name="Normal 2 3 3 3 2 2 5 2 2 6" xfId="22862"/>
    <cellStyle name="Normal 2 3 3 3 2 2 5 2 2 6 2" xfId="22863"/>
    <cellStyle name="Normal 2 3 3 3 2 2 5 2 2 7" xfId="22864"/>
    <cellStyle name="Normal 2 3 3 3 2 2 5 2 2 7 2" xfId="22865"/>
    <cellStyle name="Normal 2 3 3 3 2 2 5 2 2 8" xfId="22866"/>
    <cellStyle name="Normal 2 3 3 3 2 2 5 2 2 8 2" xfId="22867"/>
    <cellStyle name="Normal 2 3 3 3 2 2 5 2 2 9" xfId="22868"/>
    <cellStyle name="Normal 2 3 3 3 2 2 5 2 2 9 2" xfId="22869"/>
    <cellStyle name="Normal 2 3 3 3 2 2 5 2 3" xfId="22870"/>
    <cellStyle name="Normal 2 3 3 3 2 2 5 2 3 2" xfId="22871"/>
    <cellStyle name="Normal 2 3 3 3 2 2 5 2 4" xfId="22872"/>
    <cellStyle name="Normal 2 3 3 3 2 2 5 2 4 2" xfId="22873"/>
    <cellStyle name="Normal 2 3 3 3 2 2 5 2 5" xfId="22874"/>
    <cellStyle name="Normal 2 3 3 3 2 2 5 2 5 2" xfId="22875"/>
    <cellStyle name="Normal 2 3 3 3 2 2 5 2 6" xfId="22876"/>
    <cellStyle name="Normal 2 3 3 3 2 2 5 2 6 2" xfId="22877"/>
    <cellStyle name="Normal 2 3 3 3 2 2 5 2 7" xfId="22878"/>
    <cellStyle name="Normal 2 3 3 3 2 2 5 2 7 2" xfId="22879"/>
    <cellStyle name="Normal 2 3 3 3 2 2 5 2 8" xfId="22880"/>
    <cellStyle name="Normal 2 3 3 3 2 2 5 2 8 2" xfId="22881"/>
    <cellStyle name="Normal 2 3 3 3 2 2 5 2 9" xfId="22882"/>
    <cellStyle name="Normal 2 3 3 3 2 2 5 2 9 2" xfId="22883"/>
    <cellStyle name="Normal 2 3 3 3 2 2 5 3" xfId="22884"/>
    <cellStyle name="Normal 2 3 3 3 2 2 5 3 10" xfId="22885"/>
    <cellStyle name="Normal 2 3 3 3 2 2 5 3 10 2" xfId="22886"/>
    <cellStyle name="Normal 2 3 3 3 2 2 5 3 11" xfId="22887"/>
    <cellStyle name="Normal 2 3 3 3 2 2 5 3 2" xfId="22888"/>
    <cellStyle name="Normal 2 3 3 3 2 2 5 3 2 2" xfId="22889"/>
    <cellStyle name="Normal 2 3 3 3 2 2 5 3 3" xfId="22890"/>
    <cellStyle name="Normal 2 3 3 3 2 2 5 3 3 2" xfId="22891"/>
    <cellStyle name="Normal 2 3 3 3 2 2 5 3 4" xfId="22892"/>
    <cellStyle name="Normal 2 3 3 3 2 2 5 3 4 2" xfId="22893"/>
    <cellStyle name="Normal 2 3 3 3 2 2 5 3 5" xfId="22894"/>
    <cellStyle name="Normal 2 3 3 3 2 2 5 3 5 2" xfId="22895"/>
    <cellStyle name="Normal 2 3 3 3 2 2 5 3 6" xfId="22896"/>
    <cellStyle name="Normal 2 3 3 3 2 2 5 3 6 2" xfId="22897"/>
    <cellStyle name="Normal 2 3 3 3 2 2 5 3 7" xfId="22898"/>
    <cellStyle name="Normal 2 3 3 3 2 2 5 3 7 2" xfId="22899"/>
    <cellStyle name="Normal 2 3 3 3 2 2 5 3 8" xfId="22900"/>
    <cellStyle name="Normal 2 3 3 3 2 2 5 3 8 2" xfId="22901"/>
    <cellStyle name="Normal 2 3 3 3 2 2 5 3 9" xfId="22902"/>
    <cellStyle name="Normal 2 3 3 3 2 2 5 3 9 2" xfId="22903"/>
    <cellStyle name="Normal 2 3 3 3 2 2 5 4" xfId="22904"/>
    <cellStyle name="Normal 2 3 3 3 2 2 5 4 2" xfId="22905"/>
    <cellStyle name="Normal 2 3 3 3 2 2 5 5" xfId="22906"/>
    <cellStyle name="Normal 2 3 3 3 2 2 5 5 2" xfId="22907"/>
    <cellStyle name="Normal 2 3 3 3 2 2 5 6" xfId="22908"/>
    <cellStyle name="Normal 2 3 3 3 2 2 5 6 2" xfId="22909"/>
    <cellStyle name="Normal 2 3 3 3 2 2 5 7" xfId="22910"/>
    <cellStyle name="Normal 2 3 3 3 2 2 5 7 2" xfId="22911"/>
    <cellStyle name="Normal 2 3 3 3 2 2 5 8" xfId="22912"/>
    <cellStyle name="Normal 2 3 3 3 2 2 5 8 2" xfId="22913"/>
    <cellStyle name="Normal 2 3 3 3 2 2 5 9" xfId="22914"/>
    <cellStyle name="Normal 2 3 3 3 2 2 5 9 2" xfId="22915"/>
    <cellStyle name="Normal 2 3 3 3 2 2 6" xfId="41998"/>
    <cellStyle name="Normal 2 3 3 3 2 3" xfId="22916"/>
    <cellStyle name="Normal 2 3 3 3 2 3 2" xfId="41999"/>
    <cellStyle name="Normal 2 3 3 3 2 4" xfId="22917"/>
    <cellStyle name="Normal 2 3 3 3 2 4 2" xfId="42000"/>
    <cellStyle name="Normal 2 3 3 3 2 5" xfId="22918"/>
    <cellStyle name="Normal 2 3 3 3 2 5 2" xfId="42001"/>
    <cellStyle name="Normal 2 3 3 3 2 6" xfId="22919"/>
    <cellStyle name="Normal 2 3 3 3 2 6 10" xfId="22920"/>
    <cellStyle name="Normal 2 3 3 3 2 6 10 2" xfId="22921"/>
    <cellStyle name="Normal 2 3 3 3 2 6 11" xfId="22922"/>
    <cellStyle name="Normal 2 3 3 3 2 6 11 2" xfId="22923"/>
    <cellStyle name="Normal 2 3 3 3 2 6 12" xfId="22924"/>
    <cellStyle name="Normal 2 3 3 3 2 6 2" xfId="22925"/>
    <cellStyle name="Normal 2 3 3 3 2 6 2 10" xfId="22926"/>
    <cellStyle name="Normal 2 3 3 3 2 6 2 10 2" xfId="22927"/>
    <cellStyle name="Normal 2 3 3 3 2 6 2 11" xfId="22928"/>
    <cellStyle name="Normal 2 3 3 3 2 6 2 2" xfId="22929"/>
    <cellStyle name="Normal 2 3 3 3 2 6 2 2 2" xfId="22930"/>
    <cellStyle name="Normal 2 3 3 3 2 6 2 3" xfId="22931"/>
    <cellStyle name="Normal 2 3 3 3 2 6 2 3 2" xfId="22932"/>
    <cellStyle name="Normal 2 3 3 3 2 6 2 4" xfId="22933"/>
    <cellStyle name="Normal 2 3 3 3 2 6 2 4 2" xfId="22934"/>
    <cellStyle name="Normal 2 3 3 3 2 6 2 5" xfId="22935"/>
    <cellStyle name="Normal 2 3 3 3 2 6 2 5 2" xfId="22936"/>
    <cellStyle name="Normal 2 3 3 3 2 6 2 6" xfId="22937"/>
    <cellStyle name="Normal 2 3 3 3 2 6 2 6 2" xfId="22938"/>
    <cellStyle name="Normal 2 3 3 3 2 6 2 7" xfId="22939"/>
    <cellStyle name="Normal 2 3 3 3 2 6 2 7 2" xfId="22940"/>
    <cellStyle name="Normal 2 3 3 3 2 6 2 8" xfId="22941"/>
    <cellStyle name="Normal 2 3 3 3 2 6 2 8 2" xfId="22942"/>
    <cellStyle name="Normal 2 3 3 3 2 6 2 9" xfId="22943"/>
    <cellStyle name="Normal 2 3 3 3 2 6 2 9 2" xfId="22944"/>
    <cellStyle name="Normal 2 3 3 3 2 6 3" xfId="22945"/>
    <cellStyle name="Normal 2 3 3 3 2 6 3 2" xfId="22946"/>
    <cellStyle name="Normal 2 3 3 3 2 6 4" xfId="22947"/>
    <cellStyle name="Normal 2 3 3 3 2 6 4 2" xfId="22948"/>
    <cellStyle name="Normal 2 3 3 3 2 6 5" xfId="22949"/>
    <cellStyle name="Normal 2 3 3 3 2 6 5 2" xfId="22950"/>
    <cellStyle name="Normal 2 3 3 3 2 6 6" xfId="22951"/>
    <cellStyle name="Normal 2 3 3 3 2 6 6 2" xfId="22952"/>
    <cellStyle name="Normal 2 3 3 3 2 6 7" xfId="22953"/>
    <cellStyle name="Normal 2 3 3 3 2 6 7 2" xfId="22954"/>
    <cellStyle name="Normal 2 3 3 3 2 6 8" xfId="22955"/>
    <cellStyle name="Normal 2 3 3 3 2 6 8 2" xfId="22956"/>
    <cellStyle name="Normal 2 3 3 3 2 6 9" xfId="22957"/>
    <cellStyle name="Normal 2 3 3 3 2 6 9 2" xfId="22958"/>
    <cellStyle name="Normal 2 3 3 3 2 7" xfId="22959"/>
    <cellStyle name="Normal 2 3 3 3 2 7 10" xfId="22960"/>
    <cellStyle name="Normal 2 3 3 3 2 7 10 2" xfId="22961"/>
    <cellStyle name="Normal 2 3 3 3 2 7 11" xfId="22962"/>
    <cellStyle name="Normal 2 3 3 3 2 7 2" xfId="22963"/>
    <cellStyle name="Normal 2 3 3 3 2 7 2 2" xfId="22964"/>
    <cellStyle name="Normal 2 3 3 3 2 7 3" xfId="22965"/>
    <cellStyle name="Normal 2 3 3 3 2 7 3 2" xfId="22966"/>
    <cellStyle name="Normal 2 3 3 3 2 7 4" xfId="22967"/>
    <cellStyle name="Normal 2 3 3 3 2 7 4 2" xfId="22968"/>
    <cellStyle name="Normal 2 3 3 3 2 7 5" xfId="22969"/>
    <cellStyle name="Normal 2 3 3 3 2 7 5 2" xfId="22970"/>
    <cellStyle name="Normal 2 3 3 3 2 7 6" xfId="22971"/>
    <cellStyle name="Normal 2 3 3 3 2 7 6 2" xfId="22972"/>
    <cellStyle name="Normal 2 3 3 3 2 7 7" xfId="22973"/>
    <cellStyle name="Normal 2 3 3 3 2 7 7 2" xfId="22974"/>
    <cellStyle name="Normal 2 3 3 3 2 7 8" xfId="22975"/>
    <cellStyle name="Normal 2 3 3 3 2 7 8 2" xfId="22976"/>
    <cellStyle name="Normal 2 3 3 3 2 7 9" xfId="22977"/>
    <cellStyle name="Normal 2 3 3 3 2 7 9 2" xfId="22978"/>
    <cellStyle name="Normal 2 3 3 3 2 8" xfId="22979"/>
    <cellStyle name="Normal 2 3 3 3 2 8 2" xfId="22980"/>
    <cellStyle name="Normal 2 3 3 3 2 9" xfId="22981"/>
    <cellStyle name="Normal 2 3 3 3 2 9 2" xfId="22982"/>
    <cellStyle name="Normal 2 3 3 3 3" xfId="22983"/>
    <cellStyle name="Normal 2 3 3 3 3 10" xfId="22984"/>
    <cellStyle name="Normal 2 3 3 3 3 10 2" xfId="22985"/>
    <cellStyle name="Normal 2 3 3 3 3 11" xfId="22986"/>
    <cellStyle name="Normal 2 3 3 3 3 11 2" xfId="22987"/>
    <cellStyle name="Normal 2 3 3 3 3 12" xfId="22988"/>
    <cellStyle name="Normal 2 3 3 3 3 12 2" xfId="22989"/>
    <cellStyle name="Normal 2 3 3 3 3 13" xfId="22990"/>
    <cellStyle name="Normal 2 3 3 3 3 2" xfId="22991"/>
    <cellStyle name="Normal 2 3 3 3 3 2 10" xfId="22992"/>
    <cellStyle name="Normal 2 3 3 3 3 2 10 2" xfId="22993"/>
    <cellStyle name="Normal 2 3 3 3 3 2 11" xfId="22994"/>
    <cellStyle name="Normal 2 3 3 3 3 2 11 2" xfId="22995"/>
    <cellStyle name="Normal 2 3 3 3 3 2 12" xfId="22996"/>
    <cellStyle name="Normal 2 3 3 3 3 2 2" xfId="22997"/>
    <cellStyle name="Normal 2 3 3 3 3 2 2 10" xfId="22998"/>
    <cellStyle name="Normal 2 3 3 3 3 2 2 10 2" xfId="22999"/>
    <cellStyle name="Normal 2 3 3 3 3 2 2 11" xfId="23000"/>
    <cellStyle name="Normal 2 3 3 3 3 2 2 2" xfId="23001"/>
    <cellStyle name="Normal 2 3 3 3 3 2 2 2 2" xfId="23002"/>
    <cellStyle name="Normal 2 3 3 3 3 2 2 3" xfId="23003"/>
    <cellStyle name="Normal 2 3 3 3 3 2 2 3 2" xfId="23004"/>
    <cellStyle name="Normal 2 3 3 3 3 2 2 4" xfId="23005"/>
    <cellStyle name="Normal 2 3 3 3 3 2 2 4 2" xfId="23006"/>
    <cellStyle name="Normal 2 3 3 3 3 2 2 5" xfId="23007"/>
    <cellStyle name="Normal 2 3 3 3 3 2 2 5 2" xfId="23008"/>
    <cellStyle name="Normal 2 3 3 3 3 2 2 6" xfId="23009"/>
    <cellStyle name="Normal 2 3 3 3 3 2 2 6 2" xfId="23010"/>
    <cellStyle name="Normal 2 3 3 3 3 2 2 7" xfId="23011"/>
    <cellStyle name="Normal 2 3 3 3 3 2 2 7 2" xfId="23012"/>
    <cellStyle name="Normal 2 3 3 3 3 2 2 8" xfId="23013"/>
    <cellStyle name="Normal 2 3 3 3 3 2 2 8 2" xfId="23014"/>
    <cellStyle name="Normal 2 3 3 3 3 2 2 9" xfId="23015"/>
    <cellStyle name="Normal 2 3 3 3 3 2 2 9 2" xfId="23016"/>
    <cellStyle name="Normal 2 3 3 3 3 2 3" xfId="23017"/>
    <cellStyle name="Normal 2 3 3 3 3 2 3 2" xfId="23018"/>
    <cellStyle name="Normal 2 3 3 3 3 2 4" xfId="23019"/>
    <cellStyle name="Normal 2 3 3 3 3 2 4 2" xfId="23020"/>
    <cellStyle name="Normal 2 3 3 3 3 2 5" xfId="23021"/>
    <cellStyle name="Normal 2 3 3 3 3 2 5 2" xfId="23022"/>
    <cellStyle name="Normal 2 3 3 3 3 2 6" xfId="23023"/>
    <cellStyle name="Normal 2 3 3 3 3 2 6 2" xfId="23024"/>
    <cellStyle name="Normal 2 3 3 3 3 2 7" xfId="23025"/>
    <cellStyle name="Normal 2 3 3 3 3 2 7 2" xfId="23026"/>
    <cellStyle name="Normal 2 3 3 3 3 2 8" xfId="23027"/>
    <cellStyle name="Normal 2 3 3 3 3 2 8 2" xfId="23028"/>
    <cellStyle name="Normal 2 3 3 3 3 2 9" xfId="23029"/>
    <cellStyle name="Normal 2 3 3 3 3 2 9 2" xfId="23030"/>
    <cellStyle name="Normal 2 3 3 3 3 3" xfId="23031"/>
    <cellStyle name="Normal 2 3 3 3 3 3 10" xfId="23032"/>
    <cellStyle name="Normal 2 3 3 3 3 3 10 2" xfId="23033"/>
    <cellStyle name="Normal 2 3 3 3 3 3 11" xfId="23034"/>
    <cellStyle name="Normal 2 3 3 3 3 3 2" xfId="23035"/>
    <cellStyle name="Normal 2 3 3 3 3 3 2 2" xfId="23036"/>
    <cellStyle name="Normal 2 3 3 3 3 3 3" xfId="23037"/>
    <cellStyle name="Normal 2 3 3 3 3 3 3 2" xfId="23038"/>
    <cellStyle name="Normal 2 3 3 3 3 3 4" xfId="23039"/>
    <cellStyle name="Normal 2 3 3 3 3 3 4 2" xfId="23040"/>
    <cellStyle name="Normal 2 3 3 3 3 3 5" xfId="23041"/>
    <cellStyle name="Normal 2 3 3 3 3 3 5 2" xfId="23042"/>
    <cellStyle name="Normal 2 3 3 3 3 3 6" xfId="23043"/>
    <cellStyle name="Normal 2 3 3 3 3 3 6 2" xfId="23044"/>
    <cellStyle name="Normal 2 3 3 3 3 3 7" xfId="23045"/>
    <cellStyle name="Normal 2 3 3 3 3 3 7 2" xfId="23046"/>
    <cellStyle name="Normal 2 3 3 3 3 3 8" xfId="23047"/>
    <cellStyle name="Normal 2 3 3 3 3 3 8 2" xfId="23048"/>
    <cellStyle name="Normal 2 3 3 3 3 3 9" xfId="23049"/>
    <cellStyle name="Normal 2 3 3 3 3 3 9 2" xfId="23050"/>
    <cellStyle name="Normal 2 3 3 3 3 4" xfId="23051"/>
    <cellStyle name="Normal 2 3 3 3 3 4 2" xfId="23052"/>
    <cellStyle name="Normal 2 3 3 3 3 5" xfId="23053"/>
    <cellStyle name="Normal 2 3 3 3 3 5 2" xfId="23054"/>
    <cellStyle name="Normal 2 3 3 3 3 6" xfId="23055"/>
    <cellStyle name="Normal 2 3 3 3 3 6 2" xfId="23056"/>
    <cellStyle name="Normal 2 3 3 3 3 7" xfId="23057"/>
    <cellStyle name="Normal 2 3 3 3 3 7 2" xfId="23058"/>
    <cellStyle name="Normal 2 3 3 3 3 8" xfId="23059"/>
    <cellStyle name="Normal 2 3 3 3 3 8 2" xfId="23060"/>
    <cellStyle name="Normal 2 3 3 3 3 9" xfId="23061"/>
    <cellStyle name="Normal 2 3 3 3 3 9 2" xfId="23062"/>
    <cellStyle name="Normal 2 3 3 3 4" xfId="23063"/>
    <cellStyle name="Normal 2 3 3 3 4 10" xfId="23064"/>
    <cellStyle name="Normal 2 3 3 3 4 10 2" xfId="23065"/>
    <cellStyle name="Normal 2 3 3 3 4 11" xfId="23066"/>
    <cellStyle name="Normal 2 3 3 3 4 11 2" xfId="23067"/>
    <cellStyle name="Normal 2 3 3 3 4 12" xfId="23068"/>
    <cellStyle name="Normal 2 3 3 3 4 12 2" xfId="23069"/>
    <cellStyle name="Normal 2 3 3 3 4 13" xfId="23070"/>
    <cellStyle name="Normal 2 3 3 3 4 2" xfId="23071"/>
    <cellStyle name="Normal 2 3 3 3 4 2 10" xfId="23072"/>
    <cellStyle name="Normal 2 3 3 3 4 2 10 2" xfId="23073"/>
    <cellStyle name="Normal 2 3 3 3 4 2 11" xfId="23074"/>
    <cellStyle name="Normal 2 3 3 3 4 2 11 2" xfId="23075"/>
    <cellStyle name="Normal 2 3 3 3 4 2 12" xfId="23076"/>
    <cellStyle name="Normal 2 3 3 3 4 2 2" xfId="23077"/>
    <cellStyle name="Normal 2 3 3 3 4 2 2 10" xfId="23078"/>
    <cellStyle name="Normal 2 3 3 3 4 2 2 10 2" xfId="23079"/>
    <cellStyle name="Normal 2 3 3 3 4 2 2 11" xfId="23080"/>
    <cellStyle name="Normal 2 3 3 3 4 2 2 2" xfId="23081"/>
    <cellStyle name="Normal 2 3 3 3 4 2 2 2 2" xfId="23082"/>
    <cellStyle name="Normal 2 3 3 3 4 2 2 3" xfId="23083"/>
    <cellStyle name="Normal 2 3 3 3 4 2 2 3 2" xfId="23084"/>
    <cellStyle name="Normal 2 3 3 3 4 2 2 4" xfId="23085"/>
    <cellStyle name="Normal 2 3 3 3 4 2 2 4 2" xfId="23086"/>
    <cellStyle name="Normal 2 3 3 3 4 2 2 5" xfId="23087"/>
    <cellStyle name="Normal 2 3 3 3 4 2 2 5 2" xfId="23088"/>
    <cellStyle name="Normal 2 3 3 3 4 2 2 6" xfId="23089"/>
    <cellStyle name="Normal 2 3 3 3 4 2 2 6 2" xfId="23090"/>
    <cellStyle name="Normal 2 3 3 3 4 2 2 7" xfId="23091"/>
    <cellStyle name="Normal 2 3 3 3 4 2 2 7 2" xfId="23092"/>
    <cellStyle name="Normal 2 3 3 3 4 2 2 8" xfId="23093"/>
    <cellStyle name="Normal 2 3 3 3 4 2 2 8 2" xfId="23094"/>
    <cellStyle name="Normal 2 3 3 3 4 2 2 9" xfId="23095"/>
    <cellStyle name="Normal 2 3 3 3 4 2 2 9 2" xfId="23096"/>
    <cellStyle name="Normal 2 3 3 3 4 2 3" xfId="23097"/>
    <cellStyle name="Normal 2 3 3 3 4 2 3 2" xfId="23098"/>
    <cellStyle name="Normal 2 3 3 3 4 2 4" xfId="23099"/>
    <cellStyle name="Normal 2 3 3 3 4 2 4 2" xfId="23100"/>
    <cellStyle name="Normal 2 3 3 3 4 2 5" xfId="23101"/>
    <cellStyle name="Normal 2 3 3 3 4 2 5 2" xfId="23102"/>
    <cellStyle name="Normal 2 3 3 3 4 2 6" xfId="23103"/>
    <cellStyle name="Normal 2 3 3 3 4 2 6 2" xfId="23104"/>
    <cellStyle name="Normal 2 3 3 3 4 2 7" xfId="23105"/>
    <cellStyle name="Normal 2 3 3 3 4 2 7 2" xfId="23106"/>
    <cellStyle name="Normal 2 3 3 3 4 2 8" xfId="23107"/>
    <cellStyle name="Normal 2 3 3 3 4 2 8 2" xfId="23108"/>
    <cellStyle name="Normal 2 3 3 3 4 2 9" xfId="23109"/>
    <cellStyle name="Normal 2 3 3 3 4 2 9 2" xfId="23110"/>
    <cellStyle name="Normal 2 3 3 3 4 3" xfId="23111"/>
    <cellStyle name="Normal 2 3 3 3 4 3 10" xfId="23112"/>
    <cellStyle name="Normal 2 3 3 3 4 3 10 2" xfId="23113"/>
    <cellStyle name="Normal 2 3 3 3 4 3 11" xfId="23114"/>
    <cellStyle name="Normal 2 3 3 3 4 3 2" xfId="23115"/>
    <cellStyle name="Normal 2 3 3 3 4 3 2 2" xfId="23116"/>
    <cellStyle name="Normal 2 3 3 3 4 3 3" xfId="23117"/>
    <cellStyle name="Normal 2 3 3 3 4 3 3 2" xfId="23118"/>
    <cellStyle name="Normal 2 3 3 3 4 3 4" xfId="23119"/>
    <cellStyle name="Normal 2 3 3 3 4 3 4 2" xfId="23120"/>
    <cellStyle name="Normal 2 3 3 3 4 3 5" xfId="23121"/>
    <cellStyle name="Normal 2 3 3 3 4 3 5 2" xfId="23122"/>
    <cellStyle name="Normal 2 3 3 3 4 3 6" xfId="23123"/>
    <cellStyle name="Normal 2 3 3 3 4 3 6 2" xfId="23124"/>
    <cellStyle name="Normal 2 3 3 3 4 3 7" xfId="23125"/>
    <cellStyle name="Normal 2 3 3 3 4 3 7 2" xfId="23126"/>
    <cellStyle name="Normal 2 3 3 3 4 3 8" xfId="23127"/>
    <cellStyle name="Normal 2 3 3 3 4 3 8 2" xfId="23128"/>
    <cellStyle name="Normal 2 3 3 3 4 3 9" xfId="23129"/>
    <cellStyle name="Normal 2 3 3 3 4 3 9 2" xfId="23130"/>
    <cellStyle name="Normal 2 3 3 3 4 4" xfId="23131"/>
    <cellStyle name="Normal 2 3 3 3 4 4 2" xfId="23132"/>
    <cellStyle name="Normal 2 3 3 3 4 5" xfId="23133"/>
    <cellStyle name="Normal 2 3 3 3 4 5 2" xfId="23134"/>
    <cellStyle name="Normal 2 3 3 3 4 6" xfId="23135"/>
    <cellStyle name="Normal 2 3 3 3 4 6 2" xfId="23136"/>
    <cellStyle name="Normal 2 3 3 3 4 7" xfId="23137"/>
    <cellStyle name="Normal 2 3 3 3 4 7 2" xfId="23138"/>
    <cellStyle name="Normal 2 3 3 3 4 8" xfId="23139"/>
    <cellStyle name="Normal 2 3 3 3 4 8 2" xfId="23140"/>
    <cellStyle name="Normal 2 3 3 3 4 9" xfId="23141"/>
    <cellStyle name="Normal 2 3 3 3 4 9 2" xfId="23142"/>
    <cellStyle name="Normal 2 3 3 3 5" xfId="23143"/>
    <cellStyle name="Normal 2 3 3 3 5 10" xfId="23144"/>
    <cellStyle name="Normal 2 3 3 3 5 10 2" xfId="23145"/>
    <cellStyle name="Normal 2 3 3 3 5 11" xfId="23146"/>
    <cellStyle name="Normal 2 3 3 3 5 11 2" xfId="23147"/>
    <cellStyle name="Normal 2 3 3 3 5 12" xfId="23148"/>
    <cellStyle name="Normal 2 3 3 3 5 12 2" xfId="23149"/>
    <cellStyle name="Normal 2 3 3 3 5 13" xfId="23150"/>
    <cellStyle name="Normal 2 3 3 3 5 2" xfId="23151"/>
    <cellStyle name="Normal 2 3 3 3 5 2 10" xfId="23152"/>
    <cellStyle name="Normal 2 3 3 3 5 2 10 2" xfId="23153"/>
    <cellStyle name="Normal 2 3 3 3 5 2 11" xfId="23154"/>
    <cellStyle name="Normal 2 3 3 3 5 2 11 2" xfId="23155"/>
    <cellStyle name="Normal 2 3 3 3 5 2 12" xfId="23156"/>
    <cellStyle name="Normal 2 3 3 3 5 2 2" xfId="23157"/>
    <cellStyle name="Normal 2 3 3 3 5 2 2 10" xfId="23158"/>
    <cellStyle name="Normal 2 3 3 3 5 2 2 10 2" xfId="23159"/>
    <cellStyle name="Normal 2 3 3 3 5 2 2 11" xfId="23160"/>
    <cellStyle name="Normal 2 3 3 3 5 2 2 2" xfId="23161"/>
    <cellStyle name="Normal 2 3 3 3 5 2 2 2 2" xfId="23162"/>
    <cellStyle name="Normal 2 3 3 3 5 2 2 3" xfId="23163"/>
    <cellStyle name="Normal 2 3 3 3 5 2 2 3 2" xfId="23164"/>
    <cellStyle name="Normal 2 3 3 3 5 2 2 4" xfId="23165"/>
    <cellStyle name="Normal 2 3 3 3 5 2 2 4 2" xfId="23166"/>
    <cellStyle name="Normal 2 3 3 3 5 2 2 5" xfId="23167"/>
    <cellStyle name="Normal 2 3 3 3 5 2 2 5 2" xfId="23168"/>
    <cellStyle name="Normal 2 3 3 3 5 2 2 6" xfId="23169"/>
    <cellStyle name="Normal 2 3 3 3 5 2 2 6 2" xfId="23170"/>
    <cellStyle name="Normal 2 3 3 3 5 2 2 7" xfId="23171"/>
    <cellStyle name="Normal 2 3 3 3 5 2 2 7 2" xfId="23172"/>
    <cellStyle name="Normal 2 3 3 3 5 2 2 8" xfId="23173"/>
    <cellStyle name="Normal 2 3 3 3 5 2 2 8 2" xfId="23174"/>
    <cellStyle name="Normal 2 3 3 3 5 2 2 9" xfId="23175"/>
    <cellStyle name="Normal 2 3 3 3 5 2 2 9 2" xfId="23176"/>
    <cellStyle name="Normal 2 3 3 3 5 2 3" xfId="23177"/>
    <cellStyle name="Normal 2 3 3 3 5 2 3 2" xfId="23178"/>
    <cellStyle name="Normal 2 3 3 3 5 2 4" xfId="23179"/>
    <cellStyle name="Normal 2 3 3 3 5 2 4 2" xfId="23180"/>
    <cellStyle name="Normal 2 3 3 3 5 2 5" xfId="23181"/>
    <cellStyle name="Normal 2 3 3 3 5 2 5 2" xfId="23182"/>
    <cellStyle name="Normal 2 3 3 3 5 2 6" xfId="23183"/>
    <cellStyle name="Normal 2 3 3 3 5 2 6 2" xfId="23184"/>
    <cellStyle name="Normal 2 3 3 3 5 2 7" xfId="23185"/>
    <cellStyle name="Normal 2 3 3 3 5 2 7 2" xfId="23186"/>
    <cellStyle name="Normal 2 3 3 3 5 2 8" xfId="23187"/>
    <cellStyle name="Normal 2 3 3 3 5 2 8 2" xfId="23188"/>
    <cellStyle name="Normal 2 3 3 3 5 2 9" xfId="23189"/>
    <cellStyle name="Normal 2 3 3 3 5 2 9 2" xfId="23190"/>
    <cellStyle name="Normal 2 3 3 3 5 3" xfId="23191"/>
    <cellStyle name="Normal 2 3 3 3 5 3 10" xfId="23192"/>
    <cellStyle name="Normal 2 3 3 3 5 3 10 2" xfId="23193"/>
    <cellStyle name="Normal 2 3 3 3 5 3 11" xfId="23194"/>
    <cellStyle name="Normal 2 3 3 3 5 3 2" xfId="23195"/>
    <cellStyle name="Normal 2 3 3 3 5 3 2 2" xfId="23196"/>
    <cellStyle name="Normal 2 3 3 3 5 3 3" xfId="23197"/>
    <cellStyle name="Normal 2 3 3 3 5 3 3 2" xfId="23198"/>
    <cellStyle name="Normal 2 3 3 3 5 3 4" xfId="23199"/>
    <cellStyle name="Normal 2 3 3 3 5 3 4 2" xfId="23200"/>
    <cellStyle name="Normal 2 3 3 3 5 3 5" xfId="23201"/>
    <cellStyle name="Normal 2 3 3 3 5 3 5 2" xfId="23202"/>
    <cellStyle name="Normal 2 3 3 3 5 3 6" xfId="23203"/>
    <cellStyle name="Normal 2 3 3 3 5 3 6 2" xfId="23204"/>
    <cellStyle name="Normal 2 3 3 3 5 3 7" xfId="23205"/>
    <cellStyle name="Normal 2 3 3 3 5 3 7 2" xfId="23206"/>
    <cellStyle name="Normal 2 3 3 3 5 3 8" xfId="23207"/>
    <cellStyle name="Normal 2 3 3 3 5 3 8 2" xfId="23208"/>
    <cellStyle name="Normal 2 3 3 3 5 3 9" xfId="23209"/>
    <cellStyle name="Normal 2 3 3 3 5 3 9 2" xfId="23210"/>
    <cellStyle name="Normal 2 3 3 3 5 4" xfId="23211"/>
    <cellStyle name="Normal 2 3 3 3 5 4 2" xfId="23212"/>
    <cellStyle name="Normal 2 3 3 3 5 5" xfId="23213"/>
    <cellStyle name="Normal 2 3 3 3 5 5 2" xfId="23214"/>
    <cellStyle name="Normal 2 3 3 3 5 6" xfId="23215"/>
    <cellStyle name="Normal 2 3 3 3 5 6 2" xfId="23216"/>
    <cellStyle name="Normal 2 3 3 3 5 7" xfId="23217"/>
    <cellStyle name="Normal 2 3 3 3 5 7 2" xfId="23218"/>
    <cellStyle name="Normal 2 3 3 3 5 8" xfId="23219"/>
    <cellStyle name="Normal 2 3 3 3 5 8 2" xfId="23220"/>
    <cellStyle name="Normal 2 3 3 3 5 9" xfId="23221"/>
    <cellStyle name="Normal 2 3 3 3 5 9 2" xfId="23222"/>
    <cellStyle name="Normal 2 3 3 3 6" xfId="23223"/>
    <cellStyle name="Normal 2 3 3 3 6 10" xfId="23224"/>
    <cellStyle name="Normal 2 3 3 3 6 10 2" xfId="23225"/>
    <cellStyle name="Normal 2 3 3 3 6 11" xfId="23226"/>
    <cellStyle name="Normal 2 3 3 3 6 11 2" xfId="23227"/>
    <cellStyle name="Normal 2 3 3 3 6 12" xfId="23228"/>
    <cellStyle name="Normal 2 3 3 3 6 12 2" xfId="23229"/>
    <cellStyle name="Normal 2 3 3 3 6 13" xfId="23230"/>
    <cellStyle name="Normal 2 3 3 3 6 2" xfId="23231"/>
    <cellStyle name="Normal 2 3 3 3 6 2 10" xfId="23232"/>
    <cellStyle name="Normal 2 3 3 3 6 2 10 2" xfId="23233"/>
    <cellStyle name="Normal 2 3 3 3 6 2 11" xfId="23234"/>
    <cellStyle name="Normal 2 3 3 3 6 2 11 2" xfId="23235"/>
    <cellStyle name="Normal 2 3 3 3 6 2 12" xfId="23236"/>
    <cellStyle name="Normal 2 3 3 3 6 2 2" xfId="23237"/>
    <cellStyle name="Normal 2 3 3 3 6 2 2 10" xfId="23238"/>
    <cellStyle name="Normal 2 3 3 3 6 2 2 10 2" xfId="23239"/>
    <cellStyle name="Normal 2 3 3 3 6 2 2 11" xfId="23240"/>
    <cellStyle name="Normal 2 3 3 3 6 2 2 2" xfId="23241"/>
    <cellStyle name="Normal 2 3 3 3 6 2 2 2 2" xfId="23242"/>
    <cellStyle name="Normal 2 3 3 3 6 2 2 3" xfId="23243"/>
    <cellStyle name="Normal 2 3 3 3 6 2 2 3 2" xfId="23244"/>
    <cellStyle name="Normal 2 3 3 3 6 2 2 4" xfId="23245"/>
    <cellStyle name="Normal 2 3 3 3 6 2 2 4 2" xfId="23246"/>
    <cellStyle name="Normal 2 3 3 3 6 2 2 5" xfId="23247"/>
    <cellStyle name="Normal 2 3 3 3 6 2 2 5 2" xfId="23248"/>
    <cellStyle name="Normal 2 3 3 3 6 2 2 6" xfId="23249"/>
    <cellStyle name="Normal 2 3 3 3 6 2 2 6 2" xfId="23250"/>
    <cellStyle name="Normal 2 3 3 3 6 2 2 7" xfId="23251"/>
    <cellStyle name="Normal 2 3 3 3 6 2 2 7 2" xfId="23252"/>
    <cellStyle name="Normal 2 3 3 3 6 2 2 8" xfId="23253"/>
    <cellStyle name="Normal 2 3 3 3 6 2 2 8 2" xfId="23254"/>
    <cellStyle name="Normal 2 3 3 3 6 2 2 9" xfId="23255"/>
    <cellStyle name="Normal 2 3 3 3 6 2 2 9 2" xfId="23256"/>
    <cellStyle name="Normal 2 3 3 3 6 2 3" xfId="23257"/>
    <cellStyle name="Normal 2 3 3 3 6 2 3 2" xfId="23258"/>
    <cellStyle name="Normal 2 3 3 3 6 2 4" xfId="23259"/>
    <cellStyle name="Normal 2 3 3 3 6 2 4 2" xfId="23260"/>
    <cellStyle name="Normal 2 3 3 3 6 2 5" xfId="23261"/>
    <cellStyle name="Normal 2 3 3 3 6 2 5 2" xfId="23262"/>
    <cellStyle name="Normal 2 3 3 3 6 2 6" xfId="23263"/>
    <cellStyle name="Normal 2 3 3 3 6 2 6 2" xfId="23264"/>
    <cellStyle name="Normal 2 3 3 3 6 2 7" xfId="23265"/>
    <cellStyle name="Normal 2 3 3 3 6 2 7 2" xfId="23266"/>
    <cellStyle name="Normal 2 3 3 3 6 2 8" xfId="23267"/>
    <cellStyle name="Normal 2 3 3 3 6 2 8 2" xfId="23268"/>
    <cellStyle name="Normal 2 3 3 3 6 2 9" xfId="23269"/>
    <cellStyle name="Normal 2 3 3 3 6 2 9 2" xfId="23270"/>
    <cellStyle name="Normal 2 3 3 3 6 3" xfId="23271"/>
    <cellStyle name="Normal 2 3 3 3 6 3 10" xfId="23272"/>
    <cellStyle name="Normal 2 3 3 3 6 3 10 2" xfId="23273"/>
    <cellStyle name="Normal 2 3 3 3 6 3 11" xfId="23274"/>
    <cellStyle name="Normal 2 3 3 3 6 3 2" xfId="23275"/>
    <cellStyle name="Normal 2 3 3 3 6 3 2 2" xfId="23276"/>
    <cellStyle name="Normal 2 3 3 3 6 3 3" xfId="23277"/>
    <cellStyle name="Normal 2 3 3 3 6 3 3 2" xfId="23278"/>
    <cellStyle name="Normal 2 3 3 3 6 3 4" xfId="23279"/>
    <cellStyle name="Normal 2 3 3 3 6 3 4 2" xfId="23280"/>
    <cellStyle name="Normal 2 3 3 3 6 3 5" xfId="23281"/>
    <cellStyle name="Normal 2 3 3 3 6 3 5 2" xfId="23282"/>
    <cellStyle name="Normal 2 3 3 3 6 3 6" xfId="23283"/>
    <cellStyle name="Normal 2 3 3 3 6 3 6 2" xfId="23284"/>
    <cellStyle name="Normal 2 3 3 3 6 3 7" xfId="23285"/>
    <cellStyle name="Normal 2 3 3 3 6 3 7 2" xfId="23286"/>
    <cellStyle name="Normal 2 3 3 3 6 3 8" xfId="23287"/>
    <cellStyle name="Normal 2 3 3 3 6 3 8 2" xfId="23288"/>
    <cellStyle name="Normal 2 3 3 3 6 3 9" xfId="23289"/>
    <cellStyle name="Normal 2 3 3 3 6 3 9 2" xfId="23290"/>
    <cellStyle name="Normal 2 3 3 3 6 4" xfId="23291"/>
    <cellStyle name="Normal 2 3 3 3 6 4 2" xfId="23292"/>
    <cellStyle name="Normal 2 3 3 3 6 5" xfId="23293"/>
    <cellStyle name="Normal 2 3 3 3 6 5 2" xfId="23294"/>
    <cellStyle name="Normal 2 3 3 3 6 6" xfId="23295"/>
    <cellStyle name="Normal 2 3 3 3 6 6 2" xfId="23296"/>
    <cellStyle name="Normal 2 3 3 3 6 7" xfId="23297"/>
    <cellStyle name="Normal 2 3 3 3 6 7 2" xfId="23298"/>
    <cellStyle name="Normal 2 3 3 3 6 8" xfId="23299"/>
    <cellStyle name="Normal 2 3 3 3 6 8 2" xfId="23300"/>
    <cellStyle name="Normal 2 3 3 3 6 9" xfId="23301"/>
    <cellStyle name="Normal 2 3 3 3 6 9 2" xfId="23302"/>
    <cellStyle name="Normal 2 3 3 3 7" xfId="42002"/>
    <cellStyle name="Normal 2 3 3 4" xfId="23303"/>
    <cellStyle name="Normal 2 3 3 4 10" xfId="23304"/>
    <cellStyle name="Normal 2 3 3 4 10 2" xfId="23305"/>
    <cellStyle name="Normal 2 3 3 4 11" xfId="23306"/>
    <cellStyle name="Normal 2 3 3 4 11 2" xfId="23307"/>
    <cellStyle name="Normal 2 3 3 4 12" xfId="23308"/>
    <cellStyle name="Normal 2 3 3 4 12 2" xfId="23309"/>
    <cellStyle name="Normal 2 3 3 4 13" xfId="23310"/>
    <cellStyle name="Normal 2 3 3 4 2" xfId="23311"/>
    <cellStyle name="Normal 2 3 3 4 2 10" xfId="23312"/>
    <cellStyle name="Normal 2 3 3 4 2 10 2" xfId="23313"/>
    <cellStyle name="Normal 2 3 3 4 2 11" xfId="23314"/>
    <cellStyle name="Normal 2 3 3 4 2 11 2" xfId="23315"/>
    <cellStyle name="Normal 2 3 3 4 2 12" xfId="23316"/>
    <cellStyle name="Normal 2 3 3 4 2 2" xfId="23317"/>
    <cellStyle name="Normal 2 3 3 4 2 2 10" xfId="23318"/>
    <cellStyle name="Normal 2 3 3 4 2 2 10 2" xfId="23319"/>
    <cellStyle name="Normal 2 3 3 4 2 2 11" xfId="23320"/>
    <cellStyle name="Normal 2 3 3 4 2 2 2" xfId="23321"/>
    <cellStyle name="Normal 2 3 3 4 2 2 2 2" xfId="23322"/>
    <cellStyle name="Normal 2 3 3 4 2 2 3" xfId="23323"/>
    <cellStyle name="Normal 2 3 3 4 2 2 3 2" xfId="23324"/>
    <cellStyle name="Normal 2 3 3 4 2 2 4" xfId="23325"/>
    <cellStyle name="Normal 2 3 3 4 2 2 4 2" xfId="23326"/>
    <cellStyle name="Normal 2 3 3 4 2 2 5" xfId="23327"/>
    <cellStyle name="Normal 2 3 3 4 2 2 5 2" xfId="23328"/>
    <cellStyle name="Normal 2 3 3 4 2 2 6" xfId="23329"/>
    <cellStyle name="Normal 2 3 3 4 2 2 6 2" xfId="23330"/>
    <cellStyle name="Normal 2 3 3 4 2 2 7" xfId="23331"/>
    <cellStyle name="Normal 2 3 3 4 2 2 7 2" xfId="23332"/>
    <cellStyle name="Normal 2 3 3 4 2 2 8" xfId="23333"/>
    <cellStyle name="Normal 2 3 3 4 2 2 8 2" xfId="23334"/>
    <cellStyle name="Normal 2 3 3 4 2 2 9" xfId="23335"/>
    <cellStyle name="Normal 2 3 3 4 2 2 9 2" xfId="23336"/>
    <cellStyle name="Normal 2 3 3 4 2 3" xfId="23337"/>
    <cellStyle name="Normal 2 3 3 4 2 3 2" xfId="23338"/>
    <cellStyle name="Normal 2 3 3 4 2 4" xfId="23339"/>
    <cellStyle name="Normal 2 3 3 4 2 4 2" xfId="23340"/>
    <cellStyle name="Normal 2 3 3 4 2 5" xfId="23341"/>
    <cellStyle name="Normal 2 3 3 4 2 5 2" xfId="23342"/>
    <cellStyle name="Normal 2 3 3 4 2 6" xfId="23343"/>
    <cellStyle name="Normal 2 3 3 4 2 6 2" xfId="23344"/>
    <cellStyle name="Normal 2 3 3 4 2 7" xfId="23345"/>
    <cellStyle name="Normal 2 3 3 4 2 7 2" xfId="23346"/>
    <cellStyle name="Normal 2 3 3 4 2 8" xfId="23347"/>
    <cellStyle name="Normal 2 3 3 4 2 8 2" xfId="23348"/>
    <cellStyle name="Normal 2 3 3 4 2 9" xfId="23349"/>
    <cellStyle name="Normal 2 3 3 4 2 9 2" xfId="23350"/>
    <cellStyle name="Normal 2 3 3 4 3" xfId="23351"/>
    <cellStyle name="Normal 2 3 3 4 3 10" xfId="23352"/>
    <cellStyle name="Normal 2 3 3 4 3 10 2" xfId="23353"/>
    <cellStyle name="Normal 2 3 3 4 3 11" xfId="23354"/>
    <cellStyle name="Normal 2 3 3 4 3 2" xfId="23355"/>
    <cellStyle name="Normal 2 3 3 4 3 2 2" xfId="23356"/>
    <cellStyle name="Normal 2 3 3 4 3 3" xfId="23357"/>
    <cellStyle name="Normal 2 3 3 4 3 3 2" xfId="23358"/>
    <cellStyle name="Normal 2 3 3 4 3 4" xfId="23359"/>
    <cellStyle name="Normal 2 3 3 4 3 4 2" xfId="23360"/>
    <cellStyle name="Normal 2 3 3 4 3 5" xfId="23361"/>
    <cellStyle name="Normal 2 3 3 4 3 5 2" xfId="23362"/>
    <cellStyle name="Normal 2 3 3 4 3 6" xfId="23363"/>
    <cellStyle name="Normal 2 3 3 4 3 6 2" xfId="23364"/>
    <cellStyle name="Normal 2 3 3 4 3 7" xfId="23365"/>
    <cellStyle name="Normal 2 3 3 4 3 7 2" xfId="23366"/>
    <cellStyle name="Normal 2 3 3 4 3 8" xfId="23367"/>
    <cellStyle name="Normal 2 3 3 4 3 8 2" xfId="23368"/>
    <cellStyle name="Normal 2 3 3 4 3 9" xfId="23369"/>
    <cellStyle name="Normal 2 3 3 4 3 9 2" xfId="23370"/>
    <cellStyle name="Normal 2 3 3 4 4" xfId="23371"/>
    <cellStyle name="Normal 2 3 3 4 4 2" xfId="23372"/>
    <cellStyle name="Normal 2 3 3 4 5" xfId="23373"/>
    <cellStyle name="Normal 2 3 3 4 5 2" xfId="23374"/>
    <cellStyle name="Normal 2 3 3 4 6" xfId="23375"/>
    <cellStyle name="Normal 2 3 3 4 6 2" xfId="23376"/>
    <cellStyle name="Normal 2 3 3 4 7" xfId="23377"/>
    <cellStyle name="Normal 2 3 3 4 7 2" xfId="23378"/>
    <cellStyle name="Normal 2 3 3 4 8" xfId="23379"/>
    <cellStyle name="Normal 2 3 3 4 8 2" xfId="23380"/>
    <cellStyle name="Normal 2 3 3 4 9" xfId="23381"/>
    <cellStyle name="Normal 2 3 3 4 9 2" xfId="23382"/>
    <cellStyle name="Normal 2 3 3 5" xfId="23383"/>
    <cellStyle name="Normal 2 3 3 5 10" xfId="23384"/>
    <cellStyle name="Normal 2 3 3 5 10 2" xfId="23385"/>
    <cellStyle name="Normal 2 3 3 5 11" xfId="23386"/>
    <cellStyle name="Normal 2 3 3 5 11 2" xfId="23387"/>
    <cellStyle name="Normal 2 3 3 5 12" xfId="23388"/>
    <cellStyle name="Normal 2 3 3 5 12 2" xfId="23389"/>
    <cellStyle name="Normal 2 3 3 5 13" xfId="23390"/>
    <cellStyle name="Normal 2 3 3 5 2" xfId="23391"/>
    <cellStyle name="Normal 2 3 3 5 2 10" xfId="23392"/>
    <cellStyle name="Normal 2 3 3 5 2 10 2" xfId="23393"/>
    <cellStyle name="Normal 2 3 3 5 2 11" xfId="23394"/>
    <cellStyle name="Normal 2 3 3 5 2 11 2" xfId="23395"/>
    <cellStyle name="Normal 2 3 3 5 2 12" xfId="23396"/>
    <cellStyle name="Normal 2 3 3 5 2 2" xfId="23397"/>
    <cellStyle name="Normal 2 3 3 5 2 2 10" xfId="23398"/>
    <cellStyle name="Normal 2 3 3 5 2 2 10 2" xfId="23399"/>
    <cellStyle name="Normal 2 3 3 5 2 2 11" xfId="23400"/>
    <cellStyle name="Normal 2 3 3 5 2 2 2" xfId="23401"/>
    <cellStyle name="Normal 2 3 3 5 2 2 2 2" xfId="23402"/>
    <cellStyle name="Normal 2 3 3 5 2 2 3" xfId="23403"/>
    <cellStyle name="Normal 2 3 3 5 2 2 3 2" xfId="23404"/>
    <cellStyle name="Normal 2 3 3 5 2 2 4" xfId="23405"/>
    <cellStyle name="Normal 2 3 3 5 2 2 4 2" xfId="23406"/>
    <cellStyle name="Normal 2 3 3 5 2 2 5" xfId="23407"/>
    <cellStyle name="Normal 2 3 3 5 2 2 5 2" xfId="23408"/>
    <cellStyle name="Normal 2 3 3 5 2 2 6" xfId="23409"/>
    <cellStyle name="Normal 2 3 3 5 2 2 6 2" xfId="23410"/>
    <cellStyle name="Normal 2 3 3 5 2 2 7" xfId="23411"/>
    <cellStyle name="Normal 2 3 3 5 2 2 7 2" xfId="23412"/>
    <cellStyle name="Normal 2 3 3 5 2 2 8" xfId="23413"/>
    <cellStyle name="Normal 2 3 3 5 2 2 8 2" xfId="23414"/>
    <cellStyle name="Normal 2 3 3 5 2 2 9" xfId="23415"/>
    <cellStyle name="Normal 2 3 3 5 2 2 9 2" xfId="23416"/>
    <cellStyle name="Normal 2 3 3 5 2 3" xfId="23417"/>
    <cellStyle name="Normal 2 3 3 5 2 3 2" xfId="23418"/>
    <cellStyle name="Normal 2 3 3 5 2 4" xfId="23419"/>
    <cellStyle name="Normal 2 3 3 5 2 4 2" xfId="23420"/>
    <cellStyle name="Normal 2 3 3 5 2 5" xfId="23421"/>
    <cellStyle name="Normal 2 3 3 5 2 5 2" xfId="23422"/>
    <cellStyle name="Normal 2 3 3 5 2 6" xfId="23423"/>
    <cellStyle name="Normal 2 3 3 5 2 6 2" xfId="23424"/>
    <cellStyle name="Normal 2 3 3 5 2 7" xfId="23425"/>
    <cellStyle name="Normal 2 3 3 5 2 7 2" xfId="23426"/>
    <cellStyle name="Normal 2 3 3 5 2 8" xfId="23427"/>
    <cellStyle name="Normal 2 3 3 5 2 8 2" xfId="23428"/>
    <cellStyle name="Normal 2 3 3 5 2 9" xfId="23429"/>
    <cellStyle name="Normal 2 3 3 5 2 9 2" xfId="23430"/>
    <cellStyle name="Normal 2 3 3 5 3" xfId="23431"/>
    <cellStyle name="Normal 2 3 3 5 3 10" xfId="23432"/>
    <cellStyle name="Normal 2 3 3 5 3 10 2" xfId="23433"/>
    <cellStyle name="Normal 2 3 3 5 3 11" xfId="23434"/>
    <cellStyle name="Normal 2 3 3 5 3 2" xfId="23435"/>
    <cellStyle name="Normal 2 3 3 5 3 2 2" xfId="23436"/>
    <cellStyle name="Normal 2 3 3 5 3 3" xfId="23437"/>
    <cellStyle name="Normal 2 3 3 5 3 3 2" xfId="23438"/>
    <cellStyle name="Normal 2 3 3 5 3 4" xfId="23439"/>
    <cellStyle name="Normal 2 3 3 5 3 4 2" xfId="23440"/>
    <cellStyle name="Normal 2 3 3 5 3 5" xfId="23441"/>
    <cellStyle name="Normal 2 3 3 5 3 5 2" xfId="23442"/>
    <cellStyle name="Normal 2 3 3 5 3 6" xfId="23443"/>
    <cellStyle name="Normal 2 3 3 5 3 6 2" xfId="23444"/>
    <cellStyle name="Normal 2 3 3 5 3 7" xfId="23445"/>
    <cellStyle name="Normal 2 3 3 5 3 7 2" xfId="23446"/>
    <cellStyle name="Normal 2 3 3 5 3 8" xfId="23447"/>
    <cellStyle name="Normal 2 3 3 5 3 8 2" xfId="23448"/>
    <cellStyle name="Normal 2 3 3 5 3 9" xfId="23449"/>
    <cellStyle name="Normal 2 3 3 5 3 9 2" xfId="23450"/>
    <cellStyle name="Normal 2 3 3 5 4" xfId="23451"/>
    <cellStyle name="Normal 2 3 3 5 4 2" xfId="23452"/>
    <cellStyle name="Normal 2 3 3 5 5" xfId="23453"/>
    <cellStyle name="Normal 2 3 3 5 5 2" xfId="23454"/>
    <cellStyle name="Normal 2 3 3 5 6" xfId="23455"/>
    <cellStyle name="Normal 2 3 3 5 6 2" xfId="23456"/>
    <cellStyle name="Normal 2 3 3 5 7" xfId="23457"/>
    <cellStyle name="Normal 2 3 3 5 7 2" xfId="23458"/>
    <cellStyle name="Normal 2 3 3 5 8" xfId="23459"/>
    <cellStyle name="Normal 2 3 3 5 8 2" xfId="23460"/>
    <cellStyle name="Normal 2 3 3 5 9" xfId="23461"/>
    <cellStyle name="Normal 2 3 3 5 9 2" xfId="23462"/>
    <cellStyle name="Normal 2 3 3 6" xfId="23463"/>
    <cellStyle name="Normal 2 3 3 6 2" xfId="23464"/>
    <cellStyle name="Normal 2 3 3 6 2 10" xfId="23465"/>
    <cellStyle name="Normal 2 3 3 6 2 10 2" xfId="23466"/>
    <cellStyle name="Normal 2 3 3 6 2 11" xfId="23467"/>
    <cellStyle name="Normal 2 3 3 6 2 11 2" xfId="23468"/>
    <cellStyle name="Normal 2 3 3 6 2 12" xfId="23469"/>
    <cellStyle name="Normal 2 3 3 6 2 12 2" xfId="23470"/>
    <cellStyle name="Normal 2 3 3 6 2 13" xfId="23471"/>
    <cellStyle name="Normal 2 3 3 6 2 2" xfId="23472"/>
    <cellStyle name="Normal 2 3 3 6 2 2 10" xfId="23473"/>
    <cellStyle name="Normal 2 3 3 6 2 2 10 2" xfId="23474"/>
    <cellStyle name="Normal 2 3 3 6 2 2 11" xfId="23475"/>
    <cellStyle name="Normal 2 3 3 6 2 2 11 2" xfId="23476"/>
    <cellStyle name="Normal 2 3 3 6 2 2 12" xfId="23477"/>
    <cellStyle name="Normal 2 3 3 6 2 2 2" xfId="23478"/>
    <cellStyle name="Normal 2 3 3 6 2 2 2 10" xfId="23479"/>
    <cellStyle name="Normal 2 3 3 6 2 2 2 10 2" xfId="23480"/>
    <cellStyle name="Normal 2 3 3 6 2 2 2 11" xfId="23481"/>
    <cellStyle name="Normal 2 3 3 6 2 2 2 2" xfId="23482"/>
    <cellStyle name="Normal 2 3 3 6 2 2 2 2 2" xfId="23483"/>
    <cellStyle name="Normal 2 3 3 6 2 2 2 3" xfId="23484"/>
    <cellStyle name="Normal 2 3 3 6 2 2 2 3 2" xfId="23485"/>
    <cellStyle name="Normal 2 3 3 6 2 2 2 4" xfId="23486"/>
    <cellStyle name="Normal 2 3 3 6 2 2 2 4 2" xfId="23487"/>
    <cellStyle name="Normal 2 3 3 6 2 2 2 5" xfId="23488"/>
    <cellStyle name="Normal 2 3 3 6 2 2 2 5 2" xfId="23489"/>
    <cellStyle name="Normal 2 3 3 6 2 2 2 6" xfId="23490"/>
    <cellStyle name="Normal 2 3 3 6 2 2 2 6 2" xfId="23491"/>
    <cellStyle name="Normal 2 3 3 6 2 2 2 7" xfId="23492"/>
    <cellStyle name="Normal 2 3 3 6 2 2 2 7 2" xfId="23493"/>
    <cellStyle name="Normal 2 3 3 6 2 2 2 8" xfId="23494"/>
    <cellStyle name="Normal 2 3 3 6 2 2 2 8 2" xfId="23495"/>
    <cellStyle name="Normal 2 3 3 6 2 2 2 9" xfId="23496"/>
    <cellStyle name="Normal 2 3 3 6 2 2 2 9 2" xfId="23497"/>
    <cellStyle name="Normal 2 3 3 6 2 2 3" xfId="23498"/>
    <cellStyle name="Normal 2 3 3 6 2 2 3 2" xfId="23499"/>
    <cellStyle name="Normal 2 3 3 6 2 2 4" xfId="23500"/>
    <cellStyle name="Normal 2 3 3 6 2 2 4 2" xfId="23501"/>
    <cellStyle name="Normal 2 3 3 6 2 2 5" xfId="23502"/>
    <cellStyle name="Normal 2 3 3 6 2 2 5 2" xfId="23503"/>
    <cellStyle name="Normal 2 3 3 6 2 2 6" xfId="23504"/>
    <cellStyle name="Normal 2 3 3 6 2 2 6 2" xfId="23505"/>
    <cellStyle name="Normal 2 3 3 6 2 2 7" xfId="23506"/>
    <cellStyle name="Normal 2 3 3 6 2 2 7 2" xfId="23507"/>
    <cellStyle name="Normal 2 3 3 6 2 2 8" xfId="23508"/>
    <cellStyle name="Normal 2 3 3 6 2 2 8 2" xfId="23509"/>
    <cellStyle name="Normal 2 3 3 6 2 2 9" xfId="23510"/>
    <cellStyle name="Normal 2 3 3 6 2 2 9 2" xfId="23511"/>
    <cellStyle name="Normal 2 3 3 6 2 3" xfId="23512"/>
    <cellStyle name="Normal 2 3 3 6 2 3 10" xfId="23513"/>
    <cellStyle name="Normal 2 3 3 6 2 3 10 2" xfId="23514"/>
    <cellStyle name="Normal 2 3 3 6 2 3 11" xfId="23515"/>
    <cellStyle name="Normal 2 3 3 6 2 3 2" xfId="23516"/>
    <cellStyle name="Normal 2 3 3 6 2 3 2 2" xfId="23517"/>
    <cellStyle name="Normal 2 3 3 6 2 3 3" xfId="23518"/>
    <cellStyle name="Normal 2 3 3 6 2 3 3 2" xfId="23519"/>
    <cellStyle name="Normal 2 3 3 6 2 3 4" xfId="23520"/>
    <cellStyle name="Normal 2 3 3 6 2 3 4 2" xfId="23521"/>
    <cellStyle name="Normal 2 3 3 6 2 3 5" xfId="23522"/>
    <cellStyle name="Normal 2 3 3 6 2 3 5 2" xfId="23523"/>
    <cellStyle name="Normal 2 3 3 6 2 3 6" xfId="23524"/>
    <cellStyle name="Normal 2 3 3 6 2 3 6 2" xfId="23525"/>
    <cellStyle name="Normal 2 3 3 6 2 3 7" xfId="23526"/>
    <cellStyle name="Normal 2 3 3 6 2 3 7 2" xfId="23527"/>
    <cellStyle name="Normal 2 3 3 6 2 3 8" xfId="23528"/>
    <cellStyle name="Normal 2 3 3 6 2 3 8 2" xfId="23529"/>
    <cellStyle name="Normal 2 3 3 6 2 3 9" xfId="23530"/>
    <cellStyle name="Normal 2 3 3 6 2 3 9 2" xfId="23531"/>
    <cellStyle name="Normal 2 3 3 6 2 4" xfId="23532"/>
    <cellStyle name="Normal 2 3 3 6 2 4 2" xfId="23533"/>
    <cellStyle name="Normal 2 3 3 6 2 5" xfId="23534"/>
    <cellStyle name="Normal 2 3 3 6 2 5 2" xfId="23535"/>
    <cellStyle name="Normal 2 3 3 6 2 6" xfId="23536"/>
    <cellStyle name="Normal 2 3 3 6 2 6 2" xfId="23537"/>
    <cellStyle name="Normal 2 3 3 6 2 7" xfId="23538"/>
    <cellStyle name="Normal 2 3 3 6 2 7 2" xfId="23539"/>
    <cellStyle name="Normal 2 3 3 6 2 8" xfId="23540"/>
    <cellStyle name="Normal 2 3 3 6 2 8 2" xfId="23541"/>
    <cellStyle name="Normal 2 3 3 6 2 9" xfId="23542"/>
    <cellStyle name="Normal 2 3 3 6 2 9 2" xfId="23543"/>
    <cellStyle name="Normal 2 3 3 6 3" xfId="23544"/>
    <cellStyle name="Normal 2 3 3 6 3 10" xfId="23545"/>
    <cellStyle name="Normal 2 3 3 6 3 10 2" xfId="23546"/>
    <cellStyle name="Normal 2 3 3 6 3 11" xfId="23547"/>
    <cellStyle name="Normal 2 3 3 6 3 11 2" xfId="23548"/>
    <cellStyle name="Normal 2 3 3 6 3 12" xfId="23549"/>
    <cellStyle name="Normal 2 3 3 6 3 12 2" xfId="23550"/>
    <cellStyle name="Normal 2 3 3 6 3 13" xfId="23551"/>
    <cellStyle name="Normal 2 3 3 6 3 2" xfId="23552"/>
    <cellStyle name="Normal 2 3 3 6 3 2 10" xfId="23553"/>
    <cellStyle name="Normal 2 3 3 6 3 2 10 2" xfId="23554"/>
    <cellStyle name="Normal 2 3 3 6 3 2 11" xfId="23555"/>
    <cellStyle name="Normal 2 3 3 6 3 2 11 2" xfId="23556"/>
    <cellStyle name="Normal 2 3 3 6 3 2 12" xfId="23557"/>
    <cellStyle name="Normal 2 3 3 6 3 2 2" xfId="23558"/>
    <cellStyle name="Normal 2 3 3 6 3 2 2 10" xfId="23559"/>
    <cellStyle name="Normal 2 3 3 6 3 2 2 10 2" xfId="23560"/>
    <cellStyle name="Normal 2 3 3 6 3 2 2 11" xfId="23561"/>
    <cellStyle name="Normal 2 3 3 6 3 2 2 2" xfId="23562"/>
    <cellStyle name="Normal 2 3 3 6 3 2 2 2 2" xfId="23563"/>
    <cellStyle name="Normal 2 3 3 6 3 2 2 3" xfId="23564"/>
    <cellStyle name="Normal 2 3 3 6 3 2 2 3 2" xfId="23565"/>
    <cellStyle name="Normal 2 3 3 6 3 2 2 4" xfId="23566"/>
    <cellStyle name="Normal 2 3 3 6 3 2 2 4 2" xfId="23567"/>
    <cellStyle name="Normal 2 3 3 6 3 2 2 5" xfId="23568"/>
    <cellStyle name="Normal 2 3 3 6 3 2 2 5 2" xfId="23569"/>
    <cellStyle name="Normal 2 3 3 6 3 2 2 6" xfId="23570"/>
    <cellStyle name="Normal 2 3 3 6 3 2 2 6 2" xfId="23571"/>
    <cellStyle name="Normal 2 3 3 6 3 2 2 7" xfId="23572"/>
    <cellStyle name="Normal 2 3 3 6 3 2 2 7 2" xfId="23573"/>
    <cellStyle name="Normal 2 3 3 6 3 2 2 8" xfId="23574"/>
    <cellStyle name="Normal 2 3 3 6 3 2 2 8 2" xfId="23575"/>
    <cellStyle name="Normal 2 3 3 6 3 2 2 9" xfId="23576"/>
    <cellStyle name="Normal 2 3 3 6 3 2 2 9 2" xfId="23577"/>
    <cellStyle name="Normal 2 3 3 6 3 2 3" xfId="23578"/>
    <cellStyle name="Normal 2 3 3 6 3 2 3 2" xfId="23579"/>
    <cellStyle name="Normal 2 3 3 6 3 2 4" xfId="23580"/>
    <cellStyle name="Normal 2 3 3 6 3 2 4 2" xfId="23581"/>
    <cellStyle name="Normal 2 3 3 6 3 2 5" xfId="23582"/>
    <cellStyle name="Normal 2 3 3 6 3 2 5 2" xfId="23583"/>
    <cellStyle name="Normal 2 3 3 6 3 2 6" xfId="23584"/>
    <cellStyle name="Normal 2 3 3 6 3 2 6 2" xfId="23585"/>
    <cellStyle name="Normal 2 3 3 6 3 2 7" xfId="23586"/>
    <cellStyle name="Normal 2 3 3 6 3 2 7 2" xfId="23587"/>
    <cellStyle name="Normal 2 3 3 6 3 2 8" xfId="23588"/>
    <cellStyle name="Normal 2 3 3 6 3 2 8 2" xfId="23589"/>
    <cellStyle name="Normal 2 3 3 6 3 2 9" xfId="23590"/>
    <cellStyle name="Normal 2 3 3 6 3 2 9 2" xfId="23591"/>
    <cellStyle name="Normal 2 3 3 6 3 3" xfId="23592"/>
    <cellStyle name="Normal 2 3 3 6 3 3 10" xfId="23593"/>
    <cellStyle name="Normal 2 3 3 6 3 3 10 2" xfId="23594"/>
    <cellStyle name="Normal 2 3 3 6 3 3 11" xfId="23595"/>
    <cellStyle name="Normal 2 3 3 6 3 3 2" xfId="23596"/>
    <cellStyle name="Normal 2 3 3 6 3 3 2 2" xfId="23597"/>
    <cellStyle name="Normal 2 3 3 6 3 3 3" xfId="23598"/>
    <cellStyle name="Normal 2 3 3 6 3 3 3 2" xfId="23599"/>
    <cellStyle name="Normal 2 3 3 6 3 3 4" xfId="23600"/>
    <cellStyle name="Normal 2 3 3 6 3 3 4 2" xfId="23601"/>
    <cellStyle name="Normal 2 3 3 6 3 3 5" xfId="23602"/>
    <cellStyle name="Normal 2 3 3 6 3 3 5 2" xfId="23603"/>
    <cellStyle name="Normal 2 3 3 6 3 3 6" xfId="23604"/>
    <cellStyle name="Normal 2 3 3 6 3 3 6 2" xfId="23605"/>
    <cellStyle name="Normal 2 3 3 6 3 3 7" xfId="23606"/>
    <cellStyle name="Normal 2 3 3 6 3 3 7 2" xfId="23607"/>
    <cellStyle name="Normal 2 3 3 6 3 3 8" xfId="23608"/>
    <cellStyle name="Normal 2 3 3 6 3 3 8 2" xfId="23609"/>
    <cellStyle name="Normal 2 3 3 6 3 3 9" xfId="23610"/>
    <cellStyle name="Normal 2 3 3 6 3 3 9 2" xfId="23611"/>
    <cellStyle name="Normal 2 3 3 6 3 4" xfId="23612"/>
    <cellStyle name="Normal 2 3 3 6 3 4 2" xfId="23613"/>
    <cellStyle name="Normal 2 3 3 6 3 5" xfId="23614"/>
    <cellStyle name="Normal 2 3 3 6 3 5 2" xfId="23615"/>
    <cellStyle name="Normal 2 3 3 6 3 6" xfId="23616"/>
    <cellStyle name="Normal 2 3 3 6 3 6 2" xfId="23617"/>
    <cellStyle name="Normal 2 3 3 6 3 7" xfId="23618"/>
    <cellStyle name="Normal 2 3 3 6 3 7 2" xfId="23619"/>
    <cellStyle name="Normal 2 3 3 6 3 8" xfId="23620"/>
    <cellStyle name="Normal 2 3 3 6 3 8 2" xfId="23621"/>
    <cellStyle name="Normal 2 3 3 6 3 9" xfId="23622"/>
    <cellStyle name="Normal 2 3 3 6 3 9 2" xfId="23623"/>
    <cellStyle name="Normal 2 3 3 6 4" xfId="23624"/>
    <cellStyle name="Normal 2 3 3 6 4 10" xfId="23625"/>
    <cellStyle name="Normal 2 3 3 6 4 10 2" xfId="23626"/>
    <cellStyle name="Normal 2 3 3 6 4 11" xfId="23627"/>
    <cellStyle name="Normal 2 3 3 6 4 11 2" xfId="23628"/>
    <cellStyle name="Normal 2 3 3 6 4 12" xfId="23629"/>
    <cellStyle name="Normal 2 3 3 6 4 12 2" xfId="23630"/>
    <cellStyle name="Normal 2 3 3 6 4 13" xfId="23631"/>
    <cellStyle name="Normal 2 3 3 6 4 2" xfId="23632"/>
    <cellStyle name="Normal 2 3 3 6 4 2 10" xfId="23633"/>
    <cellStyle name="Normal 2 3 3 6 4 2 10 2" xfId="23634"/>
    <cellStyle name="Normal 2 3 3 6 4 2 11" xfId="23635"/>
    <cellStyle name="Normal 2 3 3 6 4 2 11 2" xfId="23636"/>
    <cellStyle name="Normal 2 3 3 6 4 2 12" xfId="23637"/>
    <cellStyle name="Normal 2 3 3 6 4 2 2" xfId="23638"/>
    <cellStyle name="Normal 2 3 3 6 4 2 2 10" xfId="23639"/>
    <cellStyle name="Normal 2 3 3 6 4 2 2 10 2" xfId="23640"/>
    <cellStyle name="Normal 2 3 3 6 4 2 2 11" xfId="23641"/>
    <cellStyle name="Normal 2 3 3 6 4 2 2 2" xfId="23642"/>
    <cellStyle name="Normal 2 3 3 6 4 2 2 2 2" xfId="23643"/>
    <cellStyle name="Normal 2 3 3 6 4 2 2 3" xfId="23644"/>
    <cellStyle name="Normal 2 3 3 6 4 2 2 3 2" xfId="23645"/>
    <cellStyle name="Normal 2 3 3 6 4 2 2 4" xfId="23646"/>
    <cellStyle name="Normal 2 3 3 6 4 2 2 4 2" xfId="23647"/>
    <cellStyle name="Normal 2 3 3 6 4 2 2 5" xfId="23648"/>
    <cellStyle name="Normal 2 3 3 6 4 2 2 5 2" xfId="23649"/>
    <cellStyle name="Normal 2 3 3 6 4 2 2 6" xfId="23650"/>
    <cellStyle name="Normal 2 3 3 6 4 2 2 6 2" xfId="23651"/>
    <cellStyle name="Normal 2 3 3 6 4 2 2 7" xfId="23652"/>
    <cellStyle name="Normal 2 3 3 6 4 2 2 7 2" xfId="23653"/>
    <cellStyle name="Normal 2 3 3 6 4 2 2 8" xfId="23654"/>
    <cellStyle name="Normal 2 3 3 6 4 2 2 8 2" xfId="23655"/>
    <cellStyle name="Normal 2 3 3 6 4 2 2 9" xfId="23656"/>
    <cellStyle name="Normal 2 3 3 6 4 2 2 9 2" xfId="23657"/>
    <cellStyle name="Normal 2 3 3 6 4 2 3" xfId="23658"/>
    <cellStyle name="Normal 2 3 3 6 4 2 3 2" xfId="23659"/>
    <cellStyle name="Normal 2 3 3 6 4 2 4" xfId="23660"/>
    <cellStyle name="Normal 2 3 3 6 4 2 4 2" xfId="23661"/>
    <cellStyle name="Normal 2 3 3 6 4 2 5" xfId="23662"/>
    <cellStyle name="Normal 2 3 3 6 4 2 5 2" xfId="23663"/>
    <cellStyle name="Normal 2 3 3 6 4 2 6" xfId="23664"/>
    <cellStyle name="Normal 2 3 3 6 4 2 6 2" xfId="23665"/>
    <cellStyle name="Normal 2 3 3 6 4 2 7" xfId="23666"/>
    <cellStyle name="Normal 2 3 3 6 4 2 7 2" xfId="23667"/>
    <cellStyle name="Normal 2 3 3 6 4 2 8" xfId="23668"/>
    <cellStyle name="Normal 2 3 3 6 4 2 8 2" xfId="23669"/>
    <cellStyle name="Normal 2 3 3 6 4 2 9" xfId="23670"/>
    <cellStyle name="Normal 2 3 3 6 4 2 9 2" xfId="23671"/>
    <cellStyle name="Normal 2 3 3 6 4 3" xfId="23672"/>
    <cellStyle name="Normal 2 3 3 6 4 3 10" xfId="23673"/>
    <cellStyle name="Normal 2 3 3 6 4 3 10 2" xfId="23674"/>
    <cellStyle name="Normal 2 3 3 6 4 3 11" xfId="23675"/>
    <cellStyle name="Normal 2 3 3 6 4 3 2" xfId="23676"/>
    <cellStyle name="Normal 2 3 3 6 4 3 2 2" xfId="23677"/>
    <cellStyle name="Normal 2 3 3 6 4 3 3" xfId="23678"/>
    <cellStyle name="Normal 2 3 3 6 4 3 3 2" xfId="23679"/>
    <cellStyle name="Normal 2 3 3 6 4 3 4" xfId="23680"/>
    <cellStyle name="Normal 2 3 3 6 4 3 4 2" xfId="23681"/>
    <cellStyle name="Normal 2 3 3 6 4 3 5" xfId="23682"/>
    <cellStyle name="Normal 2 3 3 6 4 3 5 2" xfId="23683"/>
    <cellStyle name="Normal 2 3 3 6 4 3 6" xfId="23684"/>
    <cellStyle name="Normal 2 3 3 6 4 3 6 2" xfId="23685"/>
    <cellStyle name="Normal 2 3 3 6 4 3 7" xfId="23686"/>
    <cellStyle name="Normal 2 3 3 6 4 3 7 2" xfId="23687"/>
    <cellStyle name="Normal 2 3 3 6 4 3 8" xfId="23688"/>
    <cellStyle name="Normal 2 3 3 6 4 3 8 2" xfId="23689"/>
    <cellStyle name="Normal 2 3 3 6 4 3 9" xfId="23690"/>
    <cellStyle name="Normal 2 3 3 6 4 3 9 2" xfId="23691"/>
    <cellStyle name="Normal 2 3 3 6 4 4" xfId="23692"/>
    <cellStyle name="Normal 2 3 3 6 4 4 2" xfId="23693"/>
    <cellStyle name="Normal 2 3 3 6 4 5" xfId="23694"/>
    <cellStyle name="Normal 2 3 3 6 4 5 2" xfId="23695"/>
    <cellStyle name="Normal 2 3 3 6 4 6" xfId="23696"/>
    <cellStyle name="Normal 2 3 3 6 4 6 2" xfId="23697"/>
    <cellStyle name="Normal 2 3 3 6 4 7" xfId="23698"/>
    <cellStyle name="Normal 2 3 3 6 4 7 2" xfId="23699"/>
    <cellStyle name="Normal 2 3 3 6 4 8" xfId="23700"/>
    <cellStyle name="Normal 2 3 3 6 4 8 2" xfId="23701"/>
    <cellStyle name="Normal 2 3 3 6 4 9" xfId="23702"/>
    <cellStyle name="Normal 2 3 3 6 4 9 2" xfId="23703"/>
    <cellStyle name="Normal 2 3 3 6 5" xfId="23704"/>
    <cellStyle name="Normal 2 3 3 6 5 10" xfId="23705"/>
    <cellStyle name="Normal 2 3 3 6 5 10 2" xfId="23706"/>
    <cellStyle name="Normal 2 3 3 6 5 11" xfId="23707"/>
    <cellStyle name="Normal 2 3 3 6 5 11 2" xfId="23708"/>
    <cellStyle name="Normal 2 3 3 6 5 12" xfId="23709"/>
    <cellStyle name="Normal 2 3 3 6 5 12 2" xfId="23710"/>
    <cellStyle name="Normal 2 3 3 6 5 13" xfId="23711"/>
    <cellStyle name="Normal 2 3 3 6 5 2" xfId="23712"/>
    <cellStyle name="Normal 2 3 3 6 5 2 10" xfId="23713"/>
    <cellStyle name="Normal 2 3 3 6 5 2 10 2" xfId="23714"/>
    <cellStyle name="Normal 2 3 3 6 5 2 11" xfId="23715"/>
    <cellStyle name="Normal 2 3 3 6 5 2 11 2" xfId="23716"/>
    <cellStyle name="Normal 2 3 3 6 5 2 12" xfId="23717"/>
    <cellStyle name="Normal 2 3 3 6 5 2 2" xfId="23718"/>
    <cellStyle name="Normal 2 3 3 6 5 2 2 10" xfId="23719"/>
    <cellStyle name="Normal 2 3 3 6 5 2 2 10 2" xfId="23720"/>
    <cellStyle name="Normal 2 3 3 6 5 2 2 11" xfId="23721"/>
    <cellStyle name="Normal 2 3 3 6 5 2 2 2" xfId="23722"/>
    <cellStyle name="Normal 2 3 3 6 5 2 2 2 2" xfId="23723"/>
    <cellStyle name="Normal 2 3 3 6 5 2 2 3" xfId="23724"/>
    <cellStyle name="Normal 2 3 3 6 5 2 2 3 2" xfId="23725"/>
    <cellStyle name="Normal 2 3 3 6 5 2 2 4" xfId="23726"/>
    <cellStyle name="Normal 2 3 3 6 5 2 2 4 2" xfId="23727"/>
    <cellStyle name="Normal 2 3 3 6 5 2 2 5" xfId="23728"/>
    <cellStyle name="Normal 2 3 3 6 5 2 2 5 2" xfId="23729"/>
    <cellStyle name="Normal 2 3 3 6 5 2 2 6" xfId="23730"/>
    <cellStyle name="Normal 2 3 3 6 5 2 2 6 2" xfId="23731"/>
    <cellStyle name="Normal 2 3 3 6 5 2 2 7" xfId="23732"/>
    <cellStyle name="Normal 2 3 3 6 5 2 2 7 2" xfId="23733"/>
    <cellStyle name="Normal 2 3 3 6 5 2 2 8" xfId="23734"/>
    <cellStyle name="Normal 2 3 3 6 5 2 2 8 2" xfId="23735"/>
    <cellStyle name="Normal 2 3 3 6 5 2 2 9" xfId="23736"/>
    <cellStyle name="Normal 2 3 3 6 5 2 2 9 2" xfId="23737"/>
    <cellStyle name="Normal 2 3 3 6 5 2 3" xfId="23738"/>
    <cellStyle name="Normal 2 3 3 6 5 2 3 2" xfId="23739"/>
    <cellStyle name="Normal 2 3 3 6 5 2 4" xfId="23740"/>
    <cellStyle name="Normal 2 3 3 6 5 2 4 2" xfId="23741"/>
    <cellStyle name="Normal 2 3 3 6 5 2 5" xfId="23742"/>
    <cellStyle name="Normal 2 3 3 6 5 2 5 2" xfId="23743"/>
    <cellStyle name="Normal 2 3 3 6 5 2 6" xfId="23744"/>
    <cellStyle name="Normal 2 3 3 6 5 2 6 2" xfId="23745"/>
    <cellStyle name="Normal 2 3 3 6 5 2 7" xfId="23746"/>
    <cellStyle name="Normal 2 3 3 6 5 2 7 2" xfId="23747"/>
    <cellStyle name="Normal 2 3 3 6 5 2 8" xfId="23748"/>
    <cellStyle name="Normal 2 3 3 6 5 2 8 2" xfId="23749"/>
    <cellStyle name="Normal 2 3 3 6 5 2 9" xfId="23750"/>
    <cellStyle name="Normal 2 3 3 6 5 2 9 2" xfId="23751"/>
    <cellStyle name="Normal 2 3 3 6 5 3" xfId="23752"/>
    <cellStyle name="Normal 2 3 3 6 5 3 10" xfId="23753"/>
    <cellStyle name="Normal 2 3 3 6 5 3 10 2" xfId="23754"/>
    <cellStyle name="Normal 2 3 3 6 5 3 11" xfId="23755"/>
    <cellStyle name="Normal 2 3 3 6 5 3 2" xfId="23756"/>
    <cellStyle name="Normal 2 3 3 6 5 3 2 2" xfId="23757"/>
    <cellStyle name="Normal 2 3 3 6 5 3 3" xfId="23758"/>
    <cellStyle name="Normal 2 3 3 6 5 3 3 2" xfId="23759"/>
    <cellStyle name="Normal 2 3 3 6 5 3 4" xfId="23760"/>
    <cellStyle name="Normal 2 3 3 6 5 3 4 2" xfId="23761"/>
    <cellStyle name="Normal 2 3 3 6 5 3 5" xfId="23762"/>
    <cellStyle name="Normal 2 3 3 6 5 3 5 2" xfId="23763"/>
    <cellStyle name="Normal 2 3 3 6 5 3 6" xfId="23764"/>
    <cellStyle name="Normal 2 3 3 6 5 3 6 2" xfId="23765"/>
    <cellStyle name="Normal 2 3 3 6 5 3 7" xfId="23766"/>
    <cellStyle name="Normal 2 3 3 6 5 3 7 2" xfId="23767"/>
    <cellStyle name="Normal 2 3 3 6 5 3 8" xfId="23768"/>
    <cellStyle name="Normal 2 3 3 6 5 3 8 2" xfId="23769"/>
    <cellStyle name="Normal 2 3 3 6 5 3 9" xfId="23770"/>
    <cellStyle name="Normal 2 3 3 6 5 3 9 2" xfId="23771"/>
    <cellStyle name="Normal 2 3 3 6 5 4" xfId="23772"/>
    <cellStyle name="Normal 2 3 3 6 5 4 2" xfId="23773"/>
    <cellStyle name="Normal 2 3 3 6 5 5" xfId="23774"/>
    <cellStyle name="Normal 2 3 3 6 5 5 2" xfId="23775"/>
    <cellStyle name="Normal 2 3 3 6 5 6" xfId="23776"/>
    <cellStyle name="Normal 2 3 3 6 5 6 2" xfId="23777"/>
    <cellStyle name="Normal 2 3 3 6 5 7" xfId="23778"/>
    <cellStyle name="Normal 2 3 3 6 5 7 2" xfId="23779"/>
    <cellStyle name="Normal 2 3 3 6 5 8" xfId="23780"/>
    <cellStyle name="Normal 2 3 3 6 5 8 2" xfId="23781"/>
    <cellStyle name="Normal 2 3 3 6 5 9" xfId="23782"/>
    <cellStyle name="Normal 2 3 3 6 5 9 2" xfId="23783"/>
    <cellStyle name="Normal 2 3 3 6 6" xfId="42003"/>
    <cellStyle name="Normal 2 3 3 7" xfId="23784"/>
    <cellStyle name="Normal 2 3 3 7 2" xfId="42004"/>
    <cellStyle name="Normal 2 3 3 8" xfId="23785"/>
    <cellStyle name="Normal 2 3 3 8 2" xfId="42005"/>
    <cellStyle name="Normal 2 3 3 9" xfId="23786"/>
    <cellStyle name="Normal 2 3 3 9 2" xfId="42006"/>
    <cellStyle name="Normal 2 3 4" xfId="23787"/>
    <cellStyle name="Normal 2 3 4 2" xfId="42007"/>
    <cellStyle name="Normal 2 3 5" xfId="23788"/>
    <cellStyle name="Normal 2 3 5 2" xfId="42008"/>
    <cellStyle name="Normal 2 3 6" xfId="23789"/>
    <cellStyle name="Normal 2 3 6 2" xfId="42009"/>
    <cellStyle name="Normal 2 3 7" xfId="23790"/>
    <cellStyle name="Normal 2 3 7 2" xfId="42010"/>
    <cellStyle name="Normal 2 3 8" xfId="23791"/>
    <cellStyle name="Normal 2 3 8 2" xfId="42011"/>
    <cellStyle name="Normal 2 3 9" xfId="23792"/>
    <cellStyle name="Normal 2 3 9 10" xfId="23793"/>
    <cellStyle name="Normal 2 3 9 10 2" xfId="23794"/>
    <cellStyle name="Normal 2 3 9 11" xfId="23795"/>
    <cellStyle name="Normal 2 3 9 11 2" xfId="23796"/>
    <cellStyle name="Normal 2 3 9 12" xfId="23797"/>
    <cellStyle name="Normal 2 3 9 12 2" xfId="23798"/>
    <cellStyle name="Normal 2 3 9 13" xfId="23799"/>
    <cellStyle name="Normal 2 3 9 13 2" xfId="23800"/>
    <cellStyle name="Normal 2 3 9 14" xfId="23801"/>
    <cellStyle name="Normal 2 3 9 14 2" xfId="23802"/>
    <cellStyle name="Normal 2 3 9 15" xfId="23803"/>
    <cellStyle name="Normal 2 3 9 15 2" xfId="23804"/>
    <cellStyle name="Normal 2 3 9 16" xfId="23805"/>
    <cellStyle name="Normal 2 3 9 16 2" xfId="23806"/>
    <cellStyle name="Normal 2 3 9 17" xfId="23807"/>
    <cellStyle name="Normal 2 3 9 17 2" xfId="23808"/>
    <cellStyle name="Normal 2 3 9 18" xfId="23809"/>
    <cellStyle name="Normal 2 3 9 2" xfId="23810"/>
    <cellStyle name="Normal 2 3 9 2 2" xfId="23811"/>
    <cellStyle name="Normal 2 3 9 2 2 10" xfId="23812"/>
    <cellStyle name="Normal 2 3 9 2 2 10 2" xfId="23813"/>
    <cellStyle name="Normal 2 3 9 2 2 11" xfId="23814"/>
    <cellStyle name="Normal 2 3 9 2 2 11 2" xfId="23815"/>
    <cellStyle name="Normal 2 3 9 2 2 12" xfId="23816"/>
    <cellStyle name="Normal 2 3 9 2 2 12 2" xfId="23817"/>
    <cellStyle name="Normal 2 3 9 2 2 13" xfId="23818"/>
    <cellStyle name="Normal 2 3 9 2 2 13 2" xfId="23819"/>
    <cellStyle name="Normal 2 3 9 2 2 14" xfId="23820"/>
    <cellStyle name="Normal 2 3 9 2 2 14 2" xfId="23821"/>
    <cellStyle name="Normal 2 3 9 2 2 15" xfId="23822"/>
    <cellStyle name="Normal 2 3 9 2 2 15 2" xfId="23823"/>
    <cellStyle name="Normal 2 3 9 2 2 16" xfId="23824"/>
    <cellStyle name="Normal 2 3 9 2 2 16 2" xfId="23825"/>
    <cellStyle name="Normal 2 3 9 2 2 17" xfId="23826"/>
    <cellStyle name="Normal 2 3 9 2 2 2" xfId="23827"/>
    <cellStyle name="Normal 2 3 9 2 2 2 2" xfId="42012"/>
    <cellStyle name="Normal 2 3 9 2 2 3" xfId="23828"/>
    <cellStyle name="Normal 2 3 9 2 2 3 2" xfId="42013"/>
    <cellStyle name="Normal 2 3 9 2 2 4" xfId="23829"/>
    <cellStyle name="Normal 2 3 9 2 2 4 2" xfId="42014"/>
    <cellStyle name="Normal 2 3 9 2 2 5" xfId="23830"/>
    <cellStyle name="Normal 2 3 9 2 2 5 2" xfId="42015"/>
    <cellStyle name="Normal 2 3 9 2 2 6" xfId="23831"/>
    <cellStyle name="Normal 2 3 9 2 2 6 10" xfId="23832"/>
    <cellStyle name="Normal 2 3 9 2 2 6 10 2" xfId="23833"/>
    <cellStyle name="Normal 2 3 9 2 2 6 11" xfId="23834"/>
    <cellStyle name="Normal 2 3 9 2 2 6 11 2" xfId="23835"/>
    <cellStyle name="Normal 2 3 9 2 2 6 12" xfId="23836"/>
    <cellStyle name="Normal 2 3 9 2 2 6 2" xfId="23837"/>
    <cellStyle name="Normal 2 3 9 2 2 6 2 10" xfId="23838"/>
    <cellStyle name="Normal 2 3 9 2 2 6 2 10 2" xfId="23839"/>
    <cellStyle name="Normal 2 3 9 2 2 6 2 11" xfId="23840"/>
    <cellStyle name="Normal 2 3 9 2 2 6 2 2" xfId="23841"/>
    <cellStyle name="Normal 2 3 9 2 2 6 2 2 2" xfId="23842"/>
    <cellStyle name="Normal 2 3 9 2 2 6 2 3" xfId="23843"/>
    <cellStyle name="Normal 2 3 9 2 2 6 2 3 2" xfId="23844"/>
    <cellStyle name="Normal 2 3 9 2 2 6 2 4" xfId="23845"/>
    <cellStyle name="Normal 2 3 9 2 2 6 2 4 2" xfId="23846"/>
    <cellStyle name="Normal 2 3 9 2 2 6 2 5" xfId="23847"/>
    <cellStyle name="Normal 2 3 9 2 2 6 2 5 2" xfId="23848"/>
    <cellStyle name="Normal 2 3 9 2 2 6 2 6" xfId="23849"/>
    <cellStyle name="Normal 2 3 9 2 2 6 2 6 2" xfId="23850"/>
    <cellStyle name="Normal 2 3 9 2 2 6 2 7" xfId="23851"/>
    <cellStyle name="Normal 2 3 9 2 2 6 2 7 2" xfId="23852"/>
    <cellStyle name="Normal 2 3 9 2 2 6 2 8" xfId="23853"/>
    <cellStyle name="Normal 2 3 9 2 2 6 2 8 2" xfId="23854"/>
    <cellStyle name="Normal 2 3 9 2 2 6 2 9" xfId="23855"/>
    <cellStyle name="Normal 2 3 9 2 2 6 2 9 2" xfId="23856"/>
    <cellStyle name="Normal 2 3 9 2 2 6 3" xfId="23857"/>
    <cellStyle name="Normal 2 3 9 2 2 6 3 2" xfId="23858"/>
    <cellStyle name="Normal 2 3 9 2 2 6 4" xfId="23859"/>
    <cellStyle name="Normal 2 3 9 2 2 6 4 2" xfId="23860"/>
    <cellStyle name="Normal 2 3 9 2 2 6 5" xfId="23861"/>
    <cellStyle name="Normal 2 3 9 2 2 6 5 2" xfId="23862"/>
    <cellStyle name="Normal 2 3 9 2 2 6 6" xfId="23863"/>
    <cellStyle name="Normal 2 3 9 2 2 6 6 2" xfId="23864"/>
    <cellStyle name="Normal 2 3 9 2 2 6 7" xfId="23865"/>
    <cellStyle name="Normal 2 3 9 2 2 6 7 2" xfId="23866"/>
    <cellStyle name="Normal 2 3 9 2 2 6 8" xfId="23867"/>
    <cellStyle name="Normal 2 3 9 2 2 6 8 2" xfId="23868"/>
    <cellStyle name="Normal 2 3 9 2 2 6 9" xfId="23869"/>
    <cellStyle name="Normal 2 3 9 2 2 6 9 2" xfId="23870"/>
    <cellStyle name="Normal 2 3 9 2 2 7" xfId="23871"/>
    <cellStyle name="Normal 2 3 9 2 2 7 10" xfId="23872"/>
    <cellStyle name="Normal 2 3 9 2 2 7 10 2" xfId="23873"/>
    <cellStyle name="Normal 2 3 9 2 2 7 11" xfId="23874"/>
    <cellStyle name="Normal 2 3 9 2 2 7 2" xfId="23875"/>
    <cellStyle name="Normal 2 3 9 2 2 7 2 2" xfId="23876"/>
    <cellStyle name="Normal 2 3 9 2 2 7 3" xfId="23877"/>
    <cellStyle name="Normal 2 3 9 2 2 7 3 2" xfId="23878"/>
    <cellStyle name="Normal 2 3 9 2 2 7 4" xfId="23879"/>
    <cellStyle name="Normal 2 3 9 2 2 7 4 2" xfId="23880"/>
    <cellStyle name="Normal 2 3 9 2 2 7 5" xfId="23881"/>
    <cellStyle name="Normal 2 3 9 2 2 7 5 2" xfId="23882"/>
    <cellStyle name="Normal 2 3 9 2 2 7 6" xfId="23883"/>
    <cellStyle name="Normal 2 3 9 2 2 7 6 2" xfId="23884"/>
    <cellStyle name="Normal 2 3 9 2 2 7 7" xfId="23885"/>
    <cellStyle name="Normal 2 3 9 2 2 7 7 2" xfId="23886"/>
    <cellStyle name="Normal 2 3 9 2 2 7 8" xfId="23887"/>
    <cellStyle name="Normal 2 3 9 2 2 7 8 2" xfId="23888"/>
    <cellStyle name="Normal 2 3 9 2 2 7 9" xfId="23889"/>
    <cellStyle name="Normal 2 3 9 2 2 7 9 2" xfId="23890"/>
    <cellStyle name="Normal 2 3 9 2 2 8" xfId="23891"/>
    <cellStyle name="Normal 2 3 9 2 2 8 2" xfId="23892"/>
    <cellStyle name="Normal 2 3 9 2 2 9" xfId="23893"/>
    <cellStyle name="Normal 2 3 9 2 2 9 2" xfId="23894"/>
    <cellStyle name="Normal 2 3 9 2 3" xfId="23895"/>
    <cellStyle name="Normal 2 3 9 2 3 10" xfId="23896"/>
    <cellStyle name="Normal 2 3 9 2 3 10 2" xfId="23897"/>
    <cellStyle name="Normal 2 3 9 2 3 11" xfId="23898"/>
    <cellStyle name="Normal 2 3 9 2 3 11 2" xfId="23899"/>
    <cellStyle name="Normal 2 3 9 2 3 12" xfId="23900"/>
    <cellStyle name="Normal 2 3 9 2 3 12 2" xfId="23901"/>
    <cellStyle name="Normal 2 3 9 2 3 13" xfId="23902"/>
    <cellStyle name="Normal 2 3 9 2 3 2" xfId="23903"/>
    <cellStyle name="Normal 2 3 9 2 3 2 10" xfId="23904"/>
    <cellStyle name="Normal 2 3 9 2 3 2 10 2" xfId="23905"/>
    <cellStyle name="Normal 2 3 9 2 3 2 11" xfId="23906"/>
    <cellStyle name="Normal 2 3 9 2 3 2 11 2" xfId="23907"/>
    <cellStyle name="Normal 2 3 9 2 3 2 12" xfId="23908"/>
    <cellStyle name="Normal 2 3 9 2 3 2 2" xfId="23909"/>
    <cellStyle name="Normal 2 3 9 2 3 2 2 10" xfId="23910"/>
    <cellStyle name="Normal 2 3 9 2 3 2 2 10 2" xfId="23911"/>
    <cellStyle name="Normal 2 3 9 2 3 2 2 11" xfId="23912"/>
    <cellStyle name="Normal 2 3 9 2 3 2 2 2" xfId="23913"/>
    <cellStyle name="Normal 2 3 9 2 3 2 2 2 2" xfId="23914"/>
    <cellStyle name="Normal 2 3 9 2 3 2 2 3" xfId="23915"/>
    <cellStyle name="Normal 2 3 9 2 3 2 2 3 2" xfId="23916"/>
    <cellStyle name="Normal 2 3 9 2 3 2 2 4" xfId="23917"/>
    <cellStyle name="Normal 2 3 9 2 3 2 2 4 2" xfId="23918"/>
    <cellStyle name="Normal 2 3 9 2 3 2 2 5" xfId="23919"/>
    <cellStyle name="Normal 2 3 9 2 3 2 2 5 2" xfId="23920"/>
    <cellStyle name="Normal 2 3 9 2 3 2 2 6" xfId="23921"/>
    <cellStyle name="Normal 2 3 9 2 3 2 2 6 2" xfId="23922"/>
    <cellStyle name="Normal 2 3 9 2 3 2 2 7" xfId="23923"/>
    <cellStyle name="Normal 2 3 9 2 3 2 2 7 2" xfId="23924"/>
    <cellStyle name="Normal 2 3 9 2 3 2 2 8" xfId="23925"/>
    <cellStyle name="Normal 2 3 9 2 3 2 2 8 2" xfId="23926"/>
    <cellStyle name="Normal 2 3 9 2 3 2 2 9" xfId="23927"/>
    <cellStyle name="Normal 2 3 9 2 3 2 2 9 2" xfId="23928"/>
    <cellStyle name="Normal 2 3 9 2 3 2 3" xfId="23929"/>
    <cellStyle name="Normal 2 3 9 2 3 2 3 2" xfId="23930"/>
    <cellStyle name="Normal 2 3 9 2 3 2 4" xfId="23931"/>
    <cellStyle name="Normal 2 3 9 2 3 2 4 2" xfId="23932"/>
    <cellStyle name="Normal 2 3 9 2 3 2 5" xfId="23933"/>
    <cellStyle name="Normal 2 3 9 2 3 2 5 2" xfId="23934"/>
    <cellStyle name="Normal 2 3 9 2 3 2 6" xfId="23935"/>
    <cellStyle name="Normal 2 3 9 2 3 2 6 2" xfId="23936"/>
    <cellStyle name="Normal 2 3 9 2 3 2 7" xfId="23937"/>
    <cellStyle name="Normal 2 3 9 2 3 2 7 2" xfId="23938"/>
    <cellStyle name="Normal 2 3 9 2 3 2 8" xfId="23939"/>
    <cellStyle name="Normal 2 3 9 2 3 2 8 2" xfId="23940"/>
    <cellStyle name="Normal 2 3 9 2 3 2 9" xfId="23941"/>
    <cellStyle name="Normal 2 3 9 2 3 2 9 2" xfId="23942"/>
    <cellStyle name="Normal 2 3 9 2 3 3" xfId="23943"/>
    <cellStyle name="Normal 2 3 9 2 3 3 10" xfId="23944"/>
    <cellStyle name="Normal 2 3 9 2 3 3 10 2" xfId="23945"/>
    <cellStyle name="Normal 2 3 9 2 3 3 11" xfId="23946"/>
    <cellStyle name="Normal 2 3 9 2 3 3 2" xfId="23947"/>
    <cellStyle name="Normal 2 3 9 2 3 3 2 2" xfId="23948"/>
    <cellStyle name="Normal 2 3 9 2 3 3 3" xfId="23949"/>
    <cellStyle name="Normal 2 3 9 2 3 3 3 2" xfId="23950"/>
    <cellStyle name="Normal 2 3 9 2 3 3 4" xfId="23951"/>
    <cellStyle name="Normal 2 3 9 2 3 3 4 2" xfId="23952"/>
    <cellStyle name="Normal 2 3 9 2 3 3 5" xfId="23953"/>
    <cellStyle name="Normal 2 3 9 2 3 3 5 2" xfId="23954"/>
    <cellStyle name="Normal 2 3 9 2 3 3 6" xfId="23955"/>
    <cellStyle name="Normal 2 3 9 2 3 3 6 2" xfId="23956"/>
    <cellStyle name="Normal 2 3 9 2 3 3 7" xfId="23957"/>
    <cellStyle name="Normal 2 3 9 2 3 3 7 2" xfId="23958"/>
    <cellStyle name="Normal 2 3 9 2 3 3 8" xfId="23959"/>
    <cellStyle name="Normal 2 3 9 2 3 3 8 2" xfId="23960"/>
    <cellStyle name="Normal 2 3 9 2 3 3 9" xfId="23961"/>
    <cellStyle name="Normal 2 3 9 2 3 3 9 2" xfId="23962"/>
    <cellStyle name="Normal 2 3 9 2 3 4" xfId="23963"/>
    <cellStyle name="Normal 2 3 9 2 3 4 2" xfId="23964"/>
    <cellStyle name="Normal 2 3 9 2 3 5" xfId="23965"/>
    <cellStyle name="Normal 2 3 9 2 3 5 2" xfId="23966"/>
    <cellStyle name="Normal 2 3 9 2 3 6" xfId="23967"/>
    <cellStyle name="Normal 2 3 9 2 3 6 2" xfId="23968"/>
    <cellStyle name="Normal 2 3 9 2 3 7" xfId="23969"/>
    <cellStyle name="Normal 2 3 9 2 3 7 2" xfId="23970"/>
    <cellStyle name="Normal 2 3 9 2 3 8" xfId="23971"/>
    <cellStyle name="Normal 2 3 9 2 3 8 2" xfId="23972"/>
    <cellStyle name="Normal 2 3 9 2 3 9" xfId="23973"/>
    <cellStyle name="Normal 2 3 9 2 3 9 2" xfId="23974"/>
    <cellStyle name="Normal 2 3 9 2 4" xfId="23975"/>
    <cellStyle name="Normal 2 3 9 2 4 10" xfId="23976"/>
    <cellStyle name="Normal 2 3 9 2 4 10 2" xfId="23977"/>
    <cellStyle name="Normal 2 3 9 2 4 11" xfId="23978"/>
    <cellStyle name="Normal 2 3 9 2 4 11 2" xfId="23979"/>
    <cellStyle name="Normal 2 3 9 2 4 12" xfId="23980"/>
    <cellStyle name="Normal 2 3 9 2 4 12 2" xfId="23981"/>
    <cellStyle name="Normal 2 3 9 2 4 13" xfId="23982"/>
    <cellStyle name="Normal 2 3 9 2 4 2" xfId="23983"/>
    <cellStyle name="Normal 2 3 9 2 4 2 10" xfId="23984"/>
    <cellStyle name="Normal 2 3 9 2 4 2 10 2" xfId="23985"/>
    <cellStyle name="Normal 2 3 9 2 4 2 11" xfId="23986"/>
    <cellStyle name="Normal 2 3 9 2 4 2 11 2" xfId="23987"/>
    <cellStyle name="Normal 2 3 9 2 4 2 12" xfId="23988"/>
    <cellStyle name="Normal 2 3 9 2 4 2 2" xfId="23989"/>
    <cellStyle name="Normal 2 3 9 2 4 2 2 10" xfId="23990"/>
    <cellStyle name="Normal 2 3 9 2 4 2 2 10 2" xfId="23991"/>
    <cellStyle name="Normal 2 3 9 2 4 2 2 11" xfId="23992"/>
    <cellStyle name="Normal 2 3 9 2 4 2 2 2" xfId="23993"/>
    <cellStyle name="Normal 2 3 9 2 4 2 2 2 2" xfId="23994"/>
    <cellStyle name="Normal 2 3 9 2 4 2 2 3" xfId="23995"/>
    <cellStyle name="Normal 2 3 9 2 4 2 2 3 2" xfId="23996"/>
    <cellStyle name="Normal 2 3 9 2 4 2 2 4" xfId="23997"/>
    <cellStyle name="Normal 2 3 9 2 4 2 2 4 2" xfId="23998"/>
    <cellStyle name="Normal 2 3 9 2 4 2 2 5" xfId="23999"/>
    <cellStyle name="Normal 2 3 9 2 4 2 2 5 2" xfId="24000"/>
    <cellStyle name="Normal 2 3 9 2 4 2 2 6" xfId="24001"/>
    <cellStyle name="Normal 2 3 9 2 4 2 2 6 2" xfId="24002"/>
    <cellStyle name="Normal 2 3 9 2 4 2 2 7" xfId="24003"/>
    <cellStyle name="Normal 2 3 9 2 4 2 2 7 2" xfId="24004"/>
    <cellStyle name="Normal 2 3 9 2 4 2 2 8" xfId="24005"/>
    <cellStyle name="Normal 2 3 9 2 4 2 2 8 2" xfId="24006"/>
    <cellStyle name="Normal 2 3 9 2 4 2 2 9" xfId="24007"/>
    <cellStyle name="Normal 2 3 9 2 4 2 2 9 2" xfId="24008"/>
    <cellStyle name="Normal 2 3 9 2 4 2 3" xfId="24009"/>
    <cellStyle name="Normal 2 3 9 2 4 2 3 2" xfId="24010"/>
    <cellStyle name="Normal 2 3 9 2 4 2 4" xfId="24011"/>
    <cellStyle name="Normal 2 3 9 2 4 2 4 2" xfId="24012"/>
    <cellStyle name="Normal 2 3 9 2 4 2 5" xfId="24013"/>
    <cellStyle name="Normal 2 3 9 2 4 2 5 2" xfId="24014"/>
    <cellStyle name="Normal 2 3 9 2 4 2 6" xfId="24015"/>
    <cellStyle name="Normal 2 3 9 2 4 2 6 2" xfId="24016"/>
    <cellStyle name="Normal 2 3 9 2 4 2 7" xfId="24017"/>
    <cellStyle name="Normal 2 3 9 2 4 2 7 2" xfId="24018"/>
    <cellStyle name="Normal 2 3 9 2 4 2 8" xfId="24019"/>
    <cellStyle name="Normal 2 3 9 2 4 2 8 2" xfId="24020"/>
    <cellStyle name="Normal 2 3 9 2 4 2 9" xfId="24021"/>
    <cellStyle name="Normal 2 3 9 2 4 2 9 2" xfId="24022"/>
    <cellStyle name="Normal 2 3 9 2 4 3" xfId="24023"/>
    <cellStyle name="Normal 2 3 9 2 4 3 10" xfId="24024"/>
    <cellStyle name="Normal 2 3 9 2 4 3 10 2" xfId="24025"/>
    <cellStyle name="Normal 2 3 9 2 4 3 11" xfId="24026"/>
    <cellStyle name="Normal 2 3 9 2 4 3 2" xfId="24027"/>
    <cellStyle name="Normal 2 3 9 2 4 3 2 2" xfId="24028"/>
    <cellStyle name="Normal 2 3 9 2 4 3 3" xfId="24029"/>
    <cellStyle name="Normal 2 3 9 2 4 3 3 2" xfId="24030"/>
    <cellStyle name="Normal 2 3 9 2 4 3 4" xfId="24031"/>
    <cellStyle name="Normal 2 3 9 2 4 3 4 2" xfId="24032"/>
    <cellStyle name="Normal 2 3 9 2 4 3 5" xfId="24033"/>
    <cellStyle name="Normal 2 3 9 2 4 3 5 2" xfId="24034"/>
    <cellStyle name="Normal 2 3 9 2 4 3 6" xfId="24035"/>
    <cellStyle name="Normal 2 3 9 2 4 3 6 2" xfId="24036"/>
    <cellStyle name="Normal 2 3 9 2 4 3 7" xfId="24037"/>
    <cellStyle name="Normal 2 3 9 2 4 3 7 2" xfId="24038"/>
    <cellStyle name="Normal 2 3 9 2 4 3 8" xfId="24039"/>
    <cellStyle name="Normal 2 3 9 2 4 3 8 2" xfId="24040"/>
    <cellStyle name="Normal 2 3 9 2 4 3 9" xfId="24041"/>
    <cellStyle name="Normal 2 3 9 2 4 3 9 2" xfId="24042"/>
    <cellStyle name="Normal 2 3 9 2 4 4" xfId="24043"/>
    <cellStyle name="Normal 2 3 9 2 4 4 2" xfId="24044"/>
    <cellStyle name="Normal 2 3 9 2 4 5" xfId="24045"/>
    <cellStyle name="Normal 2 3 9 2 4 5 2" xfId="24046"/>
    <cellStyle name="Normal 2 3 9 2 4 6" xfId="24047"/>
    <cellStyle name="Normal 2 3 9 2 4 6 2" xfId="24048"/>
    <cellStyle name="Normal 2 3 9 2 4 7" xfId="24049"/>
    <cellStyle name="Normal 2 3 9 2 4 7 2" xfId="24050"/>
    <cellStyle name="Normal 2 3 9 2 4 8" xfId="24051"/>
    <cellStyle name="Normal 2 3 9 2 4 8 2" xfId="24052"/>
    <cellStyle name="Normal 2 3 9 2 4 9" xfId="24053"/>
    <cellStyle name="Normal 2 3 9 2 4 9 2" xfId="24054"/>
    <cellStyle name="Normal 2 3 9 2 5" xfId="24055"/>
    <cellStyle name="Normal 2 3 9 2 5 10" xfId="24056"/>
    <cellStyle name="Normal 2 3 9 2 5 10 2" xfId="24057"/>
    <cellStyle name="Normal 2 3 9 2 5 11" xfId="24058"/>
    <cellStyle name="Normal 2 3 9 2 5 11 2" xfId="24059"/>
    <cellStyle name="Normal 2 3 9 2 5 12" xfId="24060"/>
    <cellStyle name="Normal 2 3 9 2 5 12 2" xfId="24061"/>
    <cellStyle name="Normal 2 3 9 2 5 13" xfId="24062"/>
    <cellStyle name="Normal 2 3 9 2 5 2" xfId="24063"/>
    <cellStyle name="Normal 2 3 9 2 5 2 10" xfId="24064"/>
    <cellStyle name="Normal 2 3 9 2 5 2 10 2" xfId="24065"/>
    <cellStyle name="Normal 2 3 9 2 5 2 11" xfId="24066"/>
    <cellStyle name="Normal 2 3 9 2 5 2 11 2" xfId="24067"/>
    <cellStyle name="Normal 2 3 9 2 5 2 12" xfId="24068"/>
    <cellStyle name="Normal 2 3 9 2 5 2 2" xfId="24069"/>
    <cellStyle name="Normal 2 3 9 2 5 2 2 10" xfId="24070"/>
    <cellStyle name="Normal 2 3 9 2 5 2 2 10 2" xfId="24071"/>
    <cellStyle name="Normal 2 3 9 2 5 2 2 11" xfId="24072"/>
    <cellStyle name="Normal 2 3 9 2 5 2 2 2" xfId="24073"/>
    <cellStyle name="Normal 2 3 9 2 5 2 2 2 2" xfId="24074"/>
    <cellStyle name="Normal 2 3 9 2 5 2 2 3" xfId="24075"/>
    <cellStyle name="Normal 2 3 9 2 5 2 2 3 2" xfId="24076"/>
    <cellStyle name="Normal 2 3 9 2 5 2 2 4" xfId="24077"/>
    <cellStyle name="Normal 2 3 9 2 5 2 2 4 2" xfId="24078"/>
    <cellStyle name="Normal 2 3 9 2 5 2 2 5" xfId="24079"/>
    <cellStyle name="Normal 2 3 9 2 5 2 2 5 2" xfId="24080"/>
    <cellStyle name="Normal 2 3 9 2 5 2 2 6" xfId="24081"/>
    <cellStyle name="Normal 2 3 9 2 5 2 2 6 2" xfId="24082"/>
    <cellStyle name="Normal 2 3 9 2 5 2 2 7" xfId="24083"/>
    <cellStyle name="Normal 2 3 9 2 5 2 2 7 2" xfId="24084"/>
    <cellStyle name="Normal 2 3 9 2 5 2 2 8" xfId="24085"/>
    <cellStyle name="Normal 2 3 9 2 5 2 2 8 2" xfId="24086"/>
    <cellStyle name="Normal 2 3 9 2 5 2 2 9" xfId="24087"/>
    <cellStyle name="Normal 2 3 9 2 5 2 2 9 2" xfId="24088"/>
    <cellStyle name="Normal 2 3 9 2 5 2 3" xfId="24089"/>
    <cellStyle name="Normal 2 3 9 2 5 2 3 2" xfId="24090"/>
    <cellStyle name="Normal 2 3 9 2 5 2 4" xfId="24091"/>
    <cellStyle name="Normal 2 3 9 2 5 2 4 2" xfId="24092"/>
    <cellStyle name="Normal 2 3 9 2 5 2 5" xfId="24093"/>
    <cellStyle name="Normal 2 3 9 2 5 2 5 2" xfId="24094"/>
    <cellStyle name="Normal 2 3 9 2 5 2 6" xfId="24095"/>
    <cellStyle name="Normal 2 3 9 2 5 2 6 2" xfId="24096"/>
    <cellStyle name="Normal 2 3 9 2 5 2 7" xfId="24097"/>
    <cellStyle name="Normal 2 3 9 2 5 2 7 2" xfId="24098"/>
    <cellStyle name="Normal 2 3 9 2 5 2 8" xfId="24099"/>
    <cellStyle name="Normal 2 3 9 2 5 2 8 2" xfId="24100"/>
    <cellStyle name="Normal 2 3 9 2 5 2 9" xfId="24101"/>
    <cellStyle name="Normal 2 3 9 2 5 2 9 2" xfId="24102"/>
    <cellStyle name="Normal 2 3 9 2 5 3" xfId="24103"/>
    <cellStyle name="Normal 2 3 9 2 5 3 10" xfId="24104"/>
    <cellStyle name="Normal 2 3 9 2 5 3 10 2" xfId="24105"/>
    <cellStyle name="Normal 2 3 9 2 5 3 11" xfId="24106"/>
    <cellStyle name="Normal 2 3 9 2 5 3 2" xfId="24107"/>
    <cellStyle name="Normal 2 3 9 2 5 3 2 2" xfId="24108"/>
    <cellStyle name="Normal 2 3 9 2 5 3 3" xfId="24109"/>
    <cellStyle name="Normal 2 3 9 2 5 3 3 2" xfId="24110"/>
    <cellStyle name="Normal 2 3 9 2 5 3 4" xfId="24111"/>
    <cellStyle name="Normal 2 3 9 2 5 3 4 2" xfId="24112"/>
    <cellStyle name="Normal 2 3 9 2 5 3 5" xfId="24113"/>
    <cellStyle name="Normal 2 3 9 2 5 3 5 2" xfId="24114"/>
    <cellStyle name="Normal 2 3 9 2 5 3 6" xfId="24115"/>
    <cellStyle name="Normal 2 3 9 2 5 3 6 2" xfId="24116"/>
    <cellStyle name="Normal 2 3 9 2 5 3 7" xfId="24117"/>
    <cellStyle name="Normal 2 3 9 2 5 3 7 2" xfId="24118"/>
    <cellStyle name="Normal 2 3 9 2 5 3 8" xfId="24119"/>
    <cellStyle name="Normal 2 3 9 2 5 3 8 2" xfId="24120"/>
    <cellStyle name="Normal 2 3 9 2 5 3 9" xfId="24121"/>
    <cellStyle name="Normal 2 3 9 2 5 3 9 2" xfId="24122"/>
    <cellStyle name="Normal 2 3 9 2 5 4" xfId="24123"/>
    <cellStyle name="Normal 2 3 9 2 5 4 2" xfId="24124"/>
    <cellStyle name="Normal 2 3 9 2 5 5" xfId="24125"/>
    <cellStyle name="Normal 2 3 9 2 5 5 2" xfId="24126"/>
    <cellStyle name="Normal 2 3 9 2 5 6" xfId="24127"/>
    <cellStyle name="Normal 2 3 9 2 5 6 2" xfId="24128"/>
    <cellStyle name="Normal 2 3 9 2 5 7" xfId="24129"/>
    <cellStyle name="Normal 2 3 9 2 5 7 2" xfId="24130"/>
    <cellStyle name="Normal 2 3 9 2 5 8" xfId="24131"/>
    <cellStyle name="Normal 2 3 9 2 5 8 2" xfId="24132"/>
    <cellStyle name="Normal 2 3 9 2 5 9" xfId="24133"/>
    <cellStyle name="Normal 2 3 9 2 5 9 2" xfId="24134"/>
    <cellStyle name="Normal 2 3 9 2 6" xfId="42016"/>
    <cellStyle name="Normal 2 3 9 3" xfId="24135"/>
    <cellStyle name="Normal 2 3 9 3 2" xfId="42017"/>
    <cellStyle name="Normal 2 3 9 4" xfId="24136"/>
    <cellStyle name="Normal 2 3 9 4 2" xfId="42018"/>
    <cellStyle name="Normal 2 3 9 5" xfId="24137"/>
    <cellStyle name="Normal 2 3 9 5 2" xfId="42019"/>
    <cellStyle name="Normal 2 3 9 6" xfId="24138"/>
    <cellStyle name="Normal 2 3 9 6 2" xfId="42020"/>
    <cellStyle name="Normal 2 3 9 7" xfId="24139"/>
    <cellStyle name="Normal 2 3 9 7 10" xfId="24140"/>
    <cellStyle name="Normal 2 3 9 7 10 2" xfId="24141"/>
    <cellStyle name="Normal 2 3 9 7 11" xfId="24142"/>
    <cellStyle name="Normal 2 3 9 7 11 2" xfId="24143"/>
    <cellStyle name="Normal 2 3 9 7 12" xfId="24144"/>
    <cellStyle name="Normal 2 3 9 7 2" xfId="24145"/>
    <cellStyle name="Normal 2 3 9 7 2 10" xfId="24146"/>
    <cellStyle name="Normal 2 3 9 7 2 10 2" xfId="24147"/>
    <cellStyle name="Normal 2 3 9 7 2 11" xfId="24148"/>
    <cellStyle name="Normal 2 3 9 7 2 2" xfId="24149"/>
    <cellStyle name="Normal 2 3 9 7 2 2 2" xfId="24150"/>
    <cellStyle name="Normal 2 3 9 7 2 3" xfId="24151"/>
    <cellStyle name="Normal 2 3 9 7 2 3 2" xfId="24152"/>
    <cellStyle name="Normal 2 3 9 7 2 4" xfId="24153"/>
    <cellStyle name="Normal 2 3 9 7 2 4 2" xfId="24154"/>
    <cellStyle name="Normal 2 3 9 7 2 5" xfId="24155"/>
    <cellStyle name="Normal 2 3 9 7 2 5 2" xfId="24156"/>
    <cellStyle name="Normal 2 3 9 7 2 6" xfId="24157"/>
    <cellStyle name="Normal 2 3 9 7 2 6 2" xfId="24158"/>
    <cellStyle name="Normal 2 3 9 7 2 7" xfId="24159"/>
    <cellStyle name="Normal 2 3 9 7 2 7 2" xfId="24160"/>
    <cellStyle name="Normal 2 3 9 7 2 8" xfId="24161"/>
    <cellStyle name="Normal 2 3 9 7 2 8 2" xfId="24162"/>
    <cellStyle name="Normal 2 3 9 7 2 9" xfId="24163"/>
    <cellStyle name="Normal 2 3 9 7 2 9 2" xfId="24164"/>
    <cellStyle name="Normal 2 3 9 7 3" xfId="24165"/>
    <cellStyle name="Normal 2 3 9 7 3 2" xfId="24166"/>
    <cellStyle name="Normal 2 3 9 7 4" xfId="24167"/>
    <cellStyle name="Normal 2 3 9 7 4 2" xfId="24168"/>
    <cellStyle name="Normal 2 3 9 7 5" xfId="24169"/>
    <cellStyle name="Normal 2 3 9 7 5 2" xfId="24170"/>
    <cellStyle name="Normal 2 3 9 7 6" xfId="24171"/>
    <cellStyle name="Normal 2 3 9 7 6 2" xfId="24172"/>
    <cellStyle name="Normal 2 3 9 7 7" xfId="24173"/>
    <cellStyle name="Normal 2 3 9 7 7 2" xfId="24174"/>
    <cellStyle name="Normal 2 3 9 7 8" xfId="24175"/>
    <cellStyle name="Normal 2 3 9 7 8 2" xfId="24176"/>
    <cellStyle name="Normal 2 3 9 7 9" xfId="24177"/>
    <cellStyle name="Normal 2 3 9 7 9 2" xfId="24178"/>
    <cellStyle name="Normal 2 3 9 8" xfId="24179"/>
    <cellStyle name="Normal 2 3 9 8 10" xfId="24180"/>
    <cellStyle name="Normal 2 3 9 8 10 2" xfId="24181"/>
    <cellStyle name="Normal 2 3 9 8 11" xfId="24182"/>
    <cellStyle name="Normal 2 3 9 8 2" xfId="24183"/>
    <cellStyle name="Normal 2 3 9 8 2 2" xfId="24184"/>
    <cellStyle name="Normal 2 3 9 8 3" xfId="24185"/>
    <cellStyle name="Normal 2 3 9 8 3 2" xfId="24186"/>
    <cellStyle name="Normal 2 3 9 8 4" xfId="24187"/>
    <cellStyle name="Normal 2 3 9 8 4 2" xfId="24188"/>
    <cellStyle name="Normal 2 3 9 8 5" xfId="24189"/>
    <cellStyle name="Normal 2 3 9 8 5 2" xfId="24190"/>
    <cellStyle name="Normal 2 3 9 8 6" xfId="24191"/>
    <cellStyle name="Normal 2 3 9 8 6 2" xfId="24192"/>
    <cellStyle name="Normal 2 3 9 8 7" xfId="24193"/>
    <cellStyle name="Normal 2 3 9 8 7 2" xfId="24194"/>
    <cellStyle name="Normal 2 3 9 8 8" xfId="24195"/>
    <cellStyle name="Normal 2 3 9 8 8 2" xfId="24196"/>
    <cellStyle name="Normal 2 3 9 8 9" xfId="24197"/>
    <cellStyle name="Normal 2 3 9 8 9 2" xfId="24198"/>
    <cellStyle name="Normal 2 3 9 9" xfId="24199"/>
    <cellStyle name="Normal 2 3 9 9 2" xfId="24200"/>
    <cellStyle name="Normal 2 4" xfId="198"/>
    <cellStyle name="Normal 2 4 10" xfId="24201"/>
    <cellStyle name="Normal 2 4 11" xfId="24202"/>
    <cellStyle name="Normal 2 4 12" xfId="24203"/>
    <cellStyle name="Normal 2 4 13" xfId="24204"/>
    <cellStyle name="Normal 2 4 14" xfId="24205"/>
    <cellStyle name="Normal 2 4 15" xfId="24206"/>
    <cellStyle name="Normal 2 4 16" xfId="24207"/>
    <cellStyle name="Normal 2 4 17" xfId="24208"/>
    <cellStyle name="Normal 2 4 18" xfId="24209"/>
    <cellStyle name="Normal 2 4 19" xfId="24210"/>
    <cellStyle name="Normal 2 4 2" xfId="24211"/>
    <cellStyle name="Normal 2 4 2 10" xfId="24212"/>
    <cellStyle name="Normal 2 4 2 10 10" xfId="24213"/>
    <cellStyle name="Normal 2 4 2 10 10 2" xfId="24214"/>
    <cellStyle name="Normal 2 4 2 10 11" xfId="24215"/>
    <cellStyle name="Normal 2 4 2 10 11 2" xfId="24216"/>
    <cellStyle name="Normal 2 4 2 10 12" xfId="24217"/>
    <cellStyle name="Normal 2 4 2 10 12 2" xfId="24218"/>
    <cellStyle name="Normal 2 4 2 10 13" xfId="24219"/>
    <cellStyle name="Normal 2 4 2 10 2" xfId="24220"/>
    <cellStyle name="Normal 2 4 2 10 2 10" xfId="24221"/>
    <cellStyle name="Normal 2 4 2 10 2 10 2" xfId="24222"/>
    <cellStyle name="Normal 2 4 2 10 2 11" xfId="24223"/>
    <cellStyle name="Normal 2 4 2 10 2 11 2" xfId="24224"/>
    <cellStyle name="Normal 2 4 2 10 2 12" xfId="24225"/>
    <cellStyle name="Normal 2 4 2 10 2 2" xfId="24226"/>
    <cellStyle name="Normal 2 4 2 10 2 2 10" xfId="24227"/>
    <cellStyle name="Normal 2 4 2 10 2 2 10 2" xfId="24228"/>
    <cellStyle name="Normal 2 4 2 10 2 2 11" xfId="24229"/>
    <cellStyle name="Normal 2 4 2 10 2 2 2" xfId="24230"/>
    <cellStyle name="Normal 2 4 2 10 2 2 2 2" xfId="24231"/>
    <cellStyle name="Normal 2 4 2 10 2 2 3" xfId="24232"/>
    <cellStyle name="Normal 2 4 2 10 2 2 3 2" xfId="24233"/>
    <cellStyle name="Normal 2 4 2 10 2 2 4" xfId="24234"/>
    <cellStyle name="Normal 2 4 2 10 2 2 4 2" xfId="24235"/>
    <cellStyle name="Normal 2 4 2 10 2 2 5" xfId="24236"/>
    <cellStyle name="Normal 2 4 2 10 2 2 5 2" xfId="24237"/>
    <cellStyle name="Normal 2 4 2 10 2 2 6" xfId="24238"/>
    <cellStyle name="Normal 2 4 2 10 2 2 6 2" xfId="24239"/>
    <cellStyle name="Normal 2 4 2 10 2 2 7" xfId="24240"/>
    <cellStyle name="Normal 2 4 2 10 2 2 7 2" xfId="24241"/>
    <cellStyle name="Normal 2 4 2 10 2 2 8" xfId="24242"/>
    <cellStyle name="Normal 2 4 2 10 2 2 8 2" xfId="24243"/>
    <cellStyle name="Normal 2 4 2 10 2 2 9" xfId="24244"/>
    <cellStyle name="Normal 2 4 2 10 2 2 9 2" xfId="24245"/>
    <cellStyle name="Normal 2 4 2 10 2 3" xfId="24246"/>
    <cellStyle name="Normal 2 4 2 10 2 3 2" xfId="24247"/>
    <cellStyle name="Normal 2 4 2 10 2 4" xfId="24248"/>
    <cellStyle name="Normal 2 4 2 10 2 4 2" xfId="24249"/>
    <cellStyle name="Normal 2 4 2 10 2 5" xfId="24250"/>
    <cellStyle name="Normal 2 4 2 10 2 5 2" xfId="24251"/>
    <cellStyle name="Normal 2 4 2 10 2 6" xfId="24252"/>
    <cellStyle name="Normal 2 4 2 10 2 6 2" xfId="24253"/>
    <cellStyle name="Normal 2 4 2 10 2 7" xfId="24254"/>
    <cellStyle name="Normal 2 4 2 10 2 7 2" xfId="24255"/>
    <cellStyle name="Normal 2 4 2 10 2 8" xfId="24256"/>
    <cellStyle name="Normal 2 4 2 10 2 8 2" xfId="24257"/>
    <cellStyle name="Normal 2 4 2 10 2 9" xfId="24258"/>
    <cellStyle name="Normal 2 4 2 10 2 9 2" xfId="24259"/>
    <cellStyle name="Normal 2 4 2 10 3" xfId="24260"/>
    <cellStyle name="Normal 2 4 2 10 3 10" xfId="24261"/>
    <cellStyle name="Normal 2 4 2 10 3 10 2" xfId="24262"/>
    <cellStyle name="Normal 2 4 2 10 3 11" xfId="24263"/>
    <cellStyle name="Normal 2 4 2 10 3 2" xfId="24264"/>
    <cellStyle name="Normal 2 4 2 10 3 2 2" xfId="24265"/>
    <cellStyle name="Normal 2 4 2 10 3 3" xfId="24266"/>
    <cellStyle name="Normal 2 4 2 10 3 3 2" xfId="24267"/>
    <cellStyle name="Normal 2 4 2 10 3 4" xfId="24268"/>
    <cellStyle name="Normal 2 4 2 10 3 4 2" xfId="24269"/>
    <cellStyle name="Normal 2 4 2 10 3 5" xfId="24270"/>
    <cellStyle name="Normal 2 4 2 10 3 5 2" xfId="24271"/>
    <cellStyle name="Normal 2 4 2 10 3 6" xfId="24272"/>
    <cellStyle name="Normal 2 4 2 10 3 6 2" xfId="24273"/>
    <cellStyle name="Normal 2 4 2 10 3 7" xfId="24274"/>
    <cellStyle name="Normal 2 4 2 10 3 7 2" xfId="24275"/>
    <cellStyle name="Normal 2 4 2 10 3 8" xfId="24276"/>
    <cellStyle name="Normal 2 4 2 10 3 8 2" xfId="24277"/>
    <cellStyle name="Normal 2 4 2 10 3 9" xfId="24278"/>
    <cellStyle name="Normal 2 4 2 10 3 9 2" xfId="24279"/>
    <cellStyle name="Normal 2 4 2 10 4" xfId="24280"/>
    <cellStyle name="Normal 2 4 2 10 4 2" xfId="24281"/>
    <cellStyle name="Normal 2 4 2 10 5" xfId="24282"/>
    <cellStyle name="Normal 2 4 2 10 5 2" xfId="24283"/>
    <cellStyle name="Normal 2 4 2 10 6" xfId="24284"/>
    <cellStyle name="Normal 2 4 2 10 6 2" xfId="24285"/>
    <cellStyle name="Normal 2 4 2 10 7" xfId="24286"/>
    <cellStyle name="Normal 2 4 2 10 7 2" xfId="24287"/>
    <cellStyle name="Normal 2 4 2 10 8" xfId="24288"/>
    <cellStyle name="Normal 2 4 2 10 8 2" xfId="24289"/>
    <cellStyle name="Normal 2 4 2 10 9" xfId="24290"/>
    <cellStyle name="Normal 2 4 2 10 9 2" xfId="24291"/>
    <cellStyle name="Normal 2 4 2 2" xfId="24292"/>
    <cellStyle name="Normal 2 4 2 2 2" xfId="24293"/>
    <cellStyle name="Normal 2 4 2 2 2 10" xfId="24294"/>
    <cellStyle name="Normal 2 4 2 2 2 10 2" xfId="24295"/>
    <cellStyle name="Normal 2 4 2 2 2 11" xfId="24296"/>
    <cellStyle name="Normal 2 4 2 2 2 11 2" xfId="24297"/>
    <cellStyle name="Normal 2 4 2 2 2 12" xfId="24298"/>
    <cellStyle name="Normal 2 4 2 2 2 12 2" xfId="24299"/>
    <cellStyle name="Normal 2 4 2 2 2 13" xfId="24300"/>
    <cellStyle name="Normal 2 4 2 2 2 13 2" xfId="24301"/>
    <cellStyle name="Normal 2 4 2 2 2 14" xfId="24302"/>
    <cellStyle name="Normal 2 4 2 2 2 14 2" xfId="24303"/>
    <cellStyle name="Normal 2 4 2 2 2 15" xfId="24304"/>
    <cellStyle name="Normal 2 4 2 2 2 15 2" xfId="24305"/>
    <cellStyle name="Normal 2 4 2 2 2 16" xfId="24306"/>
    <cellStyle name="Normal 2 4 2 2 2 16 2" xfId="24307"/>
    <cellStyle name="Normal 2 4 2 2 2 17" xfId="24308"/>
    <cellStyle name="Normal 2 4 2 2 2 2" xfId="24309"/>
    <cellStyle name="Normal 2 4 2 2 2 2 2" xfId="24310"/>
    <cellStyle name="Normal 2 4 2 2 2 2 2 10" xfId="24311"/>
    <cellStyle name="Normal 2 4 2 2 2 2 2 10 2" xfId="24312"/>
    <cellStyle name="Normal 2 4 2 2 2 2 2 11" xfId="24313"/>
    <cellStyle name="Normal 2 4 2 2 2 2 2 11 2" xfId="24314"/>
    <cellStyle name="Normal 2 4 2 2 2 2 2 12" xfId="24315"/>
    <cellStyle name="Normal 2 4 2 2 2 2 2 12 2" xfId="24316"/>
    <cellStyle name="Normal 2 4 2 2 2 2 2 13" xfId="24317"/>
    <cellStyle name="Normal 2 4 2 2 2 2 2 2" xfId="24318"/>
    <cellStyle name="Normal 2 4 2 2 2 2 2 2 10" xfId="24319"/>
    <cellStyle name="Normal 2 4 2 2 2 2 2 2 10 2" xfId="24320"/>
    <cellStyle name="Normal 2 4 2 2 2 2 2 2 11" xfId="24321"/>
    <cellStyle name="Normal 2 4 2 2 2 2 2 2 11 2" xfId="24322"/>
    <cellStyle name="Normal 2 4 2 2 2 2 2 2 12" xfId="24323"/>
    <cellStyle name="Normal 2 4 2 2 2 2 2 2 2" xfId="24324"/>
    <cellStyle name="Normal 2 4 2 2 2 2 2 2 2 10" xfId="24325"/>
    <cellStyle name="Normal 2 4 2 2 2 2 2 2 2 10 2" xfId="24326"/>
    <cellStyle name="Normal 2 4 2 2 2 2 2 2 2 11" xfId="24327"/>
    <cellStyle name="Normal 2 4 2 2 2 2 2 2 2 2" xfId="24328"/>
    <cellStyle name="Normal 2 4 2 2 2 2 2 2 2 2 2" xfId="24329"/>
    <cellStyle name="Normal 2 4 2 2 2 2 2 2 2 3" xfId="24330"/>
    <cellStyle name="Normal 2 4 2 2 2 2 2 2 2 3 2" xfId="24331"/>
    <cellStyle name="Normal 2 4 2 2 2 2 2 2 2 4" xfId="24332"/>
    <cellStyle name="Normal 2 4 2 2 2 2 2 2 2 4 2" xfId="24333"/>
    <cellStyle name="Normal 2 4 2 2 2 2 2 2 2 5" xfId="24334"/>
    <cellStyle name="Normal 2 4 2 2 2 2 2 2 2 5 2" xfId="24335"/>
    <cellStyle name="Normal 2 4 2 2 2 2 2 2 2 6" xfId="24336"/>
    <cellStyle name="Normal 2 4 2 2 2 2 2 2 2 6 2" xfId="24337"/>
    <cellStyle name="Normal 2 4 2 2 2 2 2 2 2 7" xfId="24338"/>
    <cellStyle name="Normal 2 4 2 2 2 2 2 2 2 7 2" xfId="24339"/>
    <cellStyle name="Normal 2 4 2 2 2 2 2 2 2 8" xfId="24340"/>
    <cellStyle name="Normal 2 4 2 2 2 2 2 2 2 8 2" xfId="24341"/>
    <cellStyle name="Normal 2 4 2 2 2 2 2 2 2 9" xfId="24342"/>
    <cellStyle name="Normal 2 4 2 2 2 2 2 2 2 9 2" xfId="24343"/>
    <cellStyle name="Normal 2 4 2 2 2 2 2 2 3" xfId="24344"/>
    <cellStyle name="Normal 2 4 2 2 2 2 2 2 3 2" xfId="24345"/>
    <cellStyle name="Normal 2 4 2 2 2 2 2 2 4" xfId="24346"/>
    <cellStyle name="Normal 2 4 2 2 2 2 2 2 4 2" xfId="24347"/>
    <cellStyle name="Normal 2 4 2 2 2 2 2 2 5" xfId="24348"/>
    <cellStyle name="Normal 2 4 2 2 2 2 2 2 5 2" xfId="24349"/>
    <cellStyle name="Normal 2 4 2 2 2 2 2 2 6" xfId="24350"/>
    <cellStyle name="Normal 2 4 2 2 2 2 2 2 6 2" xfId="24351"/>
    <cellStyle name="Normal 2 4 2 2 2 2 2 2 7" xfId="24352"/>
    <cellStyle name="Normal 2 4 2 2 2 2 2 2 7 2" xfId="24353"/>
    <cellStyle name="Normal 2 4 2 2 2 2 2 2 8" xfId="24354"/>
    <cellStyle name="Normal 2 4 2 2 2 2 2 2 8 2" xfId="24355"/>
    <cellStyle name="Normal 2 4 2 2 2 2 2 2 9" xfId="24356"/>
    <cellStyle name="Normal 2 4 2 2 2 2 2 2 9 2" xfId="24357"/>
    <cellStyle name="Normal 2 4 2 2 2 2 2 3" xfId="24358"/>
    <cellStyle name="Normal 2 4 2 2 2 2 2 3 10" xfId="24359"/>
    <cellStyle name="Normal 2 4 2 2 2 2 2 3 10 2" xfId="24360"/>
    <cellStyle name="Normal 2 4 2 2 2 2 2 3 11" xfId="24361"/>
    <cellStyle name="Normal 2 4 2 2 2 2 2 3 2" xfId="24362"/>
    <cellStyle name="Normal 2 4 2 2 2 2 2 3 2 2" xfId="24363"/>
    <cellStyle name="Normal 2 4 2 2 2 2 2 3 3" xfId="24364"/>
    <cellStyle name="Normal 2 4 2 2 2 2 2 3 3 2" xfId="24365"/>
    <cellStyle name="Normal 2 4 2 2 2 2 2 3 4" xfId="24366"/>
    <cellStyle name="Normal 2 4 2 2 2 2 2 3 4 2" xfId="24367"/>
    <cellStyle name="Normal 2 4 2 2 2 2 2 3 5" xfId="24368"/>
    <cellStyle name="Normal 2 4 2 2 2 2 2 3 5 2" xfId="24369"/>
    <cellStyle name="Normal 2 4 2 2 2 2 2 3 6" xfId="24370"/>
    <cellStyle name="Normal 2 4 2 2 2 2 2 3 6 2" xfId="24371"/>
    <cellStyle name="Normal 2 4 2 2 2 2 2 3 7" xfId="24372"/>
    <cellStyle name="Normal 2 4 2 2 2 2 2 3 7 2" xfId="24373"/>
    <cellStyle name="Normal 2 4 2 2 2 2 2 3 8" xfId="24374"/>
    <cellStyle name="Normal 2 4 2 2 2 2 2 3 8 2" xfId="24375"/>
    <cellStyle name="Normal 2 4 2 2 2 2 2 3 9" xfId="24376"/>
    <cellStyle name="Normal 2 4 2 2 2 2 2 3 9 2" xfId="24377"/>
    <cellStyle name="Normal 2 4 2 2 2 2 2 4" xfId="24378"/>
    <cellStyle name="Normal 2 4 2 2 2 2 2 4 2" xfId="24379"/>
    <cellStyle name="Normal 2 4 2 2 2 2 2 5" xfId="24380"/>
    <cellStyle name="Normal 2 4 2 2 2 2 2 5 2" xfId="24381"/>
    <cellStyle name="Normal 2 4 2 2 2 2 2 6" xfId="24382"/>
    <cellStyle name="Normal 2 4 2 2 2 2 2 6 2" xfId="24383"/>
    <cellStyle name="Normal 2 4 2 2 2 2 2 7" xfId="24384"/>
    <cellStyle name="Normal 2 4 2 2 2 2 2 7 2" xfId="24385"/>
    <cellStyle name="Normal 2 4 2 2 2 2 2 8" xfId="24386"/>
    <cellStyle name="Normal 2 4 2 2 2 2 2 8 2" xfId="24387"/>
    <cellStyle name="Normal 2 4 2 2 2 2 2 9" xfId="24388"/>
    <cellStyle name="Normal 2 4 2 2 2 2 2 9 2" xfId="24389"/>
    <cellStyle name="Normal 2 4 2 2 2 2 3" xfId="24390"/>
    <cellStyle name="Normal 2 4 2 2 2 2 3 10" xfId="24391"/>
    <cellStyle name="Normal 2 4 2 2 2 2 3 10 2" xfId="24392"/>
    <cellStyle name="Normal 2 4 2 2 2 2 3 11" xfId="24393"/>
    <cellStyle name="Normal 2 4 2 2 2 2 3 11 2" xfId="24394"/>
    <cellStyle name="Normal 2 4 2 2 2 2 3 12" xfId="24395"/>
    <cellStyle name="Normal 2 4 2 2 2 2 3 12 2" xfId="24396"/>
    <cellStyle name="Normal 2 4 2 2 2 2 3 13" xfId="24397"/>
    <cellStyle name="Normal 2 4 2 2 2 2 3 2" xfId="24398"/>
    <cellStyle name="Normal 2 4 2 2 2 2 3 2 10" xfId="24399"/>
    <cellStyle name="Normal 2 4 2 2 2 2 3 2 10 2" xfId="24400"/>
    <cellStyle name="Normal 2 4 2 2 2 2 3 2 11" xfId="24401"/>
    <cellStyle name="Normal 2 4 2 2 2 2 3 2 11 2" xfId="24402"/>
    <cellStyle name="Normal 2 4 2 2 2 2 3 2 12" xfId="24403"/>
    <cellStyle name="Normal 2 4 2 2 2 2 3 2 2" xfId="24404"/>
    <cellStyle name="Normal 2 4 2 2 2 2 3 2 2 10" xfId="24405"/>
    <cellStyle name="Normal 2 4 2 2 2 2 3 2 2 10 2" xfId="24406"/>
    <cellStyle name="Normal 2 4 2 2 2 2 3 2 2 11" xfId="24407"/>
    <cellStyle name="Normal 2 4 2 2 2 2 3 2 2 2" xfId="24408"/>
    <cellStyle name="Normal 2 4 2 2 2 2 3 2 2 2 2" xfId="24409"/>
    <cellStyle name="Normal 2 4 2 2 2 2 3 2 2 3" xfId="24410"/>
    <cellStyle name="Normal 2 4 2 2 2 2 3 2 2 3 2" xfId="24411"/>
    <cellStyle name="Normal 2 4 2 2 2 2 3 2 2 4" xfId="24412"/>
    <cellStyle name="Normal 2 4 2 2 2 2 3 2 2 4 2" xfId="24413"/>
    <cellStyle name="Normal 2 4 2 2 2 2 3 2 2 5" xfId="24414"/>
    <cellStyle name="Normal 2 4 2 2 2 2 3 2 2 5 2" xfId="24415"/>
    <cellStyle name="Normal 2 4 2 2 2 2 3 2 2 6" xfId="24416"/>
    <cellStyle name="Normal 2 4 2 2 2 2 3 2 2 6 2" xfId="24417"/>
    <cellStyle name="Normal 2 4 2 2 2 2 3 2 2 7" xfId="24418"/>
    <cellStyle name="Normal 2 4 2 2 2 2 3 2 2 7 2" xfId="24419"/>
    <cellStyle name="Normal 2 4 2 2 2 2 3 2 2 8" xfId="24420"/>
    <cellStyle name="Normal 2 4 2 2 2 2 3 2 2 8 2" xfId="24421"/>
    <cellStyle name="Normal 2 4 2 2 2 2 3 2 2 9" xfId="24422"/>
    <cellStyle name="Normal 2 4 2 2 2 2 3 2 2 9 2" xfId="24423"/>
    <cellStyle name="Normal 2 4 2 2 2 2 3 2 3" xfId="24424"/>
    <cellStyle name="Normal 2 4 2 2 2 2 3 2 3 2" xfId="24425"/>
    <cellStyle name="Normal 2 4 2 2 2 2 3 2 4" xfId="24426"/>
    <cellStyle name="Normal 2 4 2 2 2 2 3 2 4 2" xfId="24427"/>
    <cellStyle name="Normal 2 4 2 2 2 2 3 2 5" xfId="24428"/>
    <cellStyle name="Normal 2 4 2 2 2 2 3 2 5 2" xfId="24429"/>
    <cellStyle name="Normal 2 4 2 2 2 2 3 2 6" xfId="24430"/>
    <cellStyle name="Normal 2 4 2 2 2 2 3 2 6 2" xfId="24431"/>
    <cellStyle name="Normal 2 4 2 2 2 2 3 2 7" xfId="24432"/>
    <cellStyle name="Normal 2 4 2 2 2 2 3 2 7 2" xfId="24433"/>
    <cellStyle name="Normal 2 4 2 2 2 2 3 2 8" xfId="24434"/>
    <cellStyle name="Normal 2 4 2 2 2 2 3 2 8 2" xfId="24435"/>
    <cellStyle name="Normal 2 4 2 2 2 2 3 2 9" xfId="24436"/>
    <cellStyle name="Normal 2 4 2 2 2 2 3 2 9 2" xfId="24437"/>
    <cellStyle name="Normal 2 4 2 2 2 2 3 3" xfId="24438"/>
    <cellStyle name="Normal 2 4 2 2 2 2 3 3 10" xfId="24439"/>
    <cellStyle name="Normal 2 4 2 2 2 2 3 3 10 2" xfId="24440"/>
    <cellStyle name="Normal 2 4 2 2 2 2 3 3 11" xfId="24441"/>
    <cellStyle name="Normal 2 4 2 2 2 2 3 3 2" xfId="24442"/>
    <cellStyle name="Normal 2 4 2 2 2 2 3 3 2 2" xfId="24443"/>
    <cellStyle name="Normal 2 4 2 2 2 2 3 3 3" xfId="24444"/>
    <cellStyle name="Normal 2 4 2 2 2 2 3 3 3 2" xfId="24445"/>
    <cellStyle name="Normal 2 4 2 2 2 2 3 3 4" xfId="24446"/>
    <cellStyle name="Normal 2 4 2 2 2 2 3 3 4 2" xfId="24447"/>
    <cellStyle name="Normal 2 4 2 2 2 2 3 3 5" xfId="24448"/>
    <cellStyle name="Normal 2 4 2 2 2 2 3 3 5 2" xfId="24449"/>
    <cellStyle name="Normal 2 4 2 2 2 2 3 3 6" xfId="24450"/>
    <cellStyle name="Normal 2 4 2 2 2 2 3 3 6 2" xfId="24451"/>
    <cellStyle name="Normal 2 4 2 2 2 2 3 3 7" xfId="24452"/>
    <cellStyle name="Normal 2 4 2 2 2 2 3 3 7 2" xfId="24453"/>
    <cellStyle name="Normal 2 4 2 2 2 2 3 3 8" xfId="24454"/>
    <cellStyle name="Normal 2 4 2 2 2 2 3 3 8 2" xfId="24455"/>
    <cellStyle name="Normal 2 4 2 2 2 2 3 3 9" xfId="24456"/>
    <cellStyle name="Normal 2 4 2 2 2 2 3 3 9 2" xfId="24457"/>
    <cellStyle name="Normal 2 4 2 2 2 2 3 4" xfId="24458"/>
    <cellStyle name="Normal 2 4 2 2 2 2 3 4 2" xfId="24459"/>
    <cellStyle name="Normal 2 4 2 2 2 2 3 5" xfId="24460"/>
    <cellStyle name="Normal 2 4 2 2 2 2 3 5 2" xfId="24461"/>
    <cellStyle name="Normal 2 4 2 2 2 2 3 6" xfId="24462"/>
    <cellStyle name="Normal 2 4 2 2 2 2 3 6 2" xfId="24463"/>
    <cellStyle name="Normal 2 4 2 2 2 2 3 7" xfId="24464"/>
    <cellStyle name="Normal 2 4 2 2 2 2 3 7 2" xfId="24465"/>
    <cellStyle name="Normal 2 4 2 2 2 2 3 8" xfId="24466"/>
    <cellStyle name="Normal 2 4 2 2 2 2 3 8 2" xfId="24467"/>
    <cellStyle name="Normal 2 4 2 2 2 2 3 9" xfId="24468"/>
    <cellStyle name="Normal 2 4 2 2 2 2 3 9 2" xfId="24469"/>
    <cellStyle name="Normal 2 4 2 2 2 2 4" xfId="24470"/>
    <cellStyle name="Normal 2 4 2 2 2 2 4 10" xfId="24471"/>
    <cellStyle name="Normal 2 4 2 2 2 2 4 10 2" xfId="24472"/>
    <cellStyle name="Normal 2 4 2 2 2 2 4 11" xfId="24473"/>
    <cellStyle name="Normal 2 4 2 2 2 2 4 11 2" xfId="24474"/>
    <cellStyle name="Normal 2 4 2 2 2 2 4 12" xfId="24475"/>
    <cellStyle name="Normal 2 4 2 2 2 2 4 12 2" xfId="24476"/>
    <cellStyle name="Normal 2 4 2 2 2 2 4 13" xfId="24477"/>
    <cellStyle name="Normal 2 4 2 2 2 2 4 2" xfId="24478"/>
    <cellStyle name="Normal 2 4 2 2 2 2 4 2 10" xfId="24479"/>
    <cellStyle name="Normal 2 4 2 2 2 2 4 2 10 2" xfId="24480"/>
    <cellStyle name="Normal 2 4 2 2 2 2 4 2 11" xfId="24481"/>
    <cellStyle name="Normal 2 4 2 2 2 2 4 2 11 2" xfId="24482"/>
    <cellStyle name="Normal 2 4 2 2 2 2 4 2 12" xfId="24483"/>
    <cellStyle name="Normal 2 4 2 2 2 2 4 2 2" xfId="24484"/>
    <cellStyle name="Normal 2 4 2 2 2 2 4 2 2 10" xfId="24485"/>
    <cellStyle name="Normal 2 4 2 2 2 2 4 2 2 10 2" xfId="24486"/>
    <cellStyle name="Normal 2 4 2 2 2 2 4 2 2 11" xfId="24487"/>
    <cellStyle name="Normal 2 4 2 2 2 2 4 2 2 2" xfId="24488"/>
    <cellStyle name="Normal 2 4 2 2 2 2 4 2 2 2 2" xfId="24489"/>
    <cellStyle name="Normal 2 4 2 2 2 2 4 2 2 3" xfId="24490"/>
    <cellStyle name="Normal 2 4 2 2 2 2 4 2 2 3 2" xfId="24491"/>
    <cellStyle name="Normal 2 4 2 2 2 2 4 2 2 4" xfId="24492"/>
    <cellStyle name="Normal 2 4 2 2 2 2 4 2 2 4 2" xfId="24493"/>
    <cellStyle name="Normal 2 4 2 2 2 2 4 2 2 5" xfId="24494"/>
    <cellStyle name="Normal 2 4 2 2 2 2 4 2 2 5 2" xfId="24495"/>
    <cellStyle name="Normal 2 4 2 2 2 2 4 2 2 6" xfId="24496"/>
    <cellStyle name="Normal 2 4 2 2 2 2 4 2 2 6 2" xfId="24497"/>
    <cellStyle name="Normal 2 4 2 2 2 2 4 2 2 7" xfId="24498"/>
    <cellStyle name="Normal 2 4 2 2 2 2 4 2 2 7 2" xfId="24499"/>
    <cellStyle name="Normal 2 4 2 2 2 2 4 2 2 8" xfId="24500"/>
    <cellStyle name="Normal 2 4 2 2 2 2 4 2 2 8 2" xfId="24501"/>
    <cellStyle name="Normal 2 4 2 2 2 2 4 2 2 9" xfId="24502"/>
    <cellStyle name="Normal 2 4 2 2 2 2 4 2 2 9 2" xfId="24503"/>
    <cellStyle name="Normal 2 4 2 2 2 2 4 2 3" xfId="24504"/>
    <cellStyle name="Normal 2 4 2 2 2 2 4 2 3 2" xfId="24505"/>
    <cellStyle name="Normal 2 4 2 2 2 2 4 2 4" xfId="24506"/>
    <cellStyle name="Normal 2 4 2 2 2 2 4 2 4 2" xfId="24507"/>
    <cellStyle name="Normal 2 4 2 2 2 2 4 2 5" xfId="24508"/>
    <cellStyle name="Normal 2 4 2 2 2 2 4 2 5 2" xfId="24509"/>
    <cellStyle name="Normal 2 4 2 2 2 2 4 2 6" xfId="24510"/>
    <cellStyle name="Normal 2 4 2 2 2 2 4 2 6 2" xfId="24511"/>
    <cellStyle name="Normal 2 4 2 2 2 2 4 2 7" xfId="24512"/>
    <cellStyle name="Normal 2 4 2 2 2 2 4 2 7 2" xfId="24513"/>
    <cellStyle name="Normal 2 4 2 2 2 2 4 2 8" xfId="24514"/>
    <cellStyle name="Normal 2 4 2 2 2 2 4 2 8 2" xfId="24515"/>
    <cellStyle name="Normal 2 4 2 2 2 2 4 2 9" xfId="24516"/>
    <cellStyle name="Normal 2 4 2 2 2 2 4 2 9 2" xfId="24517"/>
    <cellStyle name="Normal 2 4 2 2 2 2 4 3" xfId="24518"/>
    <cellStyle name="Normal 2 4 2 2 2 2 4 3 10" xfId="24519"/>
    <cellStyle name="Normal 2 4 2 2 2 2 4 3 10 2" xfId="24520"/>
    <cellStyle name="Normal 2 4 2 2 2 2 4 3 11" xfId="24521"/>
    <cellStyle name="Normal 2 4 2 2 2 2 4 3 2" xfId="24522"/>
    <cellStyle name="Normal 2 4 2 2 2 2 4 3 2 2" xfId="24523"/>
    <cellStyle name="Normal 2 4 2 2 2 2 4 3 3" xfId="24524"/>
    <cellStyle name="Normal 2 4 2 2 2 2 4 3 3 2" xfId="24525"/>
    <cellStyle name="Normal 2 4 2 2 2 2 4 3 4" xfId="24526"/>
    <cellStyle name="Normal 2 4 2 2 2 2 4 3 4 2" xfId="24527"/>
    <cellStyle name="Normal 2 4 2 2 2 2 4 3 5" xfId="24528"/>
    <cellStyle name="Normal 2 4 2 2 2 2 4 3 5 2" xfId="24529"/>
    <cellStyle name="Normal 2 4 2 2 2 2 4 3 6" xfId="24530"/>
    <cellStyle name="Normal 2 4 2 2 2 2 4 3 6 2" xfId="24531"/>
    <cellStyle name="Normal 2 4 2 2 2 2 4 3 7" xfId="24532"/>
    <cellStyle name="Normal 2 4 2 2 2 2 4 3 7 2" xfId="24533"/>
    <cellStyle name="Normal 2 4 2 2 2 2 4 3 8" xfId="24534"/>
    <cellStyle name="Normal 2 4 2 2 2 2 4 3 8 2" xfId="24535"/>
    <cellStyle name="Normal 2 4 2 2 2 2 4 3 9" xfId="24536"/>
    <cellStyle name="Normal 2 4 2 2 2 2 4 3 9 2" xfId="24537"/>
    <cellStyle name="Normal 2 4 2 2 2 2 4 4" xfId="24538"/>
    <cellStyle name="Normal 2 4 2 2 2 2 4 4 2" xfId="24539"/>
    <cellStyle name="Normal 2 4 2 2 2 2 4 5" xfId="24540"/>
    <cellStyle name="Normal 2 4 2 2 2 2 4 5 2" xfId="24541"/>
    <cellStyle name="Normal 2 4 2 2 2 2 4 6" xfId="24542"/>
    <cellStyle name="Normal 2 4 2 2 2 2 4 6 2" xfId="24543"/>
    <cellStyle name="Normal 2 4 2 2 2 2 4 7" xfId="24544"/>
    <cellStyle name="Normal 2 4 2 2 2 2 4 7 2" xfId="24545"/>
    <cellStyle name="Normal 2 4 2 2 2 2 4 8" xfId="24546"/>
    <cellStyle name="Normal 2 4 2 2 2 2 4 8 2" xfId="24547"/>
    <cellStyle name="Normal 2 4 2 2 2 2 4 9" xfId="24548"/>
    <cellStyle name="Normal 2 4 2 2 2 2 4 9 2" xfId="24549"/>
    <cellStyle name="Normal 2 4 2 2 2 2 5" xfId="24550"/>
    <cellStyle name="Normal 2 4 2 2 2 2 5 10" xfId="24551"/>
    <cellStyle name="Normal 2 4 2 2 2 2 5 10 2" xfId="24552"/>
    <cellStyle name="Normal 2 4 2 2 2 2 5 11" xfId="24553"/>
    <cellStyle name="Normal 2 4 2 2 2 2 5 11 2" xfId="24554"/>
    <cellStyle name="Normal 2 4 2 2 2 2 5 12" xfId="24555"/>
    <cellStyle name="Normal 2 4 2 2 2 2 5 12 2" xfId="24556"/>
    <cellStyle name="Normal 2 4 2 2 2 2 5 13" xfId="24557"/>
    <cellStyle name="Normal 2 4 2 2 2 2 5 2" xfId="24558"/>
    <cellStyle name="Normal 2 4 2 2 2 2 5 2 10" xfId="24559"/>
    <cellStyle name="Normal 2 4 2 2 2 2 5 2 10 2" xfId="24560"/>
    <cellStyle name="Normal 2 4 2 2 2 2 5 2 11" xfId="24561"/>
    <cellStyle name="Normal 2 4 2 2 2 2 5 2 11 2" xfId="24562"/>
    <cellStyle name="Normal 2 4 2 2 2 2 5 2 12" xfId="24563"/>
    <cellStyle name="Normal 2 4 2 2 2 2 5 2 2" xfId="24564"/>
    <cellStyle name="Normal 2 4 2 2 2 2 5 2 2 10" xfId="24565"/>
    <cellStyle name="Normal 2 4 2 2 2 2 5 2 2 10 2" xfId="24566"/>
    <cellStyle name="Normal 2 4 2 2 2 2 5 2 2 11" xfId="24567"/>
    <cellStyle name="Normal 2 4 2 2 2 2 5 2 2 2" xfId="24568"/>
    <cellStyle name="Normal 2 4 2 2 2 2 5 2 2 2 2" xfId="24569"/>
    <cellStyle name="Normal 2 4 2 2 2 2 5 2 2 3" xfId="24570"/>
    <cellStyle name="Normal 2 4 2 2 2 2 5 2 2 3 2" xfId="24571"/>
    <cellStyle name="Normal 2 4 2 2 2 2 5 2 2 4" xfId="24572"/>
    <cellStyle name="Normal 2 4 2 2 2 2 5 2 2 4 2" xfId="24573"/>
    <cellStyle name="Normal 2 4 2 2 2 2 5 2 2 5" xfId="24574"/>
    <cellStyle name="Normal 2 4 2 2 2 2 5 2 2 5 2" xfId="24575"/>
    <cellStyle name="Normal 2 4 2 2 2 2 5 2 2 6" xfId="24576"/>
    <cellStyle name="Normal 2 4 2 2 2 2 5 2 2 6 2" xfId="24577"/>
    <cellStyle name="Normal 2 4 2 2 2 2 5 2 2 7" xfId="24578"/>
    <cellStyle name="Normal 2 4 2 2 2 2 5 2 2 7 2" xfId="24579"/>
    <cellStyle name="Normal 2 4 2 2 2 2 5 2 2 8" xfId="24580"/>
    <cellStyle name="Normal 2 4 2 2 2 2 5 2 2 8 2" xfId="24581"/>
    <cellStyle name="Normal 2 4 2 2 2 2 5 2 2 9" xfId="24582"/>
    <cellStyle name="Normal 2 4 2 2 2 2 5 2 2 9 2" xfId="24583"/>
    <cellStyle name="Normal 2 4 2 2 2 2 5 2 3" xfId="24584"/>
    <cellStyle name="Normal 2 4 2 2 2 2 5 2 3 2" xfId="24585"/>
    <cellStyle name="Normal 2 4 2 2 2 2 5 2 4" xfId="24586"/>
    <cellStyle name="Normal 2 4 2 2 2 2 5 2 4 2" xfId="24587"/>
    <cellStyle name="Normal 2 4 2 2 2 2 5 2 5" xfId="24588"/>
    <cellStyle name="Normal 2 4 2 2 2 2 5 2 5 2" xfId="24589"/>
    <cellStyle name="Normal 2 4 2 2 2 2 5 2 6" xfId="24590"/>
    <cellStyle name="Normal 2 4 2 2 2 2 5 2 6 2" xfId="24591"/>
    <cellStyle name="Normal 2 4 2 2 2 2 5 2 7" xfId="24592"/>
    <cellStyle name="Normal 2 4 2 2 2 2 5 2 7 2" xfId="24593"/>
    <cellStyle name="Normal 2 4 2 2 2 2 5 2 8" xfId="24594"/>
    <cellStyle name="Normal 2 4 2 2 2 2 5 2 8 2" xfId="24595"/>
    <cellStyle name="Normal 2 4 2 2 2 2 5 2 9" xfId="24596"/>
    <cellStyle name="Normal 2 4 2 2 2 2 5 2 9 2" xfId="24597"/>
    <cellStyle name="Normal 2 4 2 2 2 2 5 3" xfId="24598"/>
    <cellStyle name="Normal 2 4 2 2 2 2 5 3 10" xfId="24599"/>
    <cellStyle name="Normal 2 4 2 2 2 2 5 3 10 2" xfId="24600"/>
    <cellStyle name="Normal 2 4 2 2 2 2 5 3 11" xfId="24601"/>
    <cellStyle name="Normal 2 4 2 2 2 2 5 3 2" xfId="24602"/>
    <cellStyle name="Normal 2 4 2 2 2 2 5 3 2 2" xfId="24603"/>
    <cellStyle name="Normal 2 4 2 2 2 2 5 3 3" xfId="24604"/>
    <cellStyle name="Normal 2 4 2 2 2 2 5 3 3 2" xfId="24605"/>
    <cellStyle name="Normal 2 4 2 2 2 2 5 3 4" xfId="24606"/>
    <cellStyle name="Normal 2 4 2 2 2 2 5 3 4 2" xfId="24607"/>
    <cellStyle name="Normal 2 4 2 2 2 2 5 3 5" xfId="24608"/>
    <cellStyle name="Normal 2 4 2 2 2 2 5 3 5 2" xfId="24609"/>
    <cellStyle name="Normal 2 4 2 2 2 2 5 3 6" xfId="24610"/>
    <cellStyle name="Normal 2 4 2 2 2 2 5 3 6 2" xfId="24611"/>
    <cellStyle name="Normal 2 4 2 2 2 2 5 3 7" xfId="24612"/>
    <cellStyle name="Normal 2 4 2 2 2 2 5 3 7 2" xfId="24613"/>
    <cellStyle name="Normal 2 4 2 2 2 2 5 3 8" xfId="24614"/>
    <cellStyle name="Normal 2 4 2 2 2 2 5 3 8 2" xfId="24615"/>
    <cellStyle name="Normal 2 4 2 2 2 2 5 3 9" xfId="24616"/>
    <cellStyle name="Normal 2 4 2 2 2 2 5 3 9 2" xfId="24617"/>
    <cellStyle name="Normal 2 4 2 2 2 2 5 4" xfId="24618"/>
    <cellStyle name="Normal 2 4 2 2 2 2 5 4 2" xfId="24619"/>
    <cellStyle name="Normal 2 4 2 2 2 2 5 5" xfId="24620"/>
    <cellStyle name="Normal 2 4 2 2 2 2 5 5 2" xfId="24621"/>
    <cellStyle name="Normal 2 4 2 2 2 2 5 6" xfId="24622"/>
    <cellStyle name="Normal 2 4 2 2 2 2 5 6 2" xfId="24623"/>
    <cellStyle name="Normal 2 4 2 2 2 2 5 7" xfId="24624"/>
    <cellStyle name="Normal 2 4 2 2 2 2 5 7 2" xfId="24625"/>
    <cellStyle name="Normal 2 4 2 2 2 2 5 8" xfId="24626"/>
    <cellStyle name="Normal 2 4 2 2 2 2 5 8 2" xfId="24627"/>
    <cellStyle name="Normal 2 4 2 2 2 2 5 9" xfId="24628"/>
    <cellStyle name="Normal 2 4 2 2 2 2 5 9 2" xfId="24629"/>
    <cellStyle name="Normal 2 4 2 2 2 2 6" xfId="42021"/>
    <cellStyle name="Normal 2 4 2 2 2 3" xfId="24630"/>
    <cellStyle name="Normal 2 4 2 2 2 3 2" xfId="42022"/>
    <cellStyle name="Normal 2 4 2 2 2 4" xfId="24631"/>
    <cellStyle name="Normal 2 4 2 2 2 4 2" xfId="42023"/>
    <cellStyle name="Normal 2 4 2 2 2 5" xfId="24632"/>
    <cellStyle name="Normal 2 4 2 2 2 5 2" xfId="42024"/>
    <cellStyle name="Normal 2 4 2 2 2 6" xfId="24633"/>
    <cellStyle name="Normal 2 4 2 2 2 6 10" xfId="24634"/>
    <cellStyle name="Normal 2 4 2 2 2 6 10 2" xfId="24635"/>
    <cellStyle name="Normal 2 4 2 2 2 6 11" xfId="24636"/>
    <cellStyle name="Normal 2 4 2 2 2 6 11 2" xfId="24637"/>
    <cellStyle name="Normal 2 4 2 2 2 6 12" xfId="24638"/>
    <cellStyle name="Normal 2 4 2 2 2 6 2" xfId="24639"/>
    <cellStyle name="Normal 2 4 2 2 2 6 2 10" xfId="24640"/>
    <cellStyle name="Normal 2 4 2 2 2 6 2 10 2" xfId="24641"/>
    <cellStyle name="Normal 2 4 2 2 2 6 2 11" xfId="24642"/>
    <cellStyle name="Normal 2 4 2 2 2 6 2 2" xfId="24643"/>
    <cellStyle name="Normal 2 4 2 2 2 6 2 2 2" xfId="24644"/>
    <cellStyle name="Normal 2 4 2 2 2 6 2 3" xfId="24645"/>
    <cellStyle name="Normal 2 4 2 2 2 6 2 3 2" xfId="24646"/>
    <cellStyle name="Normal 2 4 2 2 2 6 2 4" xfId="24647"/>
    <cellStyle name="Normal 2 4 2 2 2 6 2 4 2" xfId="24648"/>
    <cellStyle name="Normal 2 4 2 2 2 6 2 5" xfId="24649"/>
    <cellStyle name="Normal 2 4 2 2 2 6 2 5 2" xfId="24650"/>
    <cellStyle name="Normal 2 4 2 2 2 6 2 6" xfId="24651"/>
    <cellStyle name="Normal 2 4 2 2 2 6 2 6 2" xfId="24652"/>
    <cellStyle name="Normal 2 4 2 2 2 6 2 7" xfId="24653"/>
    <cellStyle name="Normal 2 4 2 2 2 6 2 7 2" xfId="24654"/>
    <cellStyle name="Normal 2 4 2 2 2 6 2 8" xfId="24655"/>
    <cellStyle name="Normal 2 4 2 2 2 6 2 8 2" xfId="24656"/>
    <cellStyle name="Normal 2 4 2 2 2 6 2 9" xfId="24657"/>
    <cellStyle name="Normal 2 4 2 2 2 6 2 9 2" xfId="24658"/>
    <cellStyle name="Normal 2 4 2 2 2 6 3" xfId="24659"/>
    <cellStyle name="Normal 2 4 2 2 2 6 3 2" xfId="24660"/>
    <cellStyle name="Normal 2 4 2 2 2 6 4" xfId="24661"/>
    <cellStyle name="Normal 2 4 2 2 2 6 4 2" xfId="24662"/>
    <cellStyle name="Normal 2 4 2 2 2 6 5" xfId="24663"/>
    <cellStyle name="Normal 2 4 2 2 2 6 5 2" xfId="24664"/>
    <cellStyle name="Normal 2 4 2 2 2 6 6" xfId="24665"/>
    <cellStyle name="Normal 2 4 2 2 2 6 6 2" xfId="24666"/>
    <cellStyle name="Normal 2 4 2 2 2 6 7" xfId="24667"/>
    <cellStyle name="Normal 2 4 2 2 2 6 7 2" xfId="24668"/>
    <cellStyle name="Normal 2 4 2 2 2 6 8" xfId="24669"/>
    <cellStyle name="Normal 2 4 2 2 2 6 8 2" xfId="24670"/>
    <cellStyle name="Normal 2 4 2 2 2 6 9" xfId="24671"/>
    <cellStyle name="Normal 2 4 2 2 2 6 9 2" xfId="24672"/>
    <cellStyle name="Normal 2 4 2 2 2 7" xfId="24673"/>
    <cellStyle name="Normal 2 4 2 2 2 7 10" xfId="24674"/>
    <cellStyle name="Normal 2 4 2 2 2 7 10 2" xfId="24675"/>
    <cellStyle name="Normal 2 4 2 2 2 7 11" xfId="24676"/>
    <cellStyle name="Normal 2 4 2 2 2 7 2" xfId="24677"/>
    <cellStyle name="Normal 2 4 2 2 2 7 2 2" xfId="24678"/>
    <cellStyle name="Normal 2 4 2 2 2 7 3" xfId="24679"/>
    <cellStyle name="Normal 2 4 2 2 2 7 3 2" xfId="24680"/>
    <cellStyle name="Normal 2 4 2 2 2 7 4" xfId="24681"/>
    <cellStyle name="Normal 2 4 2 2 2 7 4 2" xfId="24682"/>
    <cellStyle name="Normal 2 4 2 2 2 7 5" xfId="24683"/>
    <cellStyle name="Normal 2 4 2 2 2 7 5 2" xfId="24684"/>
    <cellStyle name="Normal 2 4 2 2 2 7 6" xfId="24685"/>
    <cellStyle name="Normal 2 4 2 2 2 7 6 2" xfId="24686"/>
    <cellStyle name="Normal 2 4 2 2 2 7 7" xfId="24687"/>
    <cellStyle name="Normal 2 4 2 2 2 7 7 2" xfId="24688"/>
    <cellStyle name="Normal 2 4 2 2 2 7 8" xfId="24689"/>
    <cellStyle name="Normal 2 4 2 2 2 7 8 2" xfId="24690"/>
    <cellStyle name="Normal 2 4 2 2 2 7 9" xfId="24691"/>
    <cellStyle name="Normal 2 4 2 2 2 7 9 2" xfId="24692"/>
    <cellStyle name="Normal 2 4 2 2 2 8" xfId="24693"/>
    <cellStyle name="Normal 2 4 2 2 2 8 2" xfId="24694"/>
    <cellStyle name="Normal 2 4 2 2 2 9" xfId="24695"/>
    <cellStyle name="Normal 2 4 2 2 2 9 2" xfId="24696"/>
    <cellStyle name="Normal 2 4 2 2 3" xfId="24697"/>
    <cellStyle name="Normal 2 4 2 2 3 10" xfId="24698"/>
    <cellStyle name="Normal 2 4 2 2 3 10 2" xfId="24699"/>
    <cellStyle name="Normal 2 4 2 2 3 11" xfId="24700"/>
    <cellStyle name="Normal 2 4 2 2 3 11 2" xfId="24701"/>
    <cellStyle name="Normal 2 4 2 2 3 12" xfId="24702"/>
    <cellStyle name="Normal 2 4 2 2 3 12 2" xfId="24703"/>
    <cellStyle name="Normal 2 4 2 2 3 13" xfId="24704"/>
    <cellStyle name="Normal 2 4 2 2 3 2" xfId="24705"/>
    <cellStyle name="Normal 2 4 2 2 3 2 10" xfId="24706"/>
    <cellStyle name="Normal 2 4 2 2 3 2 10 2" xfId="24707"/>
    <cellStyle name="Normal 2 4 2 2 3 2 11" xfId="24708"/>
    <cellStyle name="Normal 2 4 2 2 3 2 11 2" xfId="24709"/>
    <cellStyle name="Normal 2 4 2 2 3 2 12" xfId="24710"/>
    <cellStyle name="Normal 2 4 2 2 3 2 2" xfId="24711"/>
    <cellStyle name="Normal 2 4 2 2 3 2 2 10" xfId="24712"/>
    <cellStyle name="Normal 2 4 2 2 3 2 2 10 2" xfId="24713"/>
    <cellStyle name="Normal 2 4 2 2 3 2 2 11" xfId="24714"/>
    <cellStyle name="Normal 2 4 2 2 3 2 2 2" xfId="24715"/>
    <cellStyle name="Normal 2 4 2 2 3 2 2 2 2" xfId="24716"/>
    <cellStyle name="Normal 2 4 2 2 3 2 2 3" xfId="24717"/>
    <cellStyle name="Normal 2 4 2 2 3 2 2 3 2" xfId="24718"/>
    <cellStyle name="Normal 2 4 2 2 3 2 2 4" xfId="24719"/>
    <cellStyle name="Normal 2 4 2 2 3 2 2 4 2" xfId="24720"/>
    <cellStyle name="Normal 2 4 2 2 3 2 2 5" xfId="24721"/>
    <cellStyle name="Normal 2 4 2 2 3 2 2 5 2" xfId="24722"/>
    <cellStyle name="Normal 2 4 2 2 3 2 2 6" xfId="24723"/>
    <cellStyle name="Normal 2 4 2 2 3 2 2 6 2" xfId="24724"/>
    <cellStyle name="Normal 2 4 2 2 3 2 2 7" xfId="24725"/>
    <cellStyle name="Normal 2 4 2 2 3 2 2 7 2" xfId="24726"/>
    <cellStyle name="Normal 2 4 2 2 3 2 2 8" xfId="24727"/>
    <cellStyle name="Normal 2 4 2 2 3 2 2 8 2" xfId="24728"/>
    <cellStyle name="Normal 2 4 2 2 3 2 2 9" xfId="24729"/>
    <cellStyle name="Normal 2 4 2 2 3 2 2 9 2" xfId="24730"/>
    <cellStyle name="Normal 2 4 2 2 3 2 3" xfId="24731"/>
    <cellStyle name="Normal 2 4 2 2 3 2 3 2" xfId="24732"/>
    <cellStyle name="Normal 2 4 2 2 3 2 4" xfId="24733"/>
    <cellStyle name="Normal 2 4 2 2 3 2 4 2" xfId="24734"/>
    <cellStyle name="Normal 2 4 2 2 3 2 5" xfId="24735"/>
    <cellStyle name="Normal 2 4 2 2 3 2 5 2" xfId="24736"/>
    <cellStyle name="Normal 2 4 2 2 3 2 6" xfId="24737"/>
    <cellStyle name="Normal 2 4 2 2 3 2 6 2" xfId="24738"/>
    <cellStyle name="Normal 2 4 2 2 3 2 7" xfId="24739"/>
    <cellStyle name="Normal 2 4 2 2 3 2 7 2" xfId="24740"/>
    <cellStyle name="Normal 2 4 2 2 3 2 8" xfId="24741"/>
    <cellStyle name="Normal 2 4 2 2 3 2 8 2" xfId="24742"/>
    <cellStyle name="Normal 2 4 2 2 3 2 9" xfId="24743"/>
    <cellStyle name="Normal 2 4 2 2 3 2 9 2" xfId="24744"/>
    <cellStyle name="Normal 2 4 2 2 3 3" xfId="24745"/>
    <cellStyle name="Normal 2 4 2 2 3 3 10" xfId="24746"/>
    <cellStyle name="Normal 2 4 2 2 3 3 10 2" xfId="24747"/>
    <cellStyle name="Normal 2 4 2 2 3 3 11" xfId="24748"/>
    <cellStyle name="Normal 2 4 2 2 3 3 2" xfId="24749"/>
    <cellStyle name="Normal 2 4 2 2 3 3 2 2" xfId="24750"/>
    <cellStyle name="Normal 2 4 2 2 3 3 3" xfId="24751"/>
    <cellStyle name="Normal 2 4 2 2 3 3 3 2" xfId="24752"/>
    <cellStyle name="Normal 2 4 2 2 3 3 4" xfId="24753"/>
    <cellStyle name="Normal 2 4 2 2 3 3 4 2" xfId="24754"/>
    <cellStyle name="Normal 2 4 2 2 3 3 5" xfId="24755"/>
    <cellStyle name="Normal 2 4 2 2 3 3 5 2" xfId="24756"/>
    <cellStyle name="Normal 2 4 2 2 3 3 6" xfId="24757"/>
    <cellStyle name="Normal 2 4 2 2 3 3 6 2" xfId="24758"/>
    <cellStyle name="Normal 2 4 2 2 3 3 7" xfId="24759"/>
    <cellStyle name="Normal 2 4 2 2 3 3 7 2" xfId="24760"/>
    <cellStyle name="Normal 2 4 2 2 3 3 8" xfId="24761"/>
    <cellStyle name="Normal 2 4 2 2 3 3 8 2" xfId="24762"/>
    <cellStyle name="Normal 2 4 2 2 3 3 9" xfId="24763"/>
    <cellStyle name="Normal 2 4 2 2 3 3 9 2" xfId="24764"/>
    <cellStyle name="Normal 2 4 2 2 3 4" xfId="24765"/>
    <cellStyle name="Normal 2 4 2 2 3 4 2" xfId="24766"/>
    <cellStyle name="Normal 2 4 2 2 3 5" xfId="24767"/>
    <cellStyle name="Normal 2 4 2 2 3 5 2" xfId="24768"/>
    <cellStyle name="Normal 2 4 2 2 3 6" xfId="24769"/>
    <cellStyle name="Normal 2 4 2 2 3 6 2" xfId="24770"/>
    <cellStyle name="Normal 2 4 2 2 3 7" xfId="24771"/>
    <cellStyle name="Normal 2 4 2 2 3 7 2" xfId="24772"/>
    <cellStyle name="Normal 2 4 2 2 3 8" xfId="24773"/>
    <cellStyle name="Normal 2 4 2 2 3 8 2" xfId="24774"/>
    <cellStyle name="Normal 2 4 2 2 3 9" xfId="24775"/>
    <cellStyle name="Normal 2 4 2 2 3 9 2" xfId="24776"/>
    <cellStyle name="Normal 2 4 2 2 4" xfId="24777"/>
    <cellStyle name="Normal 2 4 2 2 4 10" xfId="24778"/>
    <cellStyle name="Normal 2 4 2 2 4 10 2" xfId="24779"/>
    <cellStyle name="Normal 2 4 2 2 4 11" xfId="24780"/>
    <cellStyle name="Normal 2 4 2 2 4 11 2" xfId="24781"/>
    <cellStyle name="Normal 2 4 2 2 4 12" xfId="24782"/>
    <cellStyle name="Normal 2 4 2 2 4 12 2" xfId="24783"/>
    <cellStyle name="Normal 2 4 2 2 4 13" xfId="24784"/>
    <cellStyle name="Normal 2 4 2 2 4 2" xfId="24785"/>
    <cellStyle name="Normal 2 4 2 2 4 2 10" xfId="24786"/>
    <cellStyle name="Normal 2 4 2 2 4 2 10 2" xfId="24787"/>
    <cellStyle name="Normal 2 4 2 2 4 2 11" xfId="24788"/>
    <cellStyle name="Normal 2 4 2 2 4 2 11 2" xfId="24789"/>
    <cellStyle name="Normal 2 4 2 2 4 2 12" xfId="24790"/>
    <cellStyle name="Normal 2 4 2 2 4 2 2" xfId="24791"/>
    <cellStyle name="Normal 2 4 2 2 4 2 2 10" xfId="24792"/>
    <cellStyle name="Normal 2 4 2 2 4 2 2 10 2" xfId="24793"/>
    <cellStyle name="Normal 2 4 2 2 4 2 2 11" xfId="24794"/>
    <cellStyle name="Normal 2 4 2 2 4 2 2 2" xfId="24795"/>
    <cellStyle name="Normal 2 4 2 2 4 2 2 2 2" xfId="24796"/>
    <cellStyle name="Normal 2 4 2 2 4 2 2 3" xfId="24797"/>
    <cellStyle name="Normal 2 4 2 2 4 2 2 3 2" xfId="24798"/>
    <cellStyle name="Normal 2 4 2 2 4 2 2 4" xfId="24799"/>
    <cellStyle name="Normal 2 4 2 2 4 2 2 4 2" xfId="24800"/>
    <cellStyle name="Normal 2 4 2 2 4 2 2 5" xfId="24801"/>
    <cellStyle name="Normal 2 4 2 2 4 2 2 5 2" xfId="24802"/>
    <cellStyle name="Normal 2 4 2 2 4 2 2 6" xfId="24803"/>
    <cellStyle name="Normal 2 4 2 2 4 2 2 6 2" xfId="24804"/>
    <cellStyle name="Normal 2 4 2 2 4 2 2 7" xfId="24805"/>
    <cellStyle name="Normal 2 4 2 2 4 2 2 7 2" xfId="24806"/>
    <cellStyle name="Normal 2 4 2 2 4 2 2 8" xfId="24807"/>
    <cellStyle name="Normal 2 4 2 2 4 2 2 8 2" xfId="24808"/>
    <cellStyle name="Normal 2 4 2 2 4 2 2 9" xfId="24809"/>
    <cellStyle name="Normal 2 4 2 2 4 2 2 9 2" xfId="24810"/>
    <cellStyle name="Normal 2 4 2 2 4 2 3" xfId="24811"/>
    <cellStyle name="Normal 2 4 2 2 4 2 3 2" xfId="24812"/>
    <cellStyle name="Normal 2 4 2 2 4 2 4" xfId="24813"/>
    <cellStyle name="Normal 2 4 2 2 4 2 4 2" xfId="24814"/>
    <cellStyle name="Normal 2 4 2 2 4 2 5" xfId="24815"/>
    <cellStyle name="Normal 2 4 2 2 4 2 5 2" xfId="24816"/>
    <cellStyle name="Normal 2 4 2 2 4 2 6" xfId="24817"/>
    <cellStyle name="Normal 2 4 2 2 4 2 6 2" xfId="24818"/>
    <cellStyle name="Normal 2 4 2 2 4 2 7" xfId="24819"/>
    <cellStyle name="Normal 2 4 2 2 4 2 7 2" xfId="24820"/>
    <cellStyle name="Normal 2 4 2 2 4 2 8" xfId="24821"/>
    <cellStyle name="Normal 2 4 2 2 4 2 8 2" xfId="24822"/>
    <cellStyle name="Normal 2 4 2 2 4 2 9" xfId="24823"/>
    <cellStyle name="Normal 2 4 2 2 4 2 9 2" xfId="24824"/>
    <cellStyle name="Normal 2 4 2 2 4 3" xfId="24825"/>
    <cellStyle name="Normal 2 4 2 2 4 3 10" xfId="24826"/>
    <cellStyle name="Normal 2 4 2 2 4 3 10 2" xfId="24827"/>
    <cellStyle name="Normal 2 4 2 2 4 3 11" xfId="24828"/>
    <cellStyle name="Normal 2 4 2 2 4 3 2" xfId="24829"/>
    <cellStyle name="Normal 2 4 2 2 4 3 2 2" xfId="24830"/>
    <cellStyle name="Normal 2 4 2 2 4 3 3" xfId="24831"/>
    <cellStyle name="Normal 2 4 2 2 4 3 3 2" xfId="24832"/>
    <cellStyle name="Normal 2 4 2 2 4 3 4" xfId="24833"/>
    <cellStyle name="Normal 2 4 2 2 4 3 4 2" xfId="24834"/>
    <cellStyle name="Normal 2 4 2 2 4 3 5" xfId="24835"/>
    <cellStyle name="Normal 2 4 2 2 4 3 5 2" xfId="24836"/>
    <cellStyle name="Normal 2 4 2 2 4 3 6" xfId="24837"/>
    <cellStyle name="Normal 2 4 2 2 4 3 6 2" xfId="24838"/>
    <cellStyle name="Normal 2 4 2 2 4 3 7" xfId="24839"/>
    <cellStyle name="Normal 2 4 2 2 4 3 7 2" xfId="24840"/>
    <cellStyle name="Normal 2 4 2 2 4 3 8" xfId="24841"/>
    <cellStyle name="Normal 2 4 2 2 4 3 8 2" xfId="24842"/>
    <cellStyle name="Normal 2 4 2 2 4 3 9" xfId="24843"/>
    <cellStyle name="Normal 2 4 2 2 4 3 9 2" xfId="24844"/>
    <cellStyle name="Normal 2 4 2 2 4 4" xfId="24845"/>
    <cellStyle name="Normal 2 4 2 2 4 4 2" xfId="24846"/>
    <cellStyle name="Normal 2 4 2 2 4 5" xfId="24847"/>
    <cellStyle name="Normal 2 4 2 2 4 5 2" xfId="24848"/>
    <cellStyle name="Normal 2 4 2 2 4 6" xfId="24849"/>
    <cellStyle name="Normal 2 4 2 2 4 6 2" xfId="24850"/>
    <cellStyle name="Normal 2 4 2 2 4 7" xfId="24851"/>
    <cellStyle name="Normal 2 4 2 2 4 7 2" xfId="24852"/>
    <cellStyle name="Normal 2 4 2 2 4 8" xfId="24853"/>
    <cellStyle name="Normal 2 4 2 2 4 8 2" xfId="24854"/>
    <cellStyle name="Normal 2 4 2 2 4 9" xfId="24855"/>
    <cellStyle name="Normal 2 4 2 2 4 9 2" xfId="24856"/>
    <cellStyle name="Normal 2 4 2 2 5" xfId="24857"/>
    <cellStyle name="Normal 2 4 2 2 5 10" xfId="24858"/>
    <cellStyle name="Normal 2 4 2 2 5 10 2" xfId="24859"/>
    <cellStyle name="Normal 2 4 2 2 5 11" xfId="24860"/>
    <cellStyle name="Normal 2 4 2 2 5 11 2" xfId="24861"/>
    <cellStyle name="Normal 2 4 2 2 5 12" xfId="24862"/>
    <cellStyle name="Normal 2 4 2 2 5 12 2" xfId="24863"/>
    <cellStyle name="Normal 2 4 2 2 5 13" xfId="24864"/>
    <cellStyle name="Normal 2 4 2 2 5 2" xfId="24865"/>
    <cellStyle name="Normal 2 4 2 2 5 2 10" xfId="24866"/>
    <cellStyle name="Normal 2 4 2 2 5 2 10 2" xfId="24867"/>
    <cellStyle name="Normal 2 4 2 2 5 2 11" xfId="24868"/>
    <cellStyle name="Normal 2 4 2 2 5 2 11 2" xfId="24869"/>
    <cellStyle name="Normal 2 4 2 2 5 2 12" xfId="24870"/>
    <cellStyle name="Normal 2 4 2 2 5 2 2" xfId="24871"/>
    <cellStyle name="Normal 2 4 2 2 5 2 2 10" xfId="24872"/>
    <cellStyle name="Normal 2 4 2 2 5 2 2 10 2" xfId="24873"/>
    <cellStyle name="Normal 2 4 2 2 5 2 2 11" xfId="24874"/>
    <cellStyle name="Normal 2 4 2 2 5 2 2 2" xfId="24875"/>
    <cellStyle name="Normal 2 4 2 2 5 2 2 2 2" xfId="24876"/>
    <cellStyle name="Normal 2 4 2 2 5 2 2 3" xfId="24877"/>
    <cellStyle name="Normal 2 4 2 2 5 2 2 3 2" xfId="24878"/>
    <cellStyle name="Normal 2 4 2 2 5 2 2 4" xfId="24879"/>
    <cellStyle name="Normal 2 4 2 2 5 2 2 4 2" xfId="24880"/>
    <cellStyle name="Normal 2 4 2 2 5 2 2 5" xfId="24881"/>
    <cellStyle name="Normal 2 4 2 2 5 2 2 5 2" xfId="24882"/>
    <cellStyle name="Normal 2 4 2 2 5 2 2 6" xfId="24883"/>
    <cellStyle name="Normal 2 4 2 2 5 2 2 6 2" xfId="24884"/>
    <cellStyle name="Normal 2 4 2 2 5 2 2 7" xfId="24885"/>
    <cellStyle name="Normal 2 4 2 2 5 2 2 7 2" xfId="24886"/>
    <cellStyle name="Normal 2 4 2 2 5 2 2 8" xfId="24887"/>
    <cellStyle name="Normal 2 4 2 2 5 2 2 8 2" xfId="24888"/>
    <cellStyle name="Normal 2 4 2 2 5 2 2 9" xfId="24889"/>
    <cellStyle name="Normal 2 4 2 2 5 2 2 9 2" xfId="24890"/>
    <cellStyle name="Normal 2 4 2 2 5 2 3" xfId="24891"/>
    <cellStyle name="Normal 2 4 2 2 5 2 3 2" xfId="24892"/>
    <cellStyle name="Normal 2 4 2 2 5 2 4" xfId="24893"/>
    <cellStyle name="Normal 2 4 2 2 5 2 4 2" xfId="24894"/>
    <cellStyle name="Normal 2 4 2 2 5 2 5" xfId="24895"/>
    <cellStyle name="Normal 2 4 2 2 5 2 5 2" xfId="24896"/>
    <cellStyle name="Normal 2 4 2 2 5 2 6" xfId="24897"/>
    <cellStyle name="Normal 2 4 2 2 5 2 6 2" xfId="24898"/>
    <cellStyle name="Normal 2 4 2 2 5 2 7" xfId="24899"/>
    <cellStyle name="Normal 2 4 2 2 5 2 7 2" xfId="24900"/>
    <cellStyle name="Normal 2 4 2 2 5 2 8" xfId="24901"/>
    <cellStyle name="Normal 2 4 2 2 5 2 8 2" xfId="24902"/>
    <cellStyle name="Normal 2 4 2 2 5 2 9" xfId="24903"/>
    <cellStyle name="Normal 2 4 2 2 5 2 9 2" xfId="24904"/>
    <cellStyle name="Normal 2 4 2 2 5 3" xfId="24905"/>
    <cellStyle name="Normal 2 4 2 2 5 3 10" xfId="24906"/>
    <cellStyle name="Normal 2 4 2 2 5 3 10 2" xfId="24907"/>
    <cellStyle name="Normal 2 4 2 2 5 3 11" xfId="24908"/>
    <cellStyle name="Normal 2 4 2 2 5 3 2" xfId="24909"/>
    <cellStyle name="Normal 2 4 2 2 5 3 2 2" xfId="24910"/>
    <cellStyle name="Normal 2 4 2 2 5 3 3" xfId="24911"/>
    <cellStyle name="Normal 2 4 2 2 5 3 3 2" xfId="24912"/>
    <cellStyle name="Normal 2 4 2 2 5 3 4" xfId="24913"/>
    <cellStyle name="Normal 2 4 2 2 5 3 4 2" xfId="24914"/>
    <cellStyle name="Normal 2 4 2 2 5 3 5" xfId="24915"/>
    <cellStyle name="Normal 2 4 2 2 5 3 5 2" xfId="24916"/>
    <cellStyle name="Normal 2 4 2 2 5 3 6" xfId="24917"/>
    <cellStyle name="Normal 2 4 2 2 5 3 6 2" xfId="24918"/>
    <cellStyle name="Normal 2 4 2 2 5 3 7" xfId="24919"/>
    <cellStyle name="Normal 2 4 2 2 5 3 7 2" xfId="24920"/>
    <cellStyle name="Normal 2 4 2 2 5 3 8" xfId="24921"/>
    <cellStyle name="Normal 2 4 2 2 5 3 8 2" xfId="24922"/>
    <cellStyle name="Normal 2 4 2 2 5 3 9" xfId="24923"/>
    <cellStyle name="Normal 2 4 2 2 5 3 9 2" xfId="24924"/>
    <cellStyle name="Normal 2 4 2 2 5 4" xfId="24925"/>
    <cellStyle name="Normal 2 4 2 2 5 4 2" xfId="24926"/>
    <cellStyle name="Normal 2 4 2 2 5 5" xfId="24927"/>
    <cellStyle name="Normal 2 4 2 2 5 5 2" xfId="24928"/>
    <cellStyle name="Normal 2 4 2 2 5 6" xfId="24929"/>
    <cellStyle name="Normal 2 4 2 2 5 6 2" xfId="24930"/>
    <cellStyle name="Normal 2 4 2 2 5 7" xfId="24931"/>
    <cellStyle name="Normal 2 4 2 2 5 7 2" xfId="24932"/>
    <cellStyle name="Normal 2 4 2 2 5 8" xfId="24933"/>
    <cellStyle name="Normal 2 4 2 2 5 8 2" xfId="24934"/>
    <cellStyle name="Normal 2 4 2 2 5 9" xfId="24935"/>
    <cellStyle name="Normal 2 4 2 2 5 9 2" xfId="24936"/>
    <cellStyle name="Normal 2 4 2 2 6" xfId="24937"/>
    <cellStyle name="Normal 2 4 2 2 6 10" xfId="24938"/>
    <cellStyle name="Normal 2 4 2 2 6 10 2" xfId="24939"/>
    <cellStyle name="Normal 2 4 2 2 6 11" xfId="24940"/>
    <cellStyle name="Normal 2 4 2 2 6 11 2" xfId="24941"/>
    <cellStyle name="Normal 2 4 2 2 6 12" xfId="24942"/>
    <cellStyle name="Normal 2 4 2 2 6 12 2" xfId="24943"/>
    <cellStyle name="Normal 2 4 2 2 6 13" xfId="24944"/>
    <cellStyle name="Normal 2 4 2 2 6 2" xfId="24945"/>
    <cellStyle name="Normal 2 4 2 2 6 2 10" xfId="24946"/>
    <cellStyle name="Normal 2 4 2 2 6 2 10 2" xfId="24947"/>
    <cellStyle name="Normal 2 4 2 2 6 2 11" xfId="24948"/>
    <cellStyle name="Normal 2 4 2 2 6 2 11 2" xfId="24949"/>
    <cellStyle name="Normal 2 4 2 2 6 2 12" xfId="24950"/>
    <cellStyle name="Normal 2 4 2 2 6 2 2" xfId="24951"/>
    <cellStyle name="Normal 2 4 2 2 6 2 2 10" xfId="24952"/>
    <cellStyle name="Normal 2 4 2 2 6 2 2 10 2" xfId="24953"/>
    <cellStyle name="Normal 2 4 2 2 6 2 2 11" xfId="24954"/>
    <cellStyle name="Normal 2 4 2 2 6 2 2 2" xfId="24955"/>
    <cellStyle name="Normal 2 4 2 2 6 2 2 2 2" xfId="24956"/>
    <cellStyle name="Normal 2 4 2 2 6 2 2 3" xfId="24957"/>
    <cellStyle name="Normal 2 4 2 2 6 2 2 3 2" xfId="24958"/>
    <cellStyle name="Normal 2 4 2 2 6 2 2 4" xfId="24959"/>
    <cellStyle name="Normal 2 4 2 2 6 2 2 4 2" xfId="24960"/>
    <cellStyle name="Normal 2 4 2 2 6 2 2 5" xfId="24961"/>
    <cellStyle name="Normal 2 4 2 2 6 2 2 5 2" xfId="24962"/>
    <cellStyle name="Normal 2 4 2 2 6 2 2 6" xfId="24963"/>
    <cellStyle name="Normal 2 4 2 2 6 2 2 6 2" xfId="24964"/>
    <cellStyle name="Normal 2 4 2 2 6 2 2 7" xfId="24965"/>
    <cellStyle name="Normal 2 4 2 2 6 2 2 7 2" xfId="24966"/>
    <cellStyle name="Normal 2 4 2 2 6 2 2 8" xfId="24967"/>
    <cellStyle name="Normal 2 4 2 2 6 2 2 8 2" xfId="24968"/>
    <cellStyle name="Normal 2 4 2 2 6 2 2 9" xfId="24969"/>
    <cellStyle name="Normal 2 4 2 2 6 2 2 9 2" xfId="24970"/>
    <cellStyle name="Normal 2 4 2 2 6 2 3" xfId="24971"/>
    <cellStyle name="Normal 2 4 2 2 6 2 3 2" xfId="24972"/>
    <cellStyle name="Normal 2 4 2 2 6 2 4" xfId="24973"/>
    <cellStyle name="Normal 2 4 2 2 6 2 4 2" xfId="24974"/>
    <cellStyle name="Normal 2 4 2 2 6 2 5" xfId="24975"/>
    <cellStyle name="Normal 2 4 2 2 6 2 5 2" xfId="24976"/>
    <cellStyle name="Normal 2 4 2 2 6 2 6" xfId="24977"/>
    <cellStyle name="Normal 2 4 2 2 6 2 6 2" xfId="24978"/>
    <cellStyle name="Normal 2 4 2 2 6 2 7" xfId="24979"/>
    <cellStyle name="Normal 2 4 2 2 6 2 7 2" xfId="24980"/>
    <cellStyle name="Normal 2 4 2 2 6 2 8" xfId="24981"/>
    <cellStyle name="Normal 2 4 2 2 6 2 8 2" xfId="24982"/>
    <cellStyle name="Normal 2 4 2 2 6 2 9" xfId="24983"/>
    <cellStyle name="Normal 2 4 2 2 6 2 9 2" xfId="24984"/>
    <cellStyle name="Normal 2 4 2 2 6 3" xfId="24985"/>
    <cellStyle name="Normal 2 4 2 2 6 3 10" xfId="24986"/>
    <cellStyle name="Normal 2 4 2 2 6 3 10 2" xfId="24987"/>
    <cellStyle name="Normal 2 4 2 2 6 3 11" xfId="24988"/>
    <cellStyle name="Normal 2 4 2 2 6 3 2" xfId="24989"/>
    <cellStyle name="Normal 2 4 2 2 6 3 2 2" xfId="24990"/>
    <cellStyle name="Normal 2 4 2 2 6 3 3" xfId="24991"/>
    <cellStyle name="Normal 2 4 2 2 6 3 3 2" xfId="24992"/>
    <cellStyle name="Normal 2 4 2 2 6 3 4" xfId="24993"/>
    <cellStyle name="Normal 2 4 2 2 6 3 4 2" xfId="24994"/>
    <cellStyle name="Normal 2 4 2 2 6 3 5" xfId="24995"/>
    <cellStyle name="Normal 2 4 2 2 6 3 5 2" xfId="24996"/>
    <cellStyle name="Normal 2 4 2 2 6 3 6" xfId="24997"/>
    <cellStyle name="Normal 2 4 2 2 6 3 6 2" xfId="24998"/>
    <cellStyle name="Normal 2 4 2 2 6 3 7" xfId="24999"/>
    <cellStyle name="Normal 2 4 2 2 6 3 7 2" xfId="25000"/>
    <cellStyle name="Normal 2 4 2 2 6 3 8" xfId="25001"/>
    <cellStyle name="Normal 2 4 2 2 6 3 8 2" xfId="25002"/>
    <cellStyle name="Normal 2 4 2 2 6 3 9" xfId="25003"/>
    <cellStyle name="Normal 2 4 2 2 6 3 9 2" xfId="25004"/>
    <cellStyle name="Normal 2 4 2 2 6 4" xfId="25005"/>
    <cellStyle name="Normal 2 4 2 2 6 4 2" xfId="25006"/>
    <cellStyle name="Normal 2 4 2 2 6 5" xfId="25007"/>
    <cellStyle name="Normal 2 4 2 2 6 5 2" xfId="25008"/>
    <cellStyle name="Normal 2 4 2 2 6 6" xfId="25009"/>
    <cellStyle name="Normal 2 4 2 2 6 6 2" xfId="25010"/>
    <cellStyle name="Normal 2 4 2 2 6 7" xfId="25011"/>
    <cellStyle name="Normal 2 4 2 2 6 7 2" xfId="25012"/>
    <cellStyle name="Normal 2 4 2 2 6 8" xfId="25013"/>
    <cellStyle name="Normal 2 4 2 2 6 8 2" xfId="25014"/>
    <cellStyle name="Normal 2 4 2 2 6 9" xfId="25015"/>
    <cellStyle name="Normal 2 4 2 2 6 9 2" xfId="25016"/>
    <cellStyle name="Normal 2 4 2 2 7" xfId="42025"/>
    <cellStyle name="Normal 2 4 2 3" xfId="25017"/>
    <cellStyle name="Normal 2 4 2 3 10" xfId="25018"/>
    <cellStyle name="Normal 2 4 2 3 10 2" xfId="25019"/>
    <cellStyle name="Normal 2 4 2 3 11" xfId="25020"/>
    <cellStyle name="Normal 2 4 2 3 11 2" xfId="25021"/>
    <cellStyle name="Normal 2 4 2 3 12" xfId="25022"/>
    <cellStyle name="Normal 2 4 2 3 12 2" xfId="25023"/>
    <cellStyle name="Normal 2 4 2 3 13" xfId="25024"/>
    <cellStyle name="Normal 2 4 2 3 2" xfId="25025"/>
    <cellStyle name="Normal 2 4 2 3 2 10" xfId="25026"/>
    <cellStyle name="Normal 2 4 2 3 2 10 2" xfId="25027"/>
    <cellStyle name="Normal 2 4 2 3 2 11" xfId="25028"/>
    <cellStyle name="Normal 2 4 2 3 2 11 2" xfId="25029"/>
    <cellStyle name="Normal 2 4 2 3 2 12" xfId="25030"/>
    <cellStyle name="Normal 2 4 2 3 2 2" xfId="25031"/>
    <cellStyle name="Normal 2 4 2 3 2 2 10" xfId="25032"/>
    <cellStyle name="Normal 2 4 2 3 2 2 10 2" xfId="25033"/>
    <cellStyle name="Normal 2 4 2 3 2 2 11" xfId="25034"/>
    <cellStyle name="Normal 2 4 2 3 2 2 2" xfId="25035"/>
    <cellStyle name="Normal 2 4 2 3 2 2 2 2" xfId="25036"/>
    <cellStyle name="Normal 2 4 2 3 2 2 3" xfId="25037"/>
    <cellStyle name="Normal 2 4 2 3 2 2 3 2" xfId="25038"/>
    <cellStyle name="Normal 2 4 2 3 2 2 4" xfId="25039"/>
    <cellStyle name="Normal 2 4 2 3 2 2 4 2" xfId="25040"/>
    <cellStyle name="Normal 2 4 2 3 2 2 5" xfId="25041"/>
    <cellStyle name="Normal 2 4 2 3 2 2 5 2" xfId="25042"/>
    <cellStyle name="Normal 2 4 2 3 2 2 6" xfId="25043"/>
    <cellStyle name="Normal 2 4 2 3 2 2 6 2" xfId="25044"/>
    <cellStyle name="Normal 2 4 2 3 2 2 7" xfId="25045"/>
    <cellStyle name="Normal 2 4 2 3 2 2 7 2" xfId="25046"/>
    <cellStyle name="Normal 2 4 2 3 2 2 8" xfId="25047"/>
    <cellStyle name="Normal 2 4 2 3 2 2 8 2" xfId="25048"/>
    <cellStyle name="Normal 2 4 2 3 2 2 9" xfId="25049"/>
    <cellStyle name="Normal 2 4 2 3 2 2 9 2" xfId="25050"/>
    <cellStyle name="Normal 2 4 2 3 2 3" xfId="25051"/>
    <cellStyle name="Normal 2 4 2 3 2 3 2" xfId="25052"/>
    <cellStyle name="Normal 2 4 2 3 2 4" xfId="25053"/>
    <cellStyle name="Normal 2 4 2 3 2 4 2" xfId="25054"/>
    <cellStyle name="Normal 2 4 2 3 2 5" xfId="25055"/>
    <cellStyle name="Normal 2 4 2 3 2 5 2" xfId="25056"/>
    <cellStyle name="Normal 2 4 2 3 2 6" xfId="25057"/>
    <cellStyle name="Normal 2 4 2 3 2 6 2" xfId="25058"/>
    <cellStyle name="Normal 2 4 2 3 2 7" xfId="25059"/>
    <cellStyle name="Normal 2 4 2 3 2 7 2" xfId="25060"/>
    <cellStyle name="Normal 2 4 2 3 2 8" xfId="25061"/>
    <cellStyle name="Normal 2 4 2 3 2 8 2" xfId="25062"/>
    <cellStyle name="Normal 2 4 2 3 2 9" xfId="25063"/>
    <cellStyle name="Normal 2 4 2 3 2 9 2" xfId="25064"/>
    <cellStyle name="Normal 2 4 2 3 3" xfId="25065"/>
    <cellStyle name="Normal 2 4 2 3 3 10" xfId="25066"/>
    <cellStyle name="Normal 2 4 2 3 3 10 2" xfId="25067"/>
    <cellStyle name="Normal 2 4 2 3 3 11" xfId="25068"/>
    <cellStyle name="Normal 2 4 2 3 3 2" xfId="25069"/>
    <cellStyle name="Normal 2 4 2 3 3 2 2" xfId="25070"/>
    <cellStyle name="Normal 2 4 2 3 3 3" xfId="25071"/>
    <cellStyle name="Normal 2 4 2 3 3 3 2" xfId="25072"/>
    <cellStyle name="Normal 2 4 2 3 3 4" xfId="25073"/>
    <cellStyle name="Normal 2 4 2 3 3 4 2" xfId="25074"/>
    <cellStyle name="Normal 2 4 2 3 3 5" xfId="25075"/>
    <cellStyle name="Normal 2 4 2 3 3 5 2" xfId="25076"/>
    <cellStyle name="Normal 2 4 2 3 3 6" xfId="25077"/>
    <cellStyle name="Normal 2 4 2 3 3 6 2" xfId="25078"/>
    <cellStyle name="Normal 2 4 2 3 3 7" xfId="25079"/>
    <cellStyle name="Normal 2 4 2 3 3 7 2" xfId="25080"/>
    <cellStyle name="Normal 2 4 2 3 3 8" xfId="25081"/>
    <cellStyle name="Normal 2 4 2 3 3 8 2" xfId="25082"/>
    <cellStyle name="Normal 2 4 2 3 3 9" xfId="25083"/>
    <cellStyle name="Normal 2 4 2 3 3 9 2" xfId="25084"/>
    <cellStyle name="Normal 2 4 2 3 4" xfId="25085"/>
    <cellStyle name="Normal 2 4 2 3 4 2" xfId="25086"/>
    <cellStyle name="Normal 2 4 2 3 5" xfId="25087"/>
    <cellStyle name="Normal 2 4 2 3 5 2" xfId="25088"/>
    <cellStyle name="Normal 2 4 2 3 6" xfId="25089"/>
    <cellStyle name="Normal 2 4 2 3 6 2" xfId="25090"/>
    <cellStyle name="Normal 2 4 2 3 7" xfId="25091"/>
    <cellStyle name="Normal 2 4 2 3 7 2" xfId="25092"/>
    <cellStyle name="Normal 2 4 2 3 8" xfId="25093"/>
    <cellStyle name="Normal 2 4 2 3 8 2" xfId="25094"/>
    <cellStyle name="Normal 2 4 2 3 9" xfId="25095"/>
    <cellStyle name="Normal 2 4 2 3 9 2" xfId="25096"/>
    <cellStyle name="Normal 2 4 2 4" xfId="25097"/>
    <cellStyle name="Normal 2 4 2 4 10" xfId="25098"/>
    <cellStyle name="Normal 2 4 2 4 10 2" xfId="25099"/>
    <cellStyle name="Normal 2 4 2 4 11" xfId="25100"/>
    <cellStyle name="Normal 2 4 2 4 11 2" xfId="25101"/>
    <cellStyle name="Normal 2 4 2 4 12" xfId="25102"/>
    <cellStyle name="Normal 2 4 2 4 12 2" xfId="25103"/>
    <cellStyle name="Normal 2 4 2 4 13" xfId="25104"/>
    <cellStyle name="Normal 2 4 2 4 2" xfId="25105"/>
    <cellStyle name="Normal 2 4 2 4 2 10" xfId="25106"/>
    <cellStyle name="Normal 2 4 2 4 2 10 2" xfId="25107"/>
    <cellStyle name="Normal 2 4 2 4 2 11" xfId="25108"/>
    <cellStyle name="Normal 2 4 2 4 2 11 2" xfId="25109"/>
    <cellStyle name="Normal 2 4 2 4 2 12" xfId="25110"/>
    <cellStyle name="Normal 2 4 2 4 2 2" xfId="25111"/>
    <cellStyle name="Normal 2 4 2 4 2 2 10" xfId="25112"/>
    <cellStyle name="Normal 2 4 2 4 2 2 10 2" xfId="25113"/>
    <cellStyle name="Normal 2 4 2 4 2 2 11" xfId="25114"/>
    <cellStyle name="Normal 2 4 2 4 2 2 2" xfId="25115"/>
    <cellStyle name="Normal 2 4 2 4 2 2 2 2" xfId="25116"/>
    <cellStyle name="Normal 2 4 2 4 2 2 3" xfId="25117"/>
    <cellStyle name="Normal 2 4 2 4 2 2 3 2" xfId="25118"/>
    <cellStyle name="Normal 2 4 2 4 2 2 4" xfId="25119"/>
    <cellStyle name="Normal 2 4 2 4 2 2 4 2" xfId="25120"/>
    <cellStyle name="Normal 2 4 2 4 2 2 5" xfId="25121"/>
    <cellStyle name="Normal 2 4 2 4 2 2 5 2" xfId="25122"/>
    <cellStyle name="Normal 2 4 2 4 2 2 6" xfId="25123"/>
    <cellStyle name="Normal 2 4 2 4 2 2 6 2" xfId="25124"/>
    <cellStyle name="Normal 2 4 2 4 2 2 7" xfId="25125"/>
    <cellStyle name="Normal 2 4 2 4 2 2 7 2" xfId="25126"/>
    <cellStyle name="Normal 2 4 2 4 2 2 8" xfId="25127"/>
    <cellStyle name="Normal 2 4 2 4 2 2 8 2" xfId="25128"/>
    <cellStyle name="Normal 2 4 2 4 2 2 9" xfId="25129"/>
    <cellStyle name="Normal 2 4 2 4 2 2 9 2" xfId="25130"/>
    <cellStyle name="Normal 2 4 2 4 2 3" xfId="25131"/>
    <cellStyle name="Normal 2 4 2 4 2 3 2" xfId="25132"/>
    <cellStyle name="Normal 2 4 2 4 2 4" xfId="25133"/>
    <cellStyle name="Normal 2 4 2 4 2 4 2" xfId="25134"/>
    <cellStyle name="Normal 2 4 2 4 2 5" xfId="25135"/>
    <cellStyle name="Normal 2 4 2 4 2 5 2" xfId="25136"/>
    <cellStyle name="Normal 2 4 2 4 2 6" xfId="25137"/>
    <cellStyle name="Normal 2 4 2 4 2 6 2" xfId="25138"/>
    <cellStyle name="Normal 2 4 2 4 2 7" xfId="25139"/>
    <cellStyle name="Normal 2 4 2 4 2 7 2" xfId="25140"/>
    <cellStyle name="Normal 2 4 2 4 2 8" xfId="25141"/>
    <cellStyle name="Normal 2 4 2 4 2 8 2" xfId="25142"/>
    <cellStyle name="Normal 2 4 2 4 2 9" xfId="25143"/>
    <cellStyle name="Normal 2 4 2 4 2 9 2" xfId="25144"/>
    <cellStyle name="Normal 2 4 2 4 3" xfId="25145"/>
    <cellStyle name="Normal 2 4 2 4 3 10" xfId="25146"/>
    <cellStyle name="Normal 2 4 2 4 3 10 2" xfId="25147"/>
    <cellStyle name="Normal 2 4 2 4 3 11" xfId="25148"/>
    <cellStyle name="Normal 2 4 2 4 3 2" xfId="25149"/>
    <cellStyle name="Normal 2 4 2 4 3 2 2" xfId="25150"/>
    <cellStyle name="Normal 2 4 2 4 3 3" xfId="25151"/>
    <cellStyle name="Normal 2 4 2 4 3 3 2" xfId="25152"/>
    <cellStyle name="Normal 2 4 2 4 3 4" xfId="25153"/>
    <cellStyle name="Normal 2 4 2 4 3 4 2" xfId="25154"/>
    <cellStyle name="Normal 2 4 2 4 3 5" xfId="25155"/>
    <cellStyle name="Normal 2 4 2 4 3 5 2" xfId="25156"/>
    <cellStyle name="Normal 2 4 2 4 3 6" xfId="25157"/>
    <cellStyle name="Normal 2 4 2 4 3 6 2" xfId="25158"/>
    <cellStyle name="Normal 2 4 2 4 3 7" xfId="25159"/>
    <cellStyle name="Normal 2 4 2 4 3 7 2" xfId="25160"/>
    <cellStyle name="Normal 2 4 2 4 3 8" xfId="25161"/>
    <cellStyle name="Normal 2 4 2 4 3 8 2" xfId="25162"/>
    <cellStyle name="Normal 2 4 2 4 3 9" xfId="25163"/>
    <cellStyle name="Normal 2 4 2 4 3 9 2" xfId="25164"/>
    <cellStyle name="Normal 2 4 2 4 4" xfId="25165"/>
    <cellStyle name="Normal 2 4 2 4 4 2" xfId="25166"/>
    <cellStyle name="Normal 2 4 2 4 5" xfId="25167"/>
    <cellStyle name="Normal 2 4 2 4 5 2" xfId="25168"/>
    <cellStyle name="Normal 2 4 2 4 6" xfId="25169"/>
    <cellStyle name="Normal 2 4 2 4 6 2" xfId="25170"/>
    <cellStyle name="Normal 2 4 2 4 7" xfId="25171"/>
    <cellStyle name="Normal 2 4 2 4 7 2" xfId="25172"/>
    <cellStyle name="Normal 2 4 2 4 8" xfId="25173"/>
    <cellStyle name="Normal 2 4 2 4 8 2" xfId="25174"/>
    <cellStyle name="Normal 2 4 2 4 9" xfId="25175"/>
    <cellStyle name="Normal 2 4 2 4 9 2" xfId="25176"/>
    <cellStyle name="Normal 2 4 2 5" xfId="25177"/>
    <cellStyle name="Normal 2 4 2 5 10" xfId="25178"/>
    <cellStyle name="Normal 2 4 2 5 10 2" xfId="25179"/>
    <cellStyle name="Normal 2 4 2 5 11" xfId="25180"/>
    <cellStyle name="Normal 2 4 2 5 11 2" xfId="25181"/>
    <cellStyle name="Normal 2 4 2 5 12" xfId="25182"/>
    <cellStyle name="Normal 2 4 2 5 12 2" xfId="25183"/>
    <cellStyle name="Normal 2 4 2 5 13" xfId="25184"/>
    <cellStyle name="Normal 2 4 2 5 2" xfId="25185"/>
    <cellStyle name="Normal 2 4 2 5 2 10" xfId="25186"/>
    <cellStyle name="Normal 2 4 2 5 2 10 2" xfId="25187"/>
    <cellStyle name="Normal 2 4 2 5 2 11" xfId="25188"/>
    <cellStyle name="Normal 2 4 2 5 2 11 2" xfId="25189"/>
    <cellStyle name="Normal 2 4 2 5 2 12" xfId="25190"/>
    <cellStyle name="Normal 2 4 2 5 2 2" xfId="25191"/>
    <cellStyle name="Normal 2 4 2 5 2 2 10" xfId="25192"/>
    <cellStyle name="Normal 2 4 2 5 2 2 10 2" xfId="25193"/>
    <cellStyle name="Normal 2 4 2 5 2 2 11" xfId="25194"/>
    <cellStyle name="Normal 2 4 2 5 2 2 2" xfId="25195"/>
    <cellStyle name="Normal 2 4 2 5 2 2 2 2" xfId="25196"/>
    <cellStyle name="Normal 2 4 2 5 2 2 3" xfId="25197"/>
    <cellStyle name="Normal 2 4 2 5 2 2 3 2" xfId="25198"/>
    <cellStyle name="Normal 2 4 2 5 2 2 4" xfId="25199"/>
    <cellStyle name="Normal 2 4 2 5 2 2 4 2" xfId="25200"/>
    <cellStyle name="Normal 2 4 2 5 2 2 5" xfId="25201"/>
    <cellStyle name="Normal 2 4 2 5 2 2 5 2" xfId="25202"/>
    <cellStyle name="Normal 2 4 2 5 2 2 6" xfId="25203"/>
    <cellStyle name="Normal 2 4 2 5 2 2 6 2" xfId="25204"/>
    <cellStyle name="Normal 2 4 2 5 2 2 7" xfId="25205"/>
    <cellStyle name="Normal 2 4 2 5 2 2 7 2" xfId="25206"/>
    <cellStyle name="Normal 2 4 2 5 2 2 8" xfId="25207"/>
    <cellStyle name="Normal 2 4 2 5 2 2 8 2" xfId="25208"/>
    <cellStyle name="Normal 2 4 2 5 2 2 9" xfId="25209"/>
    <cellStyle name="Normal 2 4 2 5 2 2 9 2" xfId="25210"/>
    <cellStyle name="Normal 2 4 2 5 2 3" xfId="25211"/>
    <cellStyle name="Normal 2 4 2 5 2 3 2" xfId="25212"/>
    <cellStyle name="Normal 2 4 2 5 2 4" xfId="25213"/>
    <cellStyle name="Normal 2 4 2 5 2 4 2" xfId="25214"/>
    <cellStyle name="Normal 2 4 2 5 2 5" xfId="25215"/>
    <cellStyle name="Normal 2 4 2 5 2 5 2" xfId="25216"/>
    <cellStyle name="Normal 2 4 2 5 2 6" xfId="25217"/>
    <cellStyle name="Normal 2 4 2 5 2 6 2" xfId="25218"/>
    <cellStyle name="Normal 2 4 2 5 2 7" xfId="25219"/>
    <cellStyle name="Normal 2 4 2 5 2 7 2" xfId="25220"/>
    <cellStyle name="Normal 2 4 2 5 2 8" xfId="25221"/>
    <cellStyle name="Normal 2 4 2 5 2 8 2" xfId="25222"/>
    <cellStyle name="Normal 2 4 2 5 2 9" xfId="25223"/>
    <cellStyle name="Normal 2 4 2 5 2 9 2" xfId="25224"/>
    <cellStyle name="Normal 2 4 2 5 3" xfId="25225"/>
    <cellStyle name="Normal 2 4 2 5 3 10" xfId="25226"/>
    <cellStyle name="Normal 2 4 2 5 3 10 2" xfId="25227"/>
    <cellStyle name="Normal 2 4 2 5 3 11" xfId="25228"/>
    <cellStyle name="Normal 2 4 2 5 3 2" xfId="25229"/>
    <cellStyle name="Normal 2 4 2 5 3 2 2" xfId="25230"/>
    <cellStyle name="Normal 2 4 2 5 3 3" xfId="25231"/>
    <cellStyle name="Normal 2 4 2 5 3 3 2" xfId="25232"/>
    <cellStyle name="Normal 2 4 2 5 3 4" xfId="25233"/>
    <cellStyle name="Normal 2 4 2 5 3 4 2" xfId="25234"/>
    <cellStyle name="Normal 2 4 2 5 3 5" xfId="25235"/>
    <cellStyle name="Normal 2 4 2 5 3 5 2" xfId="25236"/>
    <cellStyle name="Normal 2 4 2 5 3 6" xfId="25237"/>
    <cellStyle name="Normal 2 4 2 5 3 6 2" xfId="25238"/>
    <cellStyle name="Normal 2 4 2 5 3 7" xfId="25239"/>
    <cellStyle name="Normal 2 4 2 5 3 7 2" xfId="25240"/>
    <cellStyle name="Normal 2 4 2 5 3 8" xfId="25241"/>
    <cellStyle name="Normal 2 4 2 5 3 8 2" xfId="25242"/>
    <cellStyle name="Normal 2 4 2 5 3 9" xfId="25243"/>
    <cellStyle name="Normal 2 4 2 5 3 9 2" xfId="25244"/>
    <cellStyle name="Normal 2 4 2 5 4" xfId="25245"/>
    <cellStyle name="Normal 2 4 2 5 4 2" xfId="25246"/>
    <cellStyle name="Normal 2 4 2 5 5" xfId="25247"/>
    <cellStyle name="Normal 2 4 2 5 5 2" xfId="25248"/>
    <cellStyle name="Normal 2 4 2 5 6" xfId="25249"/>
    <cellStyle name="Normal 2 4 2 5 6 2" xfId="25250"/>
    <cellStyle name="Normal 2 4 2 5 7" xfId="25251"/>
    <cellStyle name="Normal 2 4 2 5 7 2" xfId="25252"/>
    <cellStyle name="Normal 2 4 2 5 8" xfId="25253"/>
    <cellStyle name="Normal 2 4 2 5 8 2" xfId="25254"/>
    <cellStyle name="Normal 2 4 2 5 9" xfId="25255"/>
    <cellStyle name="Normal 2 4 2 5 9 2" xfId="25256"/>
    <cellStyle name="Normal 2 4 2 6" xfId="25257"/>
    <cellStyle name="Normal 2 4 2 6 2" xfId="25258"/>
    <cellStyle name="Normal 2 4 2 6 2 10" xfId="25259"/>
    <cellStyle name="Normal 2 4 2 6 2 10 2" xfId="25260"/>
    <cellStyle name="Normal 2 4 2 6 2 11" xfId="25261"/>
    <cellStyle name="Normal 2 4 2 6 2 11 2" xfId="25262"/>
    <cellStyle name="Normal 2 4 2 6 2 12" xfId="25263"/>
    <cellStyle name="Normal 2 4 2 6 2 12 2" xfId="25264"/>
    <cellStyle name="Normal 2 4 2 6 2 13" xfId="25265"/>
    <cellStyle name="Normal 2 4 2 6 2 2" xfId="25266"/>
    <cellStyle name="Normal 2 4 2 6 2 2 10" xfId="25267"/>
    <cellStyle name="Normal 2 4 2 6 2 2 10 2" xfId="25268"/>
    <cellStyle name="Normal 2 4 2 6 2 2 11" xfId="25269"/>
    <cellStyle name="Normal 2 4 2 6 2 2 11 2" xfId="25270"/>
    <cellStyle name="Normal 2 4 2 6 2 2 12" xfId="25271"/>
    <cellStyle name="Normal 2 4 2 6 2 2 2" xfId="25272"/>
    <cellStyle name="Normal 2 4 2 6 2 2 2 10" xfId="25273"/>
    <cellStyle name="Normal 2 4 2 6 2 2 2 10 2" xfId="25274"/>
    <cellStyle name="Normal 2 4 2 6 2 2 2 11" xfId="25275"/>
    <cellStyle name="Normal 2 4 2 6 2 2 2 2" xfId="25276"/>
    <cellStyle name="Normal 2 4 2 6 2 2 2 2 2" xfId="25277"/>
    <cellStyle name="Normal 2 4 2 6 2 2 2 3" xfId="25278"/>
    <cellStyle name="Normal 2 4 2 6 2 2 2 3 2" xfId="25279"/>
    <cellStyle name="Normal 2 4 2 6 2 2 2 4" xfId="25280"/>
    <cellStyle name="Normal 2 4 2 6 2 2 2 4 2" xfId="25281"/>
    <cellStyle name="Normal 2 4 2 6 2 2 2 5" xfId="25282"/>
    <cellStyle name="Normal 2 4 2 6 2 2 2 5 2" xfId="25283"/>
    <cellStyle name="Normal 2 4 2 6 2 2 2 6" xfId="25284"/>
    <cellStyle name="Normal 2 4 2 6 2 2 2 6 2" xfId="25285"/>
    <cellStyle name="Normal 2 4 2 6 2 2 2 7" xfId="25286"/>
    <cellStyle name="Normal 2 4 2 6 2 2 2 7 2" xfId="25287"/>
    <cellStyle name="Normal 2 4 2 6 2 2 2 8" xfId="25288"/>
    <cellStyle name="Normal 2 4 2 6 2 2 2 8 2" xfId="25289"/>
    <cellStyle name="Normal 2 4 2 6 2 2 2 9" xfId="25290"/>
    <cellStyle name="Normal 2 4 2 6 2 2 2 9 2" xfId="25291"/>
    <cellStyle name="Normal 2 4 2 6 2 2 3" xfId="25292"/>
    <cellStyle name="Normal 2 4 2 6 2 2 3 2" xfId="25293"/>
    <cellStyle name="Normal 2 4 2 6 2 2 4" xfId="25294"/>
    <cellStyle name="Normal 2 4 2 6 2 2 4 2" xfId="25295"/>
    <cellStyle name="Normal 2 4 2 6 2 2 5" xfId="25296"/>
    <cellStyle name="Normal 2 4 2 6 2 2 5 2" xfId="25297"/>
    <cellStyle name="Normal 2 4 2 6 2 2 6" xfId="25298"/>
    <cellStyle name="Normal 2 4 2 6 2 2 6 2" xfId="25299"/>
    <cellStyle name="Normal 2 4 2 6 2 2 7" xfId="25300"/>
    <cellStyle name="Normal 2 4 2 6 2 2 7 2" xfId="25301"/>
    <cellStyle name="Normal 2 4 2 6 2 2 8" xfId="25302"/>
    <cellStyle name="Normal 2 4 2 6 2 2 8 2" xfId="25303"/>
    <cellStyle name="Normal 2 4 2 6 2 2 9" xfId="25304"/>
    <cellStyle name="Normal 2 4 2 6 2 2 9 2" xfId="25305"/>
    <cellStyle name="Normal 2 4 2 6 2 3" xfId="25306"/>
    <cellStyle name="Normal 2 4 2 6 2 3 10" xfId="25307"/>
    <cellStyle name="Normal 2 4 2 6 2 3 10 2" xfId="25308"/>
    <cellStyle name="Normal 2 4 2 6 2 3 11" xfId="25309"/>
    <cellStyle name="Normal 2 4 2 6 2 3 2" xfId="25310"/>
    <cellStyle name="Normal 2 4 2 6 2 3 2 2" xfId="25311"/>
    <cellStyle name="Normal 2 4 2 6 2 3 3" xfId="25312"/>
    <cellStyle name="Normal 2 4 2 6 2 3 3 2" xfId="25313"/>
    <cellStyle name="Normal 2 4 2 6 2 3 4" xfId="25314"/>
    <cellStyle name="Normal 2 4 2 6 2 3 4 2" xfId="25315"/>
    <cellStyle name="Normal 2 4 2 6 2 3 5" xfId="25316"/>
    <cellStyle name="Normal 2 4 2 6 2 3 5 2" xfId="25317"/>
    <cellStyle name="Normal 2 4 2 6 2 3 6" xfId="25318"/>
    <cellStyle name="Normal 2 4 2 6 2 3 6 2" xfId="25319"/>
    <cellStyle name="Normal 2 4 2 6 2 3 7" xfId="25320"/>
    <cellStyle name="Normal 2 4 2 6 2 3 7 2" xfId="25321"/>
    <cellStyle name="Normal 2 4 2 6 2 3 8" xfId="25322"/>
    <cellStyle name="Normal 2 4 2 6 2 3 8 2" xfId="25323"/>
    <cellStyle name="Normal 2 4 2 6 2 3 9" xfId="25324"/>
    <cellStyle name="Normal 2 4 2 6 2 3 9 2" xfId="25325"/>
    <cellStyle name="Normal 2 4 2 6 2 4" xfId="25326"/>
    <cellStyle name="Normal 2 4 2 6 2 4 2" xfId="25327"/>
    <cellStyle name="Normal 2 4 2 6 2 5" xfId="25328"/>
    <cellStyle name="Normal 2 4 2 6 2 5 2" xfId="25329"/>
    <cellStyle name="Normal 2 4 2 6 2 6" xfId="25330"/>
    <cellStyle name="Normal 2 4 2 6 2 6 2" xfId="25331"/>
    <cellStyle name="Normal 2 4 2 6 2 7" xfId="25332"/>
    <cellStyle name="Normal 2 4 2 6 2 7 2" xfId="25333"/>
    <cellStyle name="Normal 2 4 2 6 2 8" xfId="25334"/>
    <cellStyle name="Normal 2 4 2 6 2 8 2" xfId="25335"/>
    <cellStyle name="Normal 2 4 2 6 2 9" xfId="25336"/>
    <cellStyle name="Normal 2 4 2 6 2 9 2" xfId="25337"/>
    <cellStyle name="Normal 2 4 2 6 3" xfId="25338"/>
    <cellStyle name="Normal 2 4 2 6 3 10" xfId="25339"/>
    <cellStyle name="Normal 2 4 2 6 3 10 2" xfId="25340"/>
    <cellStyle name="Normal 2 4 2 6 3 11" xfId="25341"/>
    <cellStyle name="Normal 2 4 2 6 3 11 2" xfId="25342"/>
    <cellStyle name="Normal 2 4 2 6 3 12" xfId="25343"/>
    <cellStyle name="Normal 2 4 2 6 3 12 2" xfId="25344"/>
    <cellStyle name="Normal 2 4 2 6 3 13" xfId="25345"/>
    <cellStyle name="Normal 2 4 2 6 3 2" xfId="25346"/>
    <cellStyle name="Normal 2 4 2 6 3 2 10" xfId="25347"/>
    <cellStyle name="Normal 2 4 2 6 3 2 10 2" xfId="25348"/>
    <cellStyle name="Normal 2 4 2 6 3 2 11" xfId="25349"/>
    <cellStyle name="Normal 2 4 2 6 3 2 11 2" xfId="25350"/>
    <cellStyle name="Normal 2 4 2 6 3 2 12" xfId="25351"/>
    <cellStyle name="Normal 2 4 2 6 3 2 2" xfId="25352"/>
    <cellStyle name="Normal 2 4 2 6 3 2 2 10" xfId="25353"/>
    <cellStyle name="Normal 2 4 2 6 3 2 2 10 2" xfId="25354"/>
    <cellStyle name="Normal 2 4 2 6 3 2 2 11" xfId="25355"/>
    <cellStyle name="Normal 2 4 2 6 3 2 2 2" xfId="25356"/>
    <cellStyle name="Normal 2 4 2 6 3 2 2 2 2" xfId="25357"/>
    <cellStyle name="Normal 2 4 2 6 3 2 2 3" xfId="25358"/>
    <cellStyle name="Normal 2 4 2 6 3 2 2 3 2" xfId="25359"/>
    <cellStyle name="Normal 2 4 2 6 3 2 2 4" xfId="25360"/>
    <cellStyle name="Normal 2 4 2 6 3 2 2 4 2" xfId="25361"/>
    <cellStyle name="Normal 2 4 2 6 3 2 2 5" xfId="25362"/>
    <cellStyle name="Normal 2 4 2 6 3 2 2 5 2" xfId="25363"/>
    <cellStyle name="Normal 2 4 2 6 3 2 2 6" xfId="25364"/>
    <cellStyle name="Normal 2 4 2 6 3 2 2 6 2" xfId="25365"/>
    <cellStyle name="Normal 2 4 2 6 3 2 2 7" xfId="25366"/>
    <cellStyle name="Normal 2 4 2 6 3 2 2 7 2" xfId="25367"/>
    <cellStyle name="Normal 2 4 2 6 3 2 2 8" xfId="25368"/>
    <cellStyle name="Normal 2 4 2 6 3 2 2 8 2" xfId="25369"/>
    <cellStyle name="Normal 2 4 2 6 3 2 2 9" xfId="25370"/>
    <cellStyle name="Normal 2 4 2 6 3 2 2 9 2" xfId="25371"/>
    <cellStyle name="Normal 2 4 2 6 3 2 3" xfId="25372"/>
    <cellStyle name="Normal 2 4 2 6 3 2 3 2" xfId="25373"/>
    <cellStyle name="Normal 2 4 2 6 3 2 4" xfId="25374"/>
    <cellStyle name="Normal 2 4 2 6 3 2 4 2" xfId="25375"/>
    <cellStyle name="Normal 2 4 2 6 3 2 5" xfId="25376"/>
    <cellStyle name="Normal 2 4 2 6 3 2 5 2" xfId="25377"/>
    <cellStyle name="Normal 2 4 2 6 3 2 6" xfId="25378"/>
    <cellStyle name="Normal 2 4 2 6 3 2 6 2" xfId="25379"/>
    <cellStyle name="Normal 2 4 2 6 3 2 7" xfId="25380"/>
    <cellStyle name="Normal 2 4 2 6 3 2 7 2" xfId="25381"/>
    <cellStyle name="Normal 2 4 2 6 3 2 8" xfId="25382"/>
    <cellStyle name="Normal 2 4 2 6 3 2 8 2" xfId="25383"/>
    <cellStyle name="Normal 2 4 2 6 3 2 9" xfId="25384"/>
    <cellStyle name="Normal 2 4 2 6 3 2 9 2" xfId="25385"/>
    <cellStyle name="Normal 2 4 2 6 3 3" xfId="25386"/>
    <cellStyle name="Normal 2 4 2 6 3 3 10" xfId="25387"/>
    <cellStyle name="Normal 2 4 2 6 3 3 10 2" xfId="25388"/>
    <cellStyle name="Normal 2 4 2 6 3 3 11" xfId="25389"/>
    <cellStyle name="Normal 2 4 2 6 3 3 2" xfId="25390"/>
    <cellStyle name="Normal 2 4 2 6 3 3 2 2" xfId="25391"/>
    <cellStyle name="Normal 2 4 2 6 3 3 3" xfId="25392"/>
    <cellStyle name="Normal 2 4 2 6 3 3 3 2" xfId="25393"/>
    <cellStyle name="Normal 2 4 2 6 3 3 4" xfId="25394"/>
    <cellStyle name="Normal 2 4 2 6 3 3 4 2" xfId="25395"/>
    <cellStyle name="Normal 2 4 2 6 3 3 5" xfId="25396"/>
    <cellStyle name="Normal 2 4 2 6 3 3 5 2" xfId="25397"/>
    <cellStyle name="Normal 2 4 2 6 3 3 6" xfId="25398"/>
    <cellStyle name="Normal 2 4 2 6 3 3 6 2" xfId="25399"/>
    <cellStyle name="Normal 2 4 2 6 3 3 7" xfId="25400"/>
    <cellStyle name="Normal 2 4 2 6 3 3 7 2" xfId="25401"/>
    <cellStyle name="Normal 2 4 2 6 3 3 8" xfId="25402"/>
    <cellStyle name="Normal 2 4 2 6 3 3 8 2" xfId="25403"/>
    <cellStyle name="Normal 2 4 2 6 3 3 9" xfId="25404"/>
    <cellStyle name="Normal 2 4 2 6 3 3 9 2" xfId="25405"/>
    <cellStyle name="Normal 2 4 2 6 3 4" xfId="25406"/>
    <cellStyle name="Normal 2 4 2 6 3 4 2" xfId="25407"/>
    <cellStyle name="Normal 2 4 2 6 3 5" xfId="25408"/>
    <cellStyle name="Normal 2 4 2 6 3 5 2" xfId="25409"/>
    <cellStyle name="Normal 2 4 2 6 3 6" xfId="25410"/>
    <cellStyle name="Normal 2 4 2 6 3 6 2" xfId="25411"/>
    <cellStyle name="Normal 2 4 2 6 3 7" xfId="25412"/>
    <cellStyle name="Normal 2 4 2 6 3 7 2" xfId="25413"/>
    <cellStyle name="Normal 2 4 2 6 3 8" xfId="25414"/>
    <cellStyle name="Normal 2 4 2 6 3 8 2" xfId="25415"/>
    <cellStyle name="Normal 2 4 2 6 3 9" xfId="25416"/>
    <cellStyle name="Normal 2 4 2 6 3 9 2" xfId="25417"/>
    <cellStyle name="Normal 2 4 2 6 4" xfId="25418"/>
    <cellStyle name="Normal 2 4 2 6 4 10" xfId="25419"/>
    <cellStyle name="Normal 2 4 2 6 4 10 2" xfId="25420"/>
    <cellStyle name="Normal 2 4 2 6 4 11" xfId="25421"/>
    <cellStyle name="Normal 2 4 2 6 4 11 2" xfId="25422"/>
    <cellStyle name="Normal 2 4 2 6 4 12" xfId="25423"/>
    <cellStyle name="Normal 2 4 2 6 4 12 2" xfId="25424"/>
    <cellStyle name="Normal 2 4 2 6 4 13" xfId="25425"/>
    <cellStyle name="Normal 2 4 2 6 4 2" xfId="25426"/>
    <cellStyle name="Normal 2 4 2 6 4 2 10" xfId="25427"/>
    <cellStyle name="Normal 2 4 2 6 4 2 10 2" xfId="25428"/>
    <cellStyle name="Normal 2 4 2 6 4 2 11" xfId="25429"/>
    <cellStyle name="Normal 2 4 2 6 4 2 11 2" xfId="25430"/>
    <cellStyle name="Normal 2 4 2 6 4 2 12" xfId="25431"/>
    <cellStyle name="Normal 2 4 2 6 4 2 2" xfId="25432"/>
    <cellStyle name="Normal 2 4 2 6 4 2 2 10" xfId="25433"/>
    <cellStyle name="Normal 2 4 2 6 4 2 2 10 2" xfId="25434"/>
    <cellStyle name="Normal 2 4 2 6 4 2 2 11" xfId="25435"/>
    <cellStyle name="Normal 2 4 2 6 4 2 2 2" xfId="25436"/>
    <cellStyle name="Normal 2 4 2 6 4 2 2 2 2" xfId="25437"/>
    <cellStyle name="Normal 2 4 2 6 4 2 2 3" xfId="25438"/>
    <cellStyle name="Normal 2 4 2 6 4 2 2 3 2" xfId="25439"/>
    <cellStyle name="Normal 2 4 2 6 4 2 2 4" xfId="25440"/>
    <cellStyle name="Normal 2 4 2 6 4 2 2 4 2" xfId="25441"/>
    <cellStyle name="Normal 2 4 2 6 4 2 2 5" xfId="25442"/>
    <cellStyle name="Normal 2 4 2 6 4 2 2 5 2" xfId="25443"/>
    <cellStyle name="Normal 2 4 2 6 4 2 2 6" xfId="25444"/>
    <cellStyle name="Normal 2 4 2 6 4 2 2 6 2" xfId="25445"/>
    <cellStyle name="Normal 2 4 2 6 4 2 2 7" xfId="25446"/>
    <cellStyle name="Normal 2 4 2 6 4 2 2 7 2" xfId="25447"/>
    <cellStyle name="Normal 2 4 2 6 4 2 2 8" xfId="25448"/>
    <cellStyle name="Normal 2 4 2 6 4 2 2 8 2" xfId="25449"/>
    <cellStyle name="Normal 2 4 2 6 4 2 2 9" xfId="25450"/>
    <cellStyle name="Normal 2 4 2 6 4 2 2 9 2" xfId="25451"/>
    <cellStyle name="Normal 2 4 2 6 4 2 3" xfId="25452"/>
    <cellStyle name="Normal 2 4 2 6 4 2 3 2" xfId="25453"/>
    <cellStyle name="Normal 2 4 2 6 4 2 4" xfId="25454"/>
    <cellStyle name="Normal 2 4 2 6 4 2 4 2" xfId="25455"/>
    <cellStyle name="Normal 2 4 2 6 4 2 5" xfId="25456"/>
    <cellStyle name="Normal 2 4 2 6 4 2 5 2" xfId="25457"/>
    <cellStyle name="Normal 2 4 2 6 4 2 6" xfId="25458"/>
    <cellStyle name="Normal 2 4 2 6 4 2 6 2" xfId="25459"/>
    <cellStyle name="Normal 2 4 2 6 4 2 7" xfId="25460"/>
    <cellStyle name="Normal 2 4 2 6 4 2 7 2" xfId="25461"/>
    <cellStyle name="Normal 2 4 2 6 4 2 8" xfId="25462"/>
    <cellStyle name="Normal 2 4 2 6 4 2 8 2" xfId="25463"/>
    <cellStyle name="Normal 2 4 2 6 4 2 9" xfId="25464"/>
    <cellStyle name="Normal 2 4 2 6 4 2 9 2" xfId="25465"/>
    <cellStyle name="Normal 2 4 2 6 4 3" xfId="25466"/>
    <cellStyle name="Normal 2 4 2 6 4 3 10" xfId="25467"/>
    <cellStyle name="Normal 2 4 2 6 4 3 10 2" xfId="25468"/>
    <cellStyle name="Normal 2 4 2 6 4 3 11" xfId="25469"/>
    <cellStyle name="Normal 2 4 2 6 4 3 2" xfId="25470"/>
    <cellStyle name="Normal 2 4 2 6 4 3 2 2" xfId="25471"/>
    <cellStyle name="Normal 2 4 2 6 4 3 3" xfId="25472"/>
    <cellStyle name="Normal 2 4 2 6 4 3 3 2" xfId="25473"/>
    <cellStyle name="Normal 2 4 2 6 4 3 4" xfId="25474"/>
    <cellStyle name="Normal 2 4 2 6 4 3 4 2" xfId="25475"/>
    <cellStyle name="Normal 2 4 2 6 4 3 5" xfId="25476"/>
    <cellStyle name="Normal 2 4 2 6 4 3 5 2" xfId="25477"/>
    <cellStyle name="Normal 2 4 2 6 4 3 6" xfId="25478"/>
    <cellStyle name="Normal 2 4 2 6 4 3 6 2" xfId="25479"/>
    <cellStyle name="Normal 2 4 2 6 4 3 7" xfId="25480"/>
    <cellStyle name="Normal 2 4 2 6 4 3 7 2" xfId="25481"/>
    <cellStyle name="Normal 2 4 2 6 4 3 8" xfId="25482"/>
    <cellStyle name="Normal 2 4 2 6 4 3 8 2" xfId="25483"/>
    <cellStyle name="Normal 2 4 2 6 4 3 9" xfId="25484"/>
    <cellStyle name="Normal 2 4 2 6 4 3 9 2" xfId="25485"/>
    <cellStyle name="Normal 2 4 2 6 4 4" xfId="25486"/>
    <cellStyle name="Normal 2 4 2 6 4 4 2" xfId="25487"/>
    <cellStyle name="Normal 2 4 2 6 4 5" xfId="25488"/>
    <cellStyle name="Normal 2 4 2 6 4 5 2" xfId="25489"/>
    <cellStyle name="Normal 2 4 2 6 4 6" xfId="25490"/>
    <cellStyle name="Normal 2 4 2 6 4 6 2" xfId="25491"/>
    <cellStyle name="Normal 2 4 2 6 4 7" xfId="25492"/>
    <cellStyle name="Normal 2 4 2 6 4 7 2" xfId="25493"/>
    <cellStyle name="Normal 2 4 2 6 4 8" xfId="25494"/>
    <cellStyle name="Normal 2 4 2 6 4 8 2" xfId="25495"/>
    <cellStyle name="Normal 2 4 2 6 4 9" xfId="25496"/>
    <cellStyle name="Normal 2 4 2 6 4 9 2" xfId="25497"/>
    <cellStyle name="Normal 2 4 2 6 5" xfId="25498"/>
    <cellStyle name="Normal 2 4 2 6 5 10" xfId="25499"/>
    <cellStyle name="Normal 2 4 2 6 5 10 2" xfId="25500"/>
    <cellStyle name="Normal 2 4 2 6 5 11" xfId="25501"/>
    <cellStyle name="Normal 2 4 2 6 5 11 2" xfId="25502"/>
    <cellStyle name="Normal 2 4 2 6 5 12" xfId="25503"/>
    <cellStyle name="Normal 2 4 2 6 5 12 2" xfId="25504"/>
    <cellStyle name="Normal 2 4 2 6 5 13" xfId="25505"/>
    <cellStyle name="Normal 2 4 2 6 5 2" xfId="25506"/>
    <cellStyle name="Normal 2 4 2 6 5 2 10" xfId="25507"/>
    <cellStyle name="Normal 2 4 2 6 5 2 10 2" xfId="25508"/>
    <cellStyle name="Normal 2 4 2 6 5 2 11" xfId="25509"/>
    <cellStyle name="Normal 2 4 2 6 5 2 11 2" xfId="25510"/>
    <cellStyle name="Normal 2 4 2 6 5 2 12" xfId="25511"/>
    <cellStyle name="Normal 2 4 2 6 5 2 2" xfId="25512"/>
    <cellStyle name="Normal 2 4 2 6 5 2 2 10" xfId="25513"/>
    <cellStyle name="Normal 2 4 2 6 5 2 2 10 2" xfId="25514"/>
    <cellStyle name="Normal 2 4 2 6 5 2 2 11" xfId="25515"/>
    <cellStyle name="Normal 2 4 2 6 5 2 2 2" xfId="25516"/>
    <cellStyle name="Normal 2 4 2 6 5 2 2 2 2" xfId="25517"/>
    <cellStyle name="Normal 2 4 2 6 5 2 2 3" xfId="25518"/>
    <cellStyle name="Normal 2 4 2 6 5 2 2 3 2" xfId="25519"/>
    <cellStyle name="Normal 2 4 2 6 5 2 2 4" xfId="25520"/>
    <cellStyle name="Normal 2 4 2 6 5 2 2 4 2" xfId="25521"/>
    <cellStyle name="Normal 2 4 2 6 5 2 2 5" xfId="25522"/>
    <cellStyle name="Normal 2 4 2 6 5 2 2 5 2" xfId="25523"/>
    <cellStyle name="Normal 2 4 2 6 5 2 2 6" xfId="25524"/>
    <cellStyle name="Normal 2 4 2 6 5 2 2 6 2" xfId="25525"/>
    <cellStyle name="Normal 2 4 2 6 5 2 2 7" xfId="25526"/>
    <cellStyle name="Normal 2 4 2 6 5 2 2 7 2" xfId="25527"/>
    <cellStyle name="Normal 2 4 2 6 5 2 2 8" xfId="25528"/>
    <cellStyle name="Normal 2 4 2 6 5 2 2 8 2" xfId="25529"/>
    <cellStyle name="Normal 2 4 2 6 5 2 2 9" xfId="25530"/>
    <cellStyle name="Normal 2 4 2 6 5 2 2 9 2" xfId="25531"/>
    <cellStyle name="Normal 2 4 2 6 5 2 3" xfId="25532"/>
    <cellStyle name="Normal 2 4 2 6 5 2 3 2" xfId="25533"/>
    <cellStyle name="Normal 2 4 2 6 5 2 4" xfId="25534"/>
    <cellStyle name="Normal 2 4 2 6 5 2 4 2" xfId="25535"/>
    <cellStyle name="Normal 2 4 2 6 5 2 5" xfId="25536"/>
    <cellStyle name="Normal 2 4 2 6 5 2 5 2" xfId="25537"/>
    <cellStyle name="Normal 2 4 2 6 5 2 6" xfId="25538"/>
    <cellStyle name="Normal 2 4 2 6 5 2 6 2" xfId="25539"/>
    <cellStyle name="Normal 2 4 2 6 5 2 7" xfId="25540"/>
    <cellStyle name="Normal 2 4 2 6 5 2 7 2" xfId="25541"/>
    <cellStyle name="Normal 2 4 2 6 5 2 8" xfId="25542"/>
    <cellStyle name="Normal 2 4 2 6 5 2 8 2" xfId="25543"/>
    <cellStyle name="Normal 2 4 2 6 5 2 9" xfId="25544"/>
    <cellStyle name="Normal 2 4 2 6 5 2 9 2" xfId="25545"/>
    <cellStyle name="Normal 2 4 2 6 5 3" xfId="25546"/>
    <cellStyle name="Normal 2 4 2 6 5 3 10" xfId="25547"/>
    <cellStyle name="Normal 2 4 2 6 5 3 10 2" xfId="25548"/>
    <cellStyle name="Normal 2 4 2 6 5 3 11" xfId="25549"/>
    <cellStyle name="Normal 2 4 2 6 5 3 2" xfId="25550"/>
    <cellStyle name="Normal 2 4 2 6 5 3 2 2" xfId="25551"/>
    <cellStyle name="Normal 2 4 2 6 5 3 3" xfId="25552"/>
    <cellStyle name="Normal 2 4 2 6 5 3 3 2" xfId="25553"/>
    <cellStyle name="Normal 2 4 2 6 5 3 4" xfId="25554"/>
    <cellStyle name="Normal 2 4 2 6 5 3 4 2" xfId="25555"/>
    <cellStyle name="Normal 2 4 2 6 5 3 5" xfId="25556"/>
    <cellStyle name="Normal 2 4 2 6 5 3 5 2" xfId="25557"/>
    <cellStyle name="Normal 2 4 2 6 5 3 6" xfId="25558"/>
    <cellStyle name="Normal 2 4 2 6 5 3 6 2" xfId="25559"/>
    <cellStyle name="Normal 2 4 2 6 5 3 7" xfId="25560"/>
    <cellStyle name="Normal 2 4 2 6 5 3 7 2" xfId="25561"/>
    <cellStyle name="Normal 2 4 2 6 5 3 8" xfId="25562"/>
    <cellStyle name="Normal 2 4 2 6 5 3 8 2" xfId="25563"/>
    <cellStyle name="Normal 2 4 2 6 5 3 9" xfId="25564"/>
    <cellStyle name="Normal 2 4 2 6 5 3 9 2" xfId="25565"/>
    <cellStyle name="Normal 2 4 2 6 5 4" xfId="25566"/>
    <cellStyle name="Normal 2 4 2 6 5 4 2" xfId="25567"/>
    <cellStyle name="Normal 2 4 2 6 5 5" xfId="25568"/>
    <cellStyle name="Normal 2 4 2 6 5 5 2" xfId="25569"/>
    <cellStyle name="Normal 2 4 2 6 5 6" xfId="25570"/>
    <cellStyle name="Normal 2 4 2 6 5 6 2" xfId="25571"/>
    <cellStyle name="Normal 2 4 2 6 5 7" xfId="25572"/>
    <cellStyle name="Normal 2 4 2 6 5 7 2" xfId="25573"/>
    <cellStyle name="Normal 2 4 2 6 5 8" xfId="25574"/>
    <cellStyle name="Normal 2 4 2 6 5 8 2" xfId="25575"/>
    <cellStyle name="Normal 2 4 2 6 5 9" xfId="25576"/>
    <cellStyle name="Normal 2 4 2 6 5 9 2" xfId="25577"/>
    <cellStyle name="Normal 2 4 2 6 6" xfId="42026"/>
    <cellStyle name="Normal 2 4 2 7" xfId="25578"/>
    <cellStyle name="Normal 2 4 2 7 2" xfId="42027"/>
    <cellStyle name="Normal 2 4 2 8" xfId="25579"/>
    <cellStyle name="Normal 2 4 2 8 2" xfId="42028"/>
    <cellStyle name="Normal 2 4 2 9" xfId="25580"/>
    <cellStyle name="Normal 2 4 2 9 2" xfId="42029"/>
    <cellStyle name="Normal 2 4 20" xfId="25581"/>
    <cellStyle name="Normal 2 4 21" xfId="25582"/>
    <cellStyle name="Normal 2 4 3" xfId="25583"/>
    <cellStyle name="Normal 2 4 3 10" xfId="25584"/>
    <cellStyle name="Normal 2 4 3 10 2" xfId="25585"/>
    <cellStyle name="Normal 2 4 3 11" xfId="25586"/>
    <cellStyle name="Normal 2 4 3 11 2" xfId="25587"/>
    <cellStyle name="Normal 2 4 3 12" xfId="25588"/>
    <cellStyle name="Normal 2 4 3 12 2" xfId="25589"/>
    <cellStyle name="Normal 2 4 3 13" xfId="25590"/>
    <cellStyle name="Normal 2 4 3 13 2" xfId="25591"/>
    <cellStyle name="Normal 2 4 3 14" xfId="25592"/>
    <cellStyle name="Normal 2 4 3 14 2" xfId="25593"/>
    <cellStyle name="Normal 2 4 3 15" xfId="25594"/>
    <cellStyle name="Normal 2 4 3 15 2" xfId="25595"/>
    <cellStyle name="Normal 2 4 3 16" xfId="25596"/>
    <cellStyle name="Normal 2 4 3 16 2" xfId="25597"/>
    <cellStyle name="Normal 2 4 3 17" xfId="25598"/>
    <cellStyle name="Normal 2 4 3 17 2" xfId="25599"/>
    <cellStyle name="Normal 2 4 3 18" xfId="25600"/>
    <cellStyle name="Normal 2 4 3 2" xfId="25601"/>
    <cellStyle name="Normal 2 4 3 2 2" xfId="25602"/>
    <cellStyle name="Normal 2 4 3 2 2 10" xfId="25603"/>
    <cellStyle name="Normal 2 4 3 2 2 10 2" xfId="25604"/>
    <cellStyle name="Normal 2 4 3 2 2 11" xfId="25605"/>
    <cellStyle name="Normal 2 4 3 2 2 11 2" xfId="25606"/>
    <cellStyle name="Normal 2 4 3 2 2 12" xfId="25607"/>
    <cellStyle name="Normal 2 4 3 2 2 12 2" xfId="25608"/>
    <cellStyle name="Normal 2 4 3 2 2 13" xfId="25609"/>
    <cellStyle name="Normal 2 4 3 2 2 13 2" xfId="25610"/>
    <cellStyle name="Normal 2 4 3 2 2 14" xfId="25611"/>
    <cellStyle name="Normal 2 4 3 2 2 14 2" xfId="25612"/>
    <cellStyle name="Normal 2 4 3 2 2 15" xfId="25613"/>
    <cellStyle name="Normal 2 4 3 2 2 15 2" xfId="25614"/>
    <cellStyle name="Normal 2 4 3 2 2 16" xfId="25615"/>
    <cellStyle name="Normal 2 4 3 2 2 16 2" xfId="25616"/>
    <cellStyle name="Normal 2 4 3 2 2 17" xfId="25617"/>
    <cellStyle name="Normal 2 4 3 2 2 2" xfId="25618"/>
    <cellStyle name="Normal 2 4 3 2 2 2 2" xfId="42030"/>
    <cellStyle name="Normal 2 4 3 2 2 3" xfId="25619"/>
    <cellStyle name="Normal 2 4 3 2 2 3 2" xfId="42031"/>
    <cellStyle name="Normal 2 4 3 2 2 4" xfId="25620"/>
    <cellStyle name="Normal 2 4 3 2 2 4 2" xfId="42032"/>
    <cellStyle name="Normal 2 4 3 2 2 5" xfId="25621"/>
    <cellStyle name="Normal 2 4 3 2 2 5 2" xfId="42033"/>
    <cellStyle name="Normal 2 4 3 2 2 6" xfId="25622"/>
    <cellStyle name="Normal 2 4 3 2 2 6 10" xfId="25623"/>
    <cellStyle name="Normal 2 4 3 2 2 6 10 2" xfId="25624"/>
    <cellStyle name="Normal 2 4 3 2 2 6 11" xfId="25625"/>
    <cellStyle name="Normal 2 4 3 2 2 6 11 2" xfId="25626"/>
    <cellStyle name="Normal 2 4 3 2 2 6 12" xfId="25627"/>
    <cellStyle name="Normal 2 4 3 2 2 6 2" xfId="25628"/>
    <cellStyle name="Normal 2 4 3 2 2 6 2 10" xfId="25629"/>
    <cellStyle name="Normal 2 4 3 2 2 6 2 10 2" xfId="25630"/>
    <cellStyle name="Normal 2 4 3 2 2 6 2 11" xfId="25631"/>
    <cellStyle name="Normal 2 4 3 2 2 6 2 2" xfId="25632"/>
    <cellStyle name="Normal 2 4 3 2 2 6 2 2 2" xfId="25633"/>
    <cellStyle name="Normal 2 4 3 2 2 6 2 3" xfId="25634"/>
    <cellStyle name="Normal 2 4 3 2 2 6 2 3 2" xfId="25635"/>
    <cellStyle name="Normal 2 4 3 2 2 6 2 4" xfId="25636"/>
    <cellStyle name="Normal 2 4 3 2 2 6 2 4 2" xfId="25637"/>
    <cellStyle name="Normal 2 4 3 2 2 6 2 5" xfId="25638"/>
    <cellStyle name="Normal 2 4 3 2 2 6 2 5 2" xfId="25639"/>
    <cellStyle name="Normal 2 4 3 2 2 6 2 6" xfId="25640"/>
    <cellStyle name="Normal 2 4 3 2 2 6 2 6 2" xfId="25641"/>
    <cellStyle name="Normal 2 4 3 2 2 6 2 7" xfId="25642"/>
    <cellStyle name="Normal 2 4 3 2 2 6 2 7 2" xfId="25643"/>
    <cellStyle name="Normal 2 4 3 2 2 6 2 8" xfId="25644"/>
    <cellStyle name="Normal 2 4 3 2 2 6 2 8 2" xfId="25645"/>
    <cellStyle name="Normal 2 4 3 2 2 6 2 9" xfId="25646"/>
    <cellStyle name="Normal 2 4 3 2 2 6 2 9 2" xfId="25647"/>
    <cellStyle name="Normal 2 4 3 2 2 6 3" xfId="25648"/>
    <cellStyle name="Normal 2 4 3 2 2 6 3 2" xfId="25649"/>
    <cellStyle name="Normal 2 4 3 2 2 6 4" xfId="25650"/>
    <cellStyle name="Normal 2 4 3 2 2 6 4 2" xfId="25651"/>
    <cellStyle name="Normal 2 4 3 2 2 6 5" xfId="25652"/>
    <cellStyle name="Normal 2 4 3 2 2 6 5 2" xfId="25653"/>
    <cellStyle name="Normal 2 4 3 2 2 6 6" xfId="25654"/>
    <cellStyle name="Normal 2 4 3 2 2 6 6 2" xfId="25655"/>
    <cellStyle name="Normal 2 4 3 2 2 6 7" xfId="25656"/>
    <cellStyle name="Normal 2 4 3 2 2 6 7 2" xfId="25657"/>
    <cellStyle name="Normal 2 4 3 2 2 6 8" xfId="25658"/>
    <cellStyle name="Normal 2 4 3 2 2 6 8 2" xfId="25659"/>
    <cellStyle name="Normal 2 4 3 2 2 6 9" xfId="25660"/>
    <cellStyle name="Normal 2 4 3 2 2 6 9 2" xfId="25661"/>
    <cellStyle name="Normal 2 4 3 2 2 7" xfId="25662"/>
    <cellStyle name="Normal 2 4 3 2 2 7 10" xfId="25663"/>
    <cellStyle name="Normal 2 4 3 2 2 7 10 2" xfId="25664"/>
    <cellStyle name="Normal 2 4 3 2 2 7 11" xfId="25665"/>
    <cellStyle name="Normal 2 4 3 2 2 7 2" xfId="25666"/>
    <cellStyle name="Normal 2 4 3 2 2 7 2 2" xfId="25667"/>
    <cellStyle name="Normal 2 4 3 2 2 7 3" xfId="25668"/>
    <cellStyle name="Normal 2 4 3 2 2 7 3 2" xfId="25669"/>
    <cellStyle name="Normal 2 4 3 2 2 7 4" xfId="25670"/>
    <cellStyle name="Normal 2 4 3 2 2 7 4 2" xfId="25671"/>
    <cellStyle name="Normal 2 4 3 2 2 7 5" xfId="25672"/>
    <cellStyle name="Normal 2 4 3 2 2 7 5 2" xfId="25673"/>
    <cellStyle name="Normal 2 4 3 2 2 7 6" xfId="25674"/>
    <cellStyle name="Normal 2 4 3 2 2 7 6 2" xfId="25675"/>
    <cellStyle name="Normal 2 4 3 2 2 7 7" xfId="25676"/>
    <cellStyle name="Normal 2 4 3 2 2 7 7 2" xfId="25677"/>
    <cellStyle name="Normal 2 4 3 2 2 7 8" xfId="25678"/>
    <cellStyle name="Normal 2 4 3 2 2 7 8 2" xfId="25679"/>
    <cellStyle name="Normal 2 4 3 2 2 7 9" xfId="25680"/>
    <cellStyle name="Normal 2 4 3 2 2 7 9 2" xfId="25681"/>
    <cellStyle name="Normal 2 4 3 2 2 8" xfId="25682"/>
    <cellStyle name="Normal 2 4 3 2 2 8 2" xfId="25683"/>
    <cellStyle name="Normal 2 4 3 2 2 9" xfId="25684"/>
    <cellStyle name="Normal 2 4 3 2 2 9 2" xfId="25685"/>
    <cellStyle name="Normal 2 4 3 2 3" xfId="25686"/>
    <cellStyle name="Normal 2 4 3 2 3 10" xfId="25687"/>
    <cellStyle name="Normal 2 4 3 2 3 10 2" xfId="25688"/>
    <cellStyle name="Normal 2 4 3 2 3 11" xfId="25689"/>
    <cellStyle name="Normal 2 4 3 2 3 11 2" xfId="25690"/>
    <cellStyle name="Normal 2 4 3 2 3 12" xfId="25691"/>
    <cellStyle name="Normal 2 4 3 2 3 12 2" xfId="25692"/>
    <cellStyle name="Normal 2 4 3 2 3 13" xfId="25693"/>
    <cellStyle name="Normal 2 4 3 2 3 2" xfId="25694"/>
    <cellStyle name="Normal 2 4 3 2 3 2 10" xfId="25695"/>
    <cellStyle name="Normal 2 4 3 2 3 2 10 2" xfId="25696"/>
    <cellStyle name="Normal 2 4 3 2 3 2 11" xfId="25697"/>
    <cellStyle name="Normal 2 4 3 2 3 2 11 2" xfId="25698"/>
    <cellStyle name="Normal 2 4 3 2 3 2 12" xfId="25699"/>
    <cellStyle name="Normal 2 4 3 2 3 2 2" xfId="25700"/>
    <cellStyle name="Normal 2 4 3 2 3 2 2 10" xfId="25701"/>
    <cellStyle name="Normal 2 4 3 2 3 2 2 10 2" xfId="25702"/>
    <cellStyle name="Normal 2 4 3 2 3 2 2 11" xfId="25703"/>
    <cellStyle name="Normal 2 4 3 2 3 2 2 2" xfId="25704"/>
    <cellStyle name="Normal 2 4 3 2 3 2 2 2 2" xfId="25705"/>
    <cellStyle name="Normal 2 4 3 2 3 2 2 3" xfId="25706"/>
    <cellStyle name="Normal 2 4 3 2 3 2 2 3 2" xfId="25707"/>
    <cellStyle name="Normal 2 4 3 2 3 2 2 4" xfId="25708"/>
    <cellStyle name="Normal 2 4 3 2 3 2 2 4 2" xfId="25709"/>
    <cellStyle name="Normal 2 4 3 2 3 2 2 5" xfId="25710"/>
    <cellStyle name="Normal 2 4 3 2 3 2 2 5 2" xfId="25711"/>
    <cellStyle name="Normal 2 4 3 2 3 2 2 6" xfId="25712"/>
    <cellStyle name="Normal 2 4 3 2 3 2 2 6 2" xfId="25713"/>
    <cellStyle name="Normal 2 4 3 2 3 2 2 7" xfId="25714"/>
    <cellStyle name="Normal 2 4 3 2 3 2 2 7 2" xfId="25715"/>
    <cellStyle name="Normal 2 4 3 2 3 2 2 8" xfId="25716"/>
    <cellStyle name="Normal 2 4 3 2 3 2 2 8 2" xfId="25717"/>
    <cellStyle name="Normal 2 4 3 2 3 2 2 9" xfId="25718"/>
    <cellStyle name="Normal 2 4 3 2 3 2 2 9 2" xfId="25719"/>
    <cellStyle name="Normal 2 4 3 2 3 2 3" xfId="25720"/>
    <cellStyle name="Normal 2 4 3 2 3 2 3 2" xfId="25721"/>
    <cellStyle name="Normal 2 4 3 2 3 2 4" xfId="25722"/>
    <cellStyle name="Normal 2 4 3 2 3 2 4 2" xfId="25723"/>
    <cellStyle name="Normal 2 4 3 2 3 2 5" xfId="25724"/>
    <cellStyle name="Normal 2 4 3 2 3 2 5 2" xfId="25725"/>
    <cellStyle name="Normal 2 4 3 2 3 2 6" xfId="25726"/>
    <cellStyle name="Normal 2 4 3 2 3 2 6 2" xfId="25727"/>
    <cellStyle name="Normal 2 4 3 2 3 2 7" xfId="25728"/>
    <cellStyle name="Normal 2 4 3 2 3 2 7 2" xfId="25729"/>
    <cellStyle name="Normal 2 4 3 2 3 2 8" xfId="25730"/>
    <cellStyle name="Normal 2 4 3 2 3 2 8 2" xfId="25731"/>
    <cellStyle name="Normal 2 4 3 2 3 2 9" xfId="25732"/>
    <cellStyle name="Normal 2 4 3 2 3 2 9 2" xfId="25733"/>
    <cellStyle name="Normal 2 4 3 2 3 3" xfId="25734"/>
    <cellStyle name="Normal 2 4 3 2 3 3 10" xfId="25735"/>
    <cellStyle name="Normal 2 4 3 2 3 3 10 2" xfId="25736"/>
    <cellStyle name="Normal 2 4 3 2 3 3 11" xfId="25737"/>
    <cellStyle name="Normal 2 4 3 2 3 3 2" xfId="25738"/>
    <cellStyle name="Normal 2 4 3 2 3 3 2 2" xfId="25739"/>
    <cellStyle name="Normal 2 4 3 2 3 3 3" xfId="25740"/>
    <cellStyle name="Normal 2 4 3 2 3 3 3 2" xfId="25741"/>
    <cellStyle name="Normal 2 4 3 2 3 3 4" xfId="25742"/>
    <cellStyle name="Normal 2 4 3 2 3 3 4 2" xfId="25743"/>
    <cellStyle name="Normal 2 4 3 2 3 3 5" xfId="25744"/>
    <cellStyle name="Normal 2 4 3 2 3 3 5 2" xfId="25745"/>
    <cellStyle name="Normal 2 4 3 2 3 3 6" xfId="25746"/>
    <cellStyle name="Normal 2 4 3 2 3 3 6 2" xfId="25747"/>
    <cellStyle name="Normal 2 4 3 2 3 3 7" xfId="25748"/>
    <cellStyle name="Normal 2 4 3 2 3 3 7 2" xfId="25749"/>
    <cellStyle name="Normal 2 4 3 2 3 3 8" xfId="25750"/>
    <cellStyle name="Normal 2 4 3 2 3 3 8 2" xfId="25751"/>
    <cellStyle name="Normal 2 4 3 2 3 3 9" xfId="25752"/>
    <cellStyle name="Normal 2 4 3 2 3 3 9 2" xfId="25753"/>
    <cellStyle name="Normal 2 4 3 2 3 4" xfId="25754"/>
    <cellStyle name="Normal 2 4 3 2 3 4 2" xfId="25755"/>
    <cellStyle name="Normal 2 4 3 2 3 5" xfId="25756"/>
    <cellStyle name="Normal 2 4 3 2 3 5 2" xfId="25757"/>
    <cellStyle name="Normal 2 4 3 2 3 6" xfId="25758"/>
    <cellStyle name="Normal 2 4 3 2 3 6 2" xfId="25759"/>
    <cellStyle name="Normal 2 4 3 2 3 7" xfId="25760"/>
    <cellStyle name="Normal 2 4 3 2 3 7 2" xfId="25761"/>
    <cellStyle name="Normal 2 4 3 2 3 8" xfId="25762"/>
    <cellStyle name="Normal 2 4 3 2 3 8 2" xfId="25763"/>
    <cellStyle name="Normal 2 4 3 2 3 9" xfId="25764"/>
    <cellStyle name="Normal 2 4 3 2 3 9 2" xfId="25765"/>
    <cellStyle name="Normal 2 4 3 2 4" xfId="25766"/>
    <cellStyle name="Normal 2 4 3 2 4 10" xfId="25767"/>
    <cellStyle name="Normal 2 4 3 2 4 10 2" xfId="25768"/>
    <cellStyle name="Normal 2 4 3 2 4 11" xfId="25769"/>
    <cellStyle name="Normal 2 4 3 2 4 11 2" xfId="25770"/>
    <cellStyle name="Normal 2 4 3 2 4 12" xfId="25771"/>
    <cellStyle name="Normal 2 4 3 2 4 12 2" xfId="25772"/>
    <cellStyle name="Normal 2 4 3 2 4 13" xfId="25773"/>
    <cellStyle name="Normal 2 4 3 2 4 2" xfId="25774"/>
    <cellStyle name="Normal 2 4 3 2 4 2 10" xfId="25775"/>
    <cellStyle name="Normal 2 4 3 2 4 2 10 2" xfId="25776"/>
    <cellStyle name="Normal 2 4 3 2 4 2 11" xfId="25777"/>
    <cellStyle name="Normal 2 4 3 2 4 2 11 2" xfId="25778"/>
    <cellStyle name="Normal 2 4 3 2 4 2 12" xfId="25779"/>
    <cellStyle name="Normal 2 4 3 2 4 2 2" xfId="25780"/>
    <cellStyle name="Normal 2 4 3 2 4 2 2 10" xfId="25781"/>
    <cellStyle name="Normal 2 4 3 2 4 2 2 10 2" xfId="25782"/>
    <cellStyle name="Normal 2 4 3 2 4 2 2 11" xfId="25783"/>
    <cellStyle name="Normal 2 4 3 2 4 2 2 2" xfId="25784"/>
    <cellStyle name="Normal 2 4 3 2 4 2 2 2 2" xfId="25785"/>
    <cellStyle name="Normal 2 4 3 2 4 2 2 3" xfId="25786"/>
    <cellStyle name="Normal 2 4 3 2 4 2 2 3 2" xfId="25787"/>
    <cellStyle name="Normal 2 4 3 2 4 2 2 4" xfId="25788"/>
    <cellStyle name="Normal 2 4 3 2 4 2 2 4 2" xfId="25789"/>
    <cellStyle name="Normal 2 4 3 2 4 2 2 5" xfId="25790"/>
    <cellStyle name="Normal 2 4 3 2 4 2 2 5 2" xfId="25791"/>
    <cellStyle name="Normal 2 4 3 2 4 2 2 6" xfId="25792"/>
    <cellStyle name="Normal 2 4 3 2 4 2 2 6 2" xfId="25793"/>
    <cellStyle name="Normal 2 4 3 2 4 2 2 7" xfId="25794"/>
    <cellStyle name="Normal 2 4 3 2 4 2 2 7 2" xfId="25795"/>
    <cellStyle name="Normal 2 4 3 2 4 2 2 8" xfId="25796"/>
    <cellStyle name="Normal 2 4 3 2 4 2 2 8 2" xfId="25797"/>
    <cellStyle name="Normal 2 4 3 2 4 2 2 9" xfId="25798"/>
    <cellStyle name="Normal 2 4 3 2 4 2 2 9 2" xfId="25799"/>
    <cellStyle name="Normal 2 4 3 2 4 2 3" xfId="25800"/>
    <cellStyle name="Normal 2 4 3 2 4 2 3 2" xfId="25801"/>
    <cellStyle name="Normal 2 4 3 2 4 2 4" xfId="25802"/>
    <cellStyle name="Normal 2 4 3 2 4 2 4 2" xfId="25803"/>
    <cellStyle name="Normal 2 4 3 2 4 2 5" xfId="25804"/>
    <cellStyle name="Normal 2 4 3 2 4 2 5 2" xfId="25805"/>
    <cellStyle name="Normal 2 4 3 2 4 2 6" xfId="25806"/>
    <cellStyle name="Normal 2 4 3 2 4 2 6 2" xfId="25807"/>
    <cellStyle name="Normal 2 4 3 2 4 2 7" xfId="25808"/>
    <cellStyle name="Normal 2 4 3 2 4 2 7 2" xfId="25809"/>
    <cellStyle name="Normal 2 4 3 2 4 2 8" xfId="25810"/>
    <cellStyle name="Normal 2 4 3 2 4 2 8 2" xfId="25811"/>
    <cellStyle name="Normal 2 4 3 2 4 2 9" xfId="25812"/>
    <cellStyle name="Normal 2 4 3 2 4 2 9 2" xfId="25813"/>
    <cellStyle name="Normal 2 4 3 2 4 3" xfId="25814"/>
    <cellStyle name="Normal 2 4 3 2 4 3 10" xfId="25815"/>
    <cellStyle name="Normal 2 4 3 2 4 3 10 2" xfId="25816"/>
    <cellStyle name="Normal 2 4 3 2 4 3 11" xfId="25817"/>
    <cellStyle name="Normal 2 4 3 2 4 3 2" xfId="25818"/>
    <cellStyle name="Normal 2 4 3 2 4 3 2 2" xfId="25819"/>
    <cellStyle name="Normal 2 4 3 2 4 3 3" xfId="25820"/>
    <cellStyle name="Normal 2 4 3 2 4 3 3 2" xfId="25821"/>
    <cellStyle name="Normal 2 4 3 2 4 3 4" xfId="25822"/>
    <cellStyle name="Normal 2 4 3 2 4 3 4 2" xfId="25823"/>
    <cellStyle name="Normal 2 4 3 2 4 3 5" xfId="25824"/>
    <cellStyle name="Normal 2 4 3 2 4 3 5 2" xfId="25825"/>
    <cellStyle name="Normal 2 4 3 2 4 3 6" xfId="25826"/>
    <cellStyle name="Normal 2 4 3 2 4 3 6 2" xfId="25827"/>
    <cellStyle name="Normal 2 4 3 2 4 3 7" xfId="25828"/>
    <cellStyle name="Normal 2 4 3 2 4 3 7 2" xfId="25829"/>
    <cellStyle name="Normal 2 4 3 2 4 3 8" xfId="25830"/>
    <cellStyle name="Normal 2 4 3 2 4 3 8 2" xfId="25831"/>
    <cellStyle name="Normal 2 4 3 2 4 3 9" xfId="25832"/>
    <cellStyle name="Normal 2 4 3 2 4 3 9 2" xfId="25833"/>
    <cellStyle name="Normal 2 4 3 2 4 4" xfId="25834"/>
    <cellStyle name="Normal 2 4 3 2 4 4 2" xfId="25835"/>
    <cellStyle name="Normal 2 4 3 2 4 5" xfId="25836"/>
    <cellStyle name="Normal 2 4 3 2 4 5 2" xfId="25837"/>
    <cellStyle name="Normal 2 4 3 2 4 6" xfId="25838"/>
    <cellStyle name="Normal 2 4 3 2 4 6 2" xfId="25839"/>
    <cellStyle name="Normal 2 4 3 2 4 7" xfId="25840"/>
    <cellStyle name="Normal 2 4 3 2 4 7 2" xfId="25841"/>
    <cellStyle name="Normal 2 4 3 2 4 8" xfId="25842"/>
    <cellStyle name="Normal 2 4 3 2 4 8 2" xfId="25843"/>
    <cellStyle name="Normal 2 4 3 2 4 9" xfId="25844"/>
    <cellStyle name="Normal 2 4 3 2 4 9 2" xfId="25845"/>
    <cellStyle name="Normal 2 4 3 2 5" xfId="25846"/>
    <cellStyle name="Normal 2 4 3 2 5 10" xfId="25847"/>
    <cellStyle name="Normal 2 4 3 2 5 10 2" xfId="25848"/>
    <cellStyle name="Normal 2 4 3 2 5 11" xfId="25849"/>
    <cellStyle name="Normal 2 4 3 2 5 11 2" xfId="25850"/>
    <cellStyle name="Normal 2 4 3 2 5 12" xfId="25851"/>
    <cellStyle name="Normal 2 4 3 2 5 12 2" xfId="25852"/>
    <cellStyle name="Normal 2 4 3 2 5 13" xfId="25853"/>
    <cellStyle name="Normal 2 4 3 2 5 2" xfId="25854"/>
    <cellStyle name="Normal 2 4 3 2 5 2 10" xfId="25855"/>
    <cellStyle name="Normal 2 4 3 2 5 2 10 2" xfId="25856"/>
    <cellStyle name="Normal 2 4 3 2 5 2 11" xfId="25857"/>
    <cellStyle name="Normal 2 4 3 2 5 2 11 2" xfId="25858"/>
    <cellStyle name="Normal 2 4 3 2 5 2 12" xfId="25859"/>
    <cellStyle name="Normal 2 4 3 2 5 2 2" xfId="25860"/>
    <cellStyle name="Normal 2 4 3 2 5 2 2 10" xfId="25861"/>
    <cellStyle name="Normal 2 4 3 2 5 2 2 10 2" xfId="25862"/>
    <cellStyle name="Normal 2 4 3 2 5 2 2 11" xfId="25863"/>
    <cellStyle name="Normal 2 4 3 2 5 2 2 2" xfId="25864"/>
    <cellStyle name="Normal 2 4 3 2 5 2 2 2 2" xfId="25865"/>
    <cellStyle name="Normal 2 4 3 2 5 2 2 3" xfId="25866"/>
    <cellStyle name="Normal 2 4 3 2 5 2 2 3 2" xfId="25867"/>
    <cellStyle name="Normal 2 4 3 2 5 2 2 4" xfId="25868"/>
    <cellStyle name="Normal 2 4 3 2 5 2 2 4 2" xfId="25869"/>
    <cellStyle name="Normal 2 4 3 2 5 2 2 5" xfId="25870"/>
    <cellStyle name="Normal 2 4 3 2 5 2 2 5 2" xfId="25871"/>
    <cellStyle name="Normal 2 4 3 2 5 2 2 6" xfId="25872"/>
    <cellStyle name="Normal 2 4 3 2 5 2 2 6 2" xfId="25873"/>
    <cellStyle name="Normal 2 4 3 2 5 2 2 7" xfId="25874"/>
    <cellStyle name="Normal 2 4 3 2 5 2 2 7 2" xfId="25875"/>
    <cellStyle name="Normal 2 4 3 2 5 2 2 8" xfId="25876"/>
    <cellStyle name="Normal 2 4 3 2 5 2 2 8 2" xfId="25877"/>
    <cellStyle name="Normal 2 4 3 2 5 2 2 9" xfId="25878"/>
    <cellStyle name="Normal 2 4 3 2 5 2 2 9 2" xfId="25879"/>
    <cellStyle name="Normal 2 4 3 2 5 2 3" xfId="25880"/>
    <cellStyle name="Normal 2 4 3 2 5 2 3 2" xfId="25881"/>
    <cellStyle name="Normal 2 4 3 2 5 2 4" xfId="25882"/>
    <cellStyle name="Normal 2 4 3 2 5 2 4 2" xfId="25883"/>
    <cellStyle name="Normal 2 4 3 2 5 2 5" xfId="25884"/>
    <cellStyle name="Normal 2 4 3 2 5 2 5 2" xfId="25885"/>
    <cellStyle name="Normal 2 4 3 2 5 2 6" xfId="25886"/>
    <cellStyle name="Normal 2 4 3 2 5 2 6 2" xfId="25887"/>
    <cellStyle name="Normal 2 4 3 2 5 2 7" xfId="25888"/>
    <cellStyle name="Normal 2 4 3 2 5 2 7 2" xfId="25889"/>
    <cellStyle name="Normal 2 4 3 2 5 2 8" xfId="25890"/>
    <cellStyle name="Normal 2 4 3 2 5 2 8 2" xfId="25891"/>
    <cellStyle name="Normal 2 4 3 2 5 2 9" xfId="25892"/>
    <cellStyle name="Normal 2 4 3 2 5 2 9 2" xfId="25893"/>
    <cellStyle name="Normal 2 4 3 2 5 3" xfId="25894"/>
    <cellStyle name="Normal 2 4 3 2 5 3 10" xfId="25895"/>
    <cellStyle name="Normal 2 4 3 2 5 3 10 2" xfId="25896"/>
    <cellStyle name="Normal 2 4 3 2 5 3 11" xfId="25897"/>
    <cellStyle name="Normal 2 4 3 2 5 3 2" xfId="25898"/>
    <cellStyle name="Normal 2 4 3 2 5 3 2 2" xfId="25899"/>
    <cellStyle name="Normal 2 4 3 2 5 3 3" xfId="25900"/>
    <cellStyle name="Normal 2 4 3 2 5 3 3 2" xfId="25901"/>
    <cellStyle name="Normal 2 4 3 2 5 3 4" xfId="25902"/>
    <cellStyle name="Normal 2 4 3 2 5 3 4 2" xfId="25903"/>
    <cellStyle name="Normal 2 4 3 2 5 3 5" xfId="25904"/>
    <cellStyle name="Normal 2 4 3 2 5 3 5 2" xfId="25905"/>
    <cellStyle name="Normal 2 4 3 2 5 3 6" xfId="25906"/>
    <cellStyle name="Normal 2 4 3 2 5 3 6 2" xfId="25907"/>
    <cellStyle name="Normal 2 4 3 2 5 3 7" xfId="25908"/>
    <cellStyle name="Normal 2 4 3 2 5 3 7 2" xfId="25909"/>
    <cellStyle name="Normal 2 4 3 2 5 3 8" xfId="25910"/>
    <cellStyle name="Normal 2 4 3 2 5 3 8 2" xfId="25911"/>
    <cellStyle name="Normal 2 4 3 2 5 3 9" xfId="25912"/>
    <cellStyle name="Normal 2 4 3 2 5 3 9 2" xfId="25913"/>
    <cellStyle name="Normal 2 4 3 2 5 4" xfId="25914"/>
    <cellStyle name="Normal 2 4 3 2 5 4 2" xfId="25915"/>
    <cellStyle name="Normal 2 4 3 2 5 5" xfId="25916"/>
    <cellStyle name="Normal 2 4 3 2 5 5 2" xfId="25917"/>
    <cellStyle name="Normal 2 4 3 2 5 6" xfId="25918"/>
    <cellStyle name="Normal 2 4 3 2 5 6 2" xfId="25919"/>
    <cellStyle name="Normal 2 4 3 2 5 7" xfId="25920"/>
    <cellStyle name="Normal 2 4 3 2 5 7 2" xfId="25921"/>
    <cellStyle name="Normal 2 4 3 2 5 8" xfId="25922"/>
    <cellStyle name="Normal 2 4 3 2 5 8 2" xfId="25923"/>
    <cellStyle name="Normal 2 4 3 2 5 9" xfId="25924"/>
    <cellStyle name="Normal 2 4 3 2 5 9 2" xfId="25925"/>
    <cellStyle name="Normal 2 4 3 2 6" xfId="42034"/>
    <cellStyle name="Normal 2 4 3 3" xfId="25926"/>
    <cellStyle name="Normal 2 4 3 3 2" xfId="42035"/>
    <cellStyle name="Normal 2 4 3 4" xfId="25927"/>
    <cellStyle name="Normal 2 4 3 4 2" xfId="42036"/>
    <cellStyle name="Normal 2 4 3 5" xfId="25928"/>
    <cellStyle name="Normal 2 4 3 5 2" xfId="42037"/>
    <cellStyle name="Normal 2 4 3 6" xfId="25929"/>
    <cellStyle name="Normal 2 4 3 6 2" xfId="42038"/>
    <cellStyle name="Normal 2 4 3 7" xfId="25930"/>
    <cellStyle name="Normal 2 4 3 7 10" xfId="25931"/>
    <cellStyle name="Normal 2 4 3 7 10 2" xfId="25932"/>
    <cellStyle name="Normal 2 4 3 7 11" xfId="25933"/>
    <cellStyle name="Normal 2 4 3 7 11 2" xfId="25934"/>
    <cellStyle name="Normal 2 4 3 7 12" xfId="25935"/>
    <cellStyle name="Normal 2 4 3 7 2" xfId="25936"/>
    <cellStyle name="Normal 2 4 3 7 2 10" xfId="25937"/>
    <cellStyle name="Normal 2 4 3 7 2 10 2" xfId="25938"/>
    <cellStyle name="Normal 2 4 3 7 2 11" xfId="25939"/>
    <cellStyle name="Normal 2 4 3 7 2 2" xfId="25940"/>
    <cellStyle name="Normal 2 4 3 7 2 2 2" xfId="25941"/>
    <cellStyle name="Normal 2 4 3 7 2 3" xfId="25942"/>
    <cellStyle name="Normal 2 4 3 7 2 3 2" xfId="25943"/>
    <cellStyle name="Normal 2 4 3 7 2 4" xfId="25944"/>
    <cellStyle name="Normal 2 4 3 7 2 4 2" xfId="25945"/>
    <cellStyle name="Normal 2 4 3 7 2 5" xfId="25946"/>
    <cellStyle name="Normal 2 4 3 7 2 5 2" xfId="25947"/>
    <cellStyle name="Normal 2 4 3 7 2 6" xfId="25948"/>
    <cellStyle name="Normal 2 4 3 7 2 6 2" xfId="25949"/>
    <cellStyle name="Normal 2 4 3 7 2 7" xfId="25950"/>
    <cellStyle name="Normal 2 4 3 7 2 7 2" xfId="25951"/>
    <cellStyle name="Normal 2 4 3 7 2 8" xfId="25952"/>
    <cellStyle name="Normal 2 4 3 7 2 8 2" xfId="25953"/>
    <cellStyle name="Normal 2 4 3 7 2 9" xfId="25954"/>
    <cellStyle name="Normal 2 4 3 7 2 9 2" xfId="25955"/>
    <cellStyle name="Normal 2 4 3 7 3" xfId="25956"/>
    <cellStyle name="Normal 2 4 3 7 3 2" xfId="25957"/>
    <cellStyle name="Normal 2 4 3 7 4" xfId="25958"/>
    <cellStyle name="Normal 2 4 3 7 4 2" xfId="25959"/>
    <cellStyle name="Normal 2 4 3 7 5" xfId="25960"/>
    <cellStyle name="Normal 2 4 3 7 5 2" xfId="25961"/>
    <cellStyle name="Normal 2 4 3 7 6" xfId="25962"/>
    <cellStyle name="Normal 2 4 3 7 6 2" xfId="25963"/>
    <cellStyle name="Normal 2 4 3 7 7" xfId="25964"/>
    <cellStyle name="Normal 2 4 3 7 7 2" xfId="25965"/>
    <cellStyle name="Normal 2 4 3 7 8" xfId="25966"/>
    <cellStyle name="Normal 2 4 3 7 8 2" xfId="25967"/>
    <cellStyle name="Normal 2 4 3 7 9" xfId="25968"/>
    <cellStyle name="Normal 2 4 3 7 9 2" xfId="25969"/>
    <cellStyle name="Normal 2 4 3 8" xfId="25970"/>
    <cellStyle name="Normal 2 4 3 8 10" xfId="25971"/>
    <cellStyle name="Normal 2 4 3 8 10 2" xfId="25972"/>
    <cellStyle name="Normal 2 4 3 8 11" xfId="25973"/>
    <cellStyle name="Normal 2 4 3 8 2" xfId="25974"/>
    <cellStyle name="Normal 2 4 3 8 2 2" xfId="25975"/>
    <cellStyle name="Normal 2 4 3 8 3" xfId="25976"/>
    <cellStyle name="Normal 2 4 3 8 3 2" xfId="25977"/>
    <cellStyle name="Normal 2 4 3 8 4" xfId="25978"/>
    <cellStyle name="Normal 2 4 3 8 4 2" xfId="25979"/>
    <cellStyle name="Normal 2 4 3 8 5" xfId="25980"/>
    <cellStyle name="Normal 2 4 3 8 5 2" xfId="25981"/>
    <cellStyle name="Normal 2 4 3 8 6" xfId="25982"/>
    <cellStyle name="Normal 2 4 3 8 6 2" xfId="25983"/>
    <cellStyle name="Normal 2 4 3 8 7" xfId="25984"/>
    <cellStyle name="Normal 2 4 3 8 7 2" xfId="25985"/>
    <cellStyle name="Normal 2 4 3 8 8" xfId="25986"/>
    <cellStyle name="Normal 2 4 3 8 8 2" xfId="25987"/>
    <cellStyle name="Normal 2 4 3 8 9" xfId="25988"/>
    <cellStyle name="Normal 2 4 3 8 9 2" xfId="25989"/>
    <cellStyle name="Normal 2 4 3 9" xfId="25990"/>
    <cellStyle name="Normal 2 4 3 9 2" xfId="25991"/>
    <cellStyle name="Normal 2 4 4" xfId="25992"/>
    <cellStyle name="Normal 2 4 4 2" xfId="42039"/>
    <cellStyle name="Normal 2 4 5" xfId="25993"/>
    <cellStyle name="Normal 2 4 5 2" xfId="42040"/>
    <cellStyle name="Normal 2 4 6" xfId="25994"/>
    <cellStyle name="Normal 2 4 6 10" xfId="25995"/>
    <cellStyle name="Normal 2 4 6 10 2" xfId="25996"/>
    <cellStyle name="Normal 2 4 6 11" xfId="25997"/>
    <cellStyle name="Normal 2 4 6 11 2" xfId="25998"/>
    <cellStyle name="Normal 2 4 6 12" xfId="25999"/>
    <cellStyle name="Normal 2 4 6 12 2" xfId="26000"/>
    <cellStyle name="Normal 2 4 6 13" xfId="26001"/>
    <cellStyle name="Normal 2 4 6 13 2" xfId="26002"/>
    <cellStyle name="Normal 2 4 6 14" xfId="26003"/>
    <cellStyle name="Normal 2 4 6 14 2" xfId="26004"/>
    <cellStyle name="Normal 2 4 6 15" xfId="26005"/>
    <cellStyle name="Normal 2 4 6 15 2" xfId="26006"/>
    <cellStyle name="Normal 2 4 6 16" xfId="26007"/>
    <cellStyle name="Normal 2 4 6 16 2" xfId="26008"/>
    <cellStyle name="Normal 2 4 6 17" xfId="26009"/>
    <cellStyle name="Normal 2 4 6 2" xfId="26010"/>
    <cellStyle name="Normal 2 4 6 2 2" xfId="42041"/>
    <cellStyle name="Normal 2 4 6 3" xfId="26011"/>
    <cellStyle name="Normal 2 4 6 3 2" xfId="42042"/>
    <cellStyle name="Normal 2 4 6 4" xfId="26012"/>
    <cellStyle name="Normal 2 4 6 4 2" xfId="42043"/>
    <cellStyle name="Normal 2 4 6 5" xfId="26013"/>
    <cellStyle name="Normal 2 4 6 5 2" xfId="42044"/>
    <cellStyle name="Normal 2 4 6 6" xfId="26014"/>
    <cellStyle name="Normal 2 4 6 6 10" xfId="26015"/>
    <cellStyle name="Normal 2 4 6 6 10 2" xfId="26016"/>
    <cellStyle name="Normal 2 4 6 6 11" xfId="26017"/>
    <cellStyle name="Normal 2 4 6 6 11 2" xfId="26018"/>
    <cellStyle name="Normal 2 4 6 6 12" xfId="26019"/>
    <cellStyle name="Normal 2 4 6 6 2" xfId="26020"/>
    <cellStyle name="Normal 2 4 6 6 2 10" xfId="26021"/>
    <cellStyle name="Normal 2 4 6 6 2 10 2" xfId="26022"/>
    <cellStyle name="Normal 2 4 6 6 2 11" xfId="26023"/>
    <cellStyle name="Normal 2 4 6 6 2 2" xfId="26024"/>
    <cellStyle name="Normal 2 4 6 6 2 2 2" xfId="26025"/>
    <cellStyle name="Normal 2 4 6 6 2 3" xfId="26026"/>
    <cellStyle name="Normal 2 4 6 6 2 3 2" xfId="26027"/>
    <cellStyle name="Normal 2 4 6 6 2 4" xfId="26028"/>
    <cellStyle name="Normal 2 4 6 6 2 4 2" xfId="26029"/>
    <cellStyle name="Normal 2 4 6 6 2 5" xfId="26030"/>
    <cellStyle name="Normal 2 4 6 6 2 5 2" xfId="26031"/>
    <cellStyle name="Normal 2 4 6 6 2 6" xfId="26032"/>
    <cellStyle name="Normal 2 4 6 6 2 6 2" xfId="26033"/>
    <cellStyle name="Normal 2 4 6 6 2 7" xfId="26034"/>
    <cellStyle name="Normal 2 4 6 6 2 7 2" xfId="26035"/>
    <cellStyle name="Normal 2 4 6 6 2 8" xfId="26036"/>
    <cellStyle name="Normal 2 4 6 6 2 8 2" xfId="26037"/>
    <cellStyle name="Normal 2 4 6 6 2 9" xfId="26038"/>
    <cellStyle name="Normal 2 4 6 6 2 9 2" xfId="26039"/>
    <cellStyle name="Normal 2 4 6 6 3" xfId="26040"/>
    <cellStyle name="Normal 2 4 6 6 3 2" xfId="26041"/>
    <cellStyle name="Normal 2 4 6 6 4" xfId="26042"/>
    <cellStyle name="Normal 2 4 6 6 4 2" xfId="26043"/>
    <cellStyle name="Normal 2 4 6 6 5" xfId="26044"/>
    <cellStyle name="Normal 2 4 6 6 5 2" xfId="26045"/>
    <cellStyle name="Normal 2 4 6 6 6" xfId="26046"/>
    <cellStyle name="Normal 2 4 6 6 6 2" xfId="26047"/>
    <cellStyle name="Normal 2 4 6 6 7" xfId="26048"/>
    <cellStyle name="Normal 2 4 6 6 7 2" xfId="26049"/>
    <cellStyle name="Normal 2 4 6 6 8" xfId="26050"/>
    <cellStyle name="Normal 2 4 6 6 8 2" xfId="26051"/>
    <cellStyle name="Normal 2 4 6 6 9" xfId="26052"/>
    <cellStyle name="Normal 2 4 6 6 9 2" xfId="26053"/>
    <cellStyle name="Normal 2 4 6 7" xfId="26054"/>
    <cellStyle name="Normal 2 4 6 7 10" xfId="26055"/>
    <cellStyle name="Normal 2 4 6 7 10 2" xfId="26056"/>
    <cellStyle name="Normal 2 4 6 7 11" xfId="26057"/>
    <cellStyle name="Normal 2 4 6 7 2" xfId="26058"/>
    <cellStyle name="Normal 2 4 6 7 2 2" xfId="26059"/>
    <cellStyle name="Normal 2 4 6 7 3" xfId="26060"/>
    <cellStyle name="Normal 2 4 6 7 3 2" xfId="26061"/>
    <cellStyle name="Normal 2 4 6 7 4" xfId="26062"/>
    <cellStyle name="Normal 2 4 6 7 4 2" xfId="26063"/>
    <cellStyle name="Normal 2 4 6 7 5" xfId="26064"/>
    <cellStyle name="Normal 2 4 6 7 5 2" xfId="26065"/>
    <cellStyle name="Normal 2 4 6 7 6" xfId="26066"/>
    <cellStyle name="Normal 2 4 6 7 6 2" xfId="26067"/>
    <cellStyle name="Normal 2 4 6 7 7" xfId="26068"/>
    <cellStyle name="Normal 2 4 6 7 7 2" xfId="26069"/>
    <cellStyle name="Normal 2 4 6 7 8" xfId="26070"/>
    <cellStyle name="Normal 2 4 6 7 8 2" xfId="26071"/>
    <cellStyle name="Normal 2 4 6 7 9" xfId="26072"/>
    <cellStyle name="Normal 2 4 6 7 9 2" xfId="26073"/>
    <cellStyle name="Normal 2 4 6 8" xfId="26074"/>
    <cellStyle name="Normal 2 4 6 8 2" xfId="26075"/>
    <cellStyle name="Normal 2 4 6 9" xfId="26076"/>
    <cellStyle name="Normal 2 4 6 9 2" xfId="26077"/>
    <cellStyle name="Normal 2 4 7" xfId="26078"/>
    <cellStyle name="Normal 2 4 7 10" xfId="26079"/>
    <cellStyle name="Normal 2 4 7 10 2" xfId="26080"/>
    <cellStyle name="Normal 2 4 7 11" xfId="26081"/>
    <cellStyle name="Normal 2 4 7 11 2" xfId="26082"/>
    <cellStyle name="Normal 2 4 7 12" xfId="26083"/>
    <cellStyle name="Normal 2 4 7 12 2" xfId="26084"/>
    <cellStyle name="Normal 2 4 7 13" xfId="26085"/>
    <cellStyle name="Normal 2 4 7 2" xfId="26086"/>
    <cellStyle name="Normal 2 4 7 2 10" xfId="26087"/>
    <cellStyle name="Normal 2 4 7 2 10 2" xfId="26088"/>
    <cellStyle name="Normal 2 4 7 2 11" xfId="26089"/>
    <cellStyle name="Normal 2 4 7 2 11 2" xfId="26090"/>
    <cellStyle name="Normal 2 4 7 2 12" xfId="26091"/>
    <cellStyle name="Normal 2 4 7 2 2" xfId="26092"/>
    <cellStyle name="Normal 2 4 7 2 2 10" xfId="26093"/>
    <cellStyle name="Normal 2 4 7 2 2 10 2" xfId="26094"/>
    <cellStyle name="Normal 2 4 7 2 2 11" xfId="26095"/>
    <cellStyle name="Normal 2 4 7 2 2 2" xfId="26096"/>
    <cellStyle name="Normal 2 4 7 2 2 2 2" xfId="26097"/>
    <cellStyle name="Normal 2 4 7 2 2 3" xfId="26098"/>
    <cellStyle name="Normal 2 4 7 2 2 3 2" xfId="26099"/>
    <cellStyle name="Normal 2 4 7 2 2 4" xfId="26100"/>
    <cellStyle name="Normal 2 4 7 2 2 4 2" xfId="26101"/>
    <cellStyle name="Normal 2 4 7 2 2 5" xfId="26102"/>
    <cellStyle name="Normal 2 4 7 2 2 5 2" xfId="26103"/>
    <cellStyle name="Normal 2 4 7 2 2 6" xfId="26104"/>
    <cellStyle name="Normal 2 4 7 2 2 6 2" xfId="26105"/>
    <cellStyle name="Normal 2 4 7 2 2 7" xfId="26106"/>
    <cellStyle name="Normal 2 4 7 2 2 7 2" xfId="26107"/>
    <cellStyle name="Normal 2 4 7 2 2 8" xfId="26108"/>
    <cellStyle name="Normal 2 4 7 2 2 8 2" xfId="26109"/>
    <cellStyle name="Normal 2 4 7 2 2 9" xfId="26110"/>
    <cellStyle name="Normal 2 4 7 2 2 9 2" xfId="26111"/>
    <cellStyle name="Normal 2 4 7 2 3" xfId="26112"/>
    <cellStyle name="Normal 2 4 7 2 3 2" xfId="26113"/>
    <cellStyle name="Normal 2 4 7 2 4" xfId="26114"/>
    <cellStyle name="Normal 2 4 7 2 4 2" xfId="26115"/>
    <cellStyle name="Normal 2 4 7 2 5" xfId="26116"/>
    <cellStyle name="Normal 2 4 7 2 5 2" xfId="26117"/>
    <cellStyle name="Normal 2 4 7 2 6" xfId="26118"/>
    <cellStyle name="Normal 2 4 7 2 6 2" xfId="26119"/>
    <cellStyle name="Normal 2 4 7 2 7" xfId="26120"/>
    <cellStyle name="Normal 2 4 7 2 7 2" xfId="26121"/>
    <cellStyle name="Normal 2 4 7 2 8" xfId="26122"/>
    <cellStyle name="Normal 2 4 7 2 8 2" xfId="26123"/>
    <cellStyle name="Normal 2 4 7 2 9" xfId="26124"/>
    <cellStyle name="Normal 2 4 7 2 9 2" xfId="26125"/>
    <cellStyle name="Normal 2 4 7 3" xfId="26126"/>
    <cellStyle name="Normal 2 4 7 3 10" xfId="26127"/>
    <cellStyle name="Normal 2 4 7 3 10 2" xfId="26128"/>
    <cellStyle name="Normal 2 4 7 3 11" xfId="26129"/>
    <cellStyle name="Normal 2 4 7 3 2" xfId="26130"/>
    <cellStyle name="Normal 2 4 7 3 2 2" xfId="26131"/>
    <cellStyle name="Normal 2 4 7 3 3" xfId="26132"/>
    <cellStyle name="Normal 2 4 7 3 3 2" xfId="26133"/>
    <cellStyle name="Normal 2 4 7 3 4" xfId="26134"/>
    <cellStyle name="Normal 2 4 7 3 4 2" xfId="26135"/>
    <cellStyle name="Normal 2 4 7 3 5" xfId="26136"/>
    <cellStyle name="Normal 2 4 7 3 5 2" xfId="26137"/>
    <cellStyle name="Normal 2 4 7 3 6" xfId="26138"/>
    <cellStyle name="Normal 2 4 7 3 6 2" xfId="26139"/>
    <cellStyle name="Normal 2 4 7 3 7" xfId="26140"/>
    <cellStyle name="Normal 2 4 7 3 7 2" xfId="26141"/>
    <cellStyle name="Normal 2 4 7 3 8" xfId="26142"/>
    <cellStyle name="Normal 2 4 7 3 8 2" xfId="26143"/>
    <cellStyle name="Normal 2 4 7 3 9" xfId="26144"/>
    <cellStyle name="Normal 2 4 7 3 9 2" xfId="26145"/>
    <cellStyle name="Normal 2 4 7 4" xfId="26146"/>
    <cellStyle name="Normal 2 4 7 4 2" xfId="26147"/>
    <cellStyle name="Normal 2 4 7 5" xfId="26148"/>
    <cellStyle name="Normal 2 4 7 5 2" xfId="26149"/>
    <cellStyle name="Normal 2 4 7 6" xfId="26150"/>
    <cellStyle name="Normal 2 4 7 6 2" xfId="26151"/>
    <cellStyle name="Normal 2 4 7 7" xfId="26152"/>
    <cellStyle name="Normal 2 4 7 7 2" xfId="26153"/>
    <cellStyle name="Normal 2 4 7 8" xfId="26154"/>
    <cellStyle name="Normal 2 4 7 8 2" xfId="26155"/>
    <cellStyle name="Normal 2 4 7 9" xfId="26156"/>
    <cellStyle name="Normal 2 4 7 9 2" xfId="26157"/>
    <cellStyle name="Normal 2 4 8" xfId="26158"/>
    <cellStyle name="Normal 2 4 8 10" xfId="26159"/>
    <cellStyle name="Normal 2 4 8 10 2" xfId="26160"/>
    <cellStyle name="Normal 2 4 8 11" xfId="26161"/>
    <cellStyle name="Normal 2 4 8 11 2" xfId="26162"/>
    <cellStyle name="Normal 2 4 8 12" xfId="26163"/>
    <cellStyle name="Normal 2 4 8 12 2" xfId="26164"/>
    <cellStyle name="Normal 2 4 8 13" xfId="26165"/>
    <cellStyle name="Normal 2 4 8 2" xfId="26166"/>
    <cellStyle name="Normal 2 4 8 2 10" xfId="26167"/>
    <cellStyle name="Normal 2 4 8 2 10 2" xfId="26168"/>
    <cellStyle name="Normal 2 4 8 2 11" xfId="26169"/>
    <cellStyle name="Normal 2 4 8 2 11 2" xfId="26170"/>
    <cellStyle name="Normal 2 4 8 2 12" xfId="26171"/>
    <cellStyle name="Normal 2 4 8 2 2" xfId="26172"/>
    <cellStyle name="Normal 2 4 8 2 2 10" xfId="26173"/>
    <cellStyle name="Normal 2 4 8 2 2 10 2" xfId="26174"/>
    <cellStyle name="Normal 2 4 8 2 2 11" xfId="26175"/>
    <cellStyle name="Normal 2 4 8 2 2 2" xfId="26176"/>
    <cellStyle name="Normal 2 4 8 2 2 2 2" xfId="26177"/>
    <cellStyle name="Normal 2 4 8 2 2 3" xfId="26178"/>
    <cellStyle name="Normal 2 4 8 2 2 3 2" xfId="26179"/>
    <cellStyle name="Normal 2 4 8 2 2 4" xfId="26180"/>
    <cellStyle name="Normal 2 4 8 2 2 4 2" xfId="26181"/>
    <cellStyle name="Normal 2 4 8 2 2 5" xfId="26182"/>
    <cellStyle name="Normal 2 4 8 2 2 5 2" xfId="26183"/>
    <cellStyle name="Normal 2 4 8 2 2 6" xfId="26184"/>
    <cellStyle name="Normal 2 4 8 2 2 6 2" xfId="26185"/>
    <cellStyle name="Normal 2 4 8 2 2 7" xfId="26186"/>
    <cellStyle name="Normal 2 4 8 2 2 7 2" xfId="26187"/>
    <cellStyle name="Normal 2 4 8 2 2 8" xfId="26188"/>
    <cellStyle name="Normal 2 4 8 2 2 8 2" xfId="26189"/>
    <cellStyle name="Normal 2 4 8 2 2 9" xfId="26190"/>
    <cellStyle name="Normal 2 4 8 2 2 9 2" xfId="26191"/>
    <cellStyle name="Normal 2 4 8 2 3" xfId="26192"/>
    <cellStyle name="Normal 2 4 8 2 3 2" xfId="26193"/>
    <cellStyle name="Normal 2 4 8 2 4" xfId="26194"/>
    <cellStyle name="Normal 2 4 8 2 4 2" xfId="26195"/>
    <cellStyle name="Normal 2 4 8 2 5" xfId="26196"/>
    <cellStyle name="Normal 2 4 8 2 5 2" xfId="26197"/>
    <cellStyle name="Normal 2 4 8 2 6" xfId="26198"/>
    <cellStyle name="Normal 2 4 8 2 6 2" xfId="26199"/>
    <cellStyle name="Normal 2 4 8 2 7" xfId="26200"/>
    <cellStyle name="Normal 2 4 8 2 7 2" xfId="26201"/>
    <cellStyle name="Normal 2 4 8 2 8" xfId="26202"/>
    <cellStyle name="Normal 2 4 8 2 8 2" xfId="26203"/>
    <cellStyle name="Normal 2 4 8 2 9" xfId="26204"/>
    <cellStyle name="Normal 2 4 8 2 9 2" xfId="26205"/>
    <cellStyle name="Normal 2 4 8 3" xfId="26206"/>
    <cellStyle name="Normal 2 4 8 3 10" xfId="26207"/>
    <cellStyle name="Normal 2 4 8 3 10 2" xfId="26208"/>
    <cellStyle name="Normal 2 4 8 3 11" xfId="26209"/>
    <cellStyle name="Normal 2 4 8 3 2" xfId="26210"/>
    <cellStyle name="Normal 2 4 8 3 2 2" xfId="26211"/>
    <cellStyle name="Normal 2 4 8 3 3" xfId="26212"/>
    <cellStyle name="Normal 2 4 8 3 3 2" xfId="26213"/>
    <cellStyle name="Normal 2 4 8 3 4" xfId="26214"/>
    <cellStyle name="Normal 2 4 8 3 4 2" xfId="26215"/>
    <cellStyle name="Normal 2 4 8 3 5" xfId="26216"/>
    <cellStyle name="Normal 2 4 8 3 5 2" xfId="26217"/>
    <cellStyle name="Normal 2 4 8 3 6" xfId="26218"/>
    <cellStyle name="Normal 2 4 8 3 6 2" xfId="26219"/>
    <cellStyle name="Normal 2 4 8 3 7" xfId="26220"/>
    <cellStyle name="Normal 2 4 8 3 7 2" xfId="26221"/>
    <cellStyle name="Normal 2 4 8 3 8" xfId="26222"/>
    <cellStyle name="Normal 2 4 8 3 8 2" xfId="26223"/>
    <cellStyle name="Normal 2 4 8 3 9" xfId="26224"/>
    <cellStyle name="Normal 2 4 8 3 9 2" xfId="26225"/>
    <cellStyle name="Normal 2 4 8 4" xfId="26226"/>
    <cellStyle name="Normal 2 4 8 4 2" xfId="26227"/>
    <cellStyle name="Normal 2 4 8 5" xfId="26228"/>
    <cellStyle name="Normal 2 4 8 5 2" xfId="26229"/>
    <cellStyle name="Normal 2 4 8 6" xfId="26230"/>
    <cellStyle name="Normal 2 4 8 6 2" xfId="26231"/>
    <cellStyle name="Normal 2 4 8 7" xfId="26232"/>
    <cellStyle name="Normal 2 4 8 7 2" xfId="26233"/>
    <cellStyle name="Normal 2 4 8 8" xfId="26234"/>
    <cellStyle name="Normal 2 4 8 8 2" xfId="26235"/>
    <cellStyle name="Normal 2 4 8 9" xfId="26236"/>
    <cellStyle name="Normal 2 4 8 9 2" xfId="26237"/>
    <cellStyle name="Normal 2 4 9" xfId="26238"/>
    <cellStyle name="Normal 2 4 9 10" xfId="26239"/>
    <cellStyle name="Normal 2 4 9 10 2" xfId="26240"/>
    <cellStyle name="Normal 2 4 9 11" xfId="26241"/>
    <cellStyle name="Normal 2 4 9 11 2" xfId="26242"/>
    <cellStyle name="Normal 2 4 9 12" xfId="26243"/>
    <cellStyle name="Normal 2 4 9 12 2" xfId="26244"/>
    <cellStyle name="Normal 2 4 9 13" xfId="26245"/>
    <cellStyle name="Normal 2 4 9 2" xfId="26246"/>
    <cellStyle name="Normal 2 4 9 2 10" xfId="26247"/>
    <cellStyle name="Normal 2 4 9 2 10 2" xfId="26248"/>
    <cellStyle name="Normal 2 4 9 2 11" xfId="26249"/>
    <cellStyle name="Normal 2 4 9 2 11 2" xfId="26250"/>
    <cellStyle name="Normal 2 4 9 2 12" xfId="26251"/>
    <cellStyle name="Normal 2 4 9 2 2" xfId="26252"/>
    <cellStyle name="Normal 2 4 9 2 2 10" xfId="26253"/>
    <cellStyle name="Normal 2 4 9 2 2 10 2" xfId="26254"/>
    <cellStyle name="Normal 2 4 9 2 2 11" xfId="26255"/>
    <cellStyle name="Normal 2 4 9 2 2 2" xfId="26256"/>
    <cellStyle name="Normal 2 4 9 2 2 2 2" xfId="26257"/>
    <cellStyle name="Normal 2 4 9 2 2 3" xfId="26258"/>
    <cellStyle name="Normal 2 4 9 2 2 3 2" xfId="26259"/>
    <cellStyle name="Normal 2 4 9 2 2 4" xfId="26260"/>
    <cellStyle name="Normal 2 4 9 2 2 4 2" xfId="26261"/>
    <cellStyle name="Normal 2 4 9 2 2 5" xfId="26262"/>
    <cellStyle name="Normal 2 4 9 2 2 5 2" xfId="26263"/>
    <cellStyle name="Normal 2 4 9 2 2 6" xfId="26264"/>
    <cellStyle name="Normal 2 4 9 2 2 6 2" xfId="26265"/>
    <cellStyle name="Normal 2 4 9 2 2 7" xfId="26266"/>
    <cellStyle name="Normal 2 4 9 2 2 7 2" xfId="26267"/>
    <cellStyle name="Normal 2 4 9 2 2 8" xfId="26268"/>
    <cellStyle name="Normal 2 4 9 2 2 8 2" xfId="26269"/>
    <cellStyle name="Normal 2 4 9 2 2 9" xfId="26270"/>
    <cellStyle name="Normal 2 4 9 2 2 9 2" xfId="26271"/>
    <cellStyle name="Normal 2 4 9 2 3" xfId="26272"/>
    <cellStyle name="Normal 2 4 9 2 3 2" xfId="26273"/>
    <cellStyle name="Normal 2 4 9 2 4" xfId="26274"/>
    <cellStyle name="Normal 2 4 9 2 4 2" xfId="26275"/>
    <cellStyle name="Normal 2 4 9 2 5" xfId="26276"/>
    <cellStyle name="Normal 2 4 9 2 5 2" xfId="26277"/>
    <cellStyle name="Normal 2 4 9 2 6" xfId="26278"/>
    <cellStyle name="Normal 2 4 9 2 6 2" xfId="26279"/>
    <cellStyle name="Normal 2 4 9 2 7" xfId="26280"/>
    <cellStyle name="Normal 2 4 9 2 7 2" xfId="26281"/>
    <cellStyle name="Normal 2 4 9 2 8" xfId="26282"/>
    <cellStyle name="Normal 2 4 9 2 8 2" xfId="26283"/>
    <cellStyle name="Normal 2 4 9 2 9" xfId="26284"/>
    <cellStyle name="Normal 2 4 9 2 9 2" xfId="26285"/>
    <cellStyle name="Normal 2 4 9 3" xfId="26286"/>
    <cellStyle name="Normal 2 4 9 3 10" xfId="26287"/>
    <cellStyle name="Normal 2 4 9 3 10 2" xfId="26288"/>
    <cellStyle name="Normal 2 4 9 3 11" xfId="26289"/>
    <cellStyle name="Normal 2 4 9 3 2" xfId="26290"/>
    <cellStyle name="Normal 2 4 9 3 2 2" xfId="26291"/>
    <cellStyle name="Normal 2 4 9 3 3" xfId="26292"/>
    <cellStyle name="Normal 2 4 9 3 3 2" xfId="26293"/>
    <cellStyle name="Normal 2 4 9 3 4" xfId="26294"/>
    <cellStyle name="Normal 2 4 9 3 4 2" xfId="26295"/>
    <cellStyle name="Normal 2 4 9 3 5" xfId="26296"/>
    <cellStyle name="Normal 2 4 9 3 5 2" xfId="26297"/>
    <cellStyle name="Normal 2 4 9 3 6" xfId="26298"/>
    <cellStyle name="Normal 2 4 9 3 6 2" xfId="26299"/>
    <cellStyle name="Normal 2 4 9 3 7" xfId="26300"/>
    <cellStyle name="Normal 2 4 9 3 7 2" xfId="26301"/>
    <cellStyle name="Normal 2 4 9 3 8" xfId="26302"/>
    <cellStyle name="Normal 2 4 9 3 8 2" xfId="26303"/>
    <cellStyle name="Normal 2 4 9 3 9" xfId="26304"/>
    <cellStyle name="Normal 2 4 9 3 9 2" xfId="26305"/>
    <cellStyle name="Normal 2 4 9 4" xfId="26306"/>
    <cellStyle name="Normal 2 4 9 4 2" xfId="26307"/>
    <cellStyle name="Normal 2 4 9 5" xfId="26308"/>
    <cellStyle name="Normal 2 4 9 5 2" xfId="26309"/>
    <cellStyle name="Normal 2 4 9 6" xfId="26310"/>
    <cellStyle name="Normal 2 4 9 6 2" xfId="26311"/>
    <cellStyle name="Normal 2 4 9 7" xfId="26312"/>
    <cellStyle name="Normal 2 4 9 7 2" xfId="26313"/>
    <cellStyle name="Normal 2 4 9 8" xfId="26314"/>
    <cellStyle name="Normal 2 4 9 8 2" xfId="26315"/>
    <cellStyle name="Normal 2 4 9 9" xfId="26316"/>
    <cellStyle name="Normal 2 4 9 9 2" xfId="26317"/>
    <cellStyle name="Normal 2 5" xfId="194"/>
    <cellStyle name="Normal 2 5 2" xfId="26318"/>
    <cellStyle name="Normal 2 5 2 10" xfId="26319"/>
    <cellStyle name="Normal 2 5 2 10 2" xfId="26320"/>
    <cellStyle name="Normal 2 5 2 11" xfId="26321"/>
    <cellStyle name="Normal 2 5 2 11 2" xfId="26322"/>
    <cellStyle name="Normal 2 5 2 12" xfId="26323"/>
    <cellStyle name="Normal 2 5 2 12 2" xfId="26324"/>
    <cellStyle name="Normal 2 5 2 13" xfId="26325"/>
    <cellStyle name="Normal 2 5 2 2" xfId="26326"/>
    <cellStyle name="Normal 2 5 2 2 10" xfId="26327"/>
    <cellStyle name="Normal 2 5 2 2 10 2" xfId="26328"/>
    <cellStyle name="Normal 2 5 2 2 11" xfId="26329"/>
    <cellStyle name="Normal 2 5 2 2 11 2" xfId="26330"/>
    <cellStyle name="Normal 2 5 2 2 12" xfId="26331"/>
    <cellStyle name="Normal 2 5 2 2 2" xfId="26332"/>
    <cellStyle name="Normal 2 5 2 2 2 10" xfId="26333"/>
    <cellStyle name="Normal 2 5 2 2 2 10 2" xfId="26334"/>
    <cellStyle name="Normal 2 5 2 2 2 11" xfId="26335"/>
    <cellStyle name="Normal 2 5 2 2 2 2" xfId="26336"/>
    <cellStyle name="Normal 2 5 2 2 2 2 2" xfId="26337"/>
    <cellStyle name="Normal 2 5 2 2 2 3" xfId="26338"/>
    <cellStyle name="Normal 2 5 2 2 2 3 2" xfId="26339"/>
    <cellStyle name="Normal 2 5 2 2 2 4" xfId="26340"/>
    <cellStyle name="Normal 2 5 2 2 2 4 2" xfId="26341"/>
    <cellStyle name="Normal 2 5 2 2 2 5" xfId="26342"/>
    <cellStyle name="Normal 2 5 2 2 2 5 2" xfId="26343"/>
    <cellStyle name="Normal 2 5 2 2 2 6" xfId="26344"/>
    <cellStyle name="Normal 2 5 2 2 2 6 2" xfId="26345"/>
    <cellStyle name="Normal 2 5 2 2 2 7" xfId="26346"/>
    <cellStyle name="Normal 2 5 2 2 2 7 2" xfId="26347"/>
    <cellStyle name="Normal 2 5 2 2 2 8" xfId="26348"/>
    <cellStyle name="Normal 2 5 2 2 2 8 2" xfId="26349"/>
    <cellStyle name="Normal 2 5 2 2 2 9" xfId="26350"/>
    <cellStyle name="Normal 2 5 2 2 2 9 2" xfId="26351"/>
    <cellStyle name="Normal 2 5 2 2 3" xfId="26352"/>
    <cellStyle name="Normal 2 5 2 2 3 2" xfId="26353"/>
    <cellStyle name="Normal 2 5 2 2 4" xfId="26354"/>
    <cellStyle name="Normal 2 5 2 2 4 2" xfId="26355"/>
    <cellStyle name="Normal 2 5 2 2 5" xfId="26356"/>
    <cellStyle name="Normal 2 5 2 2 5 2" xfId="26357"/>
    <cellStyle name="Normal 2 5 2 2 6" xfId="26358"/>
    <cellStyle name="Normal 2 5 2 2 6 2" xfId="26359"/>
    <cellStyle name="Normal 2 5 2 2 7" xfId="26360"/>
    <cellStyle name="Normal 2 5 2 2 7 2" xfId="26361"/>
    <cellStyle name="Normal 2 5 2 2 8" xfId="26362"/>
    <cellStyle name="Normal 2 5 2 2 8 2" xfId="26363"/>
    <cellStyle name="Normal 2 5 2 2 9" xfId="26364"/>
    <cellStyle name="Normal 2 5 2 2 9 2" xfId="26365"/>
    <cellStyle name="Normal 2 5 2 3" xfId="26366"/>
    <cellStyle name="Normal 2 5 2 3 10" xfId="26367"/>
    <cellStyle name="Normal 2 5 2 3 10 2" xfId="26368"/>
    <cellStyle name="Normal 2 5 2 3 11" xfId="26369"/>
    <cellStyle name="Normal 2 5 2 3 2" xfId="26370"/>
    <cellStyle name="Normal 2 5 2 3 2 2" xfId="26371"/>
    <cellStyle name="Normal 2 5 2 3 3" xfId="26372"/>
    <cellStyle name="Normal 2 5 2 3 3 2" xfId="26373"/>
    <cellStyle name="Normal 2 5 2 3 4" xfId="26374"/>
    <cellStyle name="Normal 2 5 2 3 4 2" xfId="26375"/>
    <cellStyle name="Normal 2 5 2 3 5" xfId="26376"/>
    <cellStyle name="Normal 2 5 2 3 5 2" xfId="26377"/>
    <cellStyle name="Normal 2 5 2 3 6" xfId="26378"/>
    <cellStyle name="Normal 2 5 2 3 6 2" xfId="26379"/>
    <cellStyle name="Normal 2 5 2 3 7" xfId="26380"/>
    <cellStyle name="Normal 2 5 2 3 7 2" xfId="26381"/>
    <cellStyle name="Normal 2 5 2 3 8" xfId="26382"/>
    <cellStyle name="Normal 2 5 2 3 8 2" xfId="26383"/>
    <cellStyle name="Normal 2 5 2 3 9" xfId="26384"/>
    <cellStyle name="Normal 2 5 2 3 9 2" xfId="26385"/>
    <cellStyle name="Normal 2 5 2 4" xfId="26386"/>
    <cellStyle name="Normal 2 5 2 4 2" xfId="26387"/>
    <cellStyle name="Normal 2 5 2 5" xfId="26388"/>
    <cellStyle name="Normal 2 5 2 5 2" xfId="26389"/>
    <cellStyle name="Normal 2 5 2 6" xfId="26390"/>
    <cellStyle name="Normal 2 5 2 6 2" xfId="26391"/>
    <cellStyle name="Normal 2 5 2 7" xfId="26392"/>
    <cellStyle name="Normal 2 5 2 7 2" xfId="26393"/>
    <cellStyle name="Normal 2 5 2 8" xfId="26394"/>
    <cellStyle name="Normal 2 5 2 8 2" xfId="26395"/>
    <cellStyle name="Normal 2 5 2 9" xfId="26396"/>
    <cellStyle name="Normal 2 5 2 9 2" xfId="26397"/>
    <cellStyle name="Normal 2 5 3" xfId="42045"/>
    <cellStyle name="Normal 2 6" xfId="12"/>
    <cellStyle name="Normal 2 6 2" xfId="26399"/>
    <cellStyle name="Normal 2 6 2 10" xfId="26400"/>
    <cellStyle name="Normal 2 6 2 10 2" xfId="26401"/>
    <cellStyle name="Normal 2 6 2 11" xfId="26402"/>
    <cellStyle name="Normal 2 6 2 11 2" xfId="26403"/>
    <cellStyle name="Normal 2 6 2 12" xfId="26404"/>
    <cellStyle name="Normal 2 6 2 12 2" xfId="26405"/>
    <cellStyle name="Normal 2 6 2 13" xfId="26406"/>
    <cellStyle name="Normal 2 6 2 2" xfId="26407"/>
    <cellStyle name="Normal 2 6 2 2 10" xfId="26408"/>
    <cellStyle name="Normal 2 6 2 2 10 2" xfId="26409"/>
    <cellStyle name="Normal 2 6 2 2 11" xfId="26410"/>
    <cellStyle name="Normal 2 6 2 2 11 2" xfId="26411"/>
    <cellStyle name="Normal 2 6 2 2 12" xfId="26412"/>
    <cellStyle name="Normal 2 6 2 2 2" xfId="26413"/>
    <cellStyle name="Normal 2 6 2 2 2 10" xfId="26414"/>
    <cellStyle name="Normal 2 6 2 2 2 10 2" xfId="26415"/>
    <cellStyle name="Normal 2 6 2 2 2 11" xfId="26416"/>
    <cellStyle name="Normal 2 6 2 2 2 2" xfId="26417"/>
    <cellStyle name="Normal 2 6 2 2 2 2 2" xfId="26418"/>
    <cellStyle name="Normal 2 6 2 2 2 3" xfId="26419"/>
    <cellStyle name="Normal 2 6 2 2 2 3 2" xfId="26420"/>
    <cellStyle name="Normal 2 6 2 2 2 4" xfId="26421"/>
    <cellStyle name="Normal 2 6 2 2 2 4 2" xfId="26422"/>
    <cellStyle name="Normal 2 6 2 2 2 5" xfId="26423"/>
    <cellStyle name="Normal 2 6 2 2 2 5 2" xfId="26424"/>
    <cellStyle name="Normal 2 6 2 2 2 6" xfId="26425"/>
    <cellStyle name="Normal 2 6 2 2 2 6 2" xfId="26426"/>
    <cellStyle name="Normal 2 6 2 2 2 7" xfId="26427"/>
    <cellStyle name="Normal 2 6 2 2 2 7 2" xfId="26428"/>
    <cellStyle name="Normal 2 6 2 2 2 8" xfId="26429"/>
    <cellStyle name="Normal 2 6 2 2 2 8 2" xfId="26430"/>
    <cellStyle name="Normal 2 6 2 2 2 9" xfId="26431"/>
    <cellStyle name="Normal 2 6 2 2 2 9 2" xfId="26432"/>
    <cellStyle name="Normal 2 6 2 2 3" xfId="26433"/>
    <cellStyle name="Normal 2 6 2 2 3 2" xfId="26434"/>
    <cellStyle name="Normal 2 6 2 2 4" xfId="26435"/>
    <cellStyle name="Normal 2 6 2 2 4 2" xfId="26436"/>
    <cellStyle name="Normal 2 6 2 2 5" xfId="26437"/>
    <cellStyle name="Normal 2 6 2 2 5 2" xfId="26438"/>
    <cellStyle name="Normal 2 6 2 2 6" xfId="26439"/>
    <cellStyle name="Normal 2 6 2 2 6 2" xfId="26440"/>
    <cellStyle name="Normal 2 6 2 2 7" xfId="26441"/>
    <cellStyle name="Normal 2 6 2 2 7 2" xfId="26442"/>
    <cellStyle name="Normal 2 6 2 2 8" xfId="26443"/>
    <cellStyle name="Normal 2 6 2 2 8 2" xfId="26444"/>
    <cellStyle name="Normal 2 6 2 2 9" xfId="26445"/>
    <cellStyle name="Normal 2 6 2 2 9 2" xfId="26446"/>
    <cellStyle name="Normal 2 6 2 3" xfId="26447"/>
    <cellStyle name="Normal 2 6 2 3 10" xfId="26448"/>
    <cellStyle name="Normal 2 6 2 3 10 2" xfId="26449"/>
    <cellStyle name="Normal 2 6 2 3 11" xfId="26450"/>
    <cellStyle name="Normal 2 6 2 3 2" xfId="26451"/>
    <cellStyle name="Normal 2 6 2 3 2 2" xfId="26452"/>
    <cellStyle name="Normal 2 6 2 3 3" xfId="26453"/>
    <cellStyle name="Normal 2 6 2 3 3 2" xfId="26454"/>
    <cellStyle name="Normal 2 6 2 3 4" xfId="26455"/>
    <cellStyle name="Normal 2 6 2 3 4 2" xfId="26456"/>
    <cellStyle name="Normal 2 6 2 3 5" xfId="26457"/>
    <cellStyle name="Normal 2 6 2 3 5 2" xfId="26458"/>
    <cellStyle name="Normal 2 6 2 3 6" xfId="26459"/>
    <cellStyle name="Normal 2 6 2 3 6 2" xfId="26460"/>
    <cellStyle name="Normal 2 6 2 3 7" xfId="26461"/>
    <cellStyle name="Normal 2 6 2 3 7 2" xfId="26462"/>
    <cellStyle name="Normal 2 6 2 3 8" xfId="26463"/>
    <cellStyle name="Normal 2 6 2 3 8 2" xfId="26464"/>
    <cellStyle name="Normal 2 6 2 3 9" xfId="26465"/>
    <cellStyle name="Normal 2 6 2 3 9 2" xfId="26466"/>
    <cellStyle name="Normal 2 6 2 4" xfId="26467"/>
    <cellStyle name="Normal 2 6 2 4 2" xfId="26468"/>
    <cellStyle name="Normal 2 6 2 5" xfId="26469"/>
    <cellStyle name="Normal 2 6 2 5 2" xfId="26470"/>
    <cellStyle name="Normal 2 6 2 6" xfId="26471"/>
    <cellStyle name="Normal 2 6 2 6 2" xfId="26472"/>
    <cellStyle name="Normal 2 6 2 7" xfId="26473"/>
    <cellStyle name="Normal 2 6 2 7 2" xfId="26474"/>
    <cellStyle name="Normal 2 6 2 8" xfId="26475"/>
    <cellStyle name="Normal 2 6 2 8 2" xfId="26476"/>
    <cellStyle name="Normal 2 6 2 9" xfId="26477"/>
    <cellStyle name="Normal 2 6 2 9 2" xfId="26478"/>
    <cellStyle name="Normal 2 6 3" xfId="42046"/>
    <cellStyle name="Normal 2 6 4" xfId="26398"/>
    <cellStyle name="Normal 2 7" xfId="340"/>
    <cellStyle name="Normal 2 7 10" xfId="26480"/>
    <cellStyle name="Normal 2 7 10 2" xfId="26481"/>
    <cellStyle name="Normal 2 7 11" xfId="26482"/>
    <cellStyle name="Normal 2 7 11 2" xfId="26483"/>
    <cellStyle name="Normal 2 7 12" xfId="26484"/>
    <cellStyle name="Normal 2 7 12 2" xfId="26485"/>
    <cellStyle name="Normal 2 7 13" xfId="26486"/>
    <cellStyle name="Normal 2 7 14" xfId="26479"/>
    <cellStyle name="Normal 2 7 2" xfId="26487"/>
    <cellStyle name="Normal 2 7 2 10" xfId="26488"/>
    <cellStyle name="Normal 2 7 2 10 2" xfId="26489"/>
    <cellStyle name="Normal 2 7 2 11" xfId="26490"/>
    <cellStyle name="Normal 2 7 2 11 2" xfId="26491"/>
    <cellStyle name="Normal 2 7 2 12" xfId="26492"/>
    <cellStyle name="Normal 2 7 2 2" xfId="26493"/>
    <cellStyle name="Normal 2 7 2 2 10" xfId="26494"/>
    <cellStyle name="Normal 2 7 2 2 10 2" xfId="26495"/>
    <cellStyle name="Normal 2 7 2 2 11" xfId="26496"/>
    <cellStyle name="Normal 2 7 2 2 2" xfId="26497"/>
    <cellStyle name="Normal 2 7 2 2 2 2" xfId="26498"/>
    <cellStyle name="Normal 2 7 2 2 3" xfId="26499"/>
    <cellStyle name="Normal 2 7 2 2 3 2" xfId="26500"/>
    <cellStyle name="Normal 2 7 2 2 4" xfId="26501"/>
    <cellStyle name="Normal 2 7 2 2 4 2" xfId="26502"/>
    <cellStyle name="Normal 2 7 2 2 5" xfId="26503"/>
    <cellStyle name="Normal 2 7 2 2 5 2" xfId="26504"/>
    <cellStyle name="Normal 2 7 2 2 6" xfId="26505"/>
    <cellStyle name="Normal 2 7 2 2 6 2" xfId="26506"/>
    <cellStyle name="Normal 2 7 2 2 7" xfId="26507"/>
    <cellStyle name="Normal 2 7 2 2 7 2" xfId="26508"/>
    <cellStyle name="Normal 2 7 2 2 8" xfId="26509"/>
    <cellStyle name="Normal 2 7 2 2 8 2" xfId="26510"/>
    <cellStyle name="Normal 2 7 2 2 9" xfId="26511"/>
    <cellStyle name="Normal 2 7 2 2 9 2" xfId="26512"/>
    <cellStyle name="Normal 2 7 2 3" xfId="26513"/>
    <cellStyle name="Normal 2 7 2 3 2" xfId="26514"/>
    <cellStyle name="Normal 2 7 2 4" xfId="26515"/>
    <cellStyle name="Normal 2 7 2 4 2" xfId="26516"/>
    <cellStyle name="Normal 2 7 2 5" xfId="26517"/>
    <cellStyle name="Normal 2 7 2 5 2" xfId="26518"/>
    <cellStyle name="Normal 2 7 2 6" xfId="26519"/>
    <cellStyle name="Normal 2 7 2 6 2" xfId="26520"/>
    <cellStyle name="Normal 2 7 2 7" xfId="26521"/>
    <cellStyle name="Normal 2 7 2 7 2" xfId="26522"/>
    <cellStyle name="Normal 2 7 2 8" xfId="26523"/>
    <cellStyle name="Normal 2 7 2 8 2" xfId="26524"/>
    <cellStyle name="Normal 2 7 2 9" xfId="26525"/>
    <cellStyle name="Normal 2 7 2 9 2" xfId="26526"/>
    <cellStyle name="Normal 2 7 3" xfId="26527"/>
    <cellStyle name="Normal 2 7 3 10" xfId="26528"/>
    <cellStyle name="Normal 2 7 3 10 2" xfId="26529"/>
    <cellStyle name="Normal 2 7 3 11" xfId="26530"/>
    <cellStyle name="Normal 2 7 3 2" xfId="26531"/>
    <cellStyle name="Normal 2 7 3 2 2" xfId="26532"/>
    <cellStyle name="Normal 2 7 3 3" xfId="26533"/>
    <cellStyle name="Normal 2 7 3 3 2" xfId="26534"/>
    <cellStyle name="Normal 2 7 3 4" xfId="26535"/>
    <cellStyle name="Normal 2 7 3 4 2" xfId="26536"/>
    <cellStyle name="Normal 2 7 3 5" xfId="26537"/>
    <cellStyle name="Normal 2 7 3 5 2" xfId="26538"/>
    <cellStyle name="Normal 2 7 3 6" xfId="26539"/>
    <cellStyle name="Normal 2 7 3 6 2" xfId="26540"/>
    <cellStyle name="Normal 2 7 3 7" xfId="26541"/>
    <cellStyle name="Normal 2 7 3 7 2" xfId="26542"/>
    <cellStyle name="Normal 2 7 3 8" xfId="26543"/>
    <cellStyle name="Normal 2 7 3 8 2" xfId="26544"/>
    <cellStyle name="Normal 2 7 3 9" xfId="26545"/>
    <cellStyle name="Normal 2 7 3 9 2" xfId="26546"/>
    <cellStyle name="Normal 2 7 4" xfId="26547"/>
    <cellStyle name="Normal 2 7 4 2" xfId="26548"/>
    <cellStyle name="Normal 2 7 5" xfId="26549"/>
    <cellStyle name="Normal 2 7 5 2" xfId="26550"/>
    <cellStyle name="Normal 2 7 6" xfId="26551"/>
    <cellStyle name="Normal 2 7 6 2" xfId="26552"/>
    <cellStyle name="Normal 2 7 7" xfId="26553"/>
    <cellStyle name="Normal 2 7 7 2" xfId="26554"/>
    <cellStyle name="Normal 2 7 8" xfId="26555"/>
    <cellStyle name="Normal 2 7 8 2" xfId="26556"/>
    <cellStyle name="Normal 2 7 9" xfId="26557"/>
    <cellStyle name="Normal 2 7 9 2" xfId="26558"/>
    <cellStyle name="Normal 2 8" xfId="26559"/>
    <cellStyle name="Normal 2 8 10" xfId="26560"/>
    <cellStyle name="Normal 2 8 10 2" xfId="26561"/>
    <cellStyle name="Normal 2 8 11" xfId="26562"/>
    <cellStyle name="Normal 2 8 11 2" xfId="26563"/>
    <cellStyle name="Normal 2 8 12" xfId="26564"/>
    <cellStyle name="Normal 2 8 12 2" xfId="26565"/>
    <cellStyle name="Normal 2 8 13" xfId="26566"/>
    <cellStyle name="Normal 2 8 2" xfId="26567"/>
    <cellStyle name="Normal 2 8 2 10" xfId="26568"/>
    <cellStyle name="Normal 2 8 2 10 2" xfId="26569"/>
    <cellStyle name="Normal 2 8 2 11" xfId="26570"/>
    <cellStyle name="Normal 2 8 2 11 2" xfId="26571"/>
    <cellStyle name="Normal 2 8 2 12" xfId="26572"/>
    <cellStyle name="Normal 2 8 2 2" xfId="26573"/>
    <cellStyle name="Normal 2 8 2 2 10" xfId="26574"/>
    <cellStyle name="Normal 2 8 2 2 10 2" xfId="26575"/>
    <cellStyle name="Normal 2 8 2 2 11" xfId="26576"/>
    <cellStyle name="Normal 2 8 2 2 2" xfId="26577"/>
    <cellStyle name="Normal 2 8 2 2 2 2" xfId="26578"/>
    <cellStyle name="Normal 2 8 2 2 3" xfId="26579"/>
    <cellStyle name="Normal 2 8 2 2 3 2" xfId="26580"/>
    <cellStyle name="Normal 2 8 2 2 4" xfId="26581"/>
    <cellStyle name="Normal 2 8 2 2 4 2" xfId="26582"/>
    <cellStyle name="Normal 2 8 2 2 5" xfId="26583"/>
    <cellStyle name="Normal 2 8 2 2 5 2" xfId="26584"/>
    <cellStyle name="Normal 2 8 2 2 6" xfId="26585"/>
    <cellStyle name="Normal 2 8 2 2 6 2" xfId="26586"/>
    <cellStyle name="Normal 2 8 2 2 7" xfId="26587"/>
    <cellStyle name="Normal 2 8 2 2 7 2" xfId="26588"/>
    <cellStyle name="Normal 2 8 2 2 8" xfId="26589"/>
    <cellStyle name="Normal 2 8 2 2 8 2" xfId="26590"/>
    <cellStyle name="Normal 2 8 2 2 9" xfId="26591"/>
    <cellStyle name="Normal 2 8 2 2 9 2" xfId="26592"/>
    <cellStyle name="Normal 2 8 2 3" xfId="26593"/>
    <cellStyle name="Normal 2 8 2 3 2" xfId="26594"/>
    <cellStyle name="Normal 2 8 2 4" xfId="26595"/>
    <cellStyle name="Normal 2 8 2 4 2" xfId="26596"/>
    <cellStyle name="Normal 2 8 2 5" xfId="26597"/>
    <cellStyle name="Normal 2 8 2 5 2" xfId="26598"/>
    <cellStyle name="Normal 2 8 2 6" xfId="26599"/>
    <cellStyle name="Normal 2 8 2 6 2" xfId="26600"/>
    <cellStyle name="Normal 2 8 2 7" xfId="26601"/>
    <cellStyle name="Normal 2 8 2 7 2" xfId="26602"/>
    <cellStyle name="Normal 2 8 2 8" xfId="26603"/>
    <cellStyle name="Normal 2 8 2 8 2" xfId="26604"/>
    <cellStyle name="Normal 2 8 2 9" xfId="26605"/>
    <cellStyle name="Normal 2 8 2 9 2" xfId="26606"/>
    <cellStyle name="Normal 2 8 3" xfId="26607"/>
    <cellStyle name="Normal 2 8 3 10" xfId="26608"/>
    <cellStyle name="Normal 2 8 3 10 2" xfId="26609"/>
    <cellStyle name="Normal 2 8 3 11" xfId="26610"/>
    <cellStyle name="Normal 2 8 3 2" xfId="26611"/>
    <cellStyle name="Normal 2 8 3 2 2" xfId="26612"/>
    <cellStyle name="Normal 2 8 3 3" xfId="26613"/>
    <cellStyle name="Normal 2 8 3 3 2" xfId="26614"/>
    <cellStyle name="Normal 2 8 3 4" xfId="26615"/>
    <cellStyle name="Normal 2 8 3 4 2" xfId="26616"/>
    <cellStyle name="Normal 2 8 3 5" xfId="26617"/>
    <cellStyle name="Normal 2 8 3 5 2" xfId="26618"/>
    <cellStyle name="Normal 2 8 3 6" xfId="26619"/>
    <cellStyle name="Normal 2 8 3 6 2" xfId="26620"/>
    <cellStyle name="Normal 2 8 3 7" xfId="26621"/>
    <cellStyle name="Normal 2 8 3 7 2" xfId="26622"/>
    <cellStyle name="Normal 2 8 3 8" xfId="26623"/>
    <cellStyle name="Normal 2 8 3 8 2" xfId="26624"/>
    <cellStyle name="Normal 2 8 3 9" xfId="26625"/>
    <cellStyle name="Normal 2 8 3 9 2" xfId="26626"/>
    <cellStyle name="Normal 2 8 4" xfId="26627"/>
    <cellStyle name="Normal 2 8 4 2" xfId="26628"/>
    <cellStyle name="Normal 2 8 5" xfId="26629"/>
    <cellStyle name="Normal 2 8 5 2" xfId="26630"/>
    <cellStyle name="Normal 2 8 6" xfId="26631"/>
    <cellStyle name="Normal 2 8 6 2" xfId="26632"/>
    <cellStyle name="Normal 2 8 7" xfId="26633"/>
    <cellStyle name="Normal 2 8 7 2" xfId="26634"/>
    <cellStyle name="Normal 2 8 8" xfId="26635"/>
    <cellStyle name="Normal 2 8 8 2" xfId="26636"/>
    <cellStyle name="Normal 2 8 9" xfId="26637"/>
    <cellStyle name="Normal 2 8 9 2" xfId="26638"/>
    <cellStyle name="Normal 2 9" xfId="26639"/>
    <cellStyle name="Normal 2 9 10" xfId="26640"/>
    <cellStyle name="Normal 2 9 10 2" xfId="26641"/>
    <cellStyle name="Normal 2 9 11" xfId="26642"/>
    <cellStyle name="Normal 2 9 11 2" xfId="26643"/>
    <cellStyle name="Normal 2 9 12" xfId="26644"/>
    <cellStyle name="Normal 2 9 12 2" xfId="26645"/>
    <cellStyle name="Normal 2 9 13" xfId="26646"/>
    <cellStyle name="Normal 2 9 2" xfId="26647"/>
    <cellStyle name="Normal 2 9 2 10" xfId="26648"/>
    <cellStyle name="Normal 2 9 2 10 2" xfId="26649"/>
    <cellStyle name="Normal 2 9 2 11" xfId="26650"/>
    <cellStyle name="Normal 2 9 2 11 2" xfId="26651"/>
    <cellStyle name="Normal 2 9 2 12" xfId="26652"/>
    <cellStyle name="Normal 2 9 2 2" xfId="26653"/>
    <cellStyle name="Normal 2 9 2 2 10" xfId="26654"/>
    <cellStyle name="Normal 2 9 2 2 10 2" xfId="26655"/>
    <cellStyle name="Normal 2 9 2 2 11" xfId="26656"/>
    <cellStyle name="Normal 2 9 2 2 2" xfId="26657"/>
    <cellStyle name="Normal 2 9 2 2 2 2" xfId="26658"/>
    <cellStyle name="Normal 2 9 2 2 3" xfId="26659"/>
    <cellStyle name="Normal 2 9 2 2 3 2" xfId="26660"/>
    <cellStyle name="Normal 2 9 2 2 4" xfId="26661"/>
    <cellStyle name="Normal 2 9 2 2 4 2" xfId="26662"/>
    <cellStyle name="Normal 2 9 2 2 5" xfId="26663"/>
    <cellStyle name="Normal 2 9 2 2 5 2" xfId="26664"/>
    <cellStyle name="Normal 2 9 2 2 6" xfId="26665"/>
    <cellStyle name="Normal 2 9 2 2 6 2" xfId="26666"/>
    <cellStyle name="Normal 2 9 2 2 7" xfId="26667"/>
    <cellStyle name="Normal 2 9 2 2 7 2" xfId="26668"/>
    <cellStyle name="Normal 2 9 2 2 8" xfId="26669"/>
    <cellStyle name="Normal 2 9 2 2 8 2" xfId="26670"/>
    <cellStyle name="Normal 2 9 2 2 9" xfId="26671"/>
    <cellStyle name="Normal 2 9 2 2 9 2" xfId="26672"/>
    <cellStyle name="Normal 2 9 2 3" xfId="26673"/>
    <cellStyle name="Normal 2 9 2 3 2" xfId="26674"/>
    <cellStyle name="Normal 2 9 2 4" xfId="26675"/>
    <cellStyle name="Normal 2 9 2 4 2" xfId="26676"/>
    <cellStyle name="Normal 2 9 2 5" xfId="26677"/>
    <cellStyle name="Normal 2 9 2 5 2" xfId="26678"/>
    <cellStyle name="Normal 2 9 2 6" xfId="26679"/>
    <cellStyle name="Normal 2 9 2 6 2" xfId="26680"/>
    <cellStyle name="Normal 2 9 2 7" xfId="26681"/>
    <cellStyle name="Normal 2 9 2 7 2" xfId="26682"/>
    <cellStyle name="Normal 2 9 2 8" xfId="26683"/>
    <cellStyle name="Normal 2 9 2 8 2" xfId="26684"/>
    <cellStyle name="Normal 2 9 2 9" xfId="26685"/>
    <cellStyle name="Normal 2 9 2 9 2" xfId="26686"/>
    <cellStyle name="Normal 2 9 3" xfId="26687"/>
    <cellStyle name="Normal 2 9 3 10" xfId="26688"/>
    <cellStyle name="Normal 2 9 3 10 2" xfId="26689"/>
    <cellStyle name="Normal 2 9 3 11" xfId="26690"/>
    <cellStyle name="Normal 2 9 3 2" xfId="26691"/>
    <cellStyle name="Normal 2 9 3 2 2" xfId="26692"/>
    <cellStyle name="Normal 2 9 3 3" xfId="26693"/>
    <cellStyle name="Normal 2 9 3 3 2" xfId="26694"/>
    <cellStyle name="Normal 2 9 3 4" xfId="26695"/>
    <cellStyle name="Normal 2 9 3 4 2" xfId="26696"/>
    <cellStyle name="Normal 2 9 3 5" xfId="26697"/>
    <cellStyle name="Normal 2 9 3 5 2" xfId="26698"/>
    <cellStyle name="Normal 2 9 3 6" xfId="26699"/>
    <cellStyle name="Normal 2 9 3 6 2" xfId="26700"/>
    <cellStyle name="Normal 2 9 3 7" xfId="26701"/>
    <cellStyle name="Normal 2 9 3 7 2" xfId="26702"/>
    <cellStyle name="Normal 2 9 3 8" xfId="26703"/>
    <cellStyle name="Normal 2 9 3 8 2" xfId="26704"/>
    <cellStyle name="Normal 2 9 3 9" xfId="26705"/>
    <cellStyle name="Normal 2 9 3 9 2" xfId="26706"/>
    <cellStyle name="Normal 2 9 4" xfId="26707"/>
    <cellStyle name="Normal 2 9 4 2" xfId="26708"/>
    <cellStyle name="Normal 2 9 5" xfId="26709"/>
    <cellStyle name="Normal 2 9 5 2" xfId="26710"/>
    <cellStyle name="Normal 2 9 6" xfId="26711"/>
    <cellStyle name="Normal 2 9 6 2" xfId="26712"/>
    <cellStyle name="Normal 2 9 7" xfId="26713"/>
    <cellStyle name="Normal 2 9 7 2" xfId="26714"/>
    <cellStyle name="Normal 2 9 8" xfId="26715"/>
    <cellStyle name="Normal 2 9 8 2" xfId="26716"/>
    <cellStyle name="Normal 2 9 9" xfId="26717"/>
    <cellStyle name="Normal 2 9 9 2" xfId="26718"/>
    <cellStyle name="Normal 20" xfId="199"/>
    <cellStyle name="Normal 20 10" xfId="26719"/>
    <cellStyle name="Normal 20 11" xfId="26720"/>
    <cellStyle name="Normal 20 12" xfId="26721"/>
    <cellStyle name="Normal 20 13" xfId="26722"/>
    <cellStyle name="Normal 20 14" xfId="26723"/>
    <cellStyle name="Normal 20 15" xfId="26724"/>
    <cellStyle name="Normal 20 16" xfId="26725"/>
    <cellStyle name="Normal 20 17" xfId="26726"/>
    <cellStyle name="Normal 20 18" xfId="42047"/>
    <cellStyle name="Normal 20 2" xfId="200"/>
    <cellStyle name="Normal 20 2 10" xfId="26727"/>
    <cellStyle name="Normal 20 2 11" xfId="26728"/>
    <cellStyle name="Normal 20 2 12" xfId="26729"/>
    <cellStyle name="Normal 20 2 13" xfId="26730"/>
    <cellStyle name="Normal 20 2 14" xfId="26731"/>
    <cellStyle name="Normal 20 2 2" xfId="26732"/>
    <cellStyle name="Normal 20 2 3" xfId="26733"/>
    <cellStyle name="Normal 20 2 4" xfId="26734"/>
    <cellStyle name="Normal 20 2 5" xfId="26735"/>
    <cellStyle name="Normal 20 2 6" xfId="26736"/>
    <cellStyle name="Normal 20 2 7" xfId="26737"/>
    <cellStyle name="Normal 20 2 8" xfId="26738"/>
    <cellStyle name="Normal 20 2 9" xfId="26739"/>
    <cellStyle name="Normal 20 3" xfId="26740"/>
    <cellStyle name="Normal 20 4" xfId="26741"/>
    <cellStyle name="Normal 20 4 10" xfId="26742"/>
    <cellStyle name="Normal 20 4 10 2" xfId="26743"/>
    <cellStyle name="Normal 20 4 11" xfId="26744"/>
    <cellStyle name="Normal 20 4 11 2" xfId="26745"/>
    <cellStyle name="Normal 20 4 12" xfId="26746"/>
    <cellStyle name="Normal 20 4 12 2" xfId="26747"/>
    <cellStyle name="Normal 20 4 13" xfId="26748"/>
    <cellStyle name="Normal 20 4 2" xfId="26749"/>
    <cellStyle name="Normal 20 4 2 10" xfId="26750"/>
    <cellStyle name="Normal 20 4 2 10 2" xfId="26751"/>
    <cellStyle name="Normal 20 4 2 11" xfId="26752"/>
    <cellStyle name="Normal 20 4 2 11 2" xfId="26753"/>
    <cellStyle name="Normal 20 4 2 12" xfId="26754"/>
    <cellStyle name="Normal 20 4 2 2" xfId="26755"/>
    <cellStyle name="Normal 20 4 2 2 10" xfId="26756"/>
    <cellStyle name="Normal 20 4 2 2 10 2" xfId="26757"/>
    <cellStyle name="Normal 20 4 2 2 11" xfId="26758"/>
    <cellStyle name="Normal 20 4 2 2 2" xfId="26759"/>
    <cellStyle name="Normal 20 4 2 2 2 2" xfId="26760"/>
    <cellStyle name="Normal 20 4 2 2 3" xfId="26761"/>
    <cellStyle name="Normal 20 4 2 2 3 2" xfId="26762"/>
    <cellStyle name="Normal 20 4 2 2 4" xfId="26763"/>
    <cellStyle name="Normal 20 4 2 2 4 2" xfId="26764"/>
    <cellStyle name="Normal 20 4 2 2 5" xfId="26765"/>
    <cellStyle name="Normal 20 4 2 2 5 2" xfId="26766"/>
    <cellStyle name="Normal 20 4 2 2 6" xfId="26767"/>
    <cellStyle name="Normal 20 4 2 2 6 2" xfId="26768"/>
    <cellStyle name="Normal 20 4 2 2 7" xfId="26769"/>
    <cellStyle name="Normal 20 4 2 2 7 2" xfId="26770"/>
    <cellStyle name="Normal 20 4 2 2 8" xfId="26771"/>
    <cellStyle name="Normal 20 4 2 2 8 2" xfId="26772"/>
    <cellStyle name="Normal 20 4 2 2 9" xfId="26773"/>
    <cellStyle name="Normal 20 4 2 2 9 2" xfId="26774"/>
    <cellStyle name="Normal 20 4 2 3" xfId="26775"/>
    <cellStyle name="Normal 20 4 2 3 2" xfId="26776"/>
    <cellStyle name="Normal 20 4 2 4" xfId="26777"/>
    <cellStyle name="Normal 20 4 2 4 2" xfId="26778"/>
    <cellStyle name="Normal 20 4 2 5" xfId="26779"/>
    <cellStyle name="Normal 20 4 2 5 2" xfId="26780"/>
    <cellStyle name="Normal 20 4 2 6" xfId="26781"/>
    <cellStyle name="Normal 20 4 2 6 2" xfId="26782"/>
    <cellStyle name="Normal 20 4 2 7" xfId="26783"/>
    <cellStyle name="Normal 20 4 2 7 2" xfId="26784"/>
    <cellStyle name="Normal 20 4 2 8" xfId="26785"/>
    <cellStyle name="Normal 20 4 2 8 2" xfId="26786"/>
    <cellStyle name="Normal 20 4 2 9" xfId="26787"/>
    <cellStyle name="Normal 20 4 2 9 2" xfId="26788"/>
    <cellStyle name="Normal 20 4 3" xfId="26789"/>
    <cellStyle name="Normal 20 4 3 10" xfId="26790"/>
    <cellStyle name="Normal 20 4 3 10 2" xfId="26791"/>
    <cellStyle name="Normal 20 4 3 11" xfId="26792"/>
    <cellStyle name="Normal 20 4 3 2" xfId="26793"/>
    <cellStyle name="Normal 20 4 3 2 2" xfId="26794"/>
    <cellStyle name="Normal 20 4 3 3" xfId="26795"/>
    <cellStyle name="Normal 20 4 3 3 2" xfId="26796"/>
    <cellStyle name="Normal 20 4 3 4" xfId="26797"/>
    <cellStyle name="Normal 20 4 3 4 2" xfId="26798"/>
    <cellStyle name="Normal 20 4 3 5" xfId="26799"/>
    <cellStyle name="Normal 20 4 3 5 2" xfId="26800"/>
    <cellStyle name="Normal 20 4 3 6" xfId="26801"/>
    <cellStyle name="Normal 20 4 3 6 2" xfId="26802"/>
    <cellStyle name="Normal 20 4 3 7" xfId="26803"/>
    <cellStyle name="Normal 20 4 3 7 2" xfId="26804"/>
    <cellStyle name="Normal 20 4 3 8" xfId="26805"/>
    <cellStyle name="Normal 20 4 3 8 2" xfId="26806"/>
    <cellStyle name="Normal 20 4 3 9" xfId="26807"/>
    <cellStyle name="Normal 20 4 3 9 2" xfId="26808"/>
    <cellStyle name="Normal 20 4 4" xfId="26809"/>
    <cellStyle name="Normal 20 4 4 2" xfId="26810"/>
    <cellStyle name="Normal 20 4 5" xfId="26811"/>
    <cellStyle name="Normal 20 4 5 2" xfId="26812"/>
    <cellStyle name="Normal 20 4 6" xfId="26813"/>
    <cellStyle name="Normal 20 4 6 2" xfId="26814"/>
    <cellStyle name="Normal 20 4 7" xfId="26815"/>
    <cellStyle name="Normal 20 4 7 2" xfId="26816"/>
    <cellStyle name="Normal 20 4 8" xfId="26817"/>
    <cellStyle name="Normal 20 4 8 2" xfId="26818"/>
    <cellStyle name="Normal 20 4 9" xfId="26819"/>
    <cellStyle name="Normal 20 4 9 2" xfId="26820"/>
    <cellStyle name="Normal 20 5" xfId="26821"/>
    <cellStyle name="Normal 20 6" xfId="26822"/>
    <cellStyle name="Normal 20 7" xfId="26823"/>
    <cellStyle name="Normal 20 8" xfId="26824"/>
    <cellStyle name="Normal 20 9" xfId="26825"/>
    <cellStyle name="Normal 21" xfId="201"/>
    <cellStyle name="Normal 21 10" xfId="26826"/>
    <cellStyle name="Normal 21 11" xfId="26827"/>
    <cellStyle name="Normal 21 12" xfId="26828"/>
    <cellStyle name="Normal 21 13" xfId="26829"/>
    <cellStyle name="Normal 21 14" xfId="26830"/>
    <cellStyle name="Normal 21 15" xfId="26831"/>
    <cellStyle name="Normal 21 2" xfId="26832"/>
    <cellStyle name="Normal 21 3" xfId="26833"/>
    <cellStyle name="Normal 21 4" xfId="26834"/>
    <cellStyle name="Normal 21 5" xfId="26835"/>
    <cellStyle name="Normal 21 6" xfId="26836"/>
    <cellStyle name="Normal 21 7" xfId="26837"/>
    <cellStyle name="Normal 21 8" xfId="26838"/>
    <cellStyle name="Normal 21 9" xfId="26839"/>
    <cellStyle name="Normal 22" xfId="322"/>
    <cellStyle name="Normal 22 10" xfId="26841"/>
    <cellStyle name="Normal 22 10 2" xfId="26842"/>
    <cellStyle name="Normal 22 11" xfId="26843"/>
    <cellStyle name="Normal 22 11 2" xfId="26844"/>
    <cellStyle name="Normal 22 12" xfId="26845"/>
    <cellStyle name="Normal 22 12 2" xfId="26846"/>
    <cellStyle name="Normal 22 13" xfId="26847"/>
    <cellStyle name="Normal 22 14" xfId="42048"/>
    <cellStyle name="Normal 22 15" xfId="26840"/>
    <cellStyle name="Normal 22 2" xfId="26848"/>
    <cellStyle name="Normal 22 2 10" xfId="26849"/>
    <cellStyle name="Normal 22 2 10 2" xfId="26850"/>
    <cellStyle name="Normal 22 2 11" xfId="26851"/>
    <cellStyle name="Normal 22 2 11 2" xfId="26852"/>
    <cellStyle name="Normal 22 2 12" xfId="26853"/>
    <cellStyle name="Normal 22 2 13" xfId="42049"/>
    <cellStyle name="Normal 22 2 2" xfId="26854"/>
    <cellStyle name="Normal 22 2 2 10" xfId="26855"/>
    <cellStyle name="Normal 22 2 2 10 2" xfId="26856"/>
    <cellStyle name="Normal 22 2 2 11" xfId="26857"/>
    <cellStyle name="Normal 22 2 2 2" xfId="26858"/>
    <cellStyle name="Normal 22 2 2 2 2" xfId="26859"/>
    <cellStyle name="Normal 22 2 2 3" xfId="26860"/>
    <cellStyle name="Normal 22 2 2 3 2" xfId="26861"/>
    <cellStyle name="Normal 22 2 2 4" xfId="26862"/>
    <cellStyle name="Normal 22 2 2 4 2" xfId="26863"/>
    <cellStyle name="Normal 22 2 2 5" xfId="26864"/>
    <cellStyle name="Normal 22 2 2 5 2" xfId="26865"/>
    <cellStyle name="Normal 22 2 2 6" xfId="26866"/>
    <cellStyle name="Normal 22 2 2 6 2" xfId="26867"/>
    <cellStyle name="Normal 22 2 2 7" xfId="26868"/>
    <cellStyle name="Normal 22 2 2 7 2" xfId="26869"/>
    <cellStyle name="Normal 22 2 2 8" xfId="26870"/>
    <cellStyle name="Normal 22 2 2 8 2" xfId="26871"/>
    <cellStyle name="Normal 22 2 2 9" xfId="26872"/>
    <cellStyle name="Normal 22 2 2 9 2" xfId="26873"/>
    <cellStyle name="Normal 22 2 3" xfId="26874"/>
    <cellStyle name="Normal 22 2 3 2" xfId="26875"/>
    <cellStyle name="Normal 22 2 4" xfId="26876"/>
    <cellStyle name="Normal 22 2 4 2" xfId="26877"/>
    <cellStyle name="Normal 22 2 5" xfId="26878"/>
    <cellStyle name="Normal 22 2 5 2" xfId="26879"/>
    <cellStyle name="Normal 22 2 6" xfId="26880"/>
    <cellStyle name="Normal 22 2 6 2" xfId="26881"/>
    <cellStyle name="Normal 22 2 7" xfId="26882"/>
    <cellStyle name="Normal 22 2 7 2" xfId="26883"/>
    <cellStyle name="Normal 22 2 8" xfId="26884"/>
    <cellStyle name="Normal 22 2 8 2" xfId="26885"/>
    <cellStyle name="Normal 22 2 9" xfId="26886"/>
    <cellStyle name="Normal 22 2 9 2" xfId="26887"/>
    <cellStyle name="Normal 22 3" xfId="26888"/>
    <cellStyle name="Normal 22 3 10" xfId="26889"/>
    <cellStyle name="Normal 22 3 10 2" xfId="26890"/>
    <cellStyle name="Normal 22 3 11" xfId="26891"/>
    <cellStyle name="Normal 22 3 2" xfId="26892"/>
    <cellStyle name="Normal 22 3 2 2" xfId="26893"/>
    <cellStyle name="Normal 22 3 3" xfId="26894"/>
    <cellStyle name="Normal 22 3 3 2" xfId="26895"/>
    <cellStyle name="Normal 22 3 4" xfId="26896"/>
    <cellStyle name="Normal 22 3 4 2" xfId="26897"/>
    <cellStyle name="Normal 22 3 5" xfId="26898"/>
    <cellStyle name="Normal 22 3 5 2" xfId="26899"/>
    <cellStyle name="Normal 22 3 6" xfId="26900"/>
    <cellStyle name="Normal 22 3 6 2" xfId="26901"/>
    <cellStyle name="Normal 22 3 7" xfId="26902"/>
    <cellStyle name="Normal 22 3 7 2" xfId="26903"/>
    <cellStyle name="Normal 22 3 8" xfId="26904"/>
    <cellStyle name="Normal 22 3 8 2" xfId="26905"/>
    <cellStyle name="Normal 22 3 9" xfId="26906"/>
    <cellStyle name="Normal 22 3 9 2" xfId="26907"/>
    <cellStyle name="Normal 22 4" xfId="26908"/>
    <cellStyle name="Normal 22 4 2" xfId="26909"/>
    <cellStyle name="Normal 22 5" xfId="26910"/>
    <cellStyle name="Normal 22 5 2" xfId="26911"/>
    <cellStyle name="Normal 22 6" xfId="26912"/>
    <cellStyle name="Normal 22 6 2" xfId="26913"/>
    <cellStyle name="Normal 22 7" xfId="26914"/>
    <cellStyle name="Normal 22 7 2" xfId="26915"/>
    <cellStyle name="Normal 22 8" xfId="26916"/>
    <cellStyle name="Normal 22 8 2" xfId="26917"/>
    <cellStyle name="Normal 22 9" xfId="26918"/>
    <cellStyle name="Normal 22 9 2" xfId="26919"/>
    <cellStyle name="Normal 23" xfId="323"/>
    <cellStyle name="Normal 23 10" xfId="26921"/>
    <cellStyle name="Normal 23 10 2" xfId="26922"/>
    <cellStyle name="Normal 23 11" xfId="26923"/>
    <cellStyle name="Normal 23 11 2" xfId="26924"/>
    <cellStyle name="Normal 23 12" xfId="26925"/>
    <cellStyle name="Normal 23 12 2" xfId="26926"/>
    <cellStyle name="Normal 23 13" xfId="26927"/>
    <cellStyle name="Normal 23 14" xfId="42050"/>
    <cellStyle name="Normal 23 15" xfId="26920"/>
    <cellStyle name="Normal 23 2" xfId="26928"/>
    <cellStyle name="Normal 23 2 10" xfId="26929"/>
    <cellStyle name="Normal 23 2 10 2" xfId="26930"/>
    <cellStyle name="Normal 23 2 11" xfId="26931"/>
    <cellStyle name="Normal 23 2 11 2" xfId="26932"/>
    <cellStyle name="Normal 23 2 12" xfId="26933"/>
    <cellStyle name="Normal 23 2 13" xfId="42051"/>
    <cellStyle name="Normal 23 2 2" xfId="26934"/>
    <cellStyle name="Normal 23 2 2 10" xfId="26935"/>
    <cellStyle name="Normal 23 2 2 10 2" xfId="26936"/>
    <cellStyle name="Normal 23 2 2 11" xfId="26937"/>
    <cellStyle name="Normal 23 2 2 2" xfId="26938"/>
    <cellStyle name="Normal 23 2 2 2 2" xfId="26939"/>
    <cellStyle name="Normal 23 2 2 3" xfId="26940"/>
    <cellStyle name="Normal 23 2 2 3 2" xfId="26941"/>
    <cellStyle name="Normal 23 2 2 4" xfId="26942"/>
    <cellStyle name="Normal 23 2 2 4 2" xfId="26943"/>
    <cellStyle name="Normal 23 2 2 5" xfId="26944"/>
    <cellStyle name="Normal 23 2 2 5 2" xfId="26945"/>
    <cellStyle name="Normal 23 2 2 6" xfId="26946"/>
    <cellStyle name="Normal 23 2 2 6 2" xfId="26947"/>
    <cellStyle name="Normal 23 2 2 7" xfId="26948"/>
    <cellStyle name="Normal 23 2 2 7 2" xfId="26949"/>
    <cellStyle name="Normal 23 2 2 8" xfId="26950"/>
    <cellStyle name="Normal 23 2 2 8 2" xfId="26951"/>
    <cellStyle name="Normal 23 2 2 9" xfId="26952"/>
    <cellStyle name="Normal 23 2 2 9 2" xfId="26953"/>
    <cellStyle name="Normal 23 2 3" xfId="26954"/>
    <cellStyle name="Normal 23 2 3 2" xfId="26955"/>
    <cellStyle name="Normal 23 2 4" xfId="26956"/>
    <cellStyle name="Normal 23 2 4 2" xfId="26957"/>
    <cellStyle name="Normal 23 2 5" xfId="26958"/>
    <cellStyle name="Normal 23 2 5 2" xfId="26959"/>
    <cellStyle name="Normal 23 2 6" xfId="26960"/>
    <cellStyle name="Normal 23 2 6 2" xfId="26961"/>
    <cellStyle name="Normal 23 2 7" xfId="26962"/>
    <cellStyle name="Normal 23 2 7 2" xfId="26963"/>
    <cellStyle name="Normal 23 2 8" xfId="26964"/>
    <cellStyle name="Normal 23 2 8 2" xfId="26965"/>
    <cellStyle name="Normal 23 2 9" xfId="26966"/>
    <cellStyle name="Normal 23 2 9 2" xfId="26967"/>
    <cellStyle name="Normal 23 3" xfId="26968"/>
    <cellStyle name="Normal 23 3 10" xfId="26969"/>
    <cellStyle name="Normal 23 3 10 2" xfId="26970"/>
    <cellStyle name="Normal 23 3 11" xfId="26971"/>
    <cellStyle name="Normal 23 3 2" xfId="26972"/>
    <cellStyle name="Normal 23 3 2 2" xfId="26973"/>
    <cellStyle name="Normal 23 3 3" xfId="26974"/>
    <cellStyle name="Normal 23 3 3 2" xfId="26975"/>
    <cellStyle name="Normal 23 3 4" xfId="26976"/>
    <cellStyle name="Normal 23 3 4 2" xfId="26977"/>
    <cellStyle name="Normal 23 3 5" xfId="26978"/>
    <cellStyle name="Normal 23 3 5 2" xfId="26979"/>
    <cellStyle name="Normal 23 3 6" xfId="26980"/>
    <cellStyle name="Normal 23 3 6 2" xfId="26981"/>
    <cellStyle name="Normal 23 3 7" xfId="26982"/>
    <cellStyle name="Normal 23 3 7 2" xfId="26983"/>
    <cellStyle name="Normal 23 3 8" xfId="26984"/>
    <cellStyle name="Normal 23 3 8 2" xfId="26985"/>
    <cellStyle name="Normal 23 3 9" xfId="26986"/>
    <cellStyle name="Normal 23 3 9 2" xfId="26987"/>
    <cellStyle name="Normal 23 4" xfId="26988"/>
    <cellStyle name="Normal 23 4 2" xfId="26989"/>
    <cellStyle name="Normal 23 5" xfId="26990"/>
    <cellStyle name="Normal 23 5 2" xfId="26991"/>
    <cellStyle name="Normal 23 6" xfId="26992"/>
    <cellStyle name="Normal 23 6 2" xfId="26993"/>
    <cellStyle name="Normal 23 7" xfId="26994"/>
    <cellStyle name="Normal 23 7 2" xfId="26995"/>
    <cellStyle name="Normal 23 8" xfId="26996"/>
    <cellStyle name="Normal 23 8 2" xfId="26997"/>
    <cellStyle name="Normal 23 9" xfId="26998"/>
    <cellStyle name="Normal 23 9 2" xfId="26999"/>
    <cellStyle name="Normal 24" xfId="202"/>
    <cellStyle name="Normal 24 10" xfId="27000"/>
    <cellStyle name="Normal 24 11" xfId="27001"/>
    <cellStyle name="Normal 24 12" xfId="27002"/>
    <cellStyle name="Normal 24 13" xfId="27003"/>
    <cellStyle name="Normal 24 14" xfId="27004"/>
    <cellStyle name="Normal 24 2" xfId="27005"/>
    <cellStyle name="Normal 24 3" xfId="27006"/>
    <cellStyle name="Normal 24 4" xfId="27007"/>
    <cellStyle name="Normal 24 5" xfId="27008"/>
    <cellStyle name="Normal 24 6" xfId="27009"/>
    <cellStyle name="Normal 24 7" xfId="27010"/>
    <cellStyle name="Normal 24 8" xfId="27011"/>
    <cellStyle name="Normal 24 9" xfId="27012"/>
    <cellStyle name="Normal 25" xfId="324"/>
    <cellStyle name="Normal 25 10" xfId="27014"/>
    <cellStyle name="Normal 25 10 2" xfId="27015"/>
    <cellStyle name="Normal 25 11" xfId="27016"/>
    <cellStyle name="Normal 25 11 2" xfId="27017"/>
    <cellStyle name="Normal 25 12" xfId="27018"/>
    <cellStyle name="Normal 25 12 2" xfId="27019"/>
    <cellStyle name="Normal 25 13" xfId="27020"/>
    <cellStyle name="Normal 25 14" xfId="42052"/>
    <cellStyle name="Normal 25 15" xfId="27013"/>
    <cellStyle name="Normal 25 2" xfId="27021"/>
    <cellStyle name="Normal 25 2 10" xfId="27022"/>
    <cellStyle name="Normal 25 2 10 2" xfId="27023"/>
    <cellStyle name="Normal 25 2 11" xfId="27024"/>
    <cellStyle name="Normal 25 2 11 2" xfId="27025"/>
    <cellStyle name="Normal 25 2 12" xfId="27026"/>
    <cellStyle name="Normal 25 2 13" xfId="42053"/>
    <cellStyle name="Normal 25 2 2" xfId="27027"/>
    <cellStyle name="Normal 25 2 2 10" xfId="27028"/>
    <cellStyle name="Normal 25 2 2 10 2" xfId="27029"/>
    <cellStyle name="Normal 25 2 2 11" xfId="27030"/>
    <cellStyle name="Normal 25 2 2 2" xfId="27031"/>
    <cellStyle name="Normal 25 2 2 2 2" xfId="27032"/>
    <cellStyle name="Normal 25 2 2 3" xfId="27033"/>
    <cellStyle name="Normal 25 2 2 3 2" xfId="27034"/>
    <cellStyle name="Normal 25 2 2 4" xfId="27035"/>
    <cellStyle name="Normal 25 2 2 4 2" xfId="27036"/>
    <cellStyle name="Normal 25 2 2 5" xfId="27037"/>
    <cellStyle name="Normal 25 2 2 5 2" xfId="27038"/>
    <cellStyle name="Normal 25 2 2 6" xfId="27039"/>
    <cellStyle name="Normal 25 2 2 6 2" xfId="27040"/>
    <cellStyle name="Normal 25 2 2 7" xfId="27041"/>
    <cellStyle name="Normal 25 2 2 7 2" xfId="27042"/>
    <cellStyle name="Normal 25 2 2 8" xfId="27043"/>
    <cellStyle name="Normal 25 2 2 8 2" xfId="27044"/>
    <cellStyle name="Normal 25 2 2 9" xfId="27045"/>
    <cellStyle name="Normal 25 2 2 9 2" xfId="27046"/>
    <cellStyle name="Normal 25 2 3" xfId="27047"/>
    <cellStyle name="Normal 25 2 3 2" xfId="27048"/>
    <cellStyle name="Normal 25 2 4" xfId="27049"/>
    <cellStyle name="Normal 25 2 4 2" xfId="27050"/>
    <cellStyle name="Normal 25 2 5" xfId="27051"/>
    <cellStyle name="Normal 25 2 5 2" xfId="27052"/>
    <cellStyle name="Normal 25 2 6" xfId="27053"/>
    <cellStyle name="Normal 25 2 6 2" xfId="27054"/>
    <cellStyle name="Normal 25 2 7" xfId="27055"/>
    <cellStyle name="Normal 25 2 7 2" xfId="27056"/>
    <cellStyle name="Normal 25 2 8" xfId="27057"/>
    <cellStyle name="Normal 25 2 8 2" xfId="27058"/>
    <cellStyle name="Normal 25 2 9" xfId="27059"/>
    <cellStyle name="Normal 25 2 9 2" xfId="27060"/>
    <cellStyle name="Normal 25 3" xfId="27061"/>
    <cellStyle name="Normal 25 3 10" xfId="27062"/>
    <cellStyle name="Normal 25 3 10 2" xfId="27063"/>
    <cellStyle name="Normal 25 3 11" xfId="27064"/>
    <cellStyle name="Normal 25 3 2" xfId="27065"/>
    <cellStyle name="Normal 25 3 2 2" xfId="27066"/>
    <cellStyle name="Normal 25 3 3" xfId="27067"/>
    <cellStyle name="Normal 25 3 3 2" xfId="27068"/>
    <cellStyle name="Normal 25 3 4" xfId="27069"/>
    <cellStyle name="Normal 25 3 4 2" xfId="27070"/>
    <cellStyle name="Normal 25 3 5" xfId="27071"/>
    <cellStyle name="Normal 25 3 5 2" xfId="27072"/>
    <cellStyle name="Normal 25 3 6" xfId="27073"/>
    <cellStyle name="Normal 25 3 6 2" xfId="27074"/>
    <cellStyle name="Normal 25 3 7" xfId="27075"/>
    <cellStyle name="Normal 25 3 7 2" xfId="27076"/>
    <cellStyle name="Normal 25 3 8" xfId="27077"/>
    <cellStyle name="Normal 25 3 8 2" xfId="27078"/>
    <cellStyle name="Normal 25 3 9" xfId="27079"/>
    <cellStyle name="Normal 25 3 9 2" xfId="27080"/>
    <cellStyle name="Normal 25 4" xfId="27081"/>
    <cellStyle name="Normal 25 4 2" xfId="27082"/>
    <cellStyle name="Normal 25 5" xfId="27083"/>
    <cellStyle name="Normal 25 5 2" xfId="27084"/>
    <cellStyle name="Normal 25 6" xfId="27085"/>
    <cellStyle name="Normal 25 6 2" xfId="27086"/>
    <cellStyle name="Normal 25 7" xfId="27087"/>
    <cellStyle name="Normal 25 7 2" xfId="27088"/>
    <cellStyle name="Normal 25 8" xfId="27089"/>
    <cellStyle name="Normal 25 8 2" xfId="27090"/>
    <cellStyle name="Normal 25 9" xfId="27091"/>
    <cellStyle name="Normal 25 9 2" xfId="27092"/>
    <cellStyle name="Normal 26" xfId="325"/>
    <cellStyle name="Normal 26 10" xfId="27094"/>
    <cellStyle name="Normal 26 10 2" xfId="27095"/>
    <cellStyle name="Normal 26 11" xfId="27096"/>
    <cellStyle name="Normal 26 11 2" xfId="27097"/>
    <cellStyle name="Normal 26 12" xfId="27098"/>
    <cellStyle name="Normal 26 12 2" xfId="27099"/>
    <cellStyle name="Normal 26 13" xfId="27100"/>
    <cellStyle name="Normal 26 14" xfId="42054"/>
    <cellStyle name="Normal 26 15" xfId="27093"/>
    <cellStyle name="Normal 26 2" xfId="27101"/>
    <cellStyle name="Normal 26 2 10" xfId="27102"/>
    <cellStyle name="Normal 26 2 10 2" xfId="27103"/>
    <cellStyle name="Normal 26 2 11" xfId="27104"/>
    <cellStyle name="Normal 26 2 11 2" xfId="27105"/>
    <cellStyle name="Normal 26 2 12" xfId="27106"/>
    <cellStyle name="Normal 26 2 13" xfId="42055"/>
    <cellStyle name="Normal 26 2 2" xfId="27107"/>
    <cellStyle name="Normal 26 2 2 10" xfId="27108"/>
    <cellStyle name="Normal 26 2 2 10 2" xfId="27109"/>
    <cellStyle name="Normal 26 2 2 11" xfId="27110"/>
    <cellStyle name="Normal 26 2 2 2" xfId="27111"/>
    <cellStyle name="Normal 26 2 2 2 2" xfId="27112"/>
    <cellStyle name="Normal 26 2 2 3" xfId="27113"/>
    <cellStyle name="Normal 26 2 2 3 2" xfId="27114"/>
    <cellStyle name="Normal 26 2 2 4" xfId="27115"/>
    <cellStyle name="Normal 26 2 2 4 2" xfId="27116"/>
    <cellStyle name="Normal 26 2 2 5" xfId="27117"/>
    <cellStyle name="Normal 26 2 2 5 2" xfId="27118"/>
    <cellStyle name="Normal 26 2 2 6" xfId="27119"/>
    <cellStyle name="Normal 26 2 2 6 2" xfId="27120"/>
    <cellStyle name="Normal 26 2 2 7" xfId="27121"/>
    <cellStyle name="Normal 26 2 2 7 2" xfId="27122"/>
    <cellStyle name="Normal 26 2 2 8" xfId="27123"/>
    <cellStyle name="Normal 26 2 2 8 2" xfId="27124"/>
    <cellStyle name="Normal 26 2 2 9" xfId="27125"/>
    <cellStyle name="Normal 26 2 2 9 2" xfId="27126"/>
    <cellStyle name="Normal 26 2 3" xfId="27127"/>
    <cellStyle name="Normal 26 2 3 2" xfId="27128"/>
    <cellStyle name="Normal 26 2 4" xfId="27129"/>
    <cellStyle name="Normal 26 2 4 2" xfId="27130"/>
    <cellStyle name="Normal 26 2 5" xfId="27131"/>
    <cellStyle name="Normal 26 2 5 2" xfId="27132"/>
    <cellStyle name="Normal 26 2 6" xfId="27133"/>
    <cellStyle name="Normal 26 2 6 2" xfId="27134"/>
    <cellStyle name="Normal 26 2 7" xfId="27135"/>
    <cellStyle name="Normal 26 2 7 2" xfId="27136"/>
    <cellStyle name="Normal 26 2 8" xfId="27137"/>
    <cellStyle name="Normal 26 2 8 2" xfId="27138"/>
    <cellStyle name="Normal 26 2 9" xfId="27139"/>
    <cellStyle name="Normal 26 2 9 2" xfId="27140"/>
    <cellStyle name="Normal 26 3" xfId="27141"/>
    <cellStyle name="Normal 26 3 10" xfId="27142"/>
    <cellStyle name="Normal 26 3 10 2" xfId="27143"/>
    <cellStyle name="Normal 26 3 11" xfId="27144"/>
    <cellStyle name="Normal 26 3 2" xfId="27145"/>
    <cellStyle name="Normal 26 3 2 2" xfId="27146"/>
    <cellStyle name="Normal 26 3 3" xfId="27147"/>
    <cellStyle name="Normal 26 3 3 2" xfId="27148"/>
    <cellStyle name="Normal 26 3 4" xfId="27149"/>
    <cellStyle name="Normal 26 3 4 2" xfId="27150"/>
    <cellStyle name="Normal 26 3 5" xfId="27151"/>
    <cellStyle name="Normal 26 3 5 2" xfId="27152"/>
    <cellStyle name="Normal 26 3 6" xfId="27153"/>
    <cellStyle name="Normal 26 3 6 2" xfId="27154"/>
    <cellStyle name="Normal 26 3 7" xfId="27155"/>
    <cellStyle name="Normal 26 3 7 2" xfId="27156"/>
    <cellStyle name="Normal 26 3 8" xfId="27157"/>
    <cellStyle name="Normal 26 3 8 2" xfId="27158"/>
    <cellStyle name="Normal 26 3 9" xfId="27159"/>
    <cellStyle name="Normal 26 3 9 2" xfId="27160"/>
    <cellStyle name="Normal 26 4" xfId="27161"/>
    <cellStyle name="Normal 26 4 2" xfId="27162"/>
    <cellStyle name="Normal 26 5" xfId="27163"/>
    <cellStyle name="Normal 26 5 2" xfId="27164"/>
    <cellStyle name="Normal 26 6" xfId="27165"/>
    <cellStyle name="Normal 26 6 2" xfId="27166"/>
    <cellStyle name="Normal 26 7" xfId="27167"/>
    <cellStyle name="Normal 26 7 2" xfId="27168"/>
    <cellStyle name="Normal 26 8" xfId="27169"/>
    <cellStyle name="Normal 26 8 2" xfId="27170"/>
    <cellStyle name="Normal 26 9" xfId="27171"/>
    <cellStyle name="Normal 26 9 2" xfId="27172"/>
    <cellStyle name="Normal 27" xfId="326"/>
    <cellStyle name="Normal 27 10" xfId="27174"/>
    <cellStyle name="Normal 27 10 2" xfId="27175"/>
    <cellStyle name="Normal 27 11" xfId="27176"/>
    <cellStyle name="Normal 27 11 2" xfId="27177"/>
    <cellStyle name="Normal 27 12" xfId="27178"/>
    <cellStyle name="Normal 27 12 2" xfId="27179"/>
    <cellStyle name="Normal 27 13" xfId="27180"/>
    <cellStyle name="Normal 27 14" xfId="42056"/>
    <cellStyle name="Normal 27 15" xfId="27173"/>
    <cellStyle name="Normal 27 2" xfId="27181"/>
    <cellStyle name="Normal 27 2 10" xfId="27182"/>
    <cellStyle name="Normal 27 2 10 2" xfId="27183"/>
    <cellStyle name="Normal 27 2 11" xfId="27184"/>
    <cellStyle name="Normal 27 2 11 2" xfId="27185"/>
    <cellStyle name="Normal 27 2 12" xfId="27186"/>
    <cellStyle name="Normal 27 2 13" xfId="42057"/>
    <cellStyle name="Normal 27 2 2" xfId="27187"/>
    <cellStyle name="Normal 27 2 2 10" xfId="27188"/>
    <cellStyle name="Normal 27 2 2 10 2" xfId="27189"/>
    <cellStyle name="Normal 27 2 2 11" xfId="27190"/>
    <cellStyle name="Normal 27 2 2 2" xfId="27191"/>
    <cellStyle name="Normal 27 2 2 2 2" xfId="27192"/>
    <cellStyle name="Normal 27 2 2 3" xfId="27193"/>
    <cellStyle name="Normal 27 2 2 3 2" xfId="27194"/>
    <cellStyle name="Normal 27 2 2 4" xfId="27195"/>
    <cellStyle name="Normal 27 2 2 4 2" xfId="27196"/>
    <cellStyle name="Normal 27 2 2 5" xfId="27197"/>
    <cellStyle name="Normal 27 2 2 5 2" xfId="27198"/>
    <cellStyle name="Normal 27 2 2 6" xfId="27199"/>
    <cellStyle name="Normal 27 2 2 6 2" xfId="27200"/>
    <cellStyle name="Normal 27 2 2 7" xfId="27201"/>
    <cellStyle name="Normal 27 2 2 7 2" xfId="27202"/>
    <cellStyle name="Normal 27 2 2 8" xfId="27203"/>
    <cellStyle name="Normal 27 2 2 8 2" xfId="27204"/>
    <cellStyle name="Normal 27 2 2 9" xfId="27205"/>
    <cellStyle name="Normal 27 2 2 9 2" xfId="27206"/>
    <cellStyle name="Normal 27 2 3" xfId="27207"/>
    <cellStyle name="Normal 27 2 3 2" xfId="27208"/>
    <cellStyle name="Normal 27 2 4" xfId="27209"/>
    <cellStyle name="Normal 27 2 4 2" xfId="27210"/>
    <cellStyle name="Normal 27 2 5" xfId="27211"/>
    <cellStyle name="Normal 27 2 5 2" xfId="27212"/>
    <cellStyle name="Normal 27 2 6" xfId="27213"/>
    <cellStyle name="Normal 27 2 6 2" xfId="27214"/>
    <cellStyle name="Normal 27 2 7" xfId="27215"/>
    <cellStyle name="Normal 27 2 7 2" xfId="27216"/>
    <cellStyle name="Normal 27 2 8" xfId="27217"/>
    <cellStyle name="Normal 27 2 8 2" xfId="27218"/>
    <cellStyle name="Normal 27 2 9" xfId="27219"/>
    <cellStyle name="Normal 27 2 9 2" xfId="27220"/>
    <cellStyle name="Normal 27 3" xfId="27221"/>
    <cellStyle name="Normal 27 3 10" xfId="27222"/>
    <cellStyle name="Normal 27 3 10 2" xfId="27223"/>
    <cellStyle name="Normal 27 3 11" xfId="27224"/>
    <cellStyle name="Normal 27 3 2" xfId="27225"/>
    <cellStyle name="Normal 27 3 2 2" xfId="27226"/>
    <cellStyle name="Normal 27 3 3" xfId="27227"/>
    <cellStyle name="Normal 27 3 3 2" xfId="27228"/>
    <cellStyle name="Normal 27 3 4" xfId="27229"/>
    <cellStyle name="Normal 27 3 4 2" xfId="27230"/>
    <cellStyle name="Normal 27 3 5" xfId="27231"/>
    <cellStyle name="Normal 27 3 5 2" xfId="27232"/>
    <cellStyle name="Normal 27 3 6" xfId="27233"/>
    <cellStyle name="Normal 27 3 6 2" xfId="27234"/>
    <cellStyle name="Normal 27 3 7" xfId="27235"/>
    <cellStyle name="Normal 27 3 7 2" xfId="27236"/>
    <cellStyle name="Normal 27 3 8" xfId="27237"/>
    <cellStyle name="Normal 27 3 8 2" xfId="27238"/>
    <cellStyle name="Normal 27 3 9" xfId="27239"/>
    <cellStyle name="Normal 27 3 9 2" xfId="27240"/>
    <cellStyle name="Normal 27 4" xfId="27241"/>
    <cellStyle name="Normal 27 4 2" xfId="27242"/>
    <cellStyle name="Normal 27 5" xfId="27243"/>
    <cellStyle name="Normal 27 5 2" xfId="27244"/>
    <cellStyle name="Normal 27 6" xfId="27245"/>
    <cellStyle name="Normal 27 6 2" xfId="27246"/>
    <cellStyle name="Normal 27 7" xfId="27247"/>
    <cellStyle name="Normal 27 7 2" xfId="27248"/>
    <cellStyle name="Normal 27 8" xfId="27249"/>
    <cellStyle name="Normal 27 8 2" xfId="27250"/>
    <cellStyle name="Normal 27 9" xfId="27251"/>
    <cellStyle name="Normal 27 9 2" xfId="27252"/>
    <cellStyle name="Normal 28" xfId="327"/>
    <cellStyle name="Normal 28 10" xfId="27254"/>
    <cellStyle name="Normal 28 10 2" xfId="27255"/>
    <cellStyle name="Normal 28 11" xfId="27256"/>
    <cellStyle name="Normal 28 11 2" xfId="27257"/>
    <cellStyle name="Normal 28 12" xfId="27258"/>
    <cellStyle name="Normal 28 12 2" xfId="27259"/>
    <cellStyle name="Normal 28 13" xfId="27260"/>
    <cellStyle name="Normal 28 14" xfId="42058"/>
    <cellStyle name="Normal 28 15" xfId="27253"/>
    <cellStyle name="Normal 28 2" xfId="27261"/>
    <cellStyle name="Normal 28 2 10" xfId="27262"/>
    <cellStyle name="Normal 28 2 10 2" xfId="27263"/>
    <cellStyle name="Normal 28 2 11" xfId="27264"/>
    <cellStyle name="Normal 28 2 11 2" xfId="27265"/>
    <cellStyle name="Normal 28 2 12" xfId="27266"/>
    <cellStyle name="Normal 28 2 13" xfId="42059"/>
    <cellStyle name="Normal 28 2 2" xfId="27267"/>
    <cellStyle name="Normal 28 2 2 10" xfId="27268"/>
    <cellStyle name="Normal 28 2 2 10 2" xfId="27269"/>
    <cellStyle name="Normal 28 2 2 11" xfId="27270"/>
    <cellStyle name="Normal 28 2 2 2" xfId="27271"/>
    <cellStyle name="Normal 28 2 2 2 2" xfId="27272"/>
    <cellStyle name="Normal 28 2 2 3" xfId="27273"/>
    <cellStyle name="Normal 28 2 2 3 2" xfId="27274"/>
    <cellStyle name="Normal 28 2 2 4" xfId="27275"/>
    <cellStyle name="Normal 28 2 2 4 2" xfId="27276"/>
    <cellStyle name="Normal 28 2 2 5" xfId="27277"/>
    <cellStyle name="Normal 28 2 2 5 2" xfId="27278"/>
    <cellStyle name="Normal 28 2 2 6" xfId="27279"/>
    <cellStyle name="Normal 28 2 2 6 2" xfId="27280"/>
    <cellStyle name="Normal 28 2 2 7" xfId="27281"/>
    <cellStyle name="Normal 28 2 2 7 2" xfId="27282"/>
    <cellStyle name="Normal 28 2 2 8" xfId="27283"/>
    <cellStyle name="Normal 28 2 2 8 2" xfId="27284"/>
    <cellStyle name="Normal 28 2 2 9" xfId="27285"/>
    <cellStyle name="Normal 28 2 2 9 2" xfId="27286"/>
    <cellStyle name="Normal 28 2 3" xfId="27287"/>
    <cellStyle name="Normal 28 2 3 2" xfId="27288"/>
    <cellStyle name="Normal 28 2 4" xfId="27289"/>
    <cellStyle name="Normal 28 2 4 2" xfId="27290"/>
    <cellStyle name="Normal 28 2 5" xfId="27291"/>
    <cellStyle name="Normal 28 2 5 2" xfId="27292"/>
    <cellStyle name="Normal 28 2 6" xfId="27293"/>
    <cellStyle name="Normal 28 2 6 2" xfId="27294"/>
    <cellStyle name="Normal 28 2 7" xfId="27295"/>
    <cellStyle name="Normal 28 2 7 2" xfId="27296"/>
    <cellStyle name="Normal 28 2 8" xfId="27297"/>
    <cellStyle name="Normal 28 2 8 2" xfId="27298"/>
    <cellStyle name="Normal 28 2 9" xfId="27299"/>
    <cellStyle name="Normal 28 2 9 2" xfId="27300"/>
    <cellStyle name="Normal 28 3" xfId="27301"/>
    <cellStyle name="Normal 28 3 10" xfId="27302"/>
    <cellStyle name="Normal 28 3 10 2" xfId="27303"/>
    <cellStyle name="Normal 28 3 11" xfId="27304"/>
    <cellStyle name="Normal 28 3 2" xfId="27305"/>
    <cellStyle name="Normal 28 3 2 2" xfId="27306"/>
    <cellStyle name="Normal 28 3 3" xfId="27307"/>
    <cellStyle name="Normal 28 3 3 2" xfId="27308"/>
    <cellStyle name="Normal 28 3 4" xfId="27309"/>
    <cellStyle name="Normal 28 3 4 2" xfId="27310"/>
    <cellStyle name="Normal 28 3 5" xfId="27311"/>
    <cellStyle name="Normal 28 3 5 2" xfId="27312"/>
    <cellStyle name="Normal 28 3 6" xfId="27313"/>
    <cellStyle name="Normal 28 3 6 2" xfId="27314"/>
    <cellStyle name="Normal 28 3 7" xfId="27315"/>
    <cellStyle name="Normal 28 3 7 2" xfId="27316"/>
    <cellStyle name="Normal 28 3 8" xfId="27317"/>
    <cellStyle name="Normal 28 3 8 2" xfId="27318"/>
    <cellStyle name="Normal 28 3 9" xfId="27319"/>
    <cellStyle name="Normal 28 3 9 2" xfId="27320"/>
    <cellStyle name="Normal 28 4" xfId="27321"/>
    <cellStyle name="Normal 28 4 2" xfId="27322"/>
    <cellStyle name="Normal 28 5" xfId="27323"/>
    <cellStyle name="Normal 28 5 2" xfId="27324"/>
    <cellStyle name="Normal 28 6" xfId="27325"/>
    <cellStyle name="Normal 28 6 2" xfId="27326"/>
    <cellStyle name="Normal 28 7" xfId="27327"/>
    <cellStyle name="Normal 28 7 2" xfId="27328"/>
    <cellStyle name="Normal 28 8" xfId="27329"/>
    <cellStyle name="Normal 28 8 2" xfId="27330"/>
    <cellStyle name="Normal 28 9" xfId="27331"/>
    <cellStyle name="Normal 28 9 2" xfId="27332"/>
    <cellStyle name="Normal 29" xfId="328"/>
    <cellStyle name="Normal 29 10" xfId="27334"/>
    <cellStyle name="Normal 29 10 2" xfId="27335"/>
    <cellStyle name="Normal 29 11" xfId="27336"/>
    <cellStyle name="Normal 29 11 2" xfId="27337"/>
    <cellStyle name="Normal 29 12" xfId="27338"/>
    <cellStyle name="Normal 29 12 2" xfId="27339"/>
    <cellStyle name="Normal 29 13" xfId="27340"/>
    <cellStyle name="Normal 29 14" xfId="42060"/>
    <cellStyle name="Normal 29 15" xfId="27333"/>
    <cellStyle name="Normal 29 2" xfId="27341"/>
    <cellStyle name="Normal 29 2 10" xfId="27342"/>
    <cellStyle name="Normal 29 2 10 2" xfId="27343"/>
    <cellStyle name="Normal 29 2 11" xfId="27344"/>
    <cellStyle name="Normal 29 2 11 2" xfId="27345"/>
    <cellStyle name="Normal 29 2 12" xfId="27346"/>
    <cellStyle name="Normal 29 2 13" xfId="42061"/>
    <cellStyle name="Normal 29 2 2" xfId="27347"/>
    <cellStyle name="Normal 29 2 2 10" xfId="27348"/>
    <cellStyle name="Normal 29 2 2 10 2" xfId="27349"/>
    <cellStyle name="Normal 29 2 2 11" xfId="27350"/>
    <cellStyle name="Normal 29 2 2 2" xfId="27351"/>
    <cellStyle name="Normal 29 2 2 2 2" xfId="27352"/>
    <cellStyle name="Normal 29 2 2 3" xfId="27353"/>
    <cellStyle name="Normal 29 2 2 3 2" xfId="27354"/>
    <cellStyle name="Normal 29 2 2 4" xfId="27355"/>
    <cellStyle name="Normal 29 2 2 4 2" xfId="27356"/>
    <cellStyle name="Normal 29 2 2 5" xfId="27357"/>
    <cellStyle name="Normal 29 2 2 5 2" xfId="27358"/>
    <cellStyle name="Normal 29 2 2 6" xfId="27359"/>
    <cellStyle name="Normal 29 2 2 6 2" xfId="27360"/>
    <cellStyle name="Normal 29 2 2 7" xfId="27361"/>
    <cellStyle name="Normal 29 2 2 7 2" xfId="27362"/>
    <cellStyle name="Normal 29 2 2 8" xfId="27363"/>
    <cellStyle name="Normal 29 2 2 8 2" xfId="27364"/>
    <cellStyle name="Normal 29 2 2 9" xfId="27365"/>
    <cellStyle name="Normal 29 2 2 9 2" xfId="27366"/>
    <cellStyle name="Normal 29 2 3" xfId="27367"/>
    <cellStyle name="Normal 29 2 3 2" xfId="27368"/>
    <cellStyle name="Normal 29 2 4" xfId="27369"/>
    <cellStyle name="Normal 29 2 4 2" xfId="27370"/>
    <cellStyle name="Normal 29 2 5" xfId="27371"/>
    <cellStyle name="Normal 29 2 5 2" xfId="27372"/>
    <cellStyle name="Normal 29 2 6" xfId="27373"/>
    <cellStyle name="Normal 29 2 6 2" xfId="27374"/>
    <cellStyle name="Normal 29 2 7" xfId="27375"/>
    <cellStyle name="Normal 29 2 7 2" xfId="27376"/>
    <cellStyle name="Normal 29 2 8" xfId="27377"/>
    <cellStyle name="Normal 29 2 8 2" xfId="27378"/>
    <cellStyle name="Normal 29 2 9" xfId="27379"/>
    <cellStyle name="Normal 29 2 9 2" xfId="27380"/>
    <cellStyle name="Normal 29 3" xfId="27381"/>
    <cellStyle name="Normal 29 3 10" xfId="27382"/>
    <cellStyle name="Normal 29 3 10 2" xfId="27383"/>
    <cellStyle name="Normal 29 3 11" xfId="27384"/>
    <cellStyle name="Normal 29 3 2" xfId="27385"/>
    <cellStyle name="Normal 29 3 2 2" xfId="27386"/>
    <cellStyle name="Normal 29 3 3" xfId="27387"/>
    <cellStyle name="Normal 29 3 3 2" xfId="27388"/>
    <cellStyle name="Normal 29 3 4" xfId="27389"/>
    <cellStyle name="Normal 29 3 4 2" xfId="27390"/>
    <cellStyle name="Normal 29 3 5" xfId="27391"/>
    <cellStyle name="Normal 29 3 5 2" xfId="27392"/>
    <cellStyle name="Normal 29 3 6" xfId="27393"/>
    <cellStyle name="Normal 29 3 6 2" xfId="27394"/>
    <cellStyle name="Normal 29 3 7" xfId="27395"/>
    <cellStyle name="Normal 29 3 7 2" xfId="27396"/>
    <cellStyle name="Normal 29 3 8" xfId="27397"/>
    <cellStyle name="Normal 29 3 8 2" xfId="27398"/>
    <cellStyle name="Normal 29 3 9" xfId="27399"/>
    <cellStyle name="Normal 29 3 9 2" xfId="27400"/>
    <cellStyle name="Normal 29 4" xfId="27401"/>
    <cellStyle name="Normal 29 4 2" xfId="27402"/>
    <cellStyle name="Normal 29 5" xfId="27403"/>
    <cellStyle name="Normal 29 5 2" xfId="27404"/>
    <cellStyle name="Normal 29 6" xfId="27405"/>
    <cellStyle name="Normal 29 6 2" xfId="27406"/>
    <cellStyle name="Normal 29 7" xfId="27407"/>
    <cellStyle name="Normal 29 7 2" xfId="27408"/>
    <cellStyle name="Normal 29 8" xfId="27409"/>
    <cellStyle name="Normal 29 8 2" xfId="27410"/>
    <cellStyle name="Normal 29 9" xfId="27411"/>
    <cellStyle name="Normal 29 9 2" xfId="27412"/>
    <cellStyle name="Normal 3" xfId="2"/>
    <cellStyle name="Normal 3 2" xfId="203"/>
    <cellStyle name="Normal 3 2 10" xfId="27413"/>
    <cellStyle name="Normal 3 2 11" xfId="27414"/>
    <cellStyle name="Normal 3 2 12" xfId="27415"/>
    <cellStyle name="Normal 3 2 13" xfId="27416"/>
    <cellStyle name="Normal 3 2 14" xfId="27417"/>
    <cellStyle name="Normal 3 2 2" xfId="27418"/>
    <cellStyle name="Normal 3 2 3" xfId="27419"/>
    <cellStyle name="Normal 3 2 4" xfId="27420"/>
    <cellStyle name="Normal 3 2 5" xfId="27421"/>
    <cellStyle name="Normal 3 2 6" xfId="27422"/>
    <cellStyle name="Normal 3 2 7" xfId="27423"/>
    <cellStyle name="Normal 3 2 8" xfId="27424"/>
    <cellStyle name="Normal 3 2 9" xfId="27425"/>
    <cellStyle name="Normal 3 3" xfId="267"/>
    <cellStyle name="Normal 3 3 2" xfId="42062"/>
    <cellStyle name="Normal 3 4" xfId="14"/>
    <cellStyle name="Normal 3 4 2" xfId="42063"/>
    <cellStyle name="Normal 3 4 3" xfId="27426"/>
    <cellStyle name="Normal 3 5" xfId="27427"/>
    <cellStyle name="Normal 3 5 2" xfId="42064"/>
    <cellStyle name="Normal 3 6" xfId="27428"/>
    <cellStyle name="Normal 3 6 2" xfId="42065"/>
    <cellStyle name="Normal 3 7" xfId="27429"/>
    <cellStyle name="Normal 3 7 2" xfId="42066"/>
    <cellStyle name="Normal 3 8" xfId="27430"/>
    <cellStyle name="Normal 3 8 2" xfId="42067"/>
    <cellStyle name="Normal 3 9" xfId="42068"/>
    <cellStyle name="Normal 30" xfId="329"/>
    <cellStyle name="Normal 30 10" xfId="27432"/>
    <cellStyle name="Normal 30 10 2" xfId="27433"/>
    <cellStyle name="Normal 30 11" xfId="27434"/>
    <cellStyle name="Normal 30 11 2" xfId="27435"/>
    <cellStyle name="Normal 30 12" xfId="27436"/>
    <cellStyle name="Normal 30 12 2" xfId="27437"/>
    <cellStyle name="Normal 30 13" xfId="27438"/>
    <cellStyle name="Normal 30 14" xfId="42069"/>
    <cellStyle name="Normal 30 15" xfId="27431"/>
    <cellStyle name="Normal 30 2" xfId="27439"/>
    <cellStyle name="Normal 30 2 10" xfId="27440"/>
    <cellStyle name="Normal 30 2 10 2" xfId="27441"/>
    <cellStyle name="Normal 30 2 11" xfId="27442"/>
    <cellStyle name="Normal 30 2 11 2" xfId="27443"/>
    <cellStyle name="Normal 30 2 12" xfId="27444"/>
    <cellStyle name="Normal 30 2 13" xfId="42070"/>
    <cellStyle name="Normal 30 2 2" xfId="27445"/>
    <cellStyle name="Normal 30 2 2 10" xfId="27446"/>
    <cellStyle name="Normal 30 2 2 10 2" xfId="27447"/>
    <cellStyle name="Normal 30 2 2 11" xfId="27448"/>
    <cellStyle name="Normal 30 2 2 2" xfId="27449"/>
    <cellStyle name="Normal 30 2 2 2 2" xfId="27450"/>
    <cellStyle name="Normal 30 2 2 3" xfId="27451"/>
    <cellStyle name="Normal 30 2 2 3 2" xfId="27452"/>
    <cellStyle name="Normal 30 2 2 4" xfId="27453"/>
    <cellStyle name="Normal 30 2 2 4 2" xfId="27454"/>
    <cellStyle name="Normal 30 2 2 5" xfId="27455"/>
    <cellStyle name="Normal 30 2 2 5 2" xfId="27456"/>
    <cellStyle name="Normal 30 2 2 6" xfId="27457"/>
    <cellStyle name="Normal 30 2 2 6 2" xfId="27458"/>
    <cellStyle name="Normal 30 2 2 7" xfId="27459"/>
    <cellStyle name="Normal 30 2 2 7 2" xfId="27460"/>
    <cellStyle name="Normal 30 2 2 8" xfId="27461"/>
    <cellStyle name="Normal 30 2 2 8 2" xfId="27462"/>
    <cellStyle name="Normal 30 2 2 9" xfId="27463"/>
    <cellStyle name="Normal 30 2 2 9 2" xfId="27464"/>
    <cellStyle name="Normal 30 2 3" xfId="27465"/>
    <cellStyle name="Normal 30 2 3 2" xfId="27466"/>
    <cellStyle name="Normal 30 2 4" xfId="27467"/>
    <cellStyle name="Normal 30 2 4 2" xfId="27468"/>
    <cellStyle name="Normal 30 2 5" xfId="27469"/>
    <cellStyle name="Normal 30 2 5 2" xfId="27470"/>
    <cellStyle name="Normal 30 2 6" xfId="27471"/>
    <cellStyle name="Normal 30 2 6 2" xfId="27472"/>
    <cellStyle name="Normal 30 2 7" xfId="27473"/>
    <cellStyle name="Normal 30 2 7 2" xfId="27474"/>
    <cellStyle name="Normal 30 2 8" xfId="27475"/>
    <cellStyle name="Normal 30 2 8 2" xfId="27476"/>
    <cellStyle name="Normal 30 2 9" xfId="27477"/>
    <cellStyle name="Normal 30 2 9 2" xfId="27478"/>
    <cellStyle name="Normal 30 3" xfId="27479"/>
    <cellStyle name="Normal 30 3 10" xfId="27480"/>
    <cellStyle name="Normal 30 3 10 2" xfId="27481"/>
    <cellStyle name="Normal 30 3 11" xfId="27482"/>
    <cellStyle name="Normal 30 3 2" xfId="27483"/>
    <cellStyle name="Normal 30 3 2 2" xfId="27484"/>
    <cellStyle name="Normal 30 3 3" xfId="27485"/>
    <cellStyle name="Normal 30 3 3 2" xfId="27486"/>
    <cellStyle name="Normal 30 3 4" xfId="27487"/>
    <cellStyle name="Normal 30 3 4 2" xfId="27488"/>
    <cellStyle name="Normal 30 3 5" xfId="27489"/>
    <cellStyle name="Normal 30 3 5 2" xfId="27490"/>
    <cellStyle name="Normal 30 3 6" xfId="27491"/>
    <cellStyle name="Normal 30 3 6 2" xfId="27492"/>
    <cellStyle name="Normal 30 3 7" xfId="27493"/>
    <cellStyle name="Normal 30 3 7 2" xfId="27494"/>
    <cellStyle name="Normal 30 3 8" xfId="27495"/>
    <cellStyle name="Normal 30 3 8 2" xfId="27496"/>
    <cellStyle name="Normal 30 3 9" xfId="27497"/>
    <cellStyle name="Normal 30 3 9 2" xfId="27498"/>
    <cellStyle name="Normal 30 4" xfId="27499"/>
    <cellStyle name="Normal 30 4 2" xfId="27500"/>
    <cellStyle name="Normal 30 5" xfId="27501"/>
    <cellStyle name="Normal 30 5 2" xfId="27502"/>
    <cellStyle name="Normal 30 6" xfId="27503"/>
    <cellStyle name="Normal 30 6 2" xfId="27504"/>
    <cellStyle name="Normal 30 7" xfId="27505"/>
    <cellStyle name="Normal 30 7 2" xfId="27506"/>
    <cellStyle name="Normal 30 8" xfId="27507"/>
    <cellStyle name="Normal 30 8 2" xfId="27508"/>
    <cellStyle name="Normal 30 9" xfId="27509"/>
    <cellStyle name="Normal 30 9 2" xfId="27510"/>
    <cellStyle name="Normal 31" xfId="330"/>
    <cellStyle name="Normal 31 10" xfId="27512"/>
    <cellStyle name="Normal 31 10 2" xfId="27513"/>
    <cellStyle name="Normal 31 11" xfId="27514"/>
    <cellStyle name="Normal 31 11 2" xfId="27515"/>
    <cellStyle name="Normal 31 12" xfId="27516"/>
    <cellStyle name="Normal 31 12 2" xfId="27517"/>
    <cellStyle name="Normal 31 13" xfId="27518"/>
    <cellStyle name="Normal 31 14" xfId="42071"/>
    <cellStyle name="Normal 31 15" xfId="27511"/>
    <cellStyle name="Normal 31 2" xfId="27519"/>
    <cellStyle name="Normal 31 2 10" xfId="27520"/>
    <cellStyle name="Normal 31 2 10 2" xfId="27521"/>
    <cellStyle name="Normal 31 2 11" xfId="27522"/>
    <cellStyle name="Normal 31 2 11 2" xfId="27523"/>
    <cellStyle name="Normal 31 2 12" xfId="27524"/>
    <cellStyle name="Normal 31 2 13" xfId="42072"/>
    <cellStyle name="Normal 31 2 2" xfId="27525"/>
    <cellStyle name="Normal 31 2 2 10" xfId="27526"/>
    <cellStyle name="Normal 31 2 2 10 2" xfId="27527"/>
    <cellStyle name="Normal 31 2 2 11" xfId="27528"/>
    <cellStyle name="Normal 31 2 2 2" xfId="27529"/>
    <cellStyle name="Normal 31 2 2 2 2" xfId="27530"/>
    <cellStyle name="Normal 31 2 2 3" xfId="27531"/>
    <cellStyle name="Normal 31 2 2 3 2" xfId="27532"/>
    <cellStyle name="Normal 31 2 2 4" xfId="27533"/>
    <cellStyle name="Normal 31 2 2 4 2" xfId="27534"/>
    <cellStyle name="Normal 31 2 2 5" xfId="27535"/>
    <cellStyle name="Normal 31 2 2 5 2" xfId="27536"/>
    <cellStyle name="Normal 31 2 2 6" xfId="27537"/>
    <cellStyle name="Normal 31 2 2 6 2" xfId="27538"/>
    <cellStyle name="Normal 31 2 2 7" xfId="27539"/>
    <cellStyle name="Normal 31 2 2 7 2" xfId="27540"/>
    <cellStyle name="Normal 31 2 2 8" xfId="27541"/>
    <cellStyle name="Normal 31 2 2 8 2" xfId="27542"/>
    <cellStyle name="Normal 31 2 2 9" xfId="27543"/>
    <cellStyle name="Normal 31 2 2 9 2" xfId="27544"/>
    <cellStyle name="Normal 31 2 3" xfId="27545"/>
    <cellStyle name="Normal 31 2 3 2" xfId="27546"/>
    <cellStyle name="Normal 31 2 4" xfId="27547"/>
    <cellStyle name="Normal 31 2 4 2" xfId="27548"/>
    <cellStyle name="Normal 31 2 5" xfId="27549"/>
    <cellStyle name="Normal 31 2 5 2" xfId="27550"/>
    <cellStyle name="Normal 31 2 6" xfId="27551"/>
    <cellStyle name="Normal 31 2 6 2" xfId="27552"/>
    <cellStyle name="Normal 31 2 7" xfId="27553"/>
    <cellStyle name="Normal 31 2 7 2" xfId="27554"/>
    <cellStyle name="Normal 31 2 8" xfId="27555"/>
    <cellStyle name="Normal 31 2 8 2" xfId="27556"/>
    <cellStyle name="Normal 31 2 9" xfId="27557"/>
    <cellStyle name="Normal 31 2 9 2" xfId="27558"/>
    <cellStyle name="Normal 31 3" xfId="27559"/>
    <cellStyle name="Normal 31 3 10" xfId="27560"/>
    <cellStyle name="Normal 31 3 10 2" xfId="27561"/>
    <cellStyle name="Normal 31 3 11" xfId="27562"/>
    <cellStyle name="Normal 31 3 2" xfId="27563"/>
    <cellStyle name="Normal 31 3 2 2" xfId="27564"/>
    <cellStyle name="Normal 31 3 3" xfId="27565"/>
    <cellStyle name="Normal 31 3 3 2" xfId="27566"/>
    <cellStyle name="Normal 31 3 4" xfId="27567"/>
    <cellStyle name="Normal 31 3 4 2" xfId="27568"/>
    <cellStyle name="Normal 31 3 5" xfId="27569"/>
    <cellStyle name="Normal 31 3 5 2" xfId="27570"/>
    <cellStyle name="Normal 31 3 6" xfId="27571"/>
    <cellStyle name="Normal 31 3 6 2" xfId="27572"/>
    <cellStyle name="Normal 31 3 7" xfId="27573"/>
    <cellStyle name="Normal 31 3 7 2" xfId="27574"/>
    <cellStyle name="Normal 31 3 8" xfId="27575"/>
    <cellStyle name="Normal 31 3 8 2" xfId="27576"/>
    <cellStyle name="Normal 31 3 9" xfId="27577"/>
    <cellStyle name="Normal 31 3 9 2" xfId="27578"/>
    <cellStyle name="Normal 31 4" xfId="27579"/>
    <cellStyle name="Normal 31 4 2" xfId="27580"/>
    <cellStyle name="Normal 31 5" xfId="27581"/>
    <cellStyle name="Normal 31 5 2" xfId="27582"/>
    <cellStyle name="Normal 31 6" xfId="27583"/>
    <cellStyle name="Normal 31 6 2" xfId="27584"/>
    <cellStyle name="Normal 31 7" xfId="27585"/>
    <cellStyle name="Normal 31 7 2" xfId="27586"/>
    <cellStyle name="Normal 31 8" xfId="27587"/>
    <cellStyle name="Normal 31 8 2" xfId="27588"/>
    <cellStyle name="Normal 31 9" xfId="27589"/>
    <cellStyle name="Normal 31 9 2" xfId="27590"/>
    <cellStyle name="Normal 32" xfId="331"/>
    <cellStyle name="Normal 32 10" xfId="27592"/>
    <cellStyle name="Normal 32 10 2" xfId="27593"/>
    <cellStyle name="Normal 32 11" xfId="27594"/>
    <cellStyle name="Normal 32 11 2" xfId="27595"/>
    <cellStyle name="Normal 32 12" xfId="27596"/>
    <cellStyle name="Normal 32 12 2" xfId="27597"/>
    <cellStyle name="Normal 32 13" xfId="27598"/>
    <cellStyle name="Normal 32 14" xfId="42073"/>
    <cellStyle name="Normal 32 15" xfId="27591"/>
    <cellStyle name="Normal 32 2" xfId="27599"/>
    <cellStyle name="Normal 32 2 10" xfId="27600"/>
    <cellStyle name="Normal 32 2 10 2" xfId="27601"/>
    <cellStyle name="Normal 32 2 11" xfId="27602"/>
    <cellStyle name="Normal 32 2 11 2" xfId="27603"/>
    <cellStyle name="Normal 32 2 12" xfId="27604"/>
    <cellStyle name="Normal 32 2 13" xfId="42074"/>
    <cellStyle name="Normal 32 2 2" xfId="27605"/>
    <cellStyle name="Normal 32 2 2 10" xfId="27606"/>
    <cellStyle name="Normal 32 2 2 10 2" xfId="27607"/>
    <cellStyle name="Normal 32 2 2 11" xfId="27608"/>
    <cellStyle name="Normal 32 2 2 2" xfId="27609"/>
    <cellStyle name="Normal 32 2 2 2 2" xfId="27610"/>
    <cellStyle name="Normal 32 2 2 3" xfId="27611"/>
    <cellStyle name="Normal 32 2 2 3 2" xfId="27612"/>
    <cellStyle name="Normal 32 2 2 4" xfId="27613"/>
    <cellStyle name="Normal 32 2 2 4 2" xfId="27614"/>
    <cellStyle name="Normal 32 2 2 5" xfId="27615"/>
    <cellStyle name="Normal 32 2 2 5 2" xfId="27616"/>
    <cellStyle name="Normal 32 2 2 6" xfId="27617"/>
    <cellStyle name="Normal 32 2 2 6 2" xfId="27618"/>
    <cellStyle name="Normal 32 2 2 7" xfId="27619"/>
    <cellStyle name="Normal 32 2 2 7 2" xfId="27620"/>
    <cellStyle name="Normal 32 2 2 8" xfId="27621"/>
    <cellStyle name="Normal 32 2 2 8 2" xfId="27622"/>
    <cellStyle name="Normal 32 2 2 9" xfId="27623"/>
    <cellStyle name="Normal 32 2 2 9 2" xfId="27624"/>
    <cellStyle name="Normal 32 2 3" xfId="27625"/>
    <cellStyle name="Normal 32 2 3 2" xfId="27626"/>
    <cellStyle name="Normal 32 2 4" xfId="27627"/>
    <cellStyle name="Normal 32 2 4 2" xfId="27628"/>
    <cellStyle name="Normal 32 2 5" xfId="27629"/>
    <cellStyle name="Normal 32 2 5 2" xfId="27630"/>
    <cellStyle name="Normal 32 2 6" xfId="27631"/>
    <cellStyle name="Normal 32 2 6 2" xfId="27632"/>
    <cellStyle name="Normal 32 2 7" xfId="27633"/>
    <cellStyle name="Normal 32 2 7 2" xfId="27634"/>
    <cellStyle name="Normal 32 2 8" xfId="27635"/>
    <cellStyle name="Normal 32 2 8 2" xfId="27636"/>
    <cellStyle name="Normal 32 2 9" xfId="27637"/>
    <cellStyle name="Normal 32 2 9 2" xfId="27638"/>
    <cellStyle name="Normal 32 3" xfId="27639"/>
    <cellStyle name="Normal 32 3 10" xfId="27640"/>
    <cellStyle name="Normal 32 3 10 2" xfId="27641"/>
    <cellStyle name="Normal 32 3 11" xfId="27642"/>
    <cellStyle name="Normal 32 3 2" xfId="27643"/>
    <cellStyle name="Normal 32 3 2 2" xfId="27644"/>
    <cellStyle name="Normal 32 3 3" xfId="27645"/>
    <cellStyle name="Normal 32 3 3 2" xfId="27646"/>
    <cellStyle name="Normal 32 3 4" xfId="27647"/>
    <cellStyle name="Normal 32 3 4 2" xfId="27648"/>
    <cellStyle name="Normal 32 3 5" xfId="27649"/>
    <cellStyle name="Normal 32 3 5 2" xfId="27650"/>
    <cellStyle name="Normal 32 3 6" xfId="27651"/>
    <cellStyle name="Normal 32 3 6 2" xfId="27652"/>
    <cellStyle name="Normal 32 3 7" xfId="27653"/>
    <cellStyle name="Normal 32 3 7 2" xfId="27654"/>
    <cellStyle name="Normal 32 3 8" xfId="27655"/>
    <cellStyle name="Normal 32 3 8 2" xfId="27656"/>
    <cellStyle name="Normal 32 3 9" xfId="27657"/>
    <cellStyle name="Normal 32 3 9 2" xfId="27658"/>
    <cellStyle name="Normal 32 4" xfId="27659"/>
    <cellStyle name="Normal 32 4 2" xfId="27660"/>
    <cellStyle name="Normal 32 5" xfId="27661"/>
    <cellStyle name="Normal 32 5 2" xfId="27662"/>
    <cellStyle name="Normal 32 6" xfId="27663"/>
    <cellStyle name="Normal 32 6 2" xfId="27664"/>
    <cellStyle name="Normal 32 7" xfId="27665"/>
    <cellStyle name="Normal 32 7 2" xfId="27666"/>
    <cellStyle name="Normal 32 8" xfId="27667"/>
    <cellStyle name="Normal 32 8 2" xfId="27668"/>
    <cellStyle name="Normal 32 9" xfId="27669"/>
    <cellStyle name="Normal 32 9 2" xfId="27670"/>
    <cellStyle name="Normal 33" xfId="332"/>
    <cellStyle name="Normal 33 10" xfId="27672"/>
    <cellStyle name="Normal 33 10 2" xfId="27673"/>
    <cellStyle name="Normal 33 11" xfId="27674"/>
    <cellStyle name="Normal 33 11 2" xfId="27675"/>
    <cellStyle name="Normal 33 12" xfId="27676"/>
    <cellStyle name="Normal 33 13" xfId="42075"/>
    <cellStyle name="Normal 33 14" xfId="27671"/>
    <cellStyle name="Normal 33 2" xfId="27677"/>
    <cellStyle name="Normal 33 2 10" xfId="27678"/>
    <cellStyle name="Normal 33 2 10 2" xfId="27679"/>
    <cellStyle name="Normal 33 2 11" xfId="27680"/>
    <cellStyle name="Normal 33 2 12" xfId="42076"/>
    <cellStyle name="Normal 33 2 2" xfId="27681"/>
    <cellStyle name="Normal 33 2 2 2" xfId="27682"/>
    <cellStyle name="Normal 33 2 3" xfId="27683"/>
    <cellStyle name="Normal 33 2 3 2" xfId="27684"/>
    <cellStyle name="Normal 33 2 4" xfId="27685"/>
    <cellStyle name="Normal 33 2 4 2" xfId="27686"/>
    <cellStyle name="Normal 33 2 5" xfId="27687"/>
    <cellStyle name="Normal 33 2 5 2" xfId="27688"/>
    <cellStyle name="Normal 33 2 6" xfId="27689"/>
    <cellStyle name="Normal 33 2 6 2" xfId="27690"/>
    <cellStyle name="Normal 33 2 7" xfId="27691"/>
    <cellStyle name="Normal 33 2 7 2" xfId="27692"/>
    <cellStyle name="Normal 33 2 8" xfId="27693"/>
    <cellStyle name="Normal 33 2 8 2" xfId="27694"/>
    <cellStyle name="Normal 33 2 9" xfId="27695"/>
    <cellStyle name="Normal 33 2 9 2" xfId="27696"/>
    <cellStyle name="Normal 33 3" xfId="27697"/>
    <cellStyle name="Normal 33 3 2" xfId="27698"/>
    <cellStyle name="Normal 33 4" xfId="27699"/>
    <cellStyle name="Normal 33 4 2" xfId="27700"/>
    <cellStyle name="Normal 33 5" xfId="27701"/>
    <cellStyle name="Normal 33 5 2" xfId="27702"/>
    <cellStyle name="Normal 33 6" xfId="27703"/>
    <cellStyle name="Normal 33 6 2" xfId="27704"/>
    <cellStyle name="Normal 33 7" xfId="27705"/>
    <cellStyle name="Normal 33 7 2" xfId="27706"/>
    <cellStyle name="Normal 33 8" xfId="27707"/>
    <cellStyle name="Normal 33 8 2" xfId="27708"/>
    <cellStyle name="Normal 33 9" xfId="27709"/>
    <cellStyle name="Normal 33 9 2" xfId="27710"/>
    <cellStyle name="Normal 34" xfId="333"/>
    <cellStyle name="Normal 34 2" xfId="42077"/>
    <cellStyle name="Normal 34 3" xfId="27711"/>
    <cellStyle name="Normal 35" xfId="334"/>
    <cellStyle name="Normal 35 10" xfId="27713"/>
    <cellStyle name="Normal 35 10 2" xfId="27714"/>
    <cellStyle name="Normal 35 11" xfId="27715"/>
    <cellStyle name="Normal 35 12" xfId="27712"/>
    <cellStyle name="Normal 35 2" xfId="27716"/>
    <cellStyle name="Normal 35 2 2" xfId="27717"/>
    <cellStyle name="Normal 35 2 3" xfId="42078"/>
    <cellStyle name="Normal 35 3" xfId="27718"/>
    <cellStyle name="Normal 35 3 2" xfId="27719"/>
    <cellStyle name="Normal 35 4" xfId="27720"/>
    <cellStyle name="Normal 35 4 2" xfId="27721"/>
    <cellStyle name="Normal 35 5" xfId="27722"/>
    <cellStyle name="Normal 35 5 2" xfId="27723"/>
    <cellStyle name="Normal 35 6" xfId="27724"/>
    <cellStyle name="Normal 35 6 2" xfId="27725"/>
    <cellStyle name="Normal 35 7" xfId="27726"/>
    <cellStyle name="Normal 35 7 2" xfId="27727"/>
    <cellStyle name="Normal 35 8" xfId="27728"/>
    <cellStyle name="Normal 35 8 2" xfId="27729"/>
    <cellStyle name="Normal 35 9" xfId="27730"/>
    <cellStyle name="Normal 35 9 2" xfId="27731"/>
    <cellStyle name="Normal 36" xfId="335"/>
    <cellStyle name="Normal 36 10" xfId="27733"/>
    <cellStyle name="Normal 36 11" xfId="27734"/>
    <cellStyle name="Normal 36 12" xfId="27735"/>
    <cellStyle name="Normal 36 13" xfId="27732"/>
    <cellStyle name="Normal 36 2" xfId="27736"/>
    <cellStyle name="Normal 36 3" xfId="27737"/>
    <cellStyle name="Normal 36 4" xfId="27738"/>
    <cellStyle name="Normal 36 5" xfId="27739"/>
    <cellStyle name="Normal 36 6" xfId="27740"/>
    <cellStyle name="Normal 36 7" xfId="27741"/>
    <cellStyle name="Normal 36 8" xfId="27742"/>
    <cellStyle name="Normal 36 9" xfId="27743"/>
    <cellStyle name="Normal 37" xfId="336"/>
    <cellStyle name="Normal 37 10" xfId="27745"/>
    <cellStyle name="Normal 37 10 2" xfId="27746"/>
    <cellStyle name="Normal 37 11" xfId="27747"/>
    <cellStyle name="Normal 37 12" xfId="42079"/>
    <cellStyle name="Normal 37 13" xfId="27744"/>
    <cellStyle name="Normal 37 2" xfId="27748"/>
    <cellStyle name="Normal 37 2 2" xfId="27749"/>
    <cellStyle name="Normal 37 3" xfId="27750"/>
    <cellStyle name="Normal 37 3 2" xfId="27751"/>
    <cellStyle name="Normal 37 4" xfId="27752"/>
    <cellStyle name="Normal 37 4 2" xfId="27753"/>
    <cellStyle name="Normal 37 5" xfId="27754"/>
    <cellStyle name="Normal 37 5 2" xfId="27755"/>
    <cellStyle name="Normal 37 6" xfId="27756"/>
    <cellStyle name="Normal 37 6 2" xfId="27757"/>
    <cellStyle name="Normal 37 7" xfId="27758"/>
    <cellStyle name="Normal 37 7 2" xfId="27759"/>
    <cellStyle name="Normal 37 8" xfId="27760"/>
    <cellStyle name="Normal 37 8 2" xfId="27761"/>
    <cellStyle name="Normal 37 9" xfId="27762"/>
    <cellStyle name="Normal 37 9 2" xfId="27763"/>
    <cellStyle name="Normal 38" xfId="337"/>
    <cellStyle name="Normal 38 10" xfId="27765"/>
    <cellStyle name="Normal 38 10 2" xfId="27766"/>
    <cellStyle name="Normal 38 11" xfId="27767"/>
    <cellStyle name="Normal 38 12" xfId="42080"/>
    <cellStyle name="Normal 38 13" xfId="27764"/>
    <cellStyle name="Normal 38 2" xfId="27768"/>
    <cellStyle name="Normal 38 2 2" xfId="27769"/>
    <cellStyle name="Normal 38 3" xfId="27770"/>
    <cellStyle name="Normal 38 3 2" xfId="27771"/>
    <cellStyle name="Normal 38 4" xfId="27772"/>
    <cellStyle name="Normal 38 4 2" xfId="27773"/>
    <cellStyle name="Normal 38 5" xfId="27774"/>
    <cellStyle name="Normal 38 5 2" xfId="27775"/>
    <cellStyle name="Normal 38 6" xfId="27776"/>
    <cellStyle name="Normal 38 6 2" xfId="27777"/>
    <cellStyle name="Normal 38 7" xfId="27778"/>
    <cellStyle name="Normal 38 7 2" xfId="27779"/>
    <cellStyle name="Normal 38 8" xfId="27780"/>
    <cellStyle name="Normal 38 8 2" xfId="27781"/>
    <cellStyle name="Normal 38 9" xfId="27782"/>
    <cellStyle name="Normal 38 9 2" xfId="27783"/>
    <cellStyle name="Normal 39" xfId="27784"/>
    <cellStyle name="Normal 39 2" xfId="27785"/>
    <cellStyle name="Normal 4" xfId="3"/>
    <cellStyle name="Normal 4 10" xfId="27786"/>
    <cellStyle name="Normal 4 10 2" xfId="27787"/>
    <cellStyle name="Normal 4 11" xfId="27788"/>
    <cellStyle name="Normal 4 11 2" xfId="27789"/>
    <cellStyle name="Normal 4 12" xfId="27790"/>
    <cellStyle name="Normal 4 12 2" xfId="27791"/>
    <cellStyle name="Normal 4 13" xfId="27792"/>
    <cellStyle name="Normal 4 13 2" xfId="27793"/>
    <cellStyle name="Normal 4 14" xfId="27794"/>
    <cellStyle name="Normal 4 14 2" xfId="27795"/>
    <cellStyle name="Normal 4 15" xfId="27796"/>
    <cellStyle name="Normal 4 15 2" xfId="27797"/>
    <cellStyle name="Normal 4 16" xfId="27798"/>
    <cellStyle name="Normal 4 16 2" xfId="27799"/>
    <cellStyle name="Normal 4 17" xfId="27800"/>
    <cellStyle name="Normal 4 17 2" xfId="27801"/>
    <cellStyle name="Normal 4 18" xfId="27802"/>
    <cellStyle name="Normal 4 18 2" xfId="27803"/>
    <cellStyle name="Normal 4 19" xfId="27804"/>
    <cellStyle name="Normal 4 2" xfId="205"/>
    <cellStyle name="Normal 4 2 10" xfId="27805"/>
    <cellStyle name="Normal 4 2 10 2" xfId="27806"/>
    <cellStyle name="Normal 4 2 11" xfId="27807"/>
    <cellStyle name="Normal 4 2 11 2" xfId="27808"/>
    <cellStyle name="Normal 4 2 12" xfId="27809"/>
    <cellStyle name="Normal 4 2 12 2" xfId="27810"/>
    <cellStyle name="Normal 4 2 13" xfId="27811"/>
    <cellStyle name="Normal 4 2 13 2" xfId="27812"/>
    <cellStyle name="Normal 4 2 14" xfId="27813"/>
    <cellStyle name="Normal 4 2 14 2" xfId="27814"/>
    <cellStyle name="Normal 4 2 15" xfId="27815"/>
    <cellStyle name="Normal 4 2 15 2" xfId="27816"/>
    <cellStyle name="Normal 4 2 16" xfId="27817"/>
    <cellStyle name="Normal 4 2 16 2" xfId="27818"/>
    <cellStyle name="Normal 4 2 17" xfId="27819"/>
    <cellStyle name="Normal 4 2 18" xfId="27820"/>
    <cellStyle name="Normal 4 2 19" xfId="27821"/>
    <cellStyle name="Normal 4 2 2" xfId="27822"/>
    <cellStyle name="Normal 4 2 2 10" xfId="27823"/>
    <cellStyle name="Normal 4 2 2 10 2" xfId="27824"/>
    <cellStyle name="Normal 4 2 2 11" xfId="27825"/>
    <cellStyle name="Normal 4 2 2 11 2" xfId="27826"/>
    <cellStyle name="Normal 4 2 2 12" xfId="27827"/>
    <cellStyle name="Normal 4 2 2 12 2" xfId="27828"/>
    <cellStyle name="Normal 4 2 2 13" xfId="27829"/>
    <cellStyle name="Normal 4 2 2 2" xfId="27830"/>
    <cellStyle name="Normal 4 2 2 2 10" xfId="27831"/>
    <cellStyle name="Normal 4 2 2 2 10 2" xfId="27832"/>
    <cellStyle name="Normal 4 2 2 2 11" xfId="27833"/>
    <cellStyle name="Normal 4 2 2 2 11 2" xfId="27834"/>
    <cellStyle name="Normal 4 2 2 2 12" xfId="27835"/>
    <cellStyle name="Normal 4 2 2 2 2" xfId="27836"/>
    <cellStyle name="Normal 4 2 2 2 2 10" xfId="27837"/>
    <cellStyle name="Normal 4 2 2 2 2 10 2" xfId="27838"/>
    <cellStyle name="Normal 4 2 2 2 2 11" xfId="27839"/>
    <cellStyle name="Normal 4 2 2 2 2 2" xfId="27840"/>
    <cellStyle name="Normal 4 2 2 2 2 2 2" xfId="27841"/>
    <cellStyle name="Normal 4 2 2 2 2 3" xfId="27842"/>
    <cellStyle name="Normal 4 2 2 2 2 3 2" xfId="27843"/>
    <cellStyle name="Normal 4 2 2 2 2 4" xfId="27844"/>
    <cellStyle name="Normal 4 2 2 2 2 4 2" xfId="27845"/>
    <cellStyle name="Normal 4 2 2 2 2 5" xfId="27846"/>
    <cellStyle name="Normal 4 2 2 2 2 5 2" xfId="27847"/>
    <cellStyle name="Normal 4 2 2 2 2 6" xfId="27848"/>
    <cellStyle name="Normal 4 2 2 2 2 6 2" xfId="27849"/>
    <cellStyle name="Normal 4 2 2 2 2 7" xfId="27850"/>
    <cellStyle name="Normal 4 2 2 2 2 7 2" xfId="27851"/>
    <cellStyle name="Normal 4 2 2 2 2 8" xfId="27852"/>
    <cellStyle name="Normal 4 2 2 2 2 8 2" xfId="27853"/>
    <cellStyle name="Normal 4 2 2 2 2 9" xfId="27854"/>
    <cellStyle name="Normal 4 2 2 2 2 9 2" xfId="27855"/>
    <cellStyle name="Normal 4 2 2 2 3" xfId="27856"/>
    <cellStyle name="Normal 4 2 2 2 3 2" xfId="27857"/>
    <cellStyle name="Normal 4 2 2 2 4" xfId="27858"/>
    <cellStyle name="Normal 4 2 2 2 4 2" xfId="27859"/>
    <cellStyle name="Normal 4 2 2 2 5" xfId="27860"/>
    <cellStyle name="Normal 4 2 2 2 5 2" xfId="27861"/>
    <cellStyle name="Normal 4 2 2 2 6" xfId="27862"/>
    <cellStyle name="Normal 4 2 2 2 6 2" xfId="27863"/>
    <cellStyle name="Normal 4 2 2 2 7" xfId="27864"/>
    <cellStyle name="Normal 4 2 2 2 7 2" xfId="27865"/>
    <cellStyle name="Normal 4 2 2 2 8" xfId="27866"/>
    <cellStyle name="Normal 4 2 2 2 8 2" xfId="27867"/>
    <cellStyle name="Normal 4 2 2 2 9" xfId="27868"/>
    <cellStyle name="Normal 4 2 2 2 9 2" xfId="27869"/>
    <cellStyle name="Normal 4 2 2 3" xfId="27870"/>
    <cellStyle name="Normal 4 2 2 3 10" xfId="27871"/>
    <cellStyle name="Normal 4 2 2 3 10 2" xfId="27872"/>
    <cellStyle name="Normal 4 2 2 3 11" xfId="27873"/>
    <cellStyle name="Normal 4 2 2 3 2" xfId="27874"/>
    <cellStyle name="Normal 4 2 2 3 2 2" xfId="27875"/>
    <cellStyle name="Normal 4 2 2 3 3" xfId="27876"/>
    <cellStyle name="Normal 4 2 2 3 3 2" xfId="27877"/>
    <cellStyle name="Normal 4 2 2 3 4" xfId="27878"/>
    <cellStyle name="Normal 4 2 2 3 4 2" xfId="27879"/>
    <cellStyle name="Normal 4 2 2 3 5" xfId="27880"/>
    <cellStyle name="Normal 4 2 2 3 5 2" xfId="27881"/>
    <cellStyle name="Normal 4 2 2 3 6" xfId="27882"/>
    <cellStyle name="Normal 4 2 2 3 6 2" xfId="27883"/>
    <cellStyle name="Normal 4 2 2 3 7" xfId="27884"/>
    <cellStyle name="Normal 4 2 2 3 7 2" xfId="27885"/>
    <cellStyle name="Normal 4 2 2 3 8" xfId="27886"/>
    <cellStyle name="Normal 4 2 2 3 8 2" xfId="27887"/>
    <cellStyle name="Normal 4 2 2 3 9" xfId="27888"/>
    <cellStyle name="Normal 4 2 2 3 9 2" xfId="27889"/>
    <cellStyle name="Normal 4 2 2 4" xfId="27890"/>
    <cellStyle name="Normal 4 2 2 4 2" xfId="27891"/>
    <cellStyle name="Normal 4 2 2 5" xfId="27892"/>
    <cellStyle name="Normal 4 2 2 5 2" xfId="27893"/>
    <cellStyle name="Normal 4 2 2 6" xfId="27894"/>
    <cellStyle name="Normal 4 2 2 6 2" xfId="27895"/>
    <cellStyle name="Normal 4 2 2 7" xfId="27896"/>
    <cellStyle name="Normal 4 2 2 7 2" xfId="27897"/>
    <cellStyle name="Normal 4 2 2 8" xfId="27898"/>
    <cellStyle name="Normal 4 2 2 8 2" xfId="27899"/>
    <cellStyle name="Normal 4 2 2 9" xfId="27900"/>
    <cellStyle name="Normal 4 2 2 9 2" xfId="27901"/>
    <cellStyle name="Normal 4 2 20" xfId="42081"/>
    <cellStyle name="Normal 4 2 3" xfId="27902"/>
    <cellStyle name="Normal 4 2 3 10" xfId="27903"/>
    <cellStyle name="Normal 4 2 3 10 2" xfId="27904"/>
    <cellStyle name="Normal 4 2 3 11" xfId="27905"/>
    <cellStyle name="Normal 4 2 3 11 2" xfId="27906"/>
    <cellStyle name="Normal 4 2 3 12" xfId="27907"/>
    <cellStyle name="Normal 4 2 3 12 2" xfId="27908"/>
    <cellStyle name="Normal 4 2 3 13" xfId="27909"/>
    <cellStyle name="Normal 4 2 3 2" xfId="27910"/>
    <cellStyle name="Normal 4 2 3 2 10" xfId="27911"/>
    <cellStyle name="Normal 4 2 3 2 10 2" xfId="27912"/>
    <cellStyle name="Normal 4 2 3 2 11" xfId="27913"/>
    <cellStyle name="Normal 4 2 3 2 11 2" xfId="27914"/>
    <cellStyle name="Normal 4 2 3 2 12" xfId="27915"/>
    <cellStyle name="Normal 4 2 3 2 2" xfId="27916"/>
    <cellStyle name="Normal 4 2 3 2 2 10" xfId="27917"/>
    <cellStyle name="Normal 4 2 3 2 2 10 2" xfId="27918"/>
    <cellStyle name="Normal 4 2 3 2 2 11" xfId="27919"/>
    <cellStyle name="Normal 4 2 3 2 2 2" xfId="27920"/>
    <cellStyle name="Normal 4 2 3 2 2 2 2" xfId="27921"/>
    <cellStyle name="Normal 4 2 3 2 2 3" xfId="27922"/>
    <cellStyle name="Normal 4 2 3 2 2 3 2" xfId="27923"/>
    <cellStyle name="Normal 4 2 3 2 2 4" xfId="27924"/>
    <cellStyle name="Normal 4 2 3 2 2 4 2" xfId="27925"/>
    <cellStyle name="Normal 4 2 3 2 2 5" xfId="27926"/>
    <cellStyle name="Normal 4 2 3 2 2 5 2" xfId="27927"/>
    <cellStyle name="Normal 4 2 3 2 2 6" xfId="27928"/>
    <cellStyle name="Normal 4 2 3 2 2 6 2" xfId="27929"/>
    <cellStyle name="Normal 4 2 3 2 2 7" xfId="27930"/>
    <cellStyle name="Normal 4 2 3 2 2 7 2" xfId="27931"/>
    <cellStyle name="Normal 4 2 3 2 2 8" xfId="27932"/>
    <cellStyle name="Normal 4 2 3 2 2 8 2" xfId="27933"/>
    <cellStyle name="Normal 4 2 3 2 2 9" xfId="27934"/>
    <cellStyle name="Normal 4 2 3 2 2 9 2" xfId="27935"/>
    <cellStyle name="Normal 4 2 3 2 3" xfId="27936"/>
    <cellStyle name="Normal 4 2 3 2 3 2" xfId="27937"/>
    <cellStyle name="Normal 4 2 3 2 4" xfId="27938"/>
    <cellStyle name="Normal 4 2 3 2 4 2" xfId="27939"/>
    <cellStyle name="Normal 4 2 3 2 5" xfId="27940"/>
    <cellStyle name="Normal 4 2 3 2 5 2" xfId="27941"/>
    <cellStyle name="Normal 4 2 3 2 6" xfId="27942"/>
    <cellStyle name="Normal 4 2 3 2 6 2" xfId="27943"/>
    <cellStyle name="Normal 4 2 3 2 7" xfId="27944"/>
    <cellStyle name="Normal 4 2 3 2 7 2" xfId="27945"/>
    <cellStyle name="Normal 4 2 3 2 8" xfId="27946"/>
    <cellStyle name="Normal 4 2 3 2 8 2" xfId="27947"/>
    <cellStyle name="Normal 4 2 3 2 9" xfId="27948"/>
    <cellStyle name="Normal 4 2 3 2 9 2" xfId="27949"/>
    <cellStyle name="Normal 4 2 3 3" xfId="27950"/>
    <cellStyle name="Normal 4 2 3 3 10" xfId="27951"/>
    <cellStyle name="Normal 4 2 3 3 10 2" xfId="27952"/>
    <cellStyle name="Normal 4 2 3 3 11" xfId="27953"/>
    <cellStyle name="Normal 4 2 3 3 2" xfId="27954"/>
    <cellStyle name="Normal 4 2 3 3 2 2" xfId="27955"/>
    <cellStyle name="Normal 4 2 3 3 3" xfId="27956"/>
    <cellStyle name="Normal 4 2 3 3 3 2" xfId="27957"/>
    <cellStyle name="Normal 4 2 3 3 4" xfId="27958"/>
    <cellStyle name="Normal 4 2 3 3 4 2" xfId="27959"/>
    <cellStyle name="Normal 4 2 3 3 5" xfId="27960"/>
    <cellStyle name="Normal 4 2 3 3 5 2" xfId="27961"/>
    <cellStyle name="Normal 4 2 3 3 6" xfId="27962"/>
    <cellStyle name="Normal 4 2 3 3 6 2" xfId="27963"/>
    <cellStyle name="Normal 4 2 3 3 7" xfId="27964"/>
    <cellStyle name="Normal 4 2 3 3 7 2" xfId="27965"/>
    <cellStyle name="Normal 4 2 3 3 8" xfId="27966"/>
    <cellStyle name="Normal 4 2 3 3 8 2" xfId="27967"/>
    <cellStyle name="Normal 4 2 3 3 9" xfId="27968"/>
    <cellStyle name="Normal 4 2 3 3 9 2" xfId="27969"/>
    <cellStyle name="Normal 4 2 3 4" xfId="27970"/>
    <cellStyle name="Normal 4 2 3 4 2" xfId="27971"/>
    <cellStyle name="Normal 4 2 3 5" xfId="27972"/>
    <cellStyle name="Normal 4 2 3 5 2" xfId="27973"/>
    <cellStyle name="Normal 4 2 3 6" xfId="27974"/>
    <cellStyle name="Normal 4 2 3 6 2" xfId="27975"/>
    <cellStyle name="Normal 4 2 3 7" xfId="27976"/>
    <cellStyle name="Normal 4 2 3 7 2" xfId="27977"/>
    <cellStyle name="Normal 4 2 3 8" xfId="27978"/>
    <cellStyle name="Normal 4 2 3 8 2" xfId="27979"/>
    <cellStyle name="Normal 4 2 3 9" xfId="27980"/>
    <cellStyle name="Normal 4 2 3 9 2" xfId="27981"/>
    <cellStyle name="Normal 4 2 4" xfId="27982"/>
    <cellStyle name="Normal 4 2 4 10" xfId="27983"/>
    <cellStyle name="Normal 4 2 4 10 2" xfId="27984"/>
    <cellStyle name="Normal 4 2 4 11" xfId="27985"/>
    <cellStyle name="Normal 4 2 4 11 2" xfId="27986"/>
    <cellStyle name="Normal 4 2 4 12" xfId="27987"/>
    <cellStyle name="Normal 4 2 4 12 2" xfId="27988"/>
    <cellStyle name="Normal 4 2 4 13" xfId="27989"/>
    <cellStyle name="Normal 4 2 4 2" xfId="27990"/>
    <cellStyle name="Normal 4 2 4 2 10" xfId="27991"/>
    <cellStyle name="Normal 4 2 4 2 10 2" xfId="27992"/>
    <cellStyle name="Normal 4 2 4 2 11" xfId="27993"/>
    <cellStyle name="Normal 4 2 4 2 11 2" xfId="27994"/>
    <cellStyle name="Normal 4 2 4 2 12" xfId="27995"/>
    <cellStyle name="Normal 4 2 4 2 2" xfId="27996"/>
    <cellStyle name="Normal 4 2 4 2 2 10" xfId="27997"/>
    <cellStyle name="Normal 4 2 4 2 2 10 2" xfId="27998"/>
    <cellStyle name="Normal 4 2 4 2 2 11" xfId="27999"/>
    <cellStyle name="Normal 4 2 4 2 2 2" xfId="28000"/>
    <cellStyle name="Normal 4 2 4 2 2 2 2" xfId="28001"/>
    <cellStyle name="Normal 4 2 4 2 2 3" xfId="28002"/>
    <cellStyle name="Normal 4 2 4 2 2 3 2" xfId="28003"/>
    <cellStyle name="Normal 4 2 4 2 2 4" xfId="28004"/>
    <cellStyle name="Normal 4 2 4 2 2 4 2" xfId="28005"/>
    <cellStyle name="Normal 4 2 4 2 2 5" xfId="28006"/>
    <cellStyle name="Normal 4 2 4 2 2 5 2" xfId="28007"/>
    <cellStyle name="Normal 4 2 4 2 2 6" xfId="28008"/>
    <cellStyle name="Normal 4 2 4 2 2 6 2" xfId="28009"/>
    <cellStyle name="Normal 4 2 4 2 2 7" xfId="28010"/>
    <cellStyle name="Normal 4 2 4 2 2 7 2" xfId="28011"/>
    <cellStyle name="Normal 4 2 4 2 2 8" xfId="28012"/>
    <cellStyle name="Normal 4 2 4 2 2 8 2" xfId="28013"/>
    <cellStyle name="Normal 4 2 4 2 2 9" xfId="28014"/>
    <cellStyle name="Normal 4 2 4 2 2 9 2" xfId="28015"/>
    <cellStyle name="Normal 4 2 4 2 3" xfId="28016"/>
    <cellStyle name="Normal 4 2 4 2 3 2" xfId="28017"/>
    <cellStyle name="Normal 4 2 4 2 4" xfId="28018"/>
    <cellStyle name="Normal 4 2 4 2 4 2" xfId="28019"/>
    <cellStyle name="Normal 4 2 4 2 5" xfId="28020"/>
    <cellStyle name="Normal 4 2 4 2 5 2" xfId="28021"/>
    <cellStyle name="Normal 4 2 4 2 6" xfId="28022"/>
    <cellStyle name="Normal 4 2 4 2 6 2" xfId="28023"/>
    <cellStyle name="Normal 4 2 4 2 7" xfId="28024"/>
    <cellStyle name="Normal 4 2 4 2 7 2" xfId="28025"/>
    <cellStyle name="Normal 4 2 4 2 8" xfId="28026"/>
    <cellStyle name="Normal 4 2 4 2 8 2" xfId="28027"/>
    <cellStyle name="Normal 4 2 4 2 9" xfId="28028"/>
    <cellStyle name="Normal 4 2 4 2 9 2" xfId="28029"/>
    <cellStyle name="Normal 4 2 4 3" xfId="28030"/>
    <cellStyle name="Normal 4 2 4 3 10" xfId="28031"/>
    <cellStyle name="Normal 4 2 4 3 10 2" xfId="28032"/>
    <cellStyle name="Normal 4 2 4 3 11" xfId="28033"/>
    <cellStyle name="Normal 4 2 4 3 2" xfId="28034"/>
    <cellStyle name="Normal 4 2 4 3 2 2" xfId="28035"/>
    <cellStyle name="Normal 4 2 4 3 3" xfId="28036"/>
    <cellStyle name="Normal 4 2 4 3 3 2" xfId="28037"/>
    <cellStyle name="Normal 4 2 4 3 4" xfId="28038"/>
    <cellStyle name="Normal 4 2 4 3 4 2" xfId="28039"/>
    <cellStyle name="Normal 4 2 4 3 5" xfId="28040"/>
    <cellStyle name="Normal 4 2 4 3 5 2" xfId="28041"/>
    <cellStyle name="Normal 4 2 4 3 6" xfId="28042"/>
    <cellStyle name="Normal 4 2 4 3 6 2" xfId="28043"/>
    <cellStyle name="Normal 4 2 4 3 7" xfId="28044"/>
    <cellStyle name="Normal 4 2 4 3 7 2" xfId="28045"/>
    <cellStyle name="Normal 4 2 4 3 8" xfId="28046"/>
    <cellStyle name="Normal 4 2 4 3 8 2" xfId="28047"/>
    <cellStyle name="Normal 4 2 4 3 9" xfId="28048"/>
    <cellStyle name="Normal 4 2 4 3 9 2" xfId="28049"/>
    <cellStyle name="Normal 4 2 4 4" xfId="28050"/>
    <cellStyle name="Normal 4 2 4 4 2" xfId="28051"/>
    <cellStyle name="Normal 4 2 4 5" xfId="28052"/>
    <cellStyle name="Normal 4 2 4 5 2" xfId="28053"/>
    <cellStyle name="Normal 4 2 4 6" xfId="28054"/>
    <cellStyle name="Normal 4 2 4 6 2" xfId="28055"/>
    <cellStyle name="Normal 4 2 4 7" xfId="28056"/>
    <cellStyle name="Normal 4 2 4 7 2" xfId="28057"/>
    <cellStyle name="Normal 4 2 4 8" xfId="28058"/>
    <cellStyle name="Normal 4 2 4 8 2" xfId="28059"/>
    <cellStyle name="Normal 4 2 4 9" xfId="28060"/>
    <cellStyle name="Normal 4 2 4 9 2" xfId="28061"/>
    <cellStyle name="Normal 4 2 5" xfId="28062"/>
    <cellStyle name="Normal 4 2 5 10" xfId="28063"/>
    <cellStyle name="Normal 4 2 5 10 2" xfId="28064"/>
    <cellStyle name="Normal 4 2 5 11" xfId="28065"/>
    <cellStyle name="Normal 4 2 5 11 2" xfId="28066"/>
    <cellStyle name="Normal 4 2 5 12" xfId="28067"/>
    <cellStyle name="Normal 4 2 5 12 2" xfId="28068"/>
    <cellStyle name="Normal 4 2 5 13" xfId="28069"/>
    <cellStyle name="Normal 4 2 5 2" xfId="28070"/>
    <cellStyle name="Normal 4 2 5 2 10" xfId="28071"/>
    <cellStyle name="Normal 4 2 5 2 10 2" xfId="28072"/>
    <cellStyle name="Normal 4 2 5 2 11" xfId="28073"/>
    <cellStyle name="Normal 4 2 5 2 11 2" xfId="28074"/>
    <cellStyle name="Normal 4 2 5 2 12" xfId="28075"/>
    <cellStyle name="Normal 4 2 5 2 2" xfId="28076"/>
    <cellStyle name="Normal 4 2 5 2 2 10" xfId="28077"/>
    <cellStyle name="Normal 4 2 5 2 2 10 2" xfId="28078"/>
    <cellStyle name="Normal 4 2 5 2 2 11" xfId="28079"/>
    <cellStyle name="Normal 4 2 5 2 2 2" xfId="28080"/>
    <cellStyle name="Normal 4 2 5 2 2 2 2" xfId="28081"/>
    <cellStyle name="Normal 4 2 5 2 2 3" xfId="28082"/>
    <cellStyle name="Normal 4 2 5 2 2 3 2" xfId="28083"/>
    <cellStyle name="Normal 4 2 5 2 2 4" xfId="28084"/>
    <cellStyle name="Normal 4 2 5 2 2 4 2" xfId="28085"/>
    <cellStyle name="Normal 4 2 5 2 2 5" xfId="28086"/>
    <cellStyle name="Normal 4 2 5 2 2 5 2" xfId="28087"/>
    <cellStyle name="Normal 4 2 5 2 2 6" xfId="28088"/>
    <cellStyle name="Normal 4 2 5 2 2 6 2" xfId="28089"/>
    <cellStyle name="Normal 4 2 5 2 2 7" xfId="28090"/>
    <cellStyle name="Normal 4 2 5 2 2 7 2" xfId="28091"/>
    <cellStyle name="Normal 4 2 5 2 2 8" xfId="28092"/>
    <cellStyle name="Normal 4 2 5 2 2 8 2" xfId="28093"/>
    <cellStyle name="Normal 4 2 5 2 2 9" xfId="28094"/>
    <cellStyle name="Normal 4 2 5 2 2 9 2" xfId="28095"/>
    <cellStyle name="Normal 4 2 5 2 3" xfId="28096"/>
    <cellStyle name="Normal 4 2 5 2 3 2" xfId="28097"/>
    <cellStyle name="Normal 4 2 5 2 4" xfId="28098"/>
    <cellStyle name="Normal 4 2 5 2 4 2" xfId="28099"/>
    <cellStyle name="Normal 4 2 5 2 5" xfId="28100"/>
    <cellStyle name="Normal 4 2 5 2 5 2" xfId="28101"/>
    <cellStyle name="Normal 4 2 5 2 6" xfId="28102"/>
    <cellStyle name="Normal 4 2 5 2 6 2" xfId="28103"/>
    <cellStyle name="Normal 4 2 5 2 7" xfId="28104"/>
    <cellStyle name="Normal 4 2 5 2 7 2" xfId="28105"/>
    <cellStyle name="Normal 4 2 5 2 8" xfId="28106"/>
    <cellStyle name="Normal 4 2 5 2 8 2" xfId="28107"/>
    <cellStyle name="Normal 4 2 5 2 9" xfId="28108"/>
    <cellStyle name="Normal 4 2 5 2 9 2" xfId="28109"/>
    <cellStyle name="Normal 4 2 5 3" xfId="28110"/>
    <cellStyle name="Normal 4 2 5 3 10" xfId="28111"/>
    <cellStyle name="Normal 4 2 5 3 10 2" xfId="28112"/>
    <cellStyle name="Normal 4 2 5 3 11" xfId="28113"/>
    <cellStyle name="Normal 4 2 5 3 2" xfId="28114"/>
    <cellStyle name="Normal 4 2 5 3 2 2" xfId="28115"/>
    <cellStyle name="Normal 4 2 5 3 3" xfId="28116"/>
    <cellStyle name="Normal 4 2 5 3 3 2" xfId="28117"/>
    <cellStyle name="Normal 4 2 5 3 4" xfId="28118"/>
    <cellStyle name="Normal 4 2 5 3 4 2" xfId="28119"/>
    <cellStyle name="Normal 4 2 5 3 5" xfId="28120"/>
    <cellStyle name="Normal 4 2 5 3 5 2" xfId="28121"/>
    <cellStyle name="Normal 4 2 5 3 6" xfId="28122"/>
    <cellStyle name="Normal 4 2 5 3 6 2" xfId="28123"/>
    <cellStyle name="Normal 4 2 5 3 7" xfId="28124"/>
    <cellStyle name="Normal 4 2 5 3 7 2" xfId="28125"/>
    <cellStyle name="Normal 4 2 5 3 8" xfId="28126"/>
    <cellStyle name="Normal 4 2 5 3 8 2" xfId="28127"/>
    <cellStyle name="Normal 4 2 5 3 9" xfId="28128"/>
    <cellStyle name="Normal 4 2 5 3 9 2" xfId="28129"/>
    <cellStyle name="Normal 4 2 5 4" xfId="28130"/>
    <cellStyle name="Normal 4 2 5 4 2" xfId="28131"/>
    <cellStyle name="Normal 4 2 5 5" xfId="28132"/>
    <cellStyle name="Normal 4 2 5 5 2" xfId="28133"/>
    <cellStyle name="Normal 4 2 5 6" xfId="28134"/>
    <cellStyle name="Normal 4 2 5 6 2" xfId="28135"/>
    <cellStyle name="Normal 4 2 5 7" xfId="28136"/>
    <cellStyle name="Normal 4 2 5 7 2" xfId="28137"/>
    <cellStyle name="Normal 4 2 5 8" xfId="28138"/>
    <cellStyle name="Normal 4 2 5 8 2" xfId="28139"/>
    <cellStyle name="Normal 4 2 5 9" xfId="28140"/>
    <cellStyle name="Normal 4 2 5 9 2" xfId="28141"/>
    <cellStyle name="Normal 4 2 6" xfId="28142"/>
    <cellStyle name="Normal 4 2 6 10" xfId="28143"/>
    <cellStyle name="Normal 4 2 6 10 2" xfId="28144"/>
    <cellStyle name="Normal 4 2 6 11" xfId="28145"/>
    <cellStyle name="Normal 4 2 6 11 2" xfId="28146"/>
    <cellStyle name="Normal 4 2 6 12" xfId="28147"/>
    <cellStyle name="Normal 4 2 6 2" xfId="28148"/>
    <cellStyle name="Normal 4 2 6 2 10" xfId="28149"/>
    <cellStyle name="Normal 4 2 6 2 10 2" xfId="28150"/>
    <cellStyle name="Normal 4 2 6 2 11" xfId="28151"/>
    <cellStyle name="Normal 4 2 6 2 2" xfId="28152"/>
    <cellStyle name="Normal 4 2 6 2 2 2" xfId="28153"/>
    <cellStyle name="Normal 4 2 6 2 3" xfId="28154"/>
    <cellStyle name="Normal 4 2 6 2 3 2" xfId="28155"/>
    <cellStyle name="Normal 4 2 6 2 4" xfId="28156"/>
    <cellStyle name="Normal 4 2 6 2 4 2" xfId="28157"/>
    <cellStyle name="Normal 4 2 6 2 5" xfId="28158"/>
    <cellStyle name="Normal 4 2 6 2 5 2" xfId="28159"/>
    <cellStyle name="Normal 4 2 6 2 6" xfId="28160"/>
    <cellStyle name="Normal 4 2 6 2 6 2" xfId="28161"/>
    <cellStyle name="Normal 4 2 6 2 7" xfId="28162"/>
    <cellStyle name="Normal 4 2 6 2 7 2" xfId="28163"/>
    <cellStyle name="Normal 4 2 6 2 8" xfId="28164"/>
    <cellStyle name="Normal 4 2 6 2 8 2" xfId="28165"/>
    <cellStyle name="Normal 4 2 6 2 9" xfId="28166"/>
    <cellStyle name="Normal 4 2 6 2 9 2" xfId="28167"/>
    <cellStyle name="Normal 4 2 6 3" xfId="28168"/>
    <cellStyle name="Normal 4 2 6 3 2" xfId="28169"/>
    <cellStyle name="Normal 4 2 6 4" xfId="28170"/>
    <cellStyle name="Normal 4 2 6 4 2" xfId="28171"/>
    <cellStyle name="Normal 4 2 6 5" xfId="28172"/>
    <cellStyle name="Normal 4 2 6 5 2" xfId="28173"/>
    <cellStyle name="Normal 4 2 6 6" xfId="28174"/>
    <cellStyle name="Normal 4 2 6 6 2" xfId="28175"/>
    <cellStyle name="Normal 4 2 6 7" xfId="28176"/>
    <cellStyle name="Normal 4 2 6 7 2" xfId="28177"/>
    <cellStyle name="Normal 4 2 6 8" xfId="28178"/>
    <cellStyle name="Normal 4 2 6 8 2" xfId="28179"/>
    <cellStyle name="Normal 4 2 6 9" xfId="28180"/>
    <cellStyle name="Normal 4 2 6 9 2" xfId="28181"/>
    <cellStyle name="Normal 4 2 7" xfId="28182"/>
    <cellStyle name="Normal 4 2 7 10" xfId="28183"/>
    <cellStyle name="Normal 4 2 7 10 2" xfId="28184"/>
    <cellStyle name="Normal 4 2 7 11" xfId="28185"/>
    <cellStyle name="Normal 4 2 7 2" xfId="28186"/>
    <cellStyle name="Normal 4 2 7 2 2" xfId="28187"/>
    <cellStyle name="Normal 4 2 7 3" xfId="28188"/>
    <cellStyle name="Normal 4 2 7 3 2" xfId="28189"/>
    <cellStyle name="Normal 4 2 7 4" xfId="28190"/>
    <cellStyle name="Normal 4 2 7 4 2" xfId="28191"/>
    <cellStyle name="Normal 4 2 7 5" xfId="28192"/>
    <cellStyle name="Normal 4 2 7 5 2" xfId="28193"/>
    <cellStyle name="Normal 4 2 7 6" xfId="28194"/>
    <cellStyle name="Normal 4 2 7 6 2" xfId="28195"/>
    <cellStyle name="Normal 4 2 7 7" xfId="28196"/>
    <cellStyle name="Normal 4 2 7 7 2" xfId="28197"/>
    <cellStyle name="Normal 4 2 7 8" xfId="28198"/>
    <cellStyle name="Normal 4 2 7 8 2" xfId="28199"/>
    <cellStyle name="Normal 4 2 7 9" xfId="28200"/>
    <cellStyle name="Normal 4 2 7 9 2" xfId="28201"/>
    <cellStyle name="Normal 4 2 8" xfId="28202"/>
    <cellStyle name="Normal 4 2 8 2" xfId="28203"/>
    <cellStyle name="Normal 4 2 9" xfId="28204"/>
    <cellStyle name="Normal 4 2 9 2" xfId="28205"/>
    <cellStyle name="Normal 4 20" xfId="28206"/>
    <cellStyle name="Normal 4 21" xfId="28207"/>
    <cellStyle name="Normal 4 22" xfId="42082"/>
    <cellStyle name="Normal 4 3" xfId="204"/>
    <cellStyle name="Normal 4 3 10" xfId="28208"/>
    <cellStyle name="Normal 4 3 10 2" xfId="28209"/>
    <cellStyle name="Normal 4 3 11" xfId="28210"/>
    <cellStyle name="Normal 4 3 11 2" xfId="28211"/>
    <cellStyle name="Normal 4 3 12" xfId="28212"/>
    <cellStyle name="Normal 4 3 12 2" xfId="28213"/>
    <cellStyle name="Normal 4 3 13" xfId="28214"/>
    <cellStyle name="Normal 4 3 2" xfId="28215"/>
    <cellStyle name="Normal 4 3 2 10" xfId="28216"/>
    <cellStyle name="Normal 4 3 2 10 2" xfId="28217"/>
    <cellStyle name="Normal 4 3 2 11" xfId="28218"/>
    <cellStyle name="Normal 4 3 2 11 2" xfId="28219"/>
    <cellStyle name="Normal 4 3 2 12" xfId="28220"/>
    <cellStyle name="Normal 4 3 2 2" xfId="28221"/>
    <cellStyle name="Normal 4 3 2 2 10" xfId="28222"/>
    <cellStyle name="Normal 4 3 2 2 10 2" xfId="28223"/>
    <cellStyle name="Normal 4 3 2 2 11" xfId="28224"/>
    <cellStyle name="Normal 4 3 2 2 2" xfId="28225"/>
    <cellStyle name="Normal 4 3 2 2 2 2" xfId="28226"/>
    <cellStyle name="Normal 4 3 2 2 3" xfId="28227"/>
    <cellStyle name="Normal 4 3 2 2 3 2" xfId="28228"/>
    <cellStyle name="Normal 4 3 2 2 4" xfId="28229"/>
    <cellStyle name="Normal 4 3 2 2 4 2" xfId="28230"/>
    <cellStyle name="Normal 4 3 2 2 5" xfId="28231"/>
    <cellStyle name="Normal 4 3 2 2 5 2" xfId="28232"/>
    <cellStyle name="Normal 4 3 2 2 6" xfId="28233"/>
    <cellStyle name="Normal 4 3 2 2 6 2" xfId="28234"/>
    <cellStyle name="Normal 4 3 2 2 7" xfId="28235"/>
    <cellStyle name="Normal 4 3 2 2 7 2" xfId="28236"/>
    <cellStyle name="Normal 4 3 2 2 8" xfId="28237"/>
    <cellStyle name="Normal 4 3 2 2 8 2" xfId="28238"/>
    <cellStyle name="Normal 4 3 2 2 9" xfId="28239"/>
    <cellStyle name="Normal 4 3 2 2 9 2" xfId="28240"/>
    <cellStyle name="Normal 4 3 2 3" xfId="28241"/>
    <cellStyle name="Normal 4 3 2 3 2" xfId="28242"/>
    <cellStyle name="Normal 4 3 2 4" xfId="28243"/>
    <cellStyle name="Normal 4 3 2 4 2" xfId="28244"/>
    <cellStyle name="Normal 4 3 2 5" xfId="28245"/>
    <cellStyle name="Normal 4 3 2 5 2" xfId="28246"/>
    <cellStyle name="Normal 4 3 2 6" xfId="28247"/>
    <cellStyle name="Normal 4 3 2 6 2" xfId="28248"/>
    <cellStyle name="Normal 4 3 2 7" xfId="28249"/>
    <cellStyle name="Normal 4 3 2 7 2" xfId="28250"/>
    <cellStyle name="Normal 4 3 2 8" xfId="28251"/>
    <cellStyle name="Normal 4 3 2 8 2" xfId="28252"/>
    <cellStyle name="Normal 4 3 2 9" xfId="28253"/>
    <cellStyle name="Normal 4 3 2 9 2" xfId="28254"/>
    <cellStyle name="Normal 4 3 3" xfId="28255"/>
    <cellStyle name="Normal 4 3 3 10" xfId="28256"/>
    <cellStyle name="Normal 4 3 3 10 2" xfId="28257"/>
    <cellStyle name="Normal 4 3 3 11" xfId="28258"/>
    <cellStyle name="Normal 4 3 3 2" xfId="28259"/>
    <cellStyle name="Normal 4 3 3 2 2" xfId="28260"/>
    <cellStyle name="Normal 4 3 3 3" xfId="28261"/>
    <cellStyle name="Normal 4 3 3 3 2" xfId="28262"/>
    <cellStyle name="Normal 4 3 3 4" xfId="28263"/>
    <cellStyle name="Normal 4 3 3 4 2" xfId="28264"/>
    <cellStyle name="Normal 4 3 3 5" xfId="28265"/>
    <cellStyle name="Normal 4 3 3 5 2" xfId="28266"/>
    <cellStyle name="Normal 4 3 3 6" xfId="28267"/>
    <cellStyle name="Normal 4 3 3 6 2" xfId="28268"/>
    <cellStyle name="Normal 4 3 3 7" xfId="28269"/>
    <cellStyle name="Normal 4 3 3 7 2" xfId="28270"/>
    <cellStyle name="Normal 4 3 3 8" xfId="28271"/>
    <cellStyle name="Normal 4 3 3 8 2" xfId="28272"/>
    <cellStyle name="Normal 4 3 3 9" xfId="28273"/>
    <cellStyle name="Normal 4 3 3 9 2" xfId="28274"/>
    <cellStyle name="Normal 4 3 4" xfId="28275"/>
    <cellStyle name="Normal 4 3 4 2" xfId="28276"/>
    <cellStyle name="Normal 4 3 5" xfId="28277"/>
    <cellStyle name="Normal 4 3 5 2" xfId="28278"/>
    <cellStyle name="Normal 4 3 6" xfId="28279"/>
    <cellStyle name="Normal 4 3 6 2" xfId="28280"/>
    <cellStyle name="Normal 4 3 7" xfId="28281"/>
    <cellStyle name="Normal 4 3 7 2" xfId="28282"/>
    <cellStyle name="Normal 4 3 8" xfId="28283"/>
    <cellStyle name="Normal 4 3 8 2" xfId="28284"/>
    <cellStyle name="Normal 4 3 9" xfId="28285"/>
    <cellStyle name="Normal 4 3 9 2" xfId="28286"/>
    <cellStyle name="Normal 4 4" xfId="28287"/>
    <cellStyle name="Normal 4 4 10" xfId="28288"/>
    <cellStyle name="Normal 4 4 10 2" xfId="28289"/>
    <cellStyle name="Normal 4 4 11" xfId="28290"/>
    <cellStyle name="Normal 4 4 11 2" xfId="28291"/>
    <cellStyle name="Normal 4 4 12" xfId="28292"/>
    <cellStyle name="Normal 4 4 12 2" xfId="28293"/>
    <cellStyle name="Normal 4 4 13" xfId="28294"/>
    <cellStyle name="Normal 4 4 2" xfId="28295"/>
    <cellStyle name="Normal 4 4 2 10" xfId="28296"/>
    <cellStyle name="Normal 4 4 2 10 2" xfId="28297"/>
    <cellStyle name="Normal 4 4 2 11" xfId="28298"/>
    <cellStyle name="Normal 4 4 2 11 2" xfId="28299"/>
    <cellStyle name="Normal 4 4 2 12" xfId="28300"/>
    <cellStyle name="Normal 4 4 2 2" xfId="28301"/>
    <cellStyle name="Normal 4 4 2 2 10" xfId="28302"/>
    <cellStyle name="Normal 4 4 2 2 10 2" xfId="28303"/>
    <cellStyle name="Normal 4 4 2 2 11" xfId="28304"/>
    <cellStyle name="Normal 4 4 2 2 2" xfId="28305"/>
    <cellStyle name="Normal 4 4 2 2 2 2" xfId="28306"/>
    <cellStyle name="Normal 4 4 2 2 3" xfId="28307"/>
    <cellStyle name="Normal 4 4 2 2 3 2" xfId="28308"/>
    <cellStyle name="Normal 4 4 2 2 4" xfId="28309"/>
    <cellStyle name="Normal 4 4 2 2 4 2" xfId="28310"/>
    <cellStyle name="Normal 4 4 2 2 5" xfId="28311"/>
    <cellStyle name="Normal 4 4 2 2 5 2" xfId="28312"/>
    <cellStyle name="Normal 4 4 2 2 6" xfId="28313"/>
    <cellStyle name="Normal 4 4 2 2 6 2" xfId="28314"/>
    <cellStyle name="Normal 4 4 2 2 7" xfId="28315"/>
    <cellStyle name="Normal 4 4 2 2 7 2" xfId="28316"/>
    <cellStyle name="Normal 4 4 2 2 8" xfId="28317"/>
    <cellStyle name="Normal 4 4 2 2 8 2" xfId="28318"/>
    <cellStyle name="Normal 4 4 2 2 9" xfId="28319"/>
    <cellStyle name="Normal 4 4 2 2 9 2" xfId="28320"/>
    <cellStyle name="Normal 4 4 2 3" xfId="28321"/>
    <cellStyle name="Normal 4 4 2 3 2" xfId="28322"/>
    <cellStyle name="Normal 4 4 2 4" xfId="28323"/>
    <cellStyle name="Normal 4 4 2 4 2" xfId="28324"/>
    <cellStyle name="Normal 4 4 2 5" xfId="28325"/>
    <cellStyle name="Normal 4 4 2 5 2" xfId="28326"/>
    <cellStyle name="Normal 4 4 2 6" xfId="28327"/>
    <cellStyle name="Normal 4 4 2 6 2" xfId="28328"/>
    <cellStyle name="Normal 4 4 2 7" xfId="28329"/>
    <cellStyle name="Normal 4 4 2 7 2" xfId="28330"/>
    <cellStyle name="Normal 4 4 2 8" xfId="28331"/>
    <cellStyle name="Normal 4 4 2 8 2" xfId="28332"/>
    <cellStyle name="Normal 4 4 2 9" xfId="28333"/>
    <cellStyle name="Normal 4 4 2 9 2" xfId="28334"/>
    <cellStyle name="Normal 4 4 3" xfId="28335"/>
    <cellStyle name="Normal 4 4 3 10" xfId="28336"/>
    <cellStyle name="Normal 4 4 3 10 2" xfId="28337"/>
    <cellStyle name="Normal 4 4 3 11" xfId="28338"/>
    <cellStyle name="Normal 4 4 3 2" xfId="28339"/>
    <cellStyle name="Normal 4 4 3 2 2" xfId="28340"/>
    <cellStyle name="Normal 4 4 3 3" xfId="28341"/>
    <cellStyle name="Normal 4 4 3 3 2" xfId="28342"/>
    <cellStyle name="Normal 4 4 3 4" xfId="28343"/>
    <cellStyle name="Normal 4 4 3 4 2" xfId="28344"/>
    <cellStyle name="Normal 4 4 3 5" xfId="28345"/>
    <cellStyle name="Normal 4 4 3 5 2" xfId="28346"/>
    <cellStyle name="Normal 4 4 3 6" xfId="28347"/>
    <cellStyle name="Normal 4 4 3 6 2" xfId="28348"/>
    <cellStyle name="Normal 4 4 3 7" xfId="28349"/>
    <cellStyle name="Normal 4 4 3 7 2" xfId="28350"/>
    <cellStyle name="Normal 4 4 3 8" xfId="28351"/>
    <cellStyle name="Normal 4 4 3 8 2" xfId="28352"/>
    <cellStyle name="Normal 4 4 3 9" xfId="28353"/>
    <cellStyle name="Normal 4 4 3 9 2" xfId="28354"/>
    <cellStyle name="Normal 4 4 4" xfId="28355"/>
    <cellStyle name="Normal 4 4 4 2" xfId="28356"/>
    <cellStyle name="Normal 4 4 5" xfId="28357"/>
    <cellStyle name="Normal 4 4 5 2" xfId="28358"/>
    <cellStyle name="Normal 4 4 6" xfId="28359"/>
    <cellStyle name="Normal 4 4 6 2" xfId="28360"/>
    <cellStyle name="Normal 4 4 7" xfId="28361"/>
    <cellStyle name="Normal 4 4 7 2" xfId="28362"/>
    <cellStyle name="Normal 4 4 8" xfId="28363"/>
    <cellStyle name="Normal 4 4 8 2" xfId="28364"/>
    <cellStyle name="Normal 4 4 9" xfId="28365"/>
    <cellStyle name="Normal 4 4 9 2" xfId="28366"/>
    <cellStyle name="Normal 4 5" xfId="28367"/>
    <cellStyle name="Normal 4 5 10" xfId="28368"/>
    <cellStyle name="Normal 4 5 10 2" xfId="28369"/>
    <cellStyle name="Normal 4 5 11" xfId="28370"/>
    <cellStyle name="Normal 4 5 11 2" xfId="28371"/>
    <cellStyle name="Normal 4 5 12" xfId="28372"/>
    <cellStyle name="Normal 4 5 12 2" xfId="28373"/>
    <cellStyle name="Normal 4 5 13" xfId="28374"/>
    <cellStyle name="Normal 4 5 2" xfId="28375"/>
    <cellStyle name="Normal 4 5 2 10" xfId="28376"/>
    <cellStyle name="Normal 4 5 2 10 2" xfId="28377"/>
    <cellStyle name="Normal 4 5 2 11" xfId="28378"/>
    <cellStyle name="Normal 4 5 2 11 2" xfId="28379"/>
    <cellStyle name="Normal 4 5 2 12" xfId="28380"/>
    <cellStyle name="Normal 4 5 2 2" xfId="28381"/>
    <cellStyle name="Normal 4 5 2 2 10" xfId="28382"/>
    <cellStyle name="Normal 4 5 2 2 10 2" xfId="28383"/>
    <cellStyle name="Normal 4 5 2 2 11" xfId="28384"/>
    <cellStyle name="Normal 4 5 2 2 2" xfId="28385"/>
    <cellStyle name="Normal 4 5 2 2 2 2" xfId="28386"/>
    <cellStyle name="Normal 4 5 2 2 3" xfId="28387"/>
    <cellStyle name="Normal 4 5 2 2 3 2" xfId="28388"/>
    <cellStyle name="Normal 4 5 2 2 4" xfId="28389"/>
    <cellStyle name="Normal 4 5 2 2 4 2" xfId="28390"/>
    <cellStyle name="Normal 4 5 2 2 5" xfId="28391"/>
    <cellStyle name="Normal 4 5 2 2 5 2" xfId="28392"/>
    <cellStyle name="Normal 4 5 2 2 6" xfId="28393"/>
    <cellStyle name="Normal 4 5 2 2 6 2" xfId="28394"/>
    <cellStyle name="Normal 4 5 2 2 7" xfId="28395"/>
    <cellStyle name="Normal 4 5 2 2 7 2" xfId="28396"/>
    <cellStyle name="Normal 4 5 2 2 8" xfId="28397"/>
    <cellStyle name="Normal 4 5 2 2 8 2" xfId="28398"/>
    <cellStyle name="Normal 4 5 2 2 9" xfId="28399"/>
    <cellStyle name="Normal 4 5 2 2 9 2" xfId="28400"/>
    <cellStyle name="Normal 4 5 2 3" xfId="28401"/>
    <cellStyle name="Normal 4 5 2 3 2" xfId="28402"/>
    <cellStyle name="Normal 4 5 2 4" xfId="28403"/>
    <cellStyle name="Normal 4 5 2 4 2" xfId="28404"/>
    <cellStyle name="Normal 4 5 2 5" xfId="28405"/>
    <cellStyle name="Normal 4 5 2 5 2" xfId="28406"/>
    <cellStyle name="Normal 4 5 2 6" xfId="28407"/>
    <cellStyle name="Normal 4 5 2 6 2" xfId="28408"/>
    <cellStyle name="Normal 4 5 2 7" xfId="28409"/>
    <cellStyle name="Normal 4 5 2 7 2" xfId="28410"/>
    <cellStyle name="Normal 4 5 2 8" xfId="28411"/>
    <cellStyle name="Normal 4 5 2 8 2" xfId="28412"/>
    <cellStyle name="Normal 4 5 2 9" xfId="28413"/>
    <cellStyle name="Normal 4 5 2 9 2" xfId="28414"/>
    <cellStyle name="Normal 4 5 3" xfId="28415"/>
    <cellStyle name="Normal 4 5 3 10" xfId="28416"/>
    <cellStyle name="Normal 4 5 3 10 2" xfId="28417"/>
    <cellStyle name="Normal 4 5 3 11" xfId="28418"/>
    <cellStyle name="Normal 4 5 3 2" xfId="28419"/>
    <cellStyle name="Normal 4 5 3 2 2" xfId="28420"/>
    <cellStyle name="Normal 4 5 3 3" xfId="28421"/>
    <cellStyle name="Normal 4 5 3 3 2" xfId="28422"/>
    <cellStyle name="Normal 4 5 3 4" xfId="28423"/>
    <cellStyle name="Normal 4 5 3 4 2" xfId="28424"/>
    <cellStyle name="Normal 4 5 3 5" xfId="28425"/>
    <cellStyle name="Normal 4 5 3 5 2" xfId="28426"/>
    <cellStyle name="Normal 4 5 3 6" xfId="28427"/>
    <cellStyle name="Normal 4 5 3 6 2" xfId="28428"/>
    <cellStyle name="Normal 4 5 3 7" xfId="28429"/>
    <cellStyle name="Normal 4 5 3 7 2" xfId="28430"/>
    <cellStyle name="Normal 4 5 3 8" xfId="28431"/>
    <cellStyle name="Normal 4 5 3 8 2" xfId="28432"/>
    <cellStyle name="Normal 4 5 3 9" xfId="28433"/>
    <cellStyle name="Normal 4 5 3 9 2" xfId="28434"/>
    <cellStyle name="Normal 4 5 4" xfId="28435"/>
    <cellStyle name="Normal 4 5 4 2" xfId="28436"/>
    <cellStyle name="Normal 4 5 5" xfId="28437"/>
    <cellStyle name="Normal 4 5 5 2" xfId="28438"/>
    <cellStyle name="Normal 4 5 6" xfId="28439"/>
    <cellStyle name="Normal 4 5 6 2" xfId="28440"/>
    <cellStyle name="Normal 4 5 7" xfId="28441"/>
    <cellStyle name="Normal 4 5 7 2" xfId="28442"/>
    <cellStyle name="Normal 4 5 8" xfId="28443"/>
    <cellStyle name="Normal 4 5 8 2" xfId="28444"/>
    <cellStyle name="Normal 4 5 9" xfId="28445"/>
    <cellStyle name="Normal 4 5 9 2" xfId="28446"/>
    <cellStyle name="Normal 4 6" xfId="28447"/>
    <cellStyle name="Normal 4 6 10" xfId="28448"/>
    <cellStyle name="Normal 4 6 10 2" xfId="28449"/>
    <cellStyle name="Normal 4 6 11" xfId="28450"/>
    <cellStyle name="Normal 4 6 11 2" xfId="28451"/>
    <cellStyle name="Normal 4 6 12" xfId="28452"/>
    <cellStyle name="Normal 4 6 12 2" xfId="28453"/>
    <cellStyle name="Normal 4 6 13" xfId="28454"/>
    <cellStyle name="Normal 4 6 2" xfId="28455"/>
    <cellStyle name="Normal 4 6 2 10" xfId="28456"/>
    <cellStyle name="Normal 4 6 2 10 2" xfId="28457"/>
    <cellStyle name="Normal 4 6 2 11" xfId="28458"/>
    <cellStyle name="Normal 4 6 2 11 2" xfId="28459"/>
    <cellStyle name="Normal 4 6 2 12" xfId="28460"/>
    <cellStyle name="Normal 4 6 2 2" xfId="28461"/>
    <cellStyle name="Normal 4 6 2 2 10" xfId="28462"/>
    <cellStyle name="Normal 4 6 2 2 10 2" xfId="28463"/>
    <cellStyle name="Normal 4 6 2 2 11" xfId="28464"/>
    <cellStyle name="Normal 4 6 2 2 2" xfId="28465"/>
    <cellStyle name="Normal 4 6 2 2 2 2" xfId="28466"/>
    <cellStyle name="Normal 4 6 2 2 3" xfId="28467"/>
    <cellStyle name="Normal 4 6 2 2 3 2" xfId="28468"/>
    <cellStyle name="Normal 4 6 2 2 4" xfId="28469"/>
    <cellStyle name="Normal 4 6 2 2 4 2" xfId="28470"/>
    <cellStyle name="Normal 4 6 2 2 5" xfId="28471"/>
    <cellStyle name="Normal 4 6 2 2 5 2" xfId="28472"/>
    <cellStyle name="Normal 4 6 2 2 6" xfId="28473"/>
    <cellStyle name="Normal 4 6 2 2 6 2" xfId="28474"/>
    <cellStyle name="Normal 4 6 2 2 7" xfId="28475"/>
    <cellStyle name="Normal 4 6 2 2 7 2" xfId="28476"/>
    <cellStyle name="Normal 4 6 2 2 8" xfId="28477"/>
    <cellStyle name="Normal 4 6 2 2 8 2" xfId="28478"/>
    <cellStyle name="Normal 4 6 2 2 9" xfId="28479"/>
    <cellStyle name="Normal 4 6 2 2 9 2" xfId="28480"/>
    <cellStyle name="Normal 4 6 2 3" xfId="28481"/>
    <cellStyle name="Normal 4 6 2 3 2" xfId="28482"/>
    <cellStyle name="Normal 4 6 2 4" xfId="28483"/>
    <cellStyle name="Normal 4 6 2 4 2" xfId="28484"/>
    <cellStyle name="Normal 4 6 2 5" xfId="28485"/>
    <cellStyle name="Normal 4 6 2 5 2" xfId="28486"/>
    <cellStyle name="Normal 4 6 2 6" xfId="28487"/>
    <cellStyle name="Normal 4 6 2 6 2" xfId="28488"/>
    <cellStyle name="Normal 4 6 2 7" xfId="28489"/>
    <cellStyle name="Normal 4 6 2 7 2" xfId="28490"/>
    <cellStyle name="Normal 4 6 2 8" xfId="28491"/>
    <cellStyle name="Normal 4 6 2 8 2" xfId="28492"/>
    <cellStyle name="Normal 4 6 2 9" xfId="28493"/>
    <cellStyle name="Normal 4 6 2 9 2" xfId="28494"/>
    <cellStyle name="Normal 4 6 3" xfId="28495"/>
    <cellStyle name="Normal 4 6 3 10" xfId="28496"/>
    <cellStyle name="Normal 4 6 3 10 2" xfId="28497"/>
    <cellStyle name="Normal 4 6 3 11" xfId="28498"/>
    <cellStyle name="Normal 4 6 3 2" xfId="28499"/>
    <cellStyle name="Normal 4 6 3 2 2" xfId="28500"/>
    <cellStyle name="Normal 4 6 3 3" xfId="28501"/>
    <cellStyle name="Normal 4 6 3 3 2" xfId="28502"/>
    <cellStyle name="Normal 4 6 3 4" xfId="28503"/>
    <cellStyle name="Normal 4 6 3 4 2" xfId="28504"/>
    <cellStyle name="Normal 4 6 3 5" xfId="28505"/>
    <cellStyle name="Normal 4 6 3 5 2" xfId="28506"/>
    <cellStyle name="Normal 4 6 3 6" xfId="28507"/>
    <cellStyle name="Normal 4 6 3 6 2" xfId="28508"/>
    <cellStyle name="Normal 4 6 3 7" xfId="28509"/>
    <cellStyle name="Normal 4 6 3 7 2" xfId="28510"/>
    <cellStyle name="Normal 4 6 3 8" xfId="28511"/>
    <cellStyle name="Normal 4 6 3 8 2" xfId="28512"/>
    <cellStyle name="Normal 4 6 3 9" xfId="28513"/>
    <cellStyle name="Normal 4 6 3 9 2" xfId="28514"/>
    <cellStyle name="Normal 4 6 4" xfId="28515"/>
    <cellStyle name="Normal 4 6 4 2" xfId="28516"/>
    <cellStyle name="Normal 4 6 5" xfId="28517"/>
    <cellStyle name="Normal 4 6 5 2" xfId="28518"/>
    <cellStyle name="Normal 4 6 6" xfId="28519"/>
    <cellStyle name="Normal 4 6 6 2" xfId="28520"/>
    <cellStyle name="Normal 4 6 7" xfId="28521"/>
    <cellStyle name="Normal 4 6 7 2" xfId="28522"/>
    <cellStyle name="Normal 4 6 8" xfId="28523"/>
    <cellStyle name="Normal 4 6 8 2" xfId="28524"/>
    <cellStyle name="Normal 4 6 9" xfId="28525"/>
    <cellStyle name="Normal 4 6 9 2" xfId="28526"/>
    <cellStyle name="Normal 4 7" xfId="28527"/>
    <cellStyle name="Normal 4 7 10" xfId="28528"/>
    <cellStyle name="Normal 4 7 10 2" xfId="28529"/>
    <cellStyle name="Normal 4 7 11" xfId="28530"/>
    <cellStyle name="Normal 4 7 11 2" xfId="28531"/>
    <cellStyle name="Normal 4 7 12" xfId="28532"/>
    <cellStyle name="Normal 4 7 2" xfId="28533"/>
    <cellStyle name="Normal 4 7 2 10" xfId="28534"/>
    <cellStyle name="Normal 4 7 2 10 2" xfId="28535"/>
    <cellStyle name="Normal 4 7 2 11" xfId="28536"/>
    <cellStyle name="Normal 4 7 2 2" xfId="28537"/>
    <cellStyle name="Normal 4 7 2 2 2" xfId="28538"/>
    <cellStyle name="Normal 4 7 2 3" xfId="28539"/>
    <cellStyle name="Normal 4 7 2 3 2" xfId="28540"/>
    <cellStyle name="Normal 4 7 2 4" xfId="28541"/>
    <cellStyle name="Normal 4 7 2 4 2" xfId="28542"/>
    <cellStyle name="Normal 4 7 2 5" xfId="28543"/>
    <cellStyle name="Normal 4 7 2 5 2" xfId="28544"/>
    <cellStyle name="Normal 4 7 2 6" xfId="28545"/>
    <cellStyle name="Normal 4 7 2 6 2" xfId="28546"/>
    <cellStyle name="Normal 4 7 2 7" xfId="28547"/>
    <cellStyle name="Normal 4 7 2 7 2" xfId="28548"/>
    <cellStyle name="Normal 4 7 2 8" xfId="28549"/>
    <cellStyle name="Normal 4 7 2 8 2" xfId="28550"/>
    <cellStyle name="Normal 4 7 2 9" xfId="28551"/>
    <cellStyle name="Normal 4 7 2 9 2" xfId="28552"/>
    <cellStyle name="Normal 4 7 3" xfId="28553"/>
    <cellStyle name="Normal 4 7 3 2" xfId="28554"/>
    <cellStyle name="Normal 4 7 4" xfId="28555"/>
    <cellStyle name="Normal 4 7 4 2" xfId="28556"/>
    <cellStyle name="Normal 4 7 5" xfId="28557"/>
    <cellStyle name="Normal 4 7 5 2" xfId="28558"/>
    <cellStyle name="Normal 4 7 6" xfId="28559"/>
    <cellStyle name="Normal 4 7 6 2" xfId="28560"/>
    <cellStyle name="Normal 4 7 7" xfId="28561"/>
    <cellStyle name="Normal 4 7 7 2" xfId="28562"/>
    <cellStyle name="Normal 4 7 8" xfId="28563"/>
    <cellStyle name="Normal 4 7 8 2" xfId="28564"/>
    <cellStyle name="Normal 4 7 9" xfId="28565"/>
    <cellStyle name="Normal 4 7 9 2" xfId="28566"/>
    <cellStyle name="Normal 4 8" xfId="28567"/>
    <cellStyle name="Normal 4 8 10" xfId="28568"/>
    <cellStyle name="Normal 4 8 10 2" xfId="28569"/>
    <cellStyle name="Normal 4 8 11" xfId="28570"/>
    <cellStyle name="Normal 4 8 2" xfId="28571"/>
    <cellStyle name="Normal 4 8 2 2" xfId="28572"/>
    <cellStyle name="Normal 4 8 3" xfId="28573"/>
    <cellStyle name="Normal 4 8 3 2" xfId="28574"/>
    <cellStyle name="Normal 4 8 4" xfId="28575"/>
    <cellStyle name="Normal 4 8 4 2" xfId="28576"/>
    <cellStyle name="Normal 4 8 5" xfId="28577"/>
    <cellStyle name="Normal 4 8 5 2" xfId="28578"/>
    <cellStyle name="Normal 4 8 6" xfId="28579"/>
    <cellStyle name="Normal 4 8 6 2" xfId="28580"/>
    <cellStyle name="Normal 4 8 7" xfId="28581"/>
    <cellStyle name="Normal 4 8 7 2" xfId="28582"/>
    <cellStyle name="Normal 4 8 8" xfId="28583"/>
    <cellStyle name="Normal 4 8 8 2" xfId="28584"/>
    <cellStyle name="Normal 4 8 9" xfId="28585"/>
    <cellStyle name="Normal 4 8 9 2" xfId="28586"/>
    <cellStyle name="Normal 4 9" xfId="28587"/>
    <cellStyle name="Normal 4 9 2" xfId="28588"/>
    <cellStyle name="Normal 40" xfId="338"/>
    <cellStyle name="Normal 40 10" xfId="28590"/>
    <cellStyle name="Normal 40 10 2" xfId="28591"/>
    <cellStyle name="Normal 40 11" xfId="28592"/>
    <cellStyle name="Normal 40 12" xfId="28589"/>
    <cellStyle name="Normal 40 2" xfId="28593"/>
    <cellStyle name="Normal 40 2 2" xfId="28594"/>
    <cellStyle name="Normal 40 3" xfId="28595"/>
    <cellStyle name="Normal 40 3 2" xfId="28596"/>
    <cellStyle name="Normal 40 4" xfId="28597"/>
    <cellStyle name="Normal 40 4 2" xfId="28598"/>
    <cellStyle name="Normal 40 5" xfId="28599"/>
    <cellStyle name="Normal 40 5 2" xfId="28600"/>
    <cellStyle name="Normal 40 6" xfId="28601"/>
    <cellStyle name="Normal 40 6 2" xfId="28602"/>
    <cellStyle name="Normal 40 7" xfId="28603"/>
    <cellStyle name="Normal 40 7 2" xfId="28604"/>
    <cellStyle name="Normal 40 8" xfId="28605"/>
    <cellStyle name="Normal 40 8 2" xfId="28606"/>
    <cellStyle name="Normal 40 9" xfId="28607"/>
    <cellStyle name="Normal 40 9 2" xfId="28608"/>
    <cellStyle name="Normal 41" xfId="28609"/>
    <cellStyle name="Normal 41 2" xfId="28610"/>
    <cellStyle name="Normal 42" xfId="28611"/>
    <cellStyle name="Normal 42 2" xfId="28612"/>
    <cellStyle name="Normal 43" xfId="28613"/>
    <cellStyle name="Normal 43 2" xfId="28614"/>
    <cellStyle name="Normal 44" xfId="28615"/>
    <cellStyle name="Normal 44 2" xfId="28616"/>
    <cellStyle name="Normal 45" xfId="28617"/>
    <cellStyle name="Normal 45 2" xfId="28618"/>
    <cellStyle name="Normal 46" xfId="28619"/>
    <cellStyle name="Normal 46 2" xfId="28620"/>
    <cellStyle name="Normal 47" xfId="28621"/>
    <cellStyle name="Normal 47 2" xfId="28622"/>
    <cellStyle name="Normal 48" xfId="28623"/>
    <cellStyle name="Normal 48 2" xfId="28624"/>
    <cellStyle name="Normal 49" xfId="28625"/>
    <cellStyle name="Normal 49 2" xfId="28626"/>
    <cellStyle name="Normal 5" xfId="10"/>
    <cellStyle name="Normal 5 10" xfId="28627"/>
    <cellStyle name="Normal 5 10 10" xfId="28628"/>
    <cellStyle name="Normal 5 10 10 2" xfId="28629"/>
    <cellStyle name="Normal 5 10 11" xfId="28630"/>
    <cellStyle name="Normal 5 10 2" xfId="28631"/>
    <cellStyle name="Normal 5 10 2 2" xfId="28632"/>
    <cellStyle name="Normal 5 10 3" xfId="28633"/>
    <cellStyle name="Normal 5 10 3 2" xfId="28634"/>
    <cellStyle name="Normal 5 10 4" xfId="28635"/>
    <cellStyle name="Normal 5 10 4 2" xfId="28636"/>
    <cellStyle name="Normal 5 10 5" xfId="28637"/>
    <cellStyle name="Normal 5 10 5 2" xfId="28638"/>
    <cellStyle name="Normal 5 10 6" xfId="28639"/>
    <cellStyle name="Normal 5 10 6 2" xfId="28640"/>
    <cellStyle name="Normal 5 10 7" xfId="28641"/>
    <cellStyle name="Normal 5 10 7 2" xfId="28642"/>
    <cellStyle name="Normal 5 10 8" xfId="28643"/>
    <cellStyle name="Normal 5 10 8 2" xfId="28644"/>
    <cellStyle name="Normal 5 10 9" xfId="28645"/>
    <cellStyle name="Normal 5 10 9 2" xfId="28646"/>
    <cellStyle name="Normal 5 11" xfId="28647"/>
    <cellStyle name="Normal 5 11 2" xfId="28648"/>
    <cellStyle name="Normal 5 12" xfId="28649"/>
    <cellStyle name="Normal 5 12 2" xfId="28650"/>
    <cellStyle name="Normal 5 13" xfId="28651"/>
    <cellStyle name="Normal 5 13 2" xfId="28652"/>
    <cellStyle name="Normal 5 14" xfId="28653"/>
    <cellStyle name="Normal 5 14 2" xfId="28654"/>
    <cellStyle name="Normal 5 15" xfId="28655"/>
    <cellStyle name="Normal 5 15 2" xfId="28656"/>
    <cellStyle name="Normal 5 16" xfId="28657"/>
    <cellStyle name="Normal 5 16 2" xfId="28658"/>
    <cellStyle name="Normal 5 17" xfId="28659"/>
    <cellStyle name="Normal 5 17 2" xfId="28660"/>
    <cellStyle name="Normal 5 18" xfId="28661"/>
    <cellStyle name="Normal 5 18 2" xfId="28662"/>
    <cellStyle name="Normal 5 19" xfId="28663"/>
    <cellStyle name="Normal 5 19 2" xfId="28664"/>
    <cellStyle name="Normal 5 2" xfId="207"/>
    <cellStyle name="Normal 5 2 10" xfId="28665"/>
    <cellStyle name="Normal 5 2 10 2" xfId="28666"/>
    <cellStyle name="Normal 5 2 11" xfId="28667"/>
    <cellStyle name="Normal 5 2 11 2" xfId="28668"/>
    <cellStyle name="Normal 5 2 12" xfId="28669"/>
    <cellStyle name="Normal 5 2 12 2" xfId="28670"/>
    <cellStyle name="Normal 5 2 13" xfId="28671"/>
    <cellStyle name="Normal 5 2 13 2" xfId="28672"/>
    <cellStyle name="Normal 5 2 14" xfId="28673"/>
    <cellStyle name="Normal 5 2 14 2" xfId="28674"/>
    <cellStyle name="Normal 5 2 15" xfId="28675"/>
    <cellStyle name="Normal 5 2 15 2" xfId="28676"/>
    <cellStyle name="Normal 5 2 16" xfId="28677"/>
    <cellStyle name="Normal 5 2 16 2" xfId="28678"/>
    <cellStyle name="Normal 5 2 17" xfId="28679"/>
    <cellStyle name="Normal 5 2 17 2" xfId="28680"/>
    <cellStyle name="Normal 5 2 18" xfId="28681"/>
    <cellStyle name="Normal 5 2 19" xfId="28682"/>
    <cellStyle name="Normal 5 2 2" xfId="28683"/>
    <cellStyle name="Normal 5 2 2 10" xfId="28684"/>
    <cellStyle name="Normal 5 2 2 10 2" xfId="28685"/>
    <cellStyle name="Normal 5 2 2 11" xfId="28686"/>
    <cellStyle name="Normal 5 2 2 11 2" xfId="28687"/>
    <cellStyle name="Normal 5 2 2 12" xfId="28688"/>
    <cellStyle name="Normal 5 2 2 12 2" xfId="28689"/>
    <cellStyle name="Normal 5 2 2 13" xfId="28690"/>
    <cellStyle name="Normal 5 2 2 14" xfId="42083"/>
    <cellStyle name="Normal 5 2 2 2" xfId="28691"/>
    <cellStyle name="Normal 5 2 2 2 10" xfId="28692"/>
    <cellStyle name="Normal 5 2 2 2 10 2" xfId="28693"/>
    <cellStyle name="Normal 5 2 2 2 11" xfId="28694"/>
    <cellStyle name="Normal 5 2 2 2 11 2" xfId="28695"/>
    <cellStyle name="Normal 5 2 2 2 12" xfId="28696"/>
    <cellStyle name="Normal 5 2 2 2 2" xfId="28697"/>
    <cellStyle name="Normal 5 2 2 2 2 10" xfId="28698"/>
    <cellStyle name="Normal 5 2 2 2 2 10 2" xfId="28699"/>
    <cellStyle name="Normal 5 2 2 2 2 11" xfId="28700"/>
    <cellStyle name="Normal 5 2 2 2 2 2" xfId="28701"/>
    <cellStyle name="Normal 5 2 2 2 2 2 2" xfId="28702"/>
    <cellStyle name="Normal 5 2 2 2 2 3" xfId="28703"/>
    <cellStyle name="Normal 5 2 2 2 2 3 2" xfId="28704"/>
    <cellStyle name="Normal 5 2 2 2 2 4" xfId="28705"/>
    <cellStyle name="Normal 5 2 2 2 2 4 2" xfId="28706"/>
    <cellStyle name="Normal 5 2 2 2 2 5" xfId="28707"/>
    <cellStyle name="Normal 5 2 2 2 2 5 2" xfId="28708"/>
    <cellStyle name="Normal 5 2 2 2 2 6" xfId="28709"/>
    <cellStyle name="Normal 5 2 2 2 2 6 2" xfId="28710"/>
    <cellStyle name="Normal 5 2 2 2 2 7" xfId="28711"/>
    <cellStyle name="Normal 5 2 2 2 2 7 2" xfId="28712"/>
    <cellStyle name="Normal 5 2 2 2 2 8" xfId="28713"/>
    <cellStyle name="Normal 5 2 2 2 2 8 2" xfId="28714"/>
    <cellStyle name="Normal 5 2 2 2 2 9" xfId="28715"/>
    <cellStyle name="Normal 5 2 2 2 2 9 2" xfId="28716"/>
    <cellStyle name="Normal 5 2 2 2 3" xfId="28717"/>
    <cellStyle name="Normal 5 2 2 2 3 2" xfId="28718"/>
    <cellStyle name="Normal 5 2 2 2 4" xfId="28719"/>
    <cellStyle name="Normal 5 2 2 2 4 2" xfId="28720"/>
    <cellStyle name="Normal 5 2 2 2 5" xfId="28721"/>
    <cellStyle name="Normal 5 2 2 2 5 2" xfId="28722"/>
    <cellStyle name="Normal 5 2 2 2 6" xfId="28723"/>
    <cellStyle name="Normal 5 2 2 2 6 2" xfId="28724"/>
    <cellStyle name="Normal 5 2 2 2 7" xfId="28725"/>
    <cellStyle name="Normal 5 2 2 2 7 2" xfId="28726"/>
    <cellStyle name="Normal 5 2 2 2 8" xfId="28727"/>
    <cellStyle name="Normal 5 2 2 2 8 2" xfId="28728"/>
    <cellStyle name="Normal 5 2 2 2 9" xfId="28729"/>
    <cellStyle name="Normal 5 2 2 2 9 2" xfId="28730"/>
    <cellStyle name="Normal 5 2 2 3" xfId="28731"/>
    <cellStyle name="Normal 5 2 2 3 10" xfId="28732"/>
    <cellStyle name="Normal 5 2 2 3 10 2" xfId="28733"/>
    <cellStyle name="Normal 5 2 2 3 11" xfId="28734"/>
    <cellStyle name="Normal 5 2 2 3 2" xfId="28735"/>
    <cellStyle name="Normal 5 2 2 3 2 2" xfId="28736"/>
    <cellStyle name="Normal 5 2 2 3 3" xfId="28737"/>
    <cellStyle name="Normal 5 2 2 3 3 2" xfId="28738"/>
    <cellStyle name="Normal 5 2 2 3 4" xfId="28739"/>
    <cellStyle name="Normal 5 2 2 3 4 2" xfId="28740"/>
    <cellStyle name="Normal 5 2 2 3 5" xfId="28741"/>
    <cellStyle name="Normal 5 2 2 3 5 2" xfId="28742"/>
    <cellStyle name="Normal 5 2 2 3 6" xfId="28743"/>
    <cellStyle name="Normal 5 2 2 3 6 2" xfId="28744"/>
    <cellStyle name="Normal 5 2 2 3 7" xfId="28745"/>
    <cellStyle name="Normal 5 2 2 3 7 2" xfId="28746"/>
    <cellStyle name="Normal 5 2 2 3 8" xfId="28747"/>
    <cellStyle name="Normal 5 2 2 3 8 2" xfId="28748"/>
    <cellStyle name="Normal 5 2 2 3 9" xfId="28749"/>
    <cellStyle name="Normal 5 2 2 3 9 2" xfId="28750"/>
    <cellStyle name="Normal 5 2 2 4" xfId="28751"/>
    <cellStyle name="Normal 5 2 2 4 2" xfId="28752"/>
    <cellStyle name="Normal 5 2 2 5" xfId="28753"/>
    <cellStyle name="Normal 5 2 2 5 2" xfId="28754"/>
    <cellStyle name="Normal 5 2 2 6" xfId="28755"/>
    <cellStyle name="Normal 5 2 2 6 2" xfId="28756"/>
    <cellStyle name="Normal 5 2 2 7" xfId="28757"/>
    <cellStyle name="Normal 5 2 2 7 2" xfId="28758"/>
    <cellStyle name="Normal 5 2 2 8" xfId="28759"/>
    <cellStyle name="Normal 5 2 2 8 2" xfId="28760"/>
    <cellStyle name="Normal 5 2 2 9" xfId="28761"/>
    <cellStyle name="Normal 5 2 2 9 2" xfId="28762"/>
    <cellStyle name="Normal 5 2 20" xfId="28763"/>
    <cellStyle name="Normal 5 2 21" xfId="42084"/>
    <cellStyle name="Normal 5 2 3" xfId="28764"/>
    <cellStyle name="Normal 5 2 3 10" xfId="28765"/>
    <cellStyle name="Normal 5 2 3 10 2" xfId="28766"/>
    <cellStyle name="Normal 5 2 3 11" xfId="28767"/>
    <cellStyle name="Normal 5 2 3 11 2" xfId="28768"/>
    <cellStyle name="Normal 5 2 3 12" xfId="28769"/>
    <cellStyle name="Normal 5 2 3 12 2" xfId="28770"/>
    <cellStyle name="Normal 5 2 3 13" xfId="28771"/>
    <cellStyle name="Normal 5 2 3 2" xfId="28772"/>
    <cellStyle name="Normal 5 2 3 2 10" xfId="28773"/>
    <cellStyle name="Normal 5 2 3 2 10 2" xfId="28774"/>
    <cellStyle name="Normal 5 2 3 2 11" xfId="28775"/>
    <cellStyle name="Normal 5 2 3 2 11 2" xfId="28776"/>
    <cellStyle name="Normal 5 2 3 2 12" xfId="28777"/>
    <cellStyle name="Normal 5 2 3 2 2" xfId="28778"/>
    <cellStyle name="Normal 5 2 3 2 2 10" xfId="28779"/>
    <cellStyle name="Normal 5 2 3 2 2 10 2" xfId="28780"/>
    <cellStyle name="Normal 5 2 3 2 2 11" xfId="28781"/>
    <cellStyle name="Normal 5 2 3 2 2 2" xfId="28782"/>
    <cellStyle name="Normal 5 2 3 2 2 2 2" xfId="28783"/>
    <cellStyle name="Normal 5 2 3 2 2 3" xfId="28784"/>
    <cellStyle name="Normal 5 2 3 2 2 3 2" xfId="28785"/>
    <cellStyle name="Normal 5 2 3 2 2 4" xfId="28786"/>
    <cellStyle name="Normal 5 2 3 2 2 4 2" xfId="28787"/>
    <cellStyle name="Normal 5 2 3 2 2 5" xfId="28788"/>
    <cellStyle name="Normal 5 2 3 2 2 5 2" xfId="28789"/>
    <cellStyle name="Normal 5 2 3 2 2 6" xfId="28790"/>
    <cellStyle name="Normal 5 2 3 2 2 6 2" xfId="28791"/>
    <cellStyle name="Normal 5 2 3 2 2 7" xfId="28792"/>
    <cellStyle name="Normal 5 2 3 2 2 7 2" xfId="28793"/>
    <cellStyle name="Normal 5 2 3 2 2 8" xfId="28794"/>
    <cellStyle name="Normal 5 2 3 2 2 8 2" xfId="28795"/>
    <cellStyle name="Normal 5 2 3 2 2 9" xfId="28796"/>
    <cellStyle name="Normal 5 2 3 2 2 9 2" xfId="28797"/>
    <cellStyle name="Normal 5 2 3 2 3" xfId="28798"/>
    <cellStyle name="Normal 5 2 3 2 3 2" xfId="28799"/>
    <cellStyle name="Normal 5 2 3 2 4" xfId="28800"/>
    <cellStyle name="Normal 5 2 3 2 4 2" xfId="28801"/>
    <cellStyle name="Normal 5 2 3 2 5" xfId="28802"/>
    <cellStyle name="Normal 5 2 3 2 5 2" xfId="28803"/>
    <cellStyle name="Normal 5 2 3 2 6" xfId="28804"/>
    <cellStyle name="Normal 5 2 3 2 6 2" xfId="28805"/>
    <cellStyle name="Normal 5 2 3 2 7" xfId="28806"/>
    <cellStyle name="Normal 5 2 3 2 7 2" xfId="28807"/>
    <cellStyle name="Normal 5 2 3 2 8" xfId="28808"/>
    <cellStyle name="Normal 5 2 3 2 8 2" xfId="28809"/>
    <cellStyle name="Normal 5 2 3 2 9" xfId="28810"/>
    <cellStyle name="Normal 5 2 3 2 9 2" xfId="28811"/>
    <cellStyle name="Normal 5 2 3 3" xfId="28812"/>
    <cellStyle name="Normal 5 2 3 3 10" xfId="28813"/>
    <cellStyle name="Normal 5 2 3 3 10 2" xfId="28814"/>
    <cellStyle name="Normal 5 2 3 3 11" xfId="28815"/>
    <cellStyle name="Normal 5 2 3 3 2" xfId="28816"/>
    <cellStyle name="Normal 5 2 3 3 2 2" xfId="28817"/>
    <cellStyle name="Normal 5 2 3 3 3" xfId="28818"/>
    <cellStyle name="Normal 5 2 3 3 3 2" xfId="28819"/>
    <cellStyle name="Normal 5 2 3 3 4" xfId="28820"/>
    <cellStyle name="Normal 5 2 3 3 4 2" xfId="28821"/>
    <cellStyle name="Normal 5 2 3 3 5" xfId="28822"/>
    <cellStyle name="Normal 5 2 3 3 5 2" xfId="28823"/>
    <cellStyle name="Normal 5 2 3 3 6" xfId="28824"/>
    <cellStyle name="Normal 5 2 3 3 6 2" xfId="28825"/>
    <cellStyle name="Normal 5 2 3 3 7" xfId="28826"/>
    <cellStyle name="Normal 5 2 3 3 7 2" xfId="28827"/>
    <cellStyle name="Normal 5 2 3 3 8" xfId="28828"/>
    <cellStyle name="Normal 5 2 3 3 8 2" xfId="28829"/>
    <cellStyle name="Normal 5 2 3 3 9" xfId="28830"/>
    <cellStyle name="Normal 5 2 3 3 9 2" xfId="28831"/>
    <cellStyle name="Normal 5 2 3 4" xfId="28832"/>
    <cellStyle name="Normal 5 2 3 4 2" xfId="28833"/>
    <cellStyle name="Normal 5 2 3 5" xfId="28834"/>
    <cellStyle name="Normal 5 2 3 5 2" xfId="28835"/>
    <cellStyle name="Normal 5 2 3 6" xfId="28836"/>
    <cellStyle name="Normal 5 2 3 6 2" xfId="28837"/>
    <cellStyle name="Normal 5 2 3 7" xfId="28838"/>
    <cellStyle name="Normal 5 2 3 7 2" xfId="28839"/>
    <cellStyle name="Normal 5 2 3 8" xfId="28840"/>
    <cellStyle name="Normal 5 2 3 8 2" xfId="28841"/>
    <cellStyle name="Normal 5 2 3 9" xfId="28842"/>
    <cellStyle name="Normal 5 2 3 9 2" xfId="28843"/>
    <cellStyle name="Normal 5 2 4" xfId="28844"/>
    <cellStyle name="Normal 5 2 4 10" xfId="28845"/>
    <cellStyle name="Normal 5 2 4 10 2" xfId="28846"/>
    <cellStyle name="Normal 5 2 4 11" xfId="28847"/>
    <cellStyle name="Normal 5 2 4 11 2" xfId="28848"/>
    <cellStyle name="Normal 5 2 4 12" xfId="28849"/>
    <cellStyle name="Normal 5 2 4 12 2" xfId="28850"/>
    <cellStyle name="Normal 5 2 4 13" xfId="28851"/>
    <cellStyle name="Normal 5 2 4 2" xfId="28852"/>
    <cellStyle name="Normal 5 2 4 2 10" xfId="28853"/>
    <cellStyle name="Normal 5 2 4 2 10 2" xfId="28854"/>
    <cellStyle name="Normal 5 2 4 2 11" xfId="28855"/>
    <cellStyle name="Normal 5 2 4 2 11 2" xfId="28856"/>
    <cellStyle name="Normal 5 2 4 2 12" xfId="28857"/>
    <cellStyle name="Normal 5 2 4 2 2" xfId="28858"/>
    <cellStyle name="Normal 5 2 4 2 2 10" xfId="28859"/>
    <cellStyle name="Normal 5 2 4 2 2 10 2" xfId="28860"/>
    <cellStyle name="Normal 5 2 4 2 2 11" xfId="28861"/>
    <cellStyle name="Normal 5 2 4 2 2 2" xfId="28862"/>
    <cellStyle name="Normal 5 2 4 2 2 2 2" xfId="28863"/>
    <cellStyle name="Normal 5 2 4 2 2 3" xfId="28864"/>
    <cellStyle name="Normal 5 2 4 2 2 3 2" xfId="28865"/>
    <cellStyle name="Normal 5 2 4 2 2 4" xfId="28866"/>
    <cellStyle name="Normal 5 2 4 2 2 4 2" xfId="28867"/>
    <cellStyle name="Normal 5 2 4 2 2 5" xfId="28868"/>
    <cellStyle name="Normal 5 2 4 2 2 5 2" xfId="28869"/>
    <cellStyle name="Normal 5 2 4 2 2 6" xfId="28870"/>
    <cellStyle name="Normal 5 2 4 2 2 6 2" xfId="28871"/>
    <cellStyle name="Normal 5 2 4 2 2 7" xfId="28872"/>
    <cellStyle name="Normal 5 2 4 2 2 7 2" xfId="28873"/>
    <cellStyle name="Normal 5 2 4 2 2 8" xfId="28874"/>
    <cellStyle name="Normal 5 2 4 2 2 8 2" xfId="28875"/>
    <cellStyle name="Normal 5 2 4 2 2 9" xfId="28876"/>
    <cellStyle name="Normal 5 2 4 2 2 9 2" xfId="28877"/>
    <cellStyle name="Normal 5 2 4 2 3" xfId="28878"/>
    <cellStyle name="Normal 5 2 4 2 3 2" xfId="28879"/>
    <cellStyle name="Normal 5 2 4 2 4" xfId="28880"/>
    <cellStyle name="Normal 5 2 4 2 4 2" xfId="28881"/>
    <cellStyle name="Normal 5 2 4 2 5" xfId="28882"/>
    <cellStyle name="Normal 5 2 4 2 5 2" xfId="28883"/>
    <cellStyle name="Normal 5 2 4 2 6" xfId="28884"/>
    <cellStyle name="Normal 5 2 4 2 6 2" xfId="28885"/>
    <cellStyle name="Normal 5 2 4 2 7" xfId="28886"/>
    <cellStyle name="Normal 5 2 4 2 7 2" xfId="28887"/>
    <cellStyle name="Normal 5 2 4 2 8" xfId="28888"/>
    <cellStyle name="Normal 5 2 4 2 8 2" xfId="28889"/>
    <cellStyle name="Normal 5 2 4 2 9" xfId="28890"/>
    <cellStyle name="Normal 5 2 4 2 9 2" xfId="28891"/>
    <cellStyle name="Normal 5 2 4 3" xfId="28892"/>
    <cellStyle name="Normal 5 2 4 3 10" xfId="28893"/>
    <cellStyle name="Normal 5 2 4 3 10 2" xfId="28894"/>
    <cellStyle name="Normal 5 2 4 3 11" xfId="28895"/>
    <cellStyle name="Normal 5 2 4 3 2" xfId="28896"/>
    <cellStyle name="Normal 5 2 4 3 2 2" xfId="28897"/>
    <cellStyle name="Normal 5 2 4 3 3" xfId="28898"/>
    <cellStyle name="Normal 5 2 4 3 3 2" xfId="28899"/>
    <cellStyle name="Normal 5 2 4 3 4" xfId="28900"/>
    <cellStyle name="Normal 5 2 4 3 4 2" xfId="28901"/>
    <cellStyle name="Normal 5 2 4 3 5" xfId="28902"/>
    <cellStyle name="Normal 5 2 4 3 5 2" xfId="28903"/>
    <cellStyle name="Normal 5 2 4 3 6" xfId="28904"/>
    <cellStyle name="Normal 5 2 4 3 6 2" xfId="28905"/>
    <cellStyle name="Normal 5 2 4 3 7" xfId="28906"/>
    <cellStyle name="Normal 5 2 4 3 7 2" xfId="28907"/>
    <cellStyle name="Normal 5 2 4 3 8" xfId="28908"/>
    <cellStyle name="Normal 5 2 4 3 8 2" xfId="28909"/>
    <cellStyle name="Normal 5 2 4 3 9" xfId="28910"/>
    <cellStyle name="Normal 5 2 4 3 9 2" xfId="28911"/>
    <cellStyle name="Normal 5 2 4 4" xfId="28912"/>
    <cellStyle name="Normal 5 2 4 4 2" xfId="28913"/>
    <cellStyle name="Normal 5 2 4 5" xfId="28914"/>
    <cellStyle name="Normal 5 2 4 5 2" xfId="28915"/>
    <cellStyle name="Normal 5 2 4 6" xfId="28916"/>
    <cellStyle name="Normal 5 2 4 6 2" xfId="28917"/>
    <cellStyle name="Normal 5 2 4 7" xfId="28918"/>
    <cellStyle name="Normal 5 2 4 7 2" xfId="28919"/>
    <cellStyle name="Normal 5 2 4 8" xfId="28920"/>
    <cellStyle name="Normal 5 2 4 8 2" xfId="28921"/>
    <cellStyle name="Normal 5 2 4 9" xfId="28922"/>
    <cellStyle name="Normal 5 2 4 9 2" xfId="28923"/>
    <cellStyle name="Normal 5 2 5" xfId="28924"/>
    <cellStyle name="Normal 5 2 6" xfId="28925"/>
    <cellStyle name="Normal 5 2 6 10" xfId="28926"/>
    <cellStyle name="Normal 5 2 6 10 2" xfId="28927"/>
    <cellStyle name="Normal 5 2 6 11" xfId="28928"/>
    <cellStyle name="Normal 5 2 6 11 2" xfId="28929"/>
    <cellStyle name="Normal 5 2 6 12" xfId="28930"/>
    <cellStyle name="Normal 5 2 6 12 2" xfId="28931"/>
    <cellStyle name="Normal 5 2 6 13" xfId="28932"/>
    <cellStyle name="Normal 5 2 6 2" xfId="28933"/>
    <cellStyle name="Normal 5 2 6 2 10" xfId="28934"/>
    <cellStyle name="Normal 5 2 6 2 10 2" xfId="28935"/>
    <cellStyle name="Normal 5 2 6 2 11" xfId="28936"/>
    <cellStyle name="Normal 5 2 6 2 11 2" xfId="28937"/>
    <cellStyle name="Normal 5 2 6 2 12" xfId="28938"/>
    <cellStyle name="Normal 5 2 6 2 2" xfId="28939"/>
    <cellStyle name="Normal 5 2 6 2 2 10" xfId="28940"/>
    <cellStyle name="Normal 5 2 6 2 2 10 2" xfId="28941"/>
    <cellStyle name="Normal 5 2 6 2 2 11" xfId="28942"/>
    <cellStyle name="Normal 5 2 6 2 2 2" xfId="28943"/>
    <cellStyle name="Normal 5 2 6 2 2 2 2" xfId="28944"/>
    <cellStyle name="Normal 5 2 6 2 2 3" xfId="28945"/>
    <cellStyle name="Normal 5 2 6 2 2 3 2" xfId="28946"/>
    <cellStyle name="Normal 5 2 6 2 2 4" xfId="28947"/>
    <cellStyle name="Normal 5 2 6 2 2 4 2" xfId="28948"/>
    <cellStyle name="Normal 5 2 6 2 2 5" xfId="28949"/>
    <cellStyle name="Normal 5 2 6 2 2 5 2" xfId="28950"/>
    <cellStyle name="Normal 5 2 6 2 2 6" xfId="28951"/>
    <cellStyle name="Normal 5 2 6 2 2 6 2" xfId="28952"/>
    <cellStyle name="Normal 5 2 6 2 2 7" xfId="28953"/>
    <cellStyle name="Normal 5 2 6 2 2 7 2" xfId="28954"/>
    <cellStyle name="Normal 5 2 6 2 2 8" xfId="28955"/>
    <cellStyle name="Normal 5 2 6 2 2 8 2" xfId="28956"/>
    <cellStyle name="Normal 5 2 6 2 2 9" xfId="28957"/>
    <cellStyle name="Normal 5 2 6 2 2 9 2" xfId="28958"/>
    <cellStyle name="Normal 5 2 6 2 3" xfId="28959"/>
    <cellStyle name="Normal 5 2 6 2 3 2" xfId="28960"/>
    <cellStyle name="Normal 5 2 6 2 4" xfId="28961"/>
    <cellStyle name="Normal 5 2 6 2 4 2" xfId="28962"/>
    <cellStyle name="Normal 5 2 6 2 5" xfId="28963"/>
    <cellStyle name="Normal 5 2 6 2 5 2" xfId="28964"/>
    <cellStyle name="Normal 5 2 6 2 6" xfId="28965"/>
    <cellStyle name="Normal 5 2 6 2 6 2" xfId="28966"/>
    <cellStyle name="Normal 5 2 6 2 7" xfId="28967"/>
    <cellStyle name="Normal 5 2 6 2 7 2" xfId="28968"/>
    <cellStyle name="Normal 5 2 6 2 8" xfId="28969"/>
    <cellStyle name="Normal 5 2 6 2 8 2" xfId="28970"/>
    <cellStyle name="Normal 5 2 6 2 9" xfId="28971"/>
    <cellStyle name="Normal 5 2 6 2 9 2" xfId="28972"/>
    <cellStyle name="Normal 5 2 6 3" xfId="28973"/>
    <cellStyle name="Normal 5 2 6 3 10" xfId="28974"/>
    <cellStyle name="Normal 5 2 6 3 10 2" xfId="28975"/>
    <cellStyle name="Normal 5 2 6 3 11" xfId="28976"/>
    <cellStyle name="Normal 5 2 6 3 2" xfId="28977"/>
    <cellStyle name="Normal 5 2 6 3 2 2" xfId="28978"/>
    <cellStyle name="Normal 5 2 6 3 3" xfId="28979"/>
    <cellStyle name="Normal 5 2 6 3 3 2" xfId="28980"/>
    <cellStyle name="Normal 5 2 6 3 4" xfId="28981"/>
    <cellStyle name="Normal 5 2 6 3 4 2" xfId="28982"/>
    <cellStyle name="Normal 5 2 6 3 5" xfId="28983"/>
    <cellStyle name="Normal 5 2 6 3 5 2" xfId="28984"/>
    <cellStyle name="Normal 5 2 6 3 6" xfId="28985"/>
    <cellStyle name="Normal 5 2 6 3 6 2" xfId="28986"/>
    <cellStyle name="Normal 5 2 6 3 7" xfId="28987"/>
    <cellStyle name="Normal 5 2 6 3 7 2" xfId="28988"/>
    <cellStyle name="Normal 5 2 6 3 8" xfId="28989"/>
    <cellStyle name="Normal 5 2 6 3 8 2" xfId="28990"/>
    <cellStyle name="Normal 5 2 6 3 9" xfId="28991"/>
    <cellStyle name="Normal 5 2 6 3 9 2" xfId="28992"/>
    <cellStyle name="Normal 5 2 6 4" xfId="28993"/>
    <cellStyle name="Normal 5 2 6 4 2" xfId="28994"/>
    <cellStyle name="Normal 5 2 6 5" xfId="28995"/>
    <cellStyle name="Normal 5 2 6 5 2" xfId="28996"/>
    <cellStyle name="Normal 5 2 6 6" xfId="28997"/>
    <cellStyle name="Normal 5 2 6 6 2" xfId="28998"/>
    <cellStyle name="Normal 5 2 6 7" xfId="28999"/>
    <cellStyle name="Normal 5 2 6 7 2" xfId="29000"/>
    <cellStyle name="Normal 5 2 6 8" xfId="29001"/>
    <cellStyle name="Normal 5 2 6 8 2" xfId="29002"/>
    <cellStyle name="Normal 5 2 6 9" xfId="29003"/>
    <cellStyle name="Normal 5 2 6 9 2" xfId="29004"/>
    <cellStyle name="Normal 5 2 7" xfId="29005"/>
    <cellStyle name="Normal 5 2 7 10" xfId="29006"/>
    <cellStyle name="Normal 5 2 7 10 2" xfId="29007"/>
    <cellStyle name="Normal 5 2 7 11" xfId="29008"/>
    <cellStyle name="Normal 5 2 7 11 2" xfId="29009"/>
    <cellStyle name="Normal 5 2 7 12" xfId="29010"/>
    <cellStyle name="Normal 5 2 7 2" xfId="29011"/>
    <cellStyle name="Normal 5 2 7 2 10" xfId="29012"/>
    <cellStyle name="Normal 5 2 7 2 10 2" xfId="29013"/>
    <cellStyle name="Normal 5 2 7 2 11" xfId="29014"/>
    <cellStyle name="Normal 5 2 7 2 2" xfId="29015"/>
    <cellStyle name="Normal 5 2 7 2 2 2" xfId="29016"/>
    <cellStyle name="Normal 5 2 7 2 3" xfId="29017"/>
    <cellStyle name="Normal 5 2 7 2 3 2" xfId="29018"/>
    <cellStyle name="Normal 5 2 7 2 4" xfId="29019"/>
    <cellStyle name="Normal 5 2 7 2 4 2" xfId="29020"/>
    <cellStyle name="Normal 5 2 7 2 5" xfId="29021"/>
    <cellStyle name="Normal 5 2 7 2 5 2" xfId="29022"/>
    <cellStyle name="Normal 5 2 7 2 6" xfId="29023"/>
    <cellStyle name="Normal 5 2 7 2 6 2" xfId="29024"/>
    <cellStyle name="Normal 5 2 7 2 7" xfId="29025"/>
    <cellStyle name="Normal 5 2 7 2 7 2" xfId="29026"/>
    <cellStyle name="Normal 5 2 7 2 8" xfId="29027"/>
    <cellStyle name="Normal 5 2 7 2 8 2" xfId="29028"/>
    <cellStyle name="Normal 5 2 7 2 9" xfId="29029"/>
    <cellStyle name="Normal 5 2 7 2 9 2" xfId="29030"/>
    <cellStyle name="Normal 5 2 7 3" xfId="29031"/>
    <cellStyle name="Normal 5 2 7 3 2" xfId="29032"/>
    <cellStyle name="Normal 5 2 7 4" xfId="29033"/>
    <cellStyle name="Normal 5 2 7 4 2" xfId="29034"/>
    <cellStyle name="Normal 5 2 7 5" xfId="29035"/>
    <cellStyle name="Normal 5 2 7 5 2" xfId="29036"/>
    <cellStyle name="Normal 5 2 7 6" xfId="29037"/>
    <cellStyle name="Normal 5 2 7 6 2" xfId="29038"/>
    <cellStyle name="Normal 5 2 7 7" xfId="29039"/>
    <cellStyle name="Normal 5 2 7 7 2" xfId="29040"/>
    <cellStyle name="Normal 5 2 7 8" xfId="29041"/>
    <cellStyle name="Normal 5 2 7 8 2" xfId="29042"/>
    <cellStyle name="Normal 5 2 7 9" xfId="29043"/>
    <cellStyle name="Normal 5 2 7 9 2" xfId="29044"/>
    <cellStyle name="Normal 5 2 8" xfId="29045"/>
    <cellStyle name="Normal 5 2 8 10" xfId="29046"/>
    <cellStyle name="Normal 5 2 8 10 2" xfId="29047"/>
    <cellStyle name="Normal 5 2 8 11" xfId="29048"/>
    <cellStyle name="Normal 5 2 8 2" xfId="29049"/>
    <cellStyle name="Normal 5 2 8 2 2" xfId="29050"/>
    <cellStyle name="Normal 5 2 8 3" xfId="29051"/>
    <cellStyle name="Normal 5 2 8 3 2" xfId="29052"/>
    <cellStyle name="Normal 5 2 8 4" xfId="29053"/>
    <cellStyle name="Normal 5 2 8 4 2" xfId="29054"/>
    <cellStyle name="Normal 5 2 8 5" xfId="29055"/>
    <cellStyle name="Normal 5 2 8 5 2" xfId="29056"/>
    <cellStyle name="Normal 5 2 8 6" xfId="29057"/>
    <cellStyle name="Normal 5 2 8 6 2" xfId="29058"/>
    <cellStyle name="Normal 5 2 8 7" xfId="29059"/>
    <cellStyle name="Normal 5 2 8 7 2" xfId="29060"/>
    <cellStyle name="Normal 5 2 8 8" xfId="29061"/>
    <cellStyle name="Normal 5 2 8 8 2" xfId="29062"/>
    <cellStyle name="Normal 5 2 8 9" xfId="29063"/>
    <cellStyle name="Normal 5 2 8 9 2" xfId="29064"/>
    <cellStyle name="Normal 5 2 9" xfId="29065"/>
    <cellStyle name="Normal 5 2 9 2" xfId="29066"/>
    <cellStyle name="Normal 5 20" xfId="29067"/>
    <cellStyle name="Normal 5 20 2" xfId="29068"/>
    <cellStyle name="Normal 5 21" xfId="29069"/>
    <cellStyle name="Normal 5 22" xfId="29070"/>
    <cellStyle name="Normal 5 23" xfId="29071"/>
    <cellStyle name="Normal 5 24" xfId="42085"/>
    <cellStyle name="Normal 5 3" xfId="206"/>
    <cellStyle name="Normal 5 3 10" xfId="29072"/>
    <cellStyle name="Normal 5 3 10 2" xfId="29073"/>
    <cellStyle name="Normal 5 3 11" xfId="29074"/>
    <cellStyle name="Normal 5 3 11 2" xfId="29075"/>
    <cellStyle name="Normal 5 3 12" xfId="29076"/>
    <cellStyle name="Normal 5 3 12 2" xfId="29077"/>
    <cellStyle name="Normal 5 3 13" xfId="29078"/>
    <cellStyle name="Normal 5 3 13 2" xfId="29079"/>
    <cellStyle name="Normal 5 3 14" xfId="29080"/>
    <cellStyle name="Normal 5 3 15" xfId="42086"/>
    <cellStyle name="Normal 5 3 2" xfId="29081"/>
    <cellStyle name="Normal 5 3 3" xfId="29082"/>
    <cellStyle name="Normal 5 3 3 10" xfId="29083"/>
    <cellStyle name="Normal 5 3 3 10 2" xfId="29084"/>
    <cellStyle name="Normal 5 3 3 11" xfId="29085"/>
    <cellStyle name="Normal 5 3 3 11 2" xfId="29086"/>
    <cellStyle name="Normal 5 3 3 12" xfId="29087"/>
    <cellStyle name="Normal 5 3 3 2" xfId="29088"/>
    <cellStyle name="Normal 5 3 3 2 10" xfId="29089"/>
    <cellStyle name="Normal 5 3 3 2 10 2" xfId="29090"/>
    <cellStyle name="Normal 5 3 3 2 11" xfId="29091"/>
    <cellStyle name="Normal 5 3 3 2 2" xfId="29092"/>
    <cellStyle name="Normal 5 3 3 2 2 2" xfId="29093"/>
    <cellStyle name="Normal 5 3 3 2 3" xfId="29094"/>
    <cellStyle name="Normal 5 3 3 2 3 2" xfId="29095"/>
    <cellStyle name="Normal 5 3 3 2 4" xfId="29096"/>
    <cellStyle name="Normal 5 3 3 2 4 2" xfId="29097"/>
    <cellStyle name="Normal 5 3 3 2 5" xfId="29098"/>
    <cellStyle name="Normal 5 3 3 2 5 2" xfId="29099"/>
    <cellStyle name="Normal 5 3 3 2 6" xfId="29100"/>
    <cellStyle name="Normal 5 3 3 2 6 2" xfId="29101"/>
    <cellStyle name="Normal 5 3 3 2 7" xfId="29102"/>
    <cellStyle name="Normal 5 3 3 2 7 2" xfId="29103"/>
    <cellStyle name="Normal 5 3 3 2 8" xfId="29104"/>
    <cellStyle name="Normal 5 3 3 2 8 2" xfId="29105"/>
    <cellStyle name="Normal 5 3 3 2 9" xfId="29106"/>
    <cellStyle name="Normal 5 3 3 2 9 2" xfId="29107"/>
    <cellStyle name="Normal 5 3 3 3" xfId="29108"/>
    <cellStyle name="Normal 5 3 3 3 2" xfId="29109"/>
    <cellStyle name="Normal 5 3 3 4" xfId="29110"/>
    <cellStyle name="Normal 5 3 3 4 2" xfId="29111"/>
    <cellStyle name="Normal 5 3 3 5" xfId="29112"/>
    <cellStyle name="Normal 5 3 3 5 2" xfId="29113"/>
    <cellStyle name="Normal 5 3 3 6" xfId="29114"/>
    <cellStyle name="Normal 5 3 3 6 2" xfId="29115"/>
    <cellStyle name="Normal 5 3 3 7" xfId="29116"/>
    <cellStyle name="Normal 5 3 3 7 2" xfId="29117"/>
    <cellStyle name="Normal 5 3 3 8" xfId="29118"/>
    <cellStyle name="Normal 5 3 3 8 2" xfId="29119"/>
    <cellStyle name="Normal 5 3 3 9" xfId="29120"/>
    <cellStyle name="Normal 5 3 3 9 2" xfId="29121"/>
    <cellStyle name="Normal 5 3 4" xfId="29122"/>
    <cellStyle name="Normal 5 3 4 10" xfId="29123"/>
    <cellStyle name="Normal 5 3 4 10 2" xfId="29124"/>
    <cellStyle name="Normal 5 3 4 11" xfId="29125"/>
    <cellStyle name="Normal 5 3 4 2" xfId="29126"/>
    <cellStyle name="Normal 5 3 4 2 2" xfId="29127"/>
    <cellStyle name="Normal 5 3 4 3" xfId="29128"/>
    <cellStyle name="Normal 5 3 4 3 2" xfId="29129"/>
    <cellStyle name="Normal 5 3 4 4" xfId="29130"/>
    <cellStyle name="Normal 5 3 4 4 2" xfId="29131"/>
    <cellStyle name="Normal 5 3 4 5" xfId="29132"/>
    <cellStyle name="Normal 5 3 4 5 2" xfId="29133"/>
    <cellStyle name="Normal 5 3 4 6" xfId="29134"/>
    <cellStyle name="Normal 5 3 4 6 2" xfId="29135"/>
    <cellStyle name="Normal 5 3 4 7" xfId="29136"/>
    <cellStyle name="Normal 5 3 4 7 2" xfId="29137"/>
    <cellStyle name="Normal 5 3 4 8" xfId="29138"/>
    <cellStyle name="Normal 5 3 4 8 2" xfId="29139"/>
    <cellStyle name="Normal 5 3 4 9" xfId="29140"/>
    <cellStyle name="Normal 5 3 4 9 2" xfId="29141"/>
    <cellStyle name="Normal 5 3 5" xfId="29142"/>
    <cellStyle name="Normal 5 3 5 2" xfId="29143"/>
    <cellStyle name="Normal 5 3 6" xfId="29144"/>
    <cellStyle name="Normal 5 3 6 2" xfId="29145"/>
    <cellStyle name="Normal 5 3 7" xfId="29146"/>
    <cellStyle name="Normal 5 3 7 2" xfId="29147"/>
    <cellStyle name="Normal 5 3 8" xfId="29148"/>
    <cellStyle name="Normal 5 3 8 2" xfId="29149"/>
    <cellStyle name="Normal 5 3 9" xfId="29150"/>
    <cellStyle name="Normal 5 3 9 2" xfId="29151"/>
    <cellStyle name="Normal 5 4" xfId="29152"/>
    <cellStyle name="Normal 5 4 10" xfId="29153"/>
    <cellStyle name="Normal 5 4 10 2" xfId="29154"/>
    <cellStyle name="Normal 5 4 11" xfId="29155"/>
    <cellStyle name="Normal 5 4 11 2" xfId="29156"/>
    <cellStyle name="Normal 5 4 12" xfId="29157"/>
    <cellStyle name="Normal 5 4 12 2" xfId="29158"/>
    <cellStyle name="Normal 5 4 13" xfId="29159"/>
    <cellStyle name="Normal 5 4 13 2" xfId="29160"/>
    <cellStyle name="Normal 5 4 14" xfId="29161"/>
    <cellStyle name="Normal 5 4 15" xfId="42087"/>
    <cellStyle name="Normal 5 4 2" xfId="29162"/>
    <cellStyle name="Normal 5 4 3" xfId="29163"/>
    <cellStyle name="Normal 5 4 3 10" xfId="29164"/>
    <cellStyle name="Normal 5 4 3 10 2" xfId="29165"/>
    <cellStyle name="Normal 5 4 3 11" xfId="29166"/>
    <cellStyle name="Normal 5 4 3 11 2" xfId="29167"/>
    <cellStyle name="Normal 5 4 3 12" xfId="29168"/>
    <cellStyle name="Normal 5 4 3 2" xfId="29169"/>
    <cellStyle name="Normal 5 4 3 2 10" xfId="29170"/>
    <cellStyle name="Normal 5 4 3 2 10 2" xfId="29171"/>
    <cellStyle name="Normal 5 4 3 2 11" xfId="29172"/>
    <cellStyle name="Normal 5 4 3 2 2" xfId="29173"/>
    <cellStyle name="Normal 5 4 3 2 2 2" xfId="29174"/>
    <cellStyle name="Normal 5 4 3 2 3" xfId="29175"/>
    <cellStyle name="Normal 5 4 3 2 3 2" xfId="29176"/>
    <cellStyle name="Normal 5 4 3 2 4" xfId="29177"/>
    <cellStyle name="Normal 5 4 3 2 4 2" xfId="29178"/>
    <cellStyle name="Normal 5 4 3 2 5" xfId="29179"/>
    <cellStyle name="Normal 5 4 3 2 5 2" xfId="29180"/>
    <cellStyle name="Normal 5 4 3 2 6" xfId="29181"/>
    <cellStyle name="Normal 5 4 3 2 6 2" xfId="29182"/>
    <cellStyle name="Normal 5 4 3 2 7" xfId="29183"/>
    <cellStyle name="Normal 5 4 3 2 7 2" xfId="29184"/>
    <cellStyle name="Normal 5 4 3 2 8" xfId="29185"/>
    <cellStyle name="Normal 5 4 3 2 8 2" xfId="29186"/>
    <cellStyle name="Normal 5 4 3 2 9" xfId="29187"/>
    <cellStyle name="Normal 5 4 3 2 9 2" xfId="29188"/>
    <cellStyle name="Normal 5 4 3 3" xfId="29189"/>
    <cellStyle name="Normal 5 4 3 3 2" xfId="29190"/>
    <cellStyle name="Normal 5 4 3 4" xfId="29191"/>
    <cellStyle name="Normal 5 4 3 4 2" xfId="29192"/>
    <cellStyle name="Normal 5 4 3 5" xfId="29193"/>
    <cellStyle name="Normal 5 4 3 5 2" xfId="29194"/>
    <cellStyle name="Normal 5 4 3 6" xfId="29195"/>
    <cellStyle name="Normal 5 4 3 6 2" xfId="29196"/>
    <cellStyle name="Normal 5 4 3 7" xfId="29197"/>
    <cellStyle name="Normal 5 4 3 7 2" xfId="29198"/>
    <cellStyle name="Normal 5 4 3 8" xfId="29199"/>
    <cellStyle name="Normal 5 4 3 8 2" xfId="29200"/>
    <cellStyle name="Normal 5 4 3 9" xfId="29201"/>
    <cellStyle name="Normal 5 4 3 9 2" xfId="29202"/>
    <cellStyle name="Normal 5 4 4" xfId="29203"/>
    <cellStyle name="Normal 5 4 4 10" xfId="29204"/>
    <cellStyle name="Normal 5 4 4 10 2" xfId="29205"/>
    <cellStyle name="Normal 5 4 4 11" xfId="29206"/>
    <cellStyle name="Normal 5 4 4 2" xfId="29207"/>
    <cellStyle name="Normal 5 4 4 2 2" xfId="29208"/>
    <cellStyle name="Normal 5 4 4 3" xfId="29209"/>
    <cellStyle name="Normal 5 4 4 3 2" xfId="29210"/>
    <cellStyle name="Normal 5 4 4 4" xfId="29211"/>
    <cellStyle name="Normal 5 4 4 4 2" xfId="29212"/>
    <cellStyle name="Normal 5 4 4 5" xfId="29213"/>
    <cellStyle name="Normal 5 4 4 5 2" xfId="29214"/>
    <cellStyle name="Normal 5 4 4 6" xfId="29215"/>
    <cellStyle name="Normal 5 4 4 6 2" xfId="29216"/>
    <cellStyle name="Normal 5 4 4 7" xfId="29217"/>
    <cellStyle name="Normal 5 4 4 7 2" xfId="29218"/>
    <cellStyle name="Normal 5 4 4 8" xfId="29219"/>
    <cellStyle name="Normal 5 4 4 8 2" xfId="29220"/>
    <cellStyle name="Normal 5 4 4 9" xfId="29221"/>
    <cellStyle name="Normal 5 4 4 9 2" xfId="29222"/>
    <cellStyle name="Normal 5 4 5" xfId="29223"/>
    <cellStyle name="Normal 5 4 5 2" xfId="29224"/>
    <cellStyle name="Normal 5 4 6" xfId="29225"/>
    <cellStyle name="Normal 5 4 6 2" xfId="29226"/>
    <cellStyle name="Normal 5 4 7" xfId="29227"/>
    <cellStyle name="Normal 5 4 7 2" xfId="29228"/>
    <cellStyle name="Normal 5 4 8" xfId="29229"/>
    <cellStyle name="Normal 5 4 8 2" xfId="29230"/>
    <cellStyle name="Normal 5 4 9" xfId="29231"/>
    <cellStyle name="Normal 5 4 9 2" xfId="29232"/>
    <cellStyle name="Normal 5 5" xfId="29233"/>
    <cellStyle name="Normal 5 5 10" xfId="29234"/>
    <cellStyle name="Normal 5 5 10 2" xfId="29235"/>
    <cellStyle name="Normal 5 5 11" xfId="29236"/>
    <cellStyle name="Normal 5 5 11 2" xfId="29237"/>
    <cellStyle name="Normal 5 5 12" xfId="29238"/>
    <cellStyle name="Normal 5 5 12 2" xfId="29239"/>
    <cellStyle name="Normal 5 5 13" xfId="29240"/>
    <cellStyle name="Normal 5 5 13 2" xfId="29241"/>
    <cellStyle name="Normal 5 5 14" xfId="29242"/>
    <cellStyle name="Normal 5 5 15" xfId="42088"/>
    <cellStyle name="Normal 5 5 2" xfId="29243"/>
    <cellStyle name="Normal 5 5 3" xfId="29244"/>
    <cellStyle name="Normal 5 5 3 10" xfId="29245"/>
    <cellStyle name="Normal 5 5 3 10 2" xfId="29246"/>
    <cellStyle name="Normal 5 5 3 11" xfId="29247"/>
    <cellStyle name="Normal 5 5 3 11 2" xfId="29248"/>
    <cellStyle name="Normal 5 5 3 12" xfId="29249"/>
    <cellStyle name="Normal 5 5 3 2" xfId="29250"/>
    <cellStyle name="Normal 5 5 3 2 10" xfId="29251"/>
    <cellStyle name="Normal 5 5 3 2 10 2" xfId="29252"/>
    <cellStyle name="Normal 5 5 3 2 11" xfId="29253"/>
    <cellStyle name="Normal 5 5 3 2 2" xfId="29254"/>
    <cellStyle name="Normal 5 5 3 2 2 2" xfId="29255"/>
    <cellStyle name="Normal 5 5 3 2 3" xfId="29256"/>
    <cellStyle name="Normal 5 5 3 2 3 2" xfId="29257"/>
    <cellStyle name="Normal 5 5 3 2 4" xfId="29258"/>
    <cellStyle name="Normal 5 5 3 2 4 2" xfId="29259"/>
    <cellStyle name="Normal 5 5 3 2 5" xfId="29260"/>
    <cellStyle name="Normal 5 5 3 2 5 2" xfId="29261"/>
    <cellStyle name="Normal 5 5 3 2 6" xfId="29262"/>
    <cellStyle name="Normal 5 5 3 2 6 2" xfId="29263"/>
    <cellStyle name="Normal 5 5 3 2 7" xfId="29264"/>
    <cellStyle name="Normal 5 5 3 2 7 2" xfId="29265"/>
    <cellStyle name="Normal 5 5 3 2 8" xfId="29266"/>
    <cellStyle name="Normal 5 5 3 2 8 2" xfId="29267"/>
    <cellStyle name="Normal 5 5 3 2 9" xfId="29268"/>
    <cellStyle name="Normal 5 5 3 2 9 2" xfId="29269"/>
    <cellStyle name="Normal 5 5 3 3" xfId="29270"/>
    <cellStyle name="Normal 5 5 3 3 2" xfId="29271"/>
    <cellStyle name="Normal 5 5 3 4" xfId="29272"/>
    <cellStyle name="Normal 5 5 3 4 2" xfId="29273"/>
    <cellStyle name="Normal 5 5 3 5" xfId="29274"/>
    <cellStyle name="Normal 5 5 3 5 2" xfId="29275"/>
    <cellStyle name="Normal 5 5 3 6" xfId="29276"/>
    <cellStyle name="Normal 5 5 3 6 2" xfId="29277"/>
    <cellStyle name="Normal 5 5 3 7" xfId="29278"/>
    <cellStyle name="Normal 5 5 3 7 2" xfId="29279"/>
    <cellStyle name="Normal 5 5 3 8" xfId="29280"/>
    <cellStyle name="Normal 5 5 3 8 2" xfId="29281"/>
    <cellStyle name="Normal 5 5 3 9" xfId="29282"/>
    <cellStyle name="Normal 5 5 3 9 2" xfId="29283"/>
    <cellStyle name="Normal 5 5 4" xfId="29284"/>
    <cellStyle name="Normal 5 5 4 10" xfId="29285"/>
    <cellStyle name="Normal 5 5 4 10 2" xfId="29286"/>
    <cellStyle name="Normal 5 5 4 11" xfId="29287"/>
    <cellStyle name="Normal 5 5 4 2" xfId="29288"/>
    <cellStyle name="Normal 5 5 4 2 2" xfId="29289"/>
    <cellStyle name="Normal 5 5 4 3" xfId="29290"/>
    <cellStyle name="Normal 5 5 4 3 2" xfId="29291"/>
    <cellStyle name="Normal 5 5 4 4" xfId="29292"/>
    <cellStyle name="Normal 5 5 4 4 2" xfId="29293"/>
    <cellStyle name="Normal 5 5 4 5" xfId="29294"/>
    <cellStyle name="Normal 5 5 4 5 2" xfId="29295"/>
    <cellStyle name="Normal 5 5 4 6" xfId="29296"/>
    <cellStyle name="Normal 5 5 4 6 2" xfId="29297"/>
    <cellStyle name="Normal 5 5 4 7" xfId="29298"/>
    <cellStyle name="Normal 5 5 4 7 2" xfId="29299"/>
    <cellStyle name="Normal 5 5 4 8" xfId="29300"/>
    <cellStyle name="Normal 5 5 4 8 2" xfId="29301"/>
    <cellStyle name="Normal 5 5 4 9" xfId="29302"/>
    <cellStyle name="Normal 5 5 4 9 2" xfId="29303"/>
    <cellStyle name="Normal 5 5 5" xfId="29304"/>
    <cellStyle name="Normal 5 5 5 2" xfId="29305"/>
    <cellStyle name="Normal 5 5 6" xfId="29306"/>
    <cellStyle name="Normal 5 5 6 2" xfId="29307"/>
    <cellStyle name="Normal 5 5 7" xfId="29308"/>
    <cellStyle name="Normal 5 5 7 2" xfId="29309"/>
    <cellStyle name="Normal 5 5 8" xfId="29310"/>
    <cellStyle name="Normal 5 5 8 2" xfId="29311"/>
    <cellStyle name="Normal 5 5 9" xfId="29312"/>
    <cellStyle name="Normal 5 5 9 2" xfId="29313"/>
    <cellStyle name="Normal 5 6" xfId="29314"/>
    <cellStyle name="Normal 5 6 2" xfId="42089"/>
    <cellStyle name="Normal 5 7" xfId="29315"/>
    <cellStyle name="Normal 5 8" xfId="29316"/>
    <cellStyle name="Normal 5 8 10" xfId="29317"/>
    <cellStyle name="Normal 5 8 10 2" xfId="29318"/>
    <cellStyle name="Normal 5 8 11" xfId="29319"/>
    <cellStyle name="Normal 5 8 11 2" xfId="29320"/>
    <cellStyle name="Normal 5 8 12" xfId="29321"/>
    <cellStyle name="Normal 5 8 12 2" xfId="29322"/>
    <cellStyle name="Normal 5 8 13" xfId="29323"/>
    <cellStyle name="Normal 5 8 2" xfId="29324"/>
    <cellStyle name="Normal 5 8 2 10" xfId="29325"/>
    <cellStyle name="Normal 5 8 2 10 2" xfId="29326"/>
    <cellStyle name="Normal 5 8 2 11" xfId="29327"/>
    <cellStyle name="Normal 5 8 2 11 2" xfId="29328"/>
    <cellStyle name="Normal 5 8 2 12" xfId="29329"/>
    <cellStyle name="Normal 5 8 2 2" xfId="29330"/>
    <cellStyle name="Normal 5 8 2 2 10" xfId="29331"/>
    <cellStyle name="Normal 5 8 2 2 10 2" xfId="29332"/>
    <cellStyle name="Normal 5 8 2 2 11" xfId="29333"/>
    <cellStyle name="Normal 5 8 2 2 2" xfId="29334"/>
    <cellStyle name="Normal 5 8 2 2 2 2" xfId="29335"/>
    <cellStyle name="Normal 5 8 2 2 3" xfId="29336"/>
    <cellStyle name="Normal 5 8 2 2 3 2" xfId="29337"/>
    <cellStyle name="Normal 5 8 2 2 4" xfId="29338"/>
    <cellStyle name="Normal 5 8 2 2 4 2" xfId="29339"/>
    <cellStyle name="Normal 5 8 2 2 5" xfId="29340"/>
    <cellStyle name="Normal 5 8 2 2 5 2" xfId="29341"/>
    <cellStyle name="Normal 5 8 2 2 6" xfId="29342"/>
    <cellStyle name="Normal 5 8 2 2 6 2" xfId="29343"/>
    <cellStyle name="Normal 5 8 2 2 7" xfId="29344"/>
    <cellStyle name="Normal 5 8 2 2 7 2" xfId="29345"/>
    <cellStyle name="Normal 5 8 2 2 8" xfId="29346"/>
    <cellStyle name="Normal 5 8 2 2 8 2" xfId="29347"/>
    <cellStyle name="Normal 5 8 2 2 9" xfId="29348"/>
    <cellStyle name="Normal 5 8 2 2 9 2" xfId="29349"/>
    <cellStyle name="Normal 5 8 2 3" xfId="29350"/>
    <cellStyle name="Normal 5 8 2 3 2" xfId="29351"/>
    <cellStyle name="Normal 5 8 2 4" xfId="29352"/>
    <cellStyle name="Normal 5 8 2 4 2" xfId="29353"/>
    <cellStyle name="Normal 5 8 2 5" xfId="29354"/>
    <cellStyle name="Normal 5 8 2 5 2" xfId="29355"/>
    <cellStyle name="Normal 5 8 2 6" xfId="29356"/>
    <cellStyle name="Normal 5 8 2 6 2" xfId="29357"/>
    <cellStyle name="Normal 5 8 2 7" xfId="29358"/>
    <cellStyle name="Normal 5 8 2 7 2" xfId="29359"/>
    <cellStyle name="Normal 5 8 2 8" xfId="29360"/>
    <cellStyle name="Normal 5 8 2 8 2" xfId="29361"/>
    <cellStyle name="Normal 5 8 2 9" xfId="29362"/>
    <cellStyle name="Normal 5 8 2 9 2" xfId="29363"/>
    <cellStyle name="Normal 5 8 3" xfId="29364"/>
    <cellStyle name="Normal 5 8 3 10" xfId="29365"/>
    <cellStyle name="Normal 5 8 3 10 2" xfId="29366"/>
    <cellStyle name="Normal 5 8 3 11" xfId="29367"/>
    <cellStyle name="Normal 5 8 3 2" xfId="29368"/>
    <cellStyle name="Normal 5 8 3 2 2" xfId="29369"/>
    <cellStyle name="Normal 5 8 3 3" xfId="29370"/>
    <cellStyle name="Normal 5 8 3 3 2" xfId="29371"/>
    <cellStyle name="Normal 5 8 3 4" xfId="29372"/>
    <cellStyle name="Normal 5 8 3 4 2" xfId="29373"/>
    <cellStyle name="Normal 5 8 3 5" xfId="29374"/>
    <cellStyle name="Normal 5 8 3 5 2" xfId="29375"/>
    <cellStyle name="Normal 5 8 3 6" xfId="29376"/>
    <cellStyle name="Normal 5 8 3 6 2" xfId="29377"/>
    <cellStyle name="Normal 5 8 3 7" xfId="29378"/>
    <cellStyle name="Normal 5 8 3 7 2" xfId="29379"/>
    <cellStyle name="Normal 5 8 3 8" xfId="29380"/>
    <cellStyle name="Normal 5 8 3 8 2" xfId="29381"/>
    <cellStyle name="Normal 5 8 3 9" xfId="29382"/>
    <cellStyle name="Normal 5 8 3 9 2" xfId="29383"/>
    <cellStyle name="Normal 5 8 4" xfId="29384"/>
    <cellStyle name="Normal 5 8 4 2" xfId="29385"/>
    <cellStyle name="Normal 5 8 5" xfId="29386"/>
    <cellStyle name="Normal 5 8 5 2" xfId="29387"/>
    <cellStyle name="Normal 5 8 6" xfId="29388"/>
    <cellStyle name="Normal 5 8 6 2" xfId="29389"/>
    <cellStyle name="Normal 5 8 7" xfId="29390"/>
    <cellStyle name="Normal 5 8 7 2" xfId="29391"/>
    <cellStyle name="Normal 5 8 8" xfId="29392"/>
    <cellStyle name="Normal 5 8 8 2" xfId="29393"/>
    <cellStyle name="Normal 5 8 9" xfId="29394"/>
    <cellStyle name="Normal 5 8 9 2" xfId="29395"/>
    <cellStyle name="Normal 5 9" xfId="29396"/>
    <cellStyle name="Normal 5 9 10" xfId="29397"/>
    <cellStyle name="Normal 5 9 10 2" xfId="29398"/>
    <cellStyle name="Normal 5 9 11" xfId="29399"/>
    <cellStyle name="Normal 5 9 11 2" xfId="29400"/>
    <cellStyle name="Normal 5 9 12" xfId="29401"/>
    <cellStyle name="Normal 5 9 2" xfId="29402"/>
    <cellStyle name="Normal 5 9 2 10" xfId="29403"/>
    <cellStyle name="Normal 5 9 2 10 2" xfId="29404"/>
    <cellStyle name="Normal 5 9 2 11" xfId="29405"/>
    <cellStyle name="Normal 5 9 2 2" xfId="29406"/>
    <cellStyle name="Normal 5 9 2 2 2" xfId="29407"/>
    <cellStyle name="Normal 5 9 2 3" xfId="29408"/>
    <cellStyle name="Normal 5 9 2 3 2" xfId="29409"/>
    <cellStyle name="Normal 5 9 2 4" xfId="29410"/>
    <cellStyle name="Normal 5 9 2 4 2" xfId="29411"/>
    <cellStyle name="Normal 5 9 2 5" xfId="29412"/>
    <cellStyle name="Normal 5 9 2 5 2" xfId="29413"/>
    <cellStyle name="Normal 5 9 2 6" xfId="29414"/>
    <cellStyle name="Normal 5 9 2 6 2" xfId="29415"/>
    <cellStyle name="Normal 5 9 2 7" xfId="29416"/>
    <cellStyle name="Normal 5 9 2 7 2" xfId="29417"/>
    <cellStyle name="Normal 5 9 2 8" xfId="29418"/>
    <cellStyle name="Normal 5 9 2 8 2" xfId="29419"/>
    <cellStyle name="Normal 5 9 2 9" xfId="29420"/>
    <cellStyle name="Normal 5 9 2 9 2" xfId="29421"/>
    <cellStyle name="Normal 5 9 3" xfId="29422"/>
    <cellStyle name="Normal 5 9 3 2" xfId="29423"/>
    <cellStyle name="Normal 5 9 4" xfId="29424"/>
    <cellStyle name="Normal 5 9 4 2" xfId="29425"/>
    <cellStyle name="Normal 5 9 5" xfId="29426"/>
    <cellStyle name="Normal 5 9 5 2" xfId="29427"/>
    <cellStyle name="Normal 5 9 6" xfId="29428"/>
    <cellStyle name="Normal 5 9 6 2" xfId="29429"/>
    <cellStyle name="Normal 5 9 7" xfId="29430"/>
    <cellStyle name="Normal 5 9 7 2" xfId="29431"/>
    <cellStyle name="Normal 5 9 8" xfId="29432"/>
    <cellStyle name="Normal 5 9 8 2" xfId="29433"/>
    <cellStyle name="Normal 5 9 9" xfId="29434"/>
    <cellStyle name="Normal 5 9 9 2" xfId="29435"/>
    <cellStyle name="Normal 50" xfId="29436"/>
    <cellStyle name="Normal 51" xfId="29437"/>
    <cellStyle name="Normal 52" xfId="29438"/>
    <cellStyle name="Normal 53" xfId="29439"/>
    <cellStyle name="Normal 54" xfId="42090"/>
    <cellStyle name="Normal 55" xfId="42091"/>
    <cellStyle name="Normal 56" xfId="42092"/>
    <cellStyle name="Normal 57" xfId="42093"/>
    <cellStyle name="Normal 6" xfId="208"/>
    <cellStyle name="Normal 6 10" xfId="29440"/>
    <cellStyle name="Normal 6 10 10" xfId="29441"/>
    <cellStyle name="Normal 6 10 10 2" xfId="29442"/>
    <cellStyle name="Normal 6 10 11" xfId="29443"/>
    <cellStyle name="Normal 6 10 2" xfId="29444"/>
    <cellStyle name="Normal 6 10 2 2" xfId="29445"/>
    <cellStyle name="Normal 6 10 3" xfId="29446"/>
    <cellStyle name="Normal 6 10 3 2" xfId="29447"/>
    <cellStyle name="Normal 6 10 4" xfId="29448"/>
    <cellStyle name="Normal 6 10 4 2" xfId="29449"/>
    <cellStyle name="Normal 6 10 5" xfId="29450"/>
    <cellStyle name="Normal 6 10 5 2" xfId="29451"/>
    <cellStyle name="Normal 6 10 6" xfId="29452"/>
    <cellStyle name="Normal 6 10 6 2" xfId="29453"/>
    <cellStyle name="Normal 6 10 7" xfId="29454"/>
    <cellStyle name="Normal 6 10 7 2" xfId="29455"/>
    <cellStyle name="Normal 6 10 8" xfId="29456"/>
    <cellStyle name="Normal 6 10 8 2" xfId="29457"/>
    <cellStyle name="Normal 6 10 9" xfId="29458"/>
    <cellStyle name="Normal 6 10 9 2" xfId="29459"/>
    <cellStyle name="Normal 6 11" xfId="29460"/>
    <cellStyle name="Normal 6 11 2" xfId="29461"/>
    <cellStyle name="Normal 6 12" xfId="29462"/>
    <cellStyle name="Normal 6 12 2" xfId="29463"/>
    <cellStyle name="Normal 6 13" xfId="29464"/>
    <cellStyle name="Normal 6 13 2" xfId="29465"/>
    <cellStyle name="Normal 6 14" xfId="29466"/>
    <cellStyle name="Normal 6 14 2" xfId="29467"/>
    <cellStyle name="Normal 6 15" xfId="29468"/>
    <cellStyle name="Normal 6 15 2" xfId="29469"/>
    <cellStyle name="Normal 6 16" xfId="29470"/>
    <cellStyle name="Normal 6 16 2" xfId="29471"/>
    <cellStyle name="Normal 6 17" xfId="29472"/>
    <cellStyle name="Normal 6 17 2" xfId="29473"/>
    <cellStyle name="Normal 6 18" xfId="29474"/>
    <cellStyle name="Normal 6 18 2" xfId="29475"/>
    <cellStyle name="Normal 6 19" xfId="29476"/>
    <cellStyle name="Normal 6 19 2" xfId="29477"/>
    <cellStyle name="Normal 6 2" xfId="209"/>
    <cellStyle name="Normal 6 2 10" xfId="29478"/>
    <cellStyle name="Normal 6 2 10 2" xfId="29479"/>
    <cellStyle name="Normal 6 2 11" xfId="29480"/>
    <cellStyle name="Normal 6 2 11 2" xfId="29481"/>
    <cellStyle name="Normal 6 2 12" xfId="29482"/>
    <cellStyle name="Normal 6 2 12 2" xfId="29483"/>
    <cellStyle name="Normal 6 2 13" xfId="29484"/>
    <cellStyle name="Normal 6 2 13 2" xfId="29485"/>
    <cellStyle name="Normal 6 2 14" xfId="29486"/>
    <cellStyle name="Normal 6 2 14 2" xfId="29487"/>
    <cellStyle name="Normal 6 2 15" xfId="29488"/>
    <cellStyle name="Normal 6 2 15 2" xfId="29489"/>
    <cellStyle name="Normal 6 2 16" xfId="29490"/>
    <cellStyle name="Normal 6 2 16 2" xfId="29491"/>
    <cellStyle name="Normal 6 2 17" xfId="29492"/>
    <cellStyle name="Normal 6 2 17 2" xfId="29493"/>
    <cellStyle name="Normal 6 2 18" xfId="29494"/>
    <cellStyle name="Normal 6 2 19" xfId="29495"/>
    <cellStyle name="Normal 6 2 2" xfId="29496"/>
    <cellStyle name="Normal 6 2 2 10" xfId="29497"/>
    <cellStyle name="Normal 6 2 2 10 2" xfId="29498"/>
    <cellStyle name="Normal 6 2 2 11" xfId="29499"/>
    <cellStyle name="Normal 6 2 2 11 2" xfId="29500"/>
    <cellStyle name="Normal 6 2 2 12" xfId="29501"/>
    <cellStyle name="Normal 6 2 2 12 2" xfId="29502"/>
    <cellStyle name="Normal 6 2 2 13" xfId="29503"/>
    <cellStyle name="Normal 6 2 2 14" xfId="42094"/>
    <cellStyle name="Normal 6 2 2 2" xfId="29504"/>
    <cellStyle name="Normal 6 2 2 2 10" xfId="29505"/>
    <cellStyle name="Normal 6 2 2 2 10 2" xfId="29506"/>
    <cellStyle name="Normal 6 2 2 2 11" xfId="29507"/>
    <cellStyle name="Normal 6 2 2 2 11 2" xfId="29508"/>
    <cellStyle name="Normal 6 2 2 2 12" xfId="29509"/>
    <cellStyle name="Normal 6 2 2 2 2" xfId="29510"/>
    <cellStyle name="Normal 6 2 2 2 2 10" xfId="29511"/>
    <cellStyle name="Normal 6 2 2 2 2 10 2" xfId="29512"/>
    <cellStyle name="Normal 6 2 2 2 2 11" xfId="29513"/>
    <cellStyle name="Normal 6 2 2 2 2 2" xfId="29514"/>
    <cellStyle name="Normal 6 2 2 2 2 2 2" xfId="29515"/>
    <cellStyle name="Normal 6 2 2 2 2 3" xfId="29516"/>
    <cellStyle name="Normal 6 2 2 2 2 3 2" xfId="29517"/>
    <cellStyle name="Normal 6 2 2 2 2 4" xfId="29518"/>
    <cellStyle name="Normal 6 2 2 2 2 4 2" xfId="29519"/>
    <cellStyle name="Normal 6 2 2 2 2 5" xfId="29520"/>
    <cellStyle name="Normal 6 2 2 2 2 5 2" xfId="29521"/>
    <cellStyle name="Normal 6 2 2 2 2 6" xfId="29522"/>
    <cellStyle name="Normal 6 2 2 2 2 6 2" xfId="29523"/>
    <cellStyle name="Normal 6 2 2 2 2 7" xfId="29524"/>
    <cellStyle name="Normal 6 2 2 2 2 7 2" xfId="29525"/>
    <cellStyle name="Normal 6 2 2 2 2 8" xfId="29526"/>
    <cellStyle name="Normal 6 2 2 2 2 8 2" xfId="29527"/>
    <cellStyle name="Normal 6 2 2 2 2 9" xfId="29528"/>
    <cellStyle name="Normal 6 2 2 2 2 9 2" xfId="29529"/>
    <cellStyle name="Normal 6 2 2 2 3" xfId="29530"/>
    <cellStyle name="Normal 6 2 2 2 3 2" xfId="29531"/>
    <cellStyle name="Normal 6 2 2 2 4" xfId="29532"/>
    <cellStyle name="Normal 6 2 2 2 4 2" xfId="29533"/>
    <cellStyle name="Normal 6 2 2 2 5" xfId="29534"/>
    <cellStyle name="Normal 6 2 2 2 5 2" xfId="29535"/>
    <cellStyle name="Normal 6 2 2 2 6" xfId="29536"/>
    <cellStyle name="Normal 6 2 2 2 6 2" xfId="29537"/>
    <cellStyle name="Normal 6 2 2 2 7" xfId="29538"/>
    <cellStyle name="Normal 6 2 2 2 7 2" xfId="29539"/>
    <cellStyle name="Normal 6 2 2 2 8" xfId="29540"/>
    <cellStyle name="Normal 6 2 2 2 8 2" xfId="29541"/>
    <cellStyle name="Normal 6 2 2 2 9" xfId="29542"/>
    <cellStyle name="Normal 6 2 2 2 9 2" xfId="29543"/>
    <cellStyle name="Normal 6 2 2 3" xfId="29544"/>
    <cellStyle name="Normal 6 2 2 3 10" xfId="29545"/>
    <cellStyle name="Normal 6 2 2 3 10 2" xfId="29546"/>
    <cellStyle name="Normal 6 2 2 3 11" xfId="29547"/>
    <cellStyle name="Normal 6 2 2 3 2" xfId="29548"/>
    <cellStyle name="Normal 6 2 2 3 2 2" xfId="29549"/>
    <cellStyle name="Normal 6 2 2 3 3" xfId="29550"/>
    <cellStyle name="Normal 6 2 2 3 3 2" xfId="29551"/>
    <cellStyle name="Normal 6 2 2 3 4" xfId="29552"/>
    <cellStyle name="Normal 6 2 2 3 4 2" xfId="29553"/>
    <cellStyle name="Normal 6 2 2 3 5" xfId="29554"/>
    <cellStyle name="Normal 6 2 2 3 5 2" xfId="29555"/>
    <cellStyle name="Normal 6 2 2 3 6" xfId="29556"/>
    <cellStyle name="Normal 6 2 2 3 6 2" xfId="29557"/>
    <cellStyle name="Normal 6 2 2 3 7" xfId="29558"/>
    <cellStyle name="Normal 6 2 2 3 7 2" xfId="29559"/>
    <cellStyle name="Normal 6 2 2 3 8" xfId="29560"/>
    <cellStyle name="Normal 6 2 2 3 8 2" xfId="29561"/>
    <cellStyle name="Normal 6 2 2 3 9" xfId="29562"/>
    <cellStyle name="Normal 6 2 2 3 9 2" xfId="29563"/>
    <cellStyle name="Normal 6 2 2 4" xfId="29564"/>
    <cellStyle name="Normal 6 2 2 4 2" xfId="29565"/>
    <cellStyle name="Normal 6 2 2 5" xfId="29566"/>
    <cellStyle name="Normal 6 2 2 5 2" xfId="29567"/>
    <cellStyle name="Normal 6 2 2 6" xfId="29568"/>
    <cellStyle name="Normal 6 2 2 6 2" xfId="29569"/>
    <cellStyle name="Normal 6 2 2 7" xfId="29570"/>
    <cellStyle name="Normal 6 2 2 7 2" xfId="29571"/>
    <cellStyle name="Normal 6 2 2 8" xfId="29572"/>
    <cellStyle name="Normal 6 2 2 8 2" xfId="29573"/>
    <cellStyle name="Normal 6 2 2 9" xfId="29574"/>
    <cellStyle name="Normal 6 2 2 9 2" xfId="29575"/>
    <cellStyle name="Normal 6 2 20" xfId="29576"/>
    <cellStyle name="Normal 6 2 21" xfId="42095"/>
    <cellStyle name="Normal 6 2 3" xfId="29577"/>
    <cellStyle name="Normal 6 2 3 10" xfId="29578"/>
    <cellStyle name="Normal 6 2 3 10 2" xfId="29579"/>
    <cellStyle name="Normal 6 2 3 11" xfId="29580"/>
    <cellStyle name="Normal 6 2 3 11 2" xfId="29581"/>
    <cellStyle name="Normal 6 2 3 12" xfId="29582"/>
    <cellStyle name="Normal 6 2 3 12 2" xfId="29583"/>
    <cellStyle name="Normal 6 2 3 13" xfId="29584"/>
    <cellStyle name="Normal 6 2 3 2" xfId="29585"/>
    <cellStyle name="Normal 6 2 3 2 10" xfId="29586"/>
    <cellStyle name="Normal 6 2 3 2 10 2" xfId="29587"/>
    <cellStyle name="Normal 6 2 3 2 11" xfId="29588"/>
    <cellStyle name="Normal 6 2 3 2 11 2" xfId="29589"/>
    <cellStyle name="Normal 6 2 3 2 12" xfId="29590"/>
    <cellStyle name="Normal 6 2 3 2 2" xfId="29591"/>
    <cellStyle name="Normal 6 2 3 2 2 10" xfId="29592"/>
    <cellStyle name="Normal 6 2 3 2 2 10 2" xfId="29593"/>
    <cellStyle name="Normal 6 2 3 2 2 11" xfId="29594"/>
    <cellStyle name="Normal 6 2 3 2 2 2" xfId="29595"/>
    <cellStyle name="Normal 6 2 3 2 2 2 2" xfId="29596"/>
    <cellStyle name="Normal 6 2 3 2 2 3" xfId="29597"/>
    <cellStyle name="Normal 6 2 3 2 2 3 2" xfId="29598"/>
    <cellStyle name="Normal 6 2 3 2 2 4" xfId="29599"/>
    <cellStyle name="Normal 6 2 3 2 2 4 2" xfId="29600"/>
    <cellStyle name="Normal 6 2 3 2 2 5" xfId="29601"/>
    <cellStyle name="Normal 6 2 3 2 2 5 2" xfId="29602"/>
    <cellStyle name="Normal 6 2 3 2 2 6" xfId="29603"/>
    <cellStyle name="Normal 6 2 3 2 2 6 2" xfId="29604"/>
    <cellStyle name="Normal 6 2 3 2 2 7" xfId="29605"/>
    <cellStyle name="Normal 6 2 3 2 2 7 2" xfId="29606"/>
    <cellStyle name="Normal 6 2 3 2 2 8" xfId="29607"/>
    <cellStyle name="Normal 6 2 3 2 2 8 2" xfId="29608"/>
    <cellStyle name="Normal 6 2 3 2 2 9" xfId="29609"/>
    <cellStyle name="Normal 6 2 3 2 2 9 2" xfId="29610"/>
    <cellStyle name="Normal 6 2 3 2 3" xfId="29611"/>
    <cellStyle name="Normal 6 2 3 2 3 2" xfId="29612"/>
    <cellStyle name="Normal 6 2 3 2 4" xfId="29613"/>
    <cellStyle name="Normal 6 2 3 2 4 2" xfId="29614"/>
    <cellStyle name="Normal 6 2 3 2 5" xfId="29615"/>
    <cellStyle name="Normal 6 2 3 2 5 2" xfId="29616"/>
    <cellStyle name="Normal 6 2 3 2 6" xfId="29617"/>
    <cellStyle name="Normal 6 2 3 2 6 2" xfId="29618"/>
    <cellStyle name="Normal 6 2 3 2 7" xfId="29619"/>
    <cellStyle name="Normal 6 2 3 2 7 2" xfId="29620"/>
    <cellStyle name="Normal 6 2 3 2 8" xfId="29621"/>
    <cellStyle name="Normal 6 2 3 2 8 2" xfId="29622"/>
    <cellStyle name="Normal 6 2 3 2 9" xfId="29623"/>
    <cellStyle name="Normal 6 2 3 2 9 2" xfId="29624"/>
    <cellStyle name="Normal 6 2 3 3" xfId="29625"/>
    <cellStyle name="Normal 6 2 3 3 10" xfId="29626"/>
    <cellStyle name="Normal 6 2 3 3 10 2" xfId="29627"/>
    <cellStyle name="Normal 6 2 3 3 11" xfId="29628"/>
    <cellStyle name="Normal 6 2 3 3 2" xfId="29629"/>
    <cellStyle name="Normal 6 2 3 3 2 2" xfId="29630"/>
    <cellStyle name="Normal 6 2 3 3 3" xfId="29631"/>
    <cellStyle name="Normal 6 2 3 3 3 2" xfId="29632"/>
    <cellStyle name="Normal 6 2 3 3 4" xfId="29633"/>
    <cellStyle name="Normal 6 2 3 3 4 2" xfId="29634"/>
    <cellStyle name="Normal 6 2 3 3 5" xfId="29635"/>
    <cellStyle name="Normal 6 2 3 3 5 2" xfId="29636"/>
    <cellStyle name="Normal 6 2 3 3 6" xfId="29637"/>
    <cellStyle name="Normal 6 2 3 3 6 2" xfId="29638"/>
    <cellStyle name="Normal 6 2 3 3 7" xfId="29639"/>
    <cellStyle name="Normal 6 2 3 3 7 2" xfId="29640"/>
    <cellStyle name="Normal 6 2 3 3 8" xfId="29641"/>
    <cellStyle name="Normal 6 2 3 3 8 2" xfId="29642"/>
    <cellStyle name="Normal 6 2 3 3 9" xfId="29643"/>
    <cellStyle name="Normal 6 2 3 3 9 2" xfId="29644"/>
    <cellStyle name="Normal 6 2 3 4" xfId="29645"/>
    <cellStyle name="Normal 6 2 3 4 2" xfId="29646"/>
    <cellStyle name="Normal 6 2 3 5" xfId="29647"/>
    <cellStyle name="Normal 6 2 3 5 2" xfId="29648"/>
    <cellStyle name="Normal 6 2 3 6" xfId="29649"/>
    <cellStyle name="Normal 6 2 3 6 2" xfId="29650"/>
    <cellStyle name="Normal 6 2 3 7" xfId="29651"/>
    <cellStyle name="Normal 6 2 3 7 2" xfId="29652"/>
    <cellStyle name="Normal 6 2 3 8" xfId="29653"/>
    <cellStyle name="Normal 6 2 3 8 2" xfId="29654"/>
    <cellStyle name="Normal 6 2 3 9" xfId="29655"/>
    <cellStyle name="Normal 6 2 3 9 2" xfId="29656"/>
    <cellStyle name="Normal 6 2 4" xfId="29657"/>
    <cellStyle name="Normal 6 2 4 10" xfId="29658"/>
    <cellStyle name="Normal 6 2 4 10 2" xfId="29659"/>
    <cellStyle name="Normal 6 2 4 11" xfId="29660"/>
    <cellStyle name="Normal 6 2 4 11 2" xfId="29661"/>
    <cellStyle name="Normal 6 2 4 12" xfId="29662"/>
    <cellStyle name="Normal 6 2 4 12 2" xfId="29663"/>
    <cellStyle name="Normal 6 2 4 13" xfId="29664"/>
    <cellStyle name="Normal 6 2 4 2" xfId="29665"/>
    <cellStyle name="Normal 6 2 4 2 10" xfId="29666"/>
    <cellStyle name="Normal 6 2 4 2 10 2" xfId="29667"/>
    <cellStyle name="Normal 6 2 4 2 11" xfId="29668"/>
    <cellStyle name="Normal 6 2 4 2 11 2" xfId="29669"/>
    <cellStyle name="Normal 6 2 4 2 12" xfId="29670"/>
    <cellStyle name="Normal 6 2 4 2 2" xfId="29671"/>
    <cellStyle name="Normal 6 2 4 2 2 10" xfId="29672"/>
    <cellStyle name="Normal 6 2 4 2 2 10 2" xfId="29673"/>
    <cellStyle name="Normal 6 2 4 2 2 11" xfId="29674"/>
    <cellStyle name="Normal 6 2 4 2 2 2" xfId="29675"/>
    <cellStyle name="Normal 6 2 4 2 2 2 2" xfId="29676"/>
    <cellStyle name="Normal 6 2 4 2 2 3" xfId="29677"/>
    <cellStyle name="Normal 6 2 4 2 2 3 2" xfId="29678"/>
    <cellStyle name="Normal 6 2 4 2 2 4" xfId="29679"/>
    <cellStyle name="Normal 6 2 4 2 2 4 2" xfId="29680"/>
    <cellStyle name="Normal 6 2 4 2 2 5" xfId="29681"/>
    <cellStyle name="Normal 6 2 4 2 2 5 2" xfId="29682"/>
    <cellStyle name="Normal 6 2 4 2 2 6" xfId="29683"/>
    <cellStyle name="Normal 6 2 4 2 2 6 2" xfId="29684"/>
    <cellStyle name="Normal 6 2 4 2 2 7" xfId="29685"/>
    <cellStyle name="Normal 6 2 4 2 2 7 2" xfId="29686"/>
    <cellStyle name="Normal 6 2 4 2 2 8" xfId="29687"/>
    <cellStyle name="Normal 6 2 4 2 2 8 2" xfId="29688"/>
    <cellStyle name="Normal 6 2 4 2 2 9" xfId="29689"/>
    <cellStyle name="Normal 6 2 4 2 2 9 2" xfId="29690"/>
    <cellStyle name="Normal 6 2 4 2 3" xfId="29691"/>
    <cellStyle name="Normal 6 2 4 2 3 2" xfId="29692"/>
    <cellStyle name="Normal 6 2 4 2 4" xfId="29693"/>
    <cellStyle name="Normal 6 2 4 2 4 2" xfId="29694"/>
    <cellStyle name="Normal 6 2 4 2 5" xfId="29695"/>
    <cellStyle name="Normal 6 2 4 2 5 2" xfId="29696"/>
    <cellStyle name="Normal 6 2 4 2 6" xfId="29697"/>
    <cellStyle name="Normal 6 2 4 2 6 2" xfId="29698"/>
    <cellStyle name="Normal 6 2 4 2 7" xfId="29699"/>
    <cellStyle name="Normal 6 2 4 2 7 2" xfId="29700"/>
    <cellStyle name="Normal 6 2 4 2 8" xfId="29701"/>
    <cellStyle name="Normal 6 2 4 2 8 2" xfId="29702"/>
    <cellStyle name="Normal 6 2 4 2 9" xfId="29703"/>
    <cellStyle name="Normal 6 2 4 2 9 2" xfId="29704"/>
    <cellStyle name="Normal 6 2 4 3" xfId="29705"/>
    <cellStyle name="Normal 6 2 4 3 10" xfId="29706"/>
    <cellStyle name="Normal 6 2 4 3 10 2" xfId="29707"/>
    <cellStyle name="Normal 6 2 4 3 11" xfId="29708"/>
    <cellStyle name="Normal 6 2 4 3 2" xfId="29709"/>
    <cellStyle name="Normal 6 2 4 3 2 2" xfId="29710"/>
    <cellStyle name="Normal 6 2 4 3 3" xfId="29711"/>
    <cellStyle name="Normal 6 2 4 3 3 2" xfId="29712"/>
    <cellStyle name="Normal 6 2 4 3 4" xfId="29713"/>
    <cellStyle name="Normal 6 2 4 3 4 2" xfId="29714"/>
    <cellStyle name="Normal 6 2 4 3 5" xfId="29715"/>
    <cellStyle name="Normal 6 2 4 3 5 2" xfId="29716"/>
    <cellStyle name="Normal 6 2 4 3 6" xfId="29717"/>
    <cellStyle name="Normal 6 2 4 3 6 2" xfId="29718"/>
    <cellStyle name="Normal 6 2 4 3 7" xfId="29719"/>
    <cellStyle name="Normal 6 2 4 3 7 2" xfId="29720"/>
    <cellStyle name="Normal 6 2 4 3 8" xfId="29721"/>
    <cellStyle name="Normal 6 2 4 3 8 2" xfId="29722"/>
    <cellStyle name="Normal 6 2 4 3 9" xfId="29723"/>
    <cellStyle name="Normal 6 2 4 3 9 2" xfId="29724"/>
    <cellStyle name="Normal 6 2 4 4" xfId="29725"/>
    <cellStyle name="Normal 6 2 4 4 2" xfId="29726"/>
    <cellStyle name="Normal 6 2 4 5" xfId="29727"/>
    <cellStyle name="Normal 6 2 4 5 2" xfId="29728"/>
    <cellStyle name="Normal 6 2 4 6" xfId="29729"/>
    <cellStyle name="Normal 6 2 4 6 2" xfId="29730"/>
    <cellStyle name="Normal 6 2 4 7" xfId="29731"/>
    <cellStyle name="Normal 6 2 4 7 2" xfId="29732"/>
    <cellStyle name="Normal 6 2 4 8" xfId="29733"/>
    <cellStyle name="Normal 6 2 4 8 2" xfId="29734"/>
    <cellStyle name="Normal 6 2 4 9" xfId="29735"/>
    <cellStyle name="Normal 6 2 4 9 2" xfId="29736"/>
    <cellStyle name="Normal 6 2 5" xfId="29737"/>
    <cellStyle name="Normal 6 2 6" xfId="29738"/>
    <cellStyle name="Normal 6 2 6 10" xfId="29739"/>
    <cellStyle name="Normal 6 2 6 10 2" xfId="29740"/>
    <cellStyle name="Normal 6 2 6 11" xfId="29741"/>
    <cellStyle name="Normal 6 2 6 11 2" xfId="29742"/>
    <cellStyle name="Normal 6 2 6 12" xfId="29743"/>
    <cellStyle name="Normal 6 2 6 12 2" xfId="29744"/>
    <cellStyle name="Normal 6 2 6 13" xfId="29745"/>
    <cellStyle name="Normal 6 2 6 2" xfId="29746"/>
    <cellStyle name="Normal 6 2 6 2 10" xfId="29747"/>
    <cellStyle name="Normal 6 2 6 2 10 2" xfId="29748"/>
    <cellStyle name="Normal 6 2 6 2 11" xfId="29749"/>
    <cellStyle name="Normal 6 2 6 2 11 2" xfId="29750"/>
    <cellStyle name="Normal 6 2 6 2 12" xfId="29751"/>
    <cellStyle name="Normal 6 2 6 2 2" xfId="29752"/>
    <cellStyle name="Normal 6 2 6 2 2 10" xfId="29753"/>
    <cellStyle name="Normal 6 2 6 2 2 10 2" xfId="29754"/>
    <cellStyle name="Normal 6 2 6 2 2 11" xfId="29755"/>
    <cellStyle name="Normal 6 2 6 2 2 2" xfId="29756"/>
    <cellStyle name="Normal 6 2 6 2 2 2 2" xfId="29757"/>
    <cellStyle name="Normal 6 2 6 2 2 3" xfId="29758"/>
    <cellStyle name="Normal 6 2 6 2 2 3 2" xfId="29759"/>
    <cellStyle name="Normal 6 2 6 2 2 4" xfId="29760"/>
    <cellStyle name="Normal 6 2 6 2 2 4 2" xfId="29761"/>
    <cellStyle name="Normal 6 2 6 2 2 5" xfId="29762"/>
    <cellStyle name="Normal 6 2 6 2 2 5 2" xfId="29763"/>
    <cellStyle name="Normal 6 2 6 2 2 6" xfId="29764"/>
    <cellStyle name="Normal 6 2 6 2 2 6 2" xfId="29765"/>
    <cellStyle name="Normal 6 2 6 2 2 7" xfId="29766"/>
    <cellStyle name="Normal 6 2 6 2 2 7 2" xfId="29767"/>
    <cellStyle name="Normal 6 2 6 2 2 8" xfId="29768"/>
    <cellStyle name="Normal 6 2 6 2 2 8 2" xfId="29769"/>
    <cellStyle name="Normal 6 2 6 2 2 9" xfId="29770"/>
    <cellStyle name="Normal 6 2 6 2 2 9 2" xfId="29771"/>
    <cellStyle name="Normal 6 2 6 2 3" xfId="29772"/>
    <cellStyle name="Normal 6 2 6 2 3 2" xfId="29773"/>
    <cellStyle name="Normal 6 2 6 2 4" xfId="29774"/>
    <cellStyle name="Normal 6 2 6 2 4 2" xfId="29775"/>
    <cellStyle name="Normal 6 2 6 2 5" xfId="29776"/>
    <cellStyle name="Normal 6 2 6 2 5 2" xfId="29777"/>
    <cellStyle name="Normal 6 2 6 2 6" xfId="29778"/>
    <cellStyle name="Normal 6 2 6 2 6 2" xfId="29779"/>
    <cellStyle name="Normal 6 2 6 2 7" xfId="29780"/>
    <cellStyle name="Normal 6 2 6 2 7 2" xfId="29781"/>
    <cellStyle name="Normal 6 2 6 2 8" xfId="29782"/>
    <cellStyle name="Normal 6 2 6 2 8 2" xfId="29783"/>
    <cellStyle name="Normal 6 2 6 2 9" xfId="29784"/>
    <cellStyle name="Normal 6 2 6 2 9 2" xfId="29785"/>
    <cellStyle name="Normal 6 2 6 3" xfId="29786"/>
    <cellStyle name="Normal 6 2 6 3 10" xfId="29787"/>
    <cellStyle name="Normal 6 2 6 3 10 2" xfId="29788"/>
    <cellStyle name="Normal 6 2 6 3 11" xfId="29789"/>
    <cellStyle name="Normal 6 2 6 3 2" xfId="29790"/>
    <cellStyle name="Normal 6 2 6 3 2 2" xfId="29791"/>
    <cellStyle name="Normal 6 2 6 3 3" xfId="29792"/>
    <cellStyle name="Normal 6 2 6 3 3 2" xfId="29793"/>
    <cellStyle name="Normal 6 2 6 3 4" xfId="29794"/>
    <cellStyle name="Normal 6 2 6 3 4 2" xfId="29795"/>
    <cellStyle name="Normal 6 2 6 3 5" xfId="29796"/>
    <cellStyle name="Normal 6 2 6 3 5 2" xfId="29797"/>
    <cellStyle name="Normal 6 2 6 3 6" xfId="29798"/>
    <cellStyle name="Normal 6 2 6 3 6 2" xfId="29799"/>
    <cellStyle name="Normal 6 2 6 3 7" xfId="29800"/>
    <cellStyle name="Normal 6 2 6 3 7 2" xfId="29801"/>
    <cellStyle name="Normal 6 2 6 3 8" xfId="29802"/>
    <cellStyle name="Normal 6 2 6 3 8 2" xfId="29803"/>
    <cellStyle name="Normal 6 2 6 3 9" xfId="29804"/>
    <cellStyle name="Normal 6 2 6 3 9 2" xfId="29805"/>
    <cellStyle name="Normal 6 2 6 4" xfId="29806"/>
    <cellStyle name="Normal 6 2 6 4 2" xfId="29807"/>
    <cellStyle name="Normal 6 2 6 5" xfId="29808"/>
    <cellStyle name="Normal 6 2 6 5 2" xfId="29809"/>
    <cellStyle name="Normal 6 2 6 6" xfId="29810"/>
    <cellStyle name="Normal 6 2 6 6 2" xfId="29811"/>
    <cellStyle name="Normal 6 2 6 7" xfId="29812"/>
    <cellStyle name="Normal 6 2 6 7 2" xfId="29813"/>
    <cellStyle name="Normal 6 2 6 8" xfId="29814"/>
    <cellStyle name="Normal 6 2 6 8 2" xfId="29815"/>
    <cellStyle name="Normal 6 2 6 9" xfId="29816"/>
    <cellStyle name="Normal 6 2 6 9 2" xfId="29817"/>
    <cellStyle name="Normal 6 2 7" xfId="29818"/>
    <cellStyle name="Normal 6 2 7 10" xfId="29819"/>
    <cellStyle name="Normal 6 2 7 10 2" xfId="29820"/>
    <cellStyle name="Normal 6 2 7 11" xfId="29821"/>
    <cellStyle name="Normal 6 2 7 11 2" xfId="29822"/>
    <cellStyle name="Normal 6 2 7 12" xfId="29823"/>
    <cellStyle name="Normal 6 2 7 2" xfId="29824"/>
    <cellStyle name="Normal 6 2 7 2 10" xfId="29825"/>
    <cellStyle name="Normal 6 2 7 2 10 2" xfId="29826"/>
    <cellStyle name="Normal 6 2 7 2 11" xfId="29827"/>
    <cellStyle name="Normal 6 2 7 2 2" xfId="29828"/>
    <cellStyle name="Normal 6 2 7 2 2 2" xfId="29829"/>
    <cellStyle name="Normal 6 2 7 2 3" xfId="29830"/>
    <cellStyle name="Normal 6 2 7 2 3 2" xfId="29831"/>
    <cellStyle name="Normal 6 2 7 2 4" xfId="29832"/>
    <cellStyle name="Normal 6 2 7 2 4 2" xfId="29833"/>
    <cellStyle name="Normal 6 2 7 2 5" xfId="29834"/>
    <cellStyle name="Normal 6 2 7 2 5 2" xfId="29835"/>
    <cellStyle name="Normal 6 2 7 2 6" xfId="29836"/>
    <cellStyle name="Normal 6 2 7 2 6 2" xfId="29837"/>
    <cellStyle name="Normal 6 2 7 2 7" xfId="29838"/>
    <cellStyle name="Normal 6 2 7 2 7 2" xfId="29839"/>
    <cellStyle name="Normal 6 2 7 2 8" xfId="29840"/>
    <cellStyle name="Normal 6 2 7 2 8 2" xfId="29841"/>
    <cellStyle name="Normal 6 2 7 2 9" xfId="29842"/>
    <cellStyle name="Normal 6 2 7 2 9 2" xfId="29843"/>
    <cellStyle name="Normal 6 2 7 3" xfId="29844"/>
    <cellStyle name="Normal 6 2 7 3 2" xfId="29845"/>
    <cellStyle name="Normal 6 2 7 4" xfId="29846"/>
    <cellStyle name="Normal 6 2 7 4 2" xfId="29847"/>
    <cellStyle name="Normal 6 2 7 5" xfId="29848"/>
    <cellStyle name="Normal 6 2 7 5 2" xfId="29849"/>
    <cellStyle name="Normal 6 2 7 6" xfId="29850"/>
    <cellStyle name="Normal 6 2 7 6 2" xfId="29851"/>
    <cellStyle name="Normal 6 2 7 7" xfId="29852"/>
    <cellStyle name="Normal 6 2 7 7 2" xfId="29853"/>
    <cellStyle name="Normal 6 2 7 8" xfId="29854"/>
    <cellStyle name="Normal 6 2 7 8 2" xfId="29855"/>
    <cellStyle name="Normal 6 2 7 9" xfId="29856"/>
    <cellStyle name="Normal 6 2 7 9 2" xfId="29857"/>
    <cellStyle name="Normal 6 2 8" xfId="29858"/>
    <cellStyle name="Normal 6 2 8 10" xfId="29859"/>
    <cellStyle name="Normal 6 2 8 10 2" xfId="29860"/>
    <cellStyle name="Normal 6 2 8 11" xfId="29861"/>
    <cellStyle name="Normal 6 2 8 2" xfId="29862"/>
    <cellStyle name="Normal 6 2 8 2 2" xfId="29863"/>
    <cellStyle name="Normal 6 2 8 3" xfId="29864"/>
    <cellStyle name="Normal 6 2 8 3 2" xfId="29865"/>
    <cellStyle name="Normal 6 2 8 4" xfId="29866"/>
    <cellStyle name="Normal 6 2 8 4 2" xfId="29867"/>
    <cellStyle name="Normal 6 2 8 5" xfId="29868"/>
    <cellStyle name="Normal 6 2 8 5 2" xfId="29869"/>
    <cellStyle name="Normal 6 2 8 6" xfId="29870"/>
    <cellStyle name="Normal 6 2 8 6 2" xfId="29871"/>
    <cellStyle name="Normal 6 2 8 7" xfId="29872"/>
    <cellStyle name="Normal 6 2 8 7 2" xfId="29873"/>
    <cellStyle name="Normal 6 2 8 8" xfId="29874"/>
    <cellStyle name="Normal 6 2 8 8 2" xfId="29875"/>
    <cellStyle name="Normal 6 2 8 9" xfId="29876"/>
    <cellStyle name="Normal 6 2 8 9 2" xfId="29877"/>
    <cellStyle name="Normal 6 2 9" xfId="29878"/>
    <cellStyle name="Normal 6 2 9 2" xfId="29879"/>
    <cellStyle name="Normal 6 20" xfId="29880"/>
    <cellStyle name="Normal 6 20 2" xfId="29881"/>
    <cellStyle name="Normal 6 21" xfId="29882"/>
    <cellStyle name="Normal 6 22" xfId="29883"/>
    <cellStyle name="Normal 6 23" xfId="29884"/>
    <cellStyle name="Normal 6 24" xfId="42096"/>
    <cellStyle name="Normal 6 3" xfId="29885"/>
    <cellStyle name="Normal 6 3 10" xfId="29886"/>
    <cellStyle name="Normal 6 3 10 2" xfId="29887"/>
    <cellStyle name="Normal 6 3 11" xfId="29888"/>
    <cellStyle name="Normal 6 3 11 2" xfId="29889"/>
    <cellStyle name="Normal 6 3 12" xfId="29890"/>
    <cellStyle name="Normal 6 3 12 2" xfId="29891"/>
    <cellStyle name="Normal 6 3 13" xfId="29892"/>
    <cellStyle name="Normal 6 3 13 2" xfId="29893"/>
    <cellStyle name="Normal 6 3 14" xfId="29894"/>
    <cellStyle name="Normal 6 3 15" xfId="42097"/>
    <cellStyle name="Normal 6 3 2" xfId="29895"/>
    <cellStyle name="Normal 6 3 3" xfId="29896"/>
    <cellStyle name="Normal 6 3 3 10" xfId="29897"/>
    <cellStyle name="Normal 6 3 3 10 2" xfId="29898"/>
    <cellStyle name="Normal 6 3 3 11" xfId="29899"/>
    <cellStyle name="Normal 6 3 3 11 2" xfId="29900"/>
    <cellStyle name="Normal 6 3 3 12" xfId="29901"/>
    <cellStyle name="Normal 6 3 3 2" xfId="29902"/>
    <cellStyle name="Normal 6 3 3 2 10" xfId="29903"/>
    <cellStyle name="Normal 6 3 3 2 10 2" xfId="29904"/>
    <cellStyle name="Normal 6 3 3 2 11" xfId="29905"/>
    <cellStyle name="Normal 6 3 3 2 2" xfId="29906"/>
    <cellStyle name="Normal 6 3 3 2 2 2" xfId="29907"/>
    <cellStyle name="Normal 6 3 3 2 3" xfId="29908"/>
    <cellStyle name="Normal 6 3 3 2 3 2" xfId="29909"/>
    <cellStyle name="Normal 6 3 3 2 4" xfId="29910"/>
    <cellStyle name="Normal 6 3 3 2 4 2" xfId="29911"/>
    <cellStyle name="Normal 6 3 3 2 5" xfId="29912"/>
    <cellStyle name="Normal 6 3 3 2 5 2" xfId="29913"/>
    <cellStyle name="Normal 6 3 3 2 6" xfId="29914"/>
    <cellStyle name="Normal 6 3 3 2 6 2" xfId="29915"/>
    <cellStyle name="Normal 6 3 3 2 7" xfId="29916"/>
    <cellStyle name="Normal 6 3 3 2 7 2" xfId="29917"/>
    <cellStyle name="Normal 6 3 3 2 8" xfId="29918"/>
    <cellStyle name="Normal 6 3 3 2 8 2" xfId="29919"/>
    <cellStyle name="Normal 6 3 3 2 9" xfId="29920"/>
    <cellStyle name="Normal 6 3 3 2 9 2" xfId="29921"/>
    <cellStyle name="Normal 6 3 3 3" xfId="29922"/>
    <cellStyle name="Normal 6 3 3 3 2" xfId="29923"/>
    <cellStyle name="Normal 6 3 3 4" xfId="29924"/>
    <cellStyle name="Normal 6 3 3 4 2" xfId="29925"/>
    <cellStyle name="Normal 6 3 3 5" xfId="29926"/>
    <cellStyle name="Normal 6 3 3 5 2" xfId="29927"/>
    <cellStyle name="Normal 6 3 3 6" xfId="29928"/>
    <cellStyle name="Normal 6 3 3 6 2" xfId="29929"/>
    <cellStyle name="Normal 6 3 3 7" xfId="29930"/>
    <cellStyle name="Normal 6 3 3 7 2" xfId="29931"/>
    <cellStyle name="Normal 6 3 3 8" xfId="29932"/>
    <cellStyle name="Normal 6 3 3 8 2" xfId="29933"/>
    <cellStyle name="Normal 6 3 3 9" xfId="29934"/>
    <cellStyle name="Normal 6 3 3 9 2" xfId="29935"/>
    <cellStyle name="Normal 6 3 4" xfId="29936"/>
    <cellStyle name="Normal 6 3 4 10" xfId="29937"/>
    <cellStyle name="Normal 6 3 4 10 2" xfId="29938"/>
    <cellStyle name="Normal 6 3 4 11" xfId="29939"/>
    <cellStyle name="Normal 6 3 4 2" xfId="29940"/>
    <cellStyle name="Normal 6 3 4 2 2" xfId="29941"/>
    <cellStyle name="Normal 6 3 4 3" xfId="29942"/>
    <cellStyle name="Normal 6 3 4 3 2" xfId="29943"/>
    <cellStyle name="Normal 6 3 4 4" xfId="29944"/>
    <cellStyle name="Normal 6 3 4 4 2" xfId="29945"/>
    <cellStyle name="Normal 6 3 4 5" xfId="29946"/>
    <cellStyle name="Normal 6 3 4 5 2" xfId="29947"/>
    <cellStyle name="Normal 6 3 4 6" xfId="29948"/>
    <cellStyle name="Normal 6 3 4 6 2" xfId="29949"/>
    <cellStyle name="Normal 6 3 4 7" xfId="29950"/>
    <cellStyle name="Normal 6 3 4 7 2" xfId="29951"/>
    <cellStyle name="Normal 6 3 4 8" xfId="29952"/>
    <cellStyle name="Normal 6 3 4 8 2" xfId="29953"/>
    <cellStyle name="Normal 6 3 4 9" xfId="29954"/>
    <cellStyle name="Normal 6 3 4 9 2" xfId="29955"/>
    <cellStyle name="Normal 6 3 5" xfId="29956"/>
    <cellStyle name="Normal 6 3 5 2" xfId="29957"/>
    <cellStyle name="Normal 6 3 6" xfId="29958"/>
    <cellStyle name="Normal 6 3 6 2" xfId="29959"/>
    <cellStyle name="Normal 6 3 7" xfId="29960"/>
    <cellStyle name="Normal 6 3 7 2" xfId="29961"/>
    <cellStyle name="Normal 6 3 8" xfId="29962"/>
    <cellStyle name="Normal 6 3 8 2" xfId="29963"/>
    <cellStyle name="Normal 6 3 9" xfId="29964"/>
    <cellStyle name="Normal 6 3 9 2" xfId="29965"/>
    <cellStyle name="Normal 6 4" xfId="29966"/>
    <cellStyle name="Normal 6 4 10" xfId="29967"/>
    <cellStyle name="Normal 6 4 10 2" xfId="29968"/>
    <cellStyle name="Normal 6 4 11" xfId="29969"/>
    <cellStyle name="Normal 6 4 11 2" xfId="29970"/>
    <cellStyle name="Normal 6 4 12" xfId="29971"/>
    <cellStyle name="Normal 6 4 12 2" xfId="29972"/>
    <cellStyle name="Normal 6 4 13" xfId="29973"/>
    <cellStyle name="Normal 6 4 13 2" xfId="29974"/>
    <cellStyle name="Normal 6 4 14" xfId="29975"/>
    <cellStyle name="Normal 6 4 15" xfId="42098"/>
    <cellStyle name="Normal 6 4 2" xfId="29976"/>
    <cellStyle name="Normal 6 4 3" xfId="29977"/>
    <cellStyle name="Normal 6 4 3 10" xfId="29978"/>
    <cellStyle name="Normal 6 4 3 10 2" xfId="29979"/>
    <cellStyle name="Normal 6 4 3 11" xfId="29980"/>
    <cellStyle name="Normal 6 4 3 11 2" xfId="29981"/>
    <cellStyle name="Normal 6 4 3 12" xfId="29982"/>
    <cellStyle name="Normal 6 4 3 2" xfId="29983"/>
    <cellStyle name="Normal 6 4 3 2 10" xfId="29984"/>
    <cellStyle name="Normal 6 4 3 2 10 2" xfId="29985"/>
    <cellStyle name="Normal 6 4 3 2 11" xfId="29986"/>
    <cellStyle name="Normal 6 4 3 2 2" xfId="29987"/>
    <cellStyle name="Normal 6 4 3 2 2 2" xfId="29988"/>
    <cellStyle name="Normal 6 4 3 2 3" xfId="29989"/>
    <cellStyle name="Normal 6 4 3 2 3 2" xfId="29990"/>
    <cellStyle name="Normal 6 4 3 2 4" xfId="29991"/>
    <cellStyle name="Normal 6 4 3 2 4 2" xfId="29992"/>
    <cellStyle name="Normal 6 4 3 2 5" xfId="29993"/>
    <cellStyle name="Normal 6 4 3 2 5 2" xfId="29994"/>
    <cellStyle name="Normal 6 4 3 2 6" xfId="29995"/>
    <cellStyle name="Normal 6 4 3 2 6 2" xfId="29996"/>
    <cellStyle name="Normal 6 4 3 2 7" xfId="29997"/>
    <cellStyle name="Normal 6 4 3 2 7 2" xfId="29998"/>
    <cellStyle name="Normal 6 4 3 2 8" xfId="29999"/>
    <cellStyle name="Normal 6 4 3 2 8 2" xfId="30000"/>
    <cellStyle name="Normal 6 4 3 2 9" xfId="30001"/>
    <cellStyle name="Normal 6 4 3 2 9 2" xfId="30002"/>
    <cellStyle name="Normal 6 4 3 3" xfId="30003"/>
    <cellStyle name="Normal 6 4 3 3 2" xfId="30004"/>
    <cellStyle name="Normal 6 4 3 4" xfId="30005"/>
    <cellStyle name="Normal 6 4 3 4 2" xfId="30006"/>
    <cellStyle name="Normal 6 4 3 5" xfId="30007"/>
    <cellStyle name="Normal 6 4 3 5 2" xfId="30008"/>
    <cellStyle name="Normal 6 4 3 6" xfId="30009"/>
    <cellStyle name="Normal 6 4 3 6 2" xfId="30010"/>
    <cellStyle name="Normal 6 4 3 7" xfId="30011"/>
    <cellStyle name="Normal 6 4 3 7 2" xfId="30012"/>
    <cellStyle name="Normal 6 4 3 8" xfId="30013"/>
    <cellStyle name="Normal 6 4 3 8 2" xfId="30014"/>
    <cellStyle name="Normal 6 4 3 9" xfId="30015"/>
    <cellStyle name="Normal 6 4 3 9 2" xfId="30016"/>
    <cellStyle name="Normal 6 4 4" xfId="30017"/>
    <cellStyle name="Normal 6 4 4 10" xfId="30018"/>
    <cellStyle name="Normal 6 4 4 10 2" xfId="30019"/>
    <cellStyle name="Normal 6 4 4 11" xfId="30020"/>
    <cellStyle name="Normal 6 4 4 2" xfId="30021"/>
    <cellStyle name="Normal 6 4 4 2 2" xfId="30022"/>
    <cellStyle name="Normal 6 4 4 3" xfId="30023"/>
    <cellStyle name="Normal 6 4 4 3 2" xfId="30024"/>
    <cellStyle name="Normal 6 4 4 4" xfId="30025"/>
    <cellStyle name="Normal 6 4 4 4 2" xfId="30026"/>
    <cellStyle name="Normal 6 4 4 5" xfId="30027"/>
    <cellStyle name="Normal 6 4 4 5 2" xfId="30028"/>
    <cellStyle name="Normal 6 4 4 6" xfId="30029"/>
    <cellStyle name="Normal 6 4 4 6 2" xfId="30030"/>
    <cellStyle name="Normal 6 4 4 7" xfId="30031"/>
    <cellStyle name="Normal 6 4 4 7 2" xfId="30032"/>
    <cellStyle name="Normal 6 4 4 8" xfId="30033"/>
    <cellStyle name="Normal 6 4 4 8 2" xfId="30034"/>
    <cellStyle name="Normal 6 4 4 9" xfId="30035"/>
    <cellStyle name="Normal 6 4 4 9 2" xfId="30036"/>
    <cellStyle name="Normal 6 4 5" xfId="30037"/>
    <cellStyle name="Normal 6 4 5 2" xfId="30038"/>
    <cellStyle name="Normal 6 4 6" xfId="30039"/>
    <cellStyle name="Normal 6 4 6 2" xfId="30040"/>
    <cellStyle name="Normal 6 4 7" xfId="30041"/>
    <cellStyle name="Normal 6 4 7 2" xfId="30042"/>
    <cellStyle name="Normal 6 4 8" xfId="30043"/>
    <cellStyle name="Normal 6 4 8 2" xfId="30044"/>
    <cellStyle name="Normal 6 4 9" xfId="30045"/>
    <cellStyle name="Normal 6 4 9 2" xfId="30046"/>
    <cellStyle name="Normal 6 5" xfId="30047"/>
    <cellStyle name="Normal 6 5 10" xfId="30048"/>
    <cellStyle name="Normal 6 5 10 2" xfId="30049"/>
    <cellStyle name="Normal 6 5 11" xfId="30050"/>
    <cellStyle name="Normal 6 5 11 2" xfId="30051"/>
    <cellStyle name="Normal 6 5 12" xfId="30052"/>
    <cellStyle name="Normal 6 5 12 2" xfId="30053"/>
    <cellStyle name="Normal 6 5 13" xfId="30054"/>
    <cellStyle name="Normal 6 5 13 2" xfId="30055"/>
    <cellStyle name="Normal 6 5 14" xfId="30056"/>
    <cellStyle name="Normal 6 5 15" xfId="42099"/>
    <cellStyle name="Normal 6 5 2" xfId="30057"/>
    <cellStyle name="Normal 6 5 3" xfId="30058"/>
    <cellStyle name="Normal 6 5 3 10" xfId="30059"/>
    <cellStyle name="Normal 6 5 3 10 2" xfId="30060"/>
    <cellStyle name="Normal 6 5 3 11" xfId="30061"/>
    <cellStyle name="Normal 6 5 3 11 2" xfId="30062"/>
    <cellStyle name="Normal 6 5 3 12" xfId="30063"/>
    <cellStyle name="Normal 6 5 3 2" xfId="30064"/>
    <cellStyle name="Normal 6 5 3 2 10" xfId="30065"/>
    <cellStyle name="Normal 6 5 3 2 10 2" xfId="30066"/>
    <cellStyle name="Normal 6 5 3 2 11" xfId="30067"/>
    <cellStyle name="Normal 6 5 3 2 2" xfId="30068"/>
    <cellStyle name="Normal 6 5 3 2 2 2" xfId="30069"/>
    <cellStyle name="Normal 6 5 3 2 3" xfId="30070"/>
    <cellStyle name="Normal 6 5 3 2 3 2" xfId="30071"/>
    <cellStyle name="Normal 6 5 3 2 4" xfId="30072"/>
    <cellStyle name="Normal 6 5 3 2 4 2" xfId="30073"/>
    <cellStyle name="Normal 6 5 3 2 5" xfId="30074"/>
    <cellStyle name="Normal 6 5 3 2 5 2" xfId="30075"/>
    <cellStyle name="Normal 6 5 3 2 6" xfId="30076"/>
    <cellStyle name="Normal 6 5 3 2 6 2" xfId="30077"/>
    <cellStyle name="Normal 6 5 3 2 7" xfId="30078"/>
    <cellStyle name="Normal 6 5 3 2 7 2" xfId="30079"/>
    <cellStyle name="Normal 6 5 3 2 8" xfId="30080"/>
    <cellStyle name="Normal 6 5 3 2 8 2" xfId="30081"/>
    <cellStyle name="Normal 6 5 3 2 9" xfId="30082"/>
    <cellStyle name="Normal 6 5 3 2 9 2" xfId="30083"/>
    <cellStyle name="Normal 6 5 3 3" xfId="30084"/>
    <cellStyle name="Normal 6 5 3 3 2" xfId="30085"/>
    <cellStyle name="Normal 6 5 3 4" xfId="30086"/>
    <cellStyle name="Normal 6 5 3 4 2" xfId="30087"/>
    <cellStyle name="Normal 6 5 3 5" xfId="30088"/>
    <cellStyle name="Normal 6 5 3 5 2" xfId="30089"/>
    <cellStyle name="Normal 6 5 3 6" xfId="30090"/>
    <cellStyle name="Normal 6 5 3 6 2" xfId="30091"/>
    <cellStyle name="Normal 6 5 3 7" xfId="30092"/>
    <cellStyle name="Normal 6 5 3 7 2" xfId="30093"/>
    <cellStyle name="Normal 6 5 3 8" xfId="30094"/>
    <cellStyle name="Normal 6 5 3 8 2" xfId="30095"/>
    <cellStyle name="Normal 6 5 3 9" xfId="30096"/>
    <cellStyle name="Normal 6 5 3 9 2" xfId="30097"/>
    <cellStyle name="Normal 6 5 4" xfId="30098"/>
    <cellStyle name="Normal 6 5 4 10" xfId="30099"/>
    <cellStyle name="Normal 6 5 4 10 2" xfId="30100"/>
    <cellStyle name="Normal 6 5 4 11" xfId="30101"/>
    <cellStyle name="Normal 6 5 4 2" xfId="30102"/>
    <cellStyle name="Normal 6 5 4 2 2" xfId="30103"/>
    <cellStyle name="Normal 6 5 4 3" xfId="30104"/>
    <cellStyle name="Normal 6 5 4 3 2" xfId="30105"/>
    <cellStyle name="Normal 6 5 4 4" xfId="30106"/>
    <cellStyle name="Normal 6 5 4 4 2" xfId="30107"/>
    <cellStyle name="Normal 6 5 4 5" xfId="30108"/>
    <cellStyle name="Normal 6 5 4 5 2" xfId="30109"/>
    <cellStyle name="Normal 6 5 4 6" xfId="30110"/>
    <cellStyle name="Normal 6 5 4 6 2" xfId="30111"/>
    <cellStyle name="Normal 6 5 4 7" xfId="30112"/>
    <cellStyle name="Normal 6 5 4 7 2" xfId="30113"/>
    <cellStyle name="Normal 6 5 4 8" xfId="30114"/>
    <cellStyle name="Normal 6 5 4 8 2" xfId="30115"/>
    <cellStyle name="Normal 6 5 4 9" xfId="30116"/>
    <cellStyle name="Normal 6 5 4 9 2" xfId="30117"/>
    <cellStyle name="Normal 6 5 5" xfId="30118"/>
    <cellStyle name="Normal 6 5 5 2" xfId="30119"/>
    <cellStyle name="Normal 6 5 6" xfId="30120"/>
    <cellStyle name="Normal 6 5 6 2" xfId="30121"/>
    <cellStyle name="Normal 6 5 7" xfId="30122"/>
    <cellStyle name="Normal 6 5 7 2" xfId="30123"/>
    <cellStyle name="Normal 6 5 8" xfId="30124"/>
    <cellStyle name="Normal 6 5 8 2" xfId="30125"/>
    <cellStyle name="Normal 6 5 9" xfId="30126"/>
    <cellStyle name="Normal 6 5 9 2" xfId="30127"/>
    <cellStyle name="Normal 6 6" xfId="30128"/>
    <cellStyle name="Normal 6 6 2" xfId="42100"/>
    <cellStyle name="Normal 6 7" xfId="30129"/>
    <cellStyle name="Normal 6 8" xfId="30130"/>
    <cellStyle name="Normal 6 8 10" xfId="30131"/>
    <cellStyle name="Normal 6 8 10 2" xfId="30132"/>
    <cellStyle name="Normal 6 8 11" xfId="30133"/>
    <cellStyle name="Normal 6 8 11 2" xfId="30134"/>
    <cellStyle name="Normal 6 8 12" xfId="30135"/>
    <cellStyle name="Normal 6 8 12 2" xfId="30136"/>
    <cellStyle name="Normal 6 8 13" xfId="30137"/>
    <cellStyle name="Normal 6 8 2" xfId="30138"/>
    <cellStyle name="Normal 6 8 2 10" xfId="30139"/>
    <cellStyle name="Normal 6 8 2 10 2" xfId="30140"/>
    <cellStyle name="Normal 6 8 2 11" xfId="30141"/>
    <cellStyle name="Normal 6 8 2 11 2" xfId="30142"/>
    <cellStyle name="Normal 6 8 2 12" xfId="30143"/>
    <cellStyle name="Normal 6 8 2 2" xfId="30144"/>
    <cellStyle name="Normal 6 8 2 2 10" xfId="30145"/>
    <cellStyle name="Normal 6 8 2 2 10 2" xfId="30146"/>
    <cellStyle name="Normal 6 8 2 2 11" xfId="30147"/>
    <cellStyle name="Normal 6 8 2 2 2" xfId="30148"/>
    <cellStyle name="Normal 6 8 2 2 2 2" xfId="30149"/>
    <cellStyle name="Normal 6 8 2 2 3" xfId="30150"/>
    <cellStyle name="Normal 6 8 2 2 3 2" xfId="30151"/>
    <cellStyle name="Normal 6 8 2 2 4" xfId="30152"/>
    <cellStyle name="Normal 6 8 2 2 4 2" xfId="30153"/>
    <cellStyle name="Normal 6 8 2 2 5" xfId="30154"/>
    <cellStyle name="Normal 6 8 2 2 5 2" xfId="30155"/>
    <cellStyle name="Normal 6 8 2 2 6" xfId="30156"/>
    <cellStyle name="Normal 6 8 2 2 6 2" xfId="30157"/>
    <cellStyle name="Normal 6 8 2 2 7" xfId="30158"/>
    <cellStyle name="Normal 6 8 2 2 7 2" xfId="30159"/>
    <cellStyle name="Normal 6 8 2 2 8" xfId="30160"/>
    <cellStyle name="Normal 6 8 2 2 8 2" xfId="30161"/>
    <cellStyle name="Normal 6 8 2 2 9" xfId="30162"/>
    <cellStyle name="Normal 6 8 2 2 9 2" xfId="30163"/>
    <cellStyle name="Normal 6 8 2 3" xfId="30164"/>
    <cellStyle name="Normal 6 8 2 3 2" xfId="30165"/>
    <cellStyle name="Normal 6 8 2 4" xfId="30166"/>
    <cellStyle name="Normal 6 8 2 4 2" xfId="30167"/>
    <cellStyle name="Normal 6 8 2 5" xfId="30168"/>
    <cellStyle name="Normal 6 8 2 5 2" xfId="30169"/>
    <cellStyle name="Normal 6 8 2 6" xfId="30170"/>
    <cellStyle name="Normal 6 8 2 6 2" xfId="30171"/>
    <cellStyle name="Normal 6 8 2 7" xfId="30172"/>
    <cellStyle name="Normal 6 8 2 7 2" xfId="30173"/>
    <cellStyle name="Normal 6 8 2 8" xfId="30174"/>
    <cellStyle name="Normal 6 8 2 8 2" xfId="30175"/>
    <cellStyle name="Normal 6 8 2 9" xfId="30176"/>
    <cellStyle name="Normal 6 8 2 9 2" xfId="30177"/>
    <cellStyle name="Normal 6 8 3" xfId="30178"/>
    <cellStyle name="Normal 6 8 3 10" xfId="30179"/>
    <cellStyle name="Normal 6 8 3 10 2" xfId="30180"/>
    <cellStyle name="Normal 6 8 3 11" xfId="30181"/>
    <cellStyle name="Normal 6 8 3 2" xfId="30182"/>
    <cellStyle name="Normal 6 8 3 2 2" xfId="30183"/>
    <cellStyle name="Normal 6 8 3 3" xfId="30184"/>
    <cellStyle name="Normal 6 8 3 3 2" xfId="30185"/>
    <cellStyle name="Normal 6 8 3 4" xfId="30186"/>
    <cellStyle name="Normal 6 8 3 4 2" xfId="30187"/>
    <cellStyle name="Normal 6 8 3 5" xfId="30188"/>
    <cellStyle name="Normal 6 8 3 5 2" xfId="30189"/>
    <cellStyle name="Normal 6 8 3 6" xfId="30190"/>
    <cellStyle name="Normal 6 8 3 6 2" xfId="30191"/>
    <cellStyle name="Normal 6 8 3 7" xfId="30192"/>
    <cellStyle name="Normal 6 8 3 7 2" xfId="30193"/>
    <cellStyle name="Normal 6 8 3 8" xfId="30194"/>
    <cellStyle name="Normal 6 8 3 8 2" xfId="30195"/>
    <cellStyle name="Normal 6 8 3 9" xfId="30196"/>
    <cellStyle name="Normal 6 8 3 9 2" xfId="30197"/>
    <cellStyle name="Normal 6 8 4" xfId="30198"/>
    <cellStyle name="Normal 6 8 4 2" xfId="30199"/>
    <cellStyle name="Normal 6 8 5" xfId="30200"/>
    <cellStyle name="Normal 6 8 5 2" xfId="30201"/>
    <cellStyle name="Normal 6 8 6" xfId="30202"/>
    <cellStyle name="Normal 6 8 6 2" xfId="30203"/>
    <cellStyle name="Normal 6 8 7" xfId="30204"/>
    <cellStyle name="Normal 6 8 7 2" xfId="30205"/>
    <cellStyle name="Normal 6 8 8" xfId="30206"/>
    <cellStyle name="Normal 6 8 8 2" xfId="30207"/>
    <cellStyle name="Normal 6 8 9" xfId="30208"/>
    <cellStyle name="Normal 6 8 9 2" xfId="30209"/>
    <cellStyle name="Normal 6 9" xfId="30210"/>
    <cellStyle name="Normal 6 9 10" xfId="30211"/>
    <cellStyle name="Normal 6 9 10 2" xfId="30212"/>
    <cellStyle name="Normal 6 9 11" xfId="30213"/>
    <cellStyle name="Normal 6 9 11 2" xfId="30214"/>
    <cellStyle name="Normal 6 9 12" xfId="30215"/>
    <cellStyle name="Normal 6 9 2" xfId="30216"/>
    <cellStyle name="Normal 6 9 2 10" xfId="30217"/>
    <cellStyle name="Normal 6 9 2 10 2" xfId="30218"/>
    <cellStyle name="Normal 6 9 2 11" xfId="30219"/>
    <cellStyle name="Normal 6 9 2 2" xfId="30220"/>
    <cellStyle name="Normal 6 9 2 2 2" xfId="30221"/>
    <cellStyle name="Normal 6 9 2 3" xfId="30222"/>
    <cellStyle name="Normal 6 9 2 3 2" xfId="30223"/>
    <cellStyle name="Normal 6 9 2 4" xfId="30224"/>
    <cellStyle name="Normal 6 9 2 4 2" xfId="30225"/>
    <cellStyle name="Normal 6 9 2 5" xfId="30226"/>
    <cellStyle name="Normal 6 9 2 5 2" xfId="30227"/>
    <cellStyle name="Normal 6 9 2 6" xfId="30228"/>
    <cellStyle name="Normal 6 9 2 6 2" xfId="30229"/>
    <cellStyle name="Normal 6 9 2 7" xfId="30230"/>
    <cellStyle name="Normal 6 9 2 7 2" xfId="30231"/>
    <cellStyle name="Normal 6 9 2 8" xfId="30232"/>
    <cellStyle name="Normal 6 9 2 8 2" xfId="30233"/>
    <cellStyle name="Normal 6 9 2 9" xfId="30234"/>
    <cellStyle name="Normal 6 9 2 9 2" xfId="30235"/>
    <cellStyle name="Normal 6 9 3" xfId="30236"/>
    <cellStyle name="Normal 6 9 3 2" xfId="30237"/>
    <cellStyle name="Normal 6 9 4" xfId="30238"/>
    <cellStyle name="Normal 6 9 4 2" xfId="30239"/>
    <cellStyle name="Normal 6 9 5" xfId="30240"/>
    <cellStyle name="Normal 6 9 5 2" xfId="30241"/>
    <cellStyle name="Normal 6 9 6" xfId="30242"/>
    <cellStyle name="Normal 6 9 6 2" xfId="30243"/>
    <cellStyle name="Normal 6 9 7" xfId="30244"/>
    <cellStyle name="Normal 6 9 7 2" xfId="30245"/>
    <cellStyle name="Normal 6 9 8" xfId="30246"/>
    <cellStyle name="Normal 6 9 8 2" xfId="30247"/>
    <cellStyle name="Normal 6 9 9" xfId="30248"/>
    <cellStyle name="Normal 6 9 9 2" xfId="30249"/>
    <cellStyle name="Normal 7" xfId="4"/>
    <cellStyle name="Normal 7 10" xfId="30250"/>
    <cellStyle name="Normal 7 10 2" xfId="30251"/>
    <cellStyle name="Normal 7 11" xfId="30252"/>
    <cellStyle name="Normal 7 11 2" xfId="30253"/>
    <cellStyle name="Normal 7 12" xfId="30254"/>
    <cellStyle name="Normal 7 12 2" xfId="30255"/>
    <cellStyle name="Normal 7 13" xfId="30256"/>
    <cellStyle name="Normal 7 13 2" xfId="30257"/>
    <cellStyle name="Normal 7 14" xfId="30258"/>
    <cellStyle name="Normal 7 14 2" xfId="30259"/>
    <cellStyle name="Normal 7 15" xfId="30260"/>
    <cellStyle name="Normal 7 15 2" xfId="30261"/>
    <cellStyle name="Normal 7 16" xfId="30262"/>
    <cellStyle name="Normal 7 16 2" xfId="30263"/>
    <cellStyle name="Normal 7 17" xfId="30264"/>
    <cellStyle name="Normal 7 17 2" xfId="30265"/>
    <cellStyle name="Normal 7 18" xfId="30266"/>
    <cellStyle name="Normal 7 18 2" xfId="30267"/>
    <cellStyle name="Normal 7 19" xfId="30268"/>
    <cellStyle name="Normal 7 2" xfId="211"/>
    <cellStyle name="Normal 7 2 10" xfId="30269"/>
    <cellStyle name="Normal 7 2 10 2" xfId="30270"/>
    <cellStyle name="Normal 7 2 11" xfId="30271"/>
    <cellStyle name="Normal 7 2 11 2" xfId="30272"/>
    <cellStyle name="Normal 7 2 12" xfId="30273"/>
    <cellStyle name="Normal 7 2 12 2" xfId="30274"/>
    <cellStyle name="Normal 7 2 13" xfId="30275"/>
    <cellStyle name="Normal 7 2 13 2" xfId="30276"/>
    <cellStyle name="Normal 7 2 14" xfId="30277"/>
    <cellStyle name="Normal 7 2 14 2" xfId="30278"/>
    <cellStyle name="Normal 7 2 15" xfId="30279"/>
    <cellStyle name="Normal 7 2 15 2" xfId="30280"/>
    <cellStyle name="Normal 7 2 16" xfId="30281"/>
    <cellStyle name="Normal 7 2 16 2" xfId="30282"/>
    <cellStyle name="Normal 7 2 17" xfId="30283"/>
    <cellStyle name="Normal 7 2 18" xfId="30284"/>
    <cellStyle name="Normal 7 2 19" xfId="30285"/>
    <cellStyle name="Normal 7 2 2" xfId="30286"/>
    <cellStyle name="Normal 7 2 2 10" xfId="30287"/>
    <cellStyle name="Normal 7 2 2 10 2" xfId="30288"/>
    <cellStyle name="Normal 7 2 2 11" xfId="30289"/>
    <cellStyle name="Normal 7 2 2 11 2" xfId="30290"/>
    <cellStyle name="Normal 7 2 2 12" xfId="30291"/>
    <cellStyle name="Normal 7 2 2 12 2" xfId="30292"/>
    <cellStyle name="Normal 7 2 2 13" xfId="30293"/>
    <cellStyle name="Normal 7 2 2 2" xfId="30294"/>
    <cellStyle name="Normal 7 2 2 2 10" xfId="30295"/>
    <cellStyle name="Normal 7 2 2 2 10 2" xfId="30296"/>
    <cellStyle name="Normal 7 2 2 2 11" xfId="30297"/>
    <cellStyle name="Normal 7 2 2 2 11 2" xfId="30298"/>
    <cellStyle name="Normal 7 2 2 2 12" xfId="30299"/>
    <cellStyle name="Normal 7 2 2 2 2" xfId="30300"/>
    <cellStyle name="Normal 7 2 2 2 2 10" xfId="30301"/>
    <cellStyle name="Normal 7 2 2 2 2 10 2" xfId="30302"/>
    <cellStyle name="Normal 7 2 2 2 2 11" xfId="30303"/>
    <cellStyle name="Normal 7 2 2 2 2 2" xfId="30304"/>
    <cellStyle name="Normal 7 2 2 2 2 2 2" xfId="30305"/>
    <cellStyle name="Normal 7 2 2 2 2 3" xfId="30306"/>
    <cellStyle name="Normal 7 2 2 2 2 3 2" xfId="30307"/>
    <cellStyle name="Normal 7 2 2 2 2 4" xfId="30308"/>
    <cellStyle name="Normal 7 2 2 2 2 4 2" xfId="30309"/>
    <cellStyle name="Normal 7 2 2 2 2 5" xfId="30310"/>
    <cellStyle name="Normal 7 2 2 2 2 5 2" xfId="30311"/>
    <cellStyle name="Normal 7 2 2 2 2 6" xfId="30312"/>
    <cellStyle name="Normal 7 2 2 2 2 6 2" xfId="30313"/>
    <cellStyle name="Normal 7 2 2 2 2 7" xfId="30314"/>
    <cellStyle name="Normal 7 2 2 2 2 7 2" xfId="30315"/>
    <cellStyle name="Normal 7 2 2 2 2 8" xfId="30316"/>
    <cellStyle name="Normal 7 2 2 2 2 8 2" xfId="30317"/>
    <cellStyle name="Normal 7 2 2 2 2 9" xfId="30318"/>
    <cellStyle name="Normal 7 2 2 2 2 9 2" xfId="30319"/>
    <cellStyle name="Normal 7 2 2 2 3" xfId="30320"/>
    <cellStyle name="Normal 7 2 2 2 3 2" xfId="30321"/>
    <cellStyle name="Normal 7 2 2 2 4" xfId="30322"/>
    <cellStyle name="Normal 7 2 2 2 4 2" xfId="30323"/>
    <cellStyle name="Normal 7 2 2 2 5" xfId="30324"/>
    <cellStyle name="Normal 7 2 2 2 5 2" xfId="30325"/>
    <cellStyle name="Normal 7 2 2 2 6" xfId="30326"/>
    <cellStyle name="Normal 7 2 2 2 6 2" xfId="30327"/>
    <cellStyle name="Normal 7 2 2 2 7" xfId="30328"/>
    <cellStyle name="Normal 7 2 2 2 7 2" xfId="30329"/>
    <cellStyle name="Normal 7 2 2 2 8" xfId="30330"/>
    <cellStyle name="Normal 7 2 2 2 8 2" xfId="30331"/>
    <cellStyle name="Normal 7 2 2 2 9" xfId="30332"/>
    <cellStyle name="Normal 7 2 2 2 9 2" xfId="30333"/>
    <cellStyle name="Normal 7 2 2 3" xfId="30334"/>
    <cellStyle name="Normal 7 2 2 3 10" xfId="30335"/>
    <cellStyle name="Normal 7 2 2 3 10 2" xfId="30336"/>
    <cellStyle name="Normal 7 2 2 3 11" xfId="30337"/>
    <cellStyle name="Normal 7 2 2 3 2" xfId="30338"/>
    <cellStyle name="Normal 7 2 2 3 2 2" xfId="30339"/>
    <cellStyle name="Normal 7 2 2 3 3" xfId="30340"/>
    <cellStyle name="Normal 7 2 2 3 3 2" xfId="30341"/>
    <cellStyle name="Normal 7 2 2 3 4" xfId="30342"/>
    <cellStyle name="Normal 7 2 2 3 4 2" xfId="30343"/>
    <cellStyle name="Normal 7 2 2 3 5" xfId="30344"/>
    <cellStyle name="Normal 7 2 2 3 5 2" xfId="30345"/>
    <cellStyle name="Normal 7 2 2 3 6" xfId="30346"/>
    <cellStyle name="Normal 7 2 2 3 6 2" xfId="30347"/>
    <cellStyle name="Normal 7 2 2 3 7" xfId="30348"/>
    <cellStyle name="Normal 7 2 2 3 7 2" xfId="30349"/>
    <cellStyle name="Normal 7 2 2 3 8" xfId="30350"/>
    <cellStyle name="Normal 7 2 2 3 8 2" xfId="30351"/>
    <cellStyle name="Normal 7 2 2 3 9" xfId="30352"/>
    <cellStyle name="Normal 7 2 2 3 9 2" xfId="30353"/>
    <cellStyle name="Normal 7 2 2 4" xfId="30354"/>
    <cellStyle name="Normal 7 2 2 4 2" xfId="30355"/>
    <cellStyle name="Normal 7 2 2 5" xfId="30356"/>
    <cellStyle name="Normal 7 2 2 5 2" xfId="30357"/>
    <cellStyle name="Normal 7 2 2 6" xfId="30358"/>
    <cellStyle name="Normal 7 2 2 6 2" xfId="30359"/>
    <cellStyle name="Normal 7 2 2 7" xfId="30360"/>
    <cellStyle name="Normal 7 2 2 7 2" xfId="30361"/>
    <cellStyle name="Normal 7 2 2 8" xfId="30362"/>
    <cellStyle name="Normal 7 2 2 8 2" xfId="30363"/>
    <cellStyle name="Normal 7 2 2 9" xfId="30364"/>
    <cellStyle name="Normal 7 2 2 9 2" xfId="30365"/>
    <cellStyle name="Normal 7 2 20" xfId="42101"/>
    <cellStyle name="Normal 7 2 3" xfId="30366"/>
    <cellStyle name="Normal 7 2 3 10" xfId="30367"/>
    <cellStyle name="Normal 7 2 3 10 2" xfId="30368"/>
    <cellStyle name="Normal 7 2 3 11" xfId="30369"/>
    <cellStyle name="Normal 7 2 3 11 2" xfId="30370"/>
    <cellStyle name="Normal 7 2 3 12" xfId="30371"/>
    <cellStyle name="Normal 7 2 3 12 2" xfId="30372"/>
    <cellStyle name="Normal 7 2 3 13" xfId="30373"/>
    <cellStyle name="Normal 7 2 3 2" xfId="30374"/>
    <cellStyle name="Normal 7 2 3 2 10" xfId="30375"/>
    <cellStyle name="Normal 7 2 3 2 10 2" xfId="30376"/>
    <cellStyle name="Normal 7 2 3 2 11" xfId="30377"/>
    <cellStyle name="Normal 7 2 3 2 11 2" xfId="30378"/>
    <cellStyle name="Normal 7 2 3 2 12" xfId="30379"/>
    <cellStyle name="Normal 7 2 3 2 2" xfId="30380"/>
    <cellStyle name="Normal 7 2 3 2 2 10" xfId="30381"/>
    <cellStyle name="Normal 7 2 3 2 2 10 2" xfId="30382"/>
    <cellStyle name="Normal 7 2 3 2 2 11" xfId="30383"/>
    <cellStyle name="Normal 7 2 3 2 2 2" xfId="30384"/>
    <cellStyle name="Normal 7 2 3 2 2 2 2" xfId="30385"/>
    <cellStyle name="Normal 7 2 3 2 2 3" xfId="30386"/>
    <cellStyle name="Normal 7 2 3 2 2 3 2" xfId="30387"/>
    <cellStyle name="Normal 7 2 3 2 2 4" xfId="30388"/>
    <cellStyle name="Normal 7 2 3 2 2 4 2" xfId="30389"/>
    <cellStyle name="Normal 7 2 3 2 2 5" xfId="30390"/>
    <cellStyle name="Normal 7 2 3 2 2 5 2" xfId="30391"/>
    <cellStyle name="Normal 7 2 3 2 2 6" xfId="30392"/>
    <cellStyle name="Normal 7 2 3 2 2 6 2" xfId="30393"/>
    <cellStyle name="Normal 7 2 3 2 2 7" xfId="30394"/>
    <cellStyle name="Normal 7 2 3 2 2 7 2" xfId="30395"/>
    <cellStyle name="Normal 7 2 3 2 2 8" xfId="30396"/>
    <cellStyle name="Normal 7 2 3 2 2 8 2" xfId="30397"/>
    <cellStyle name="Normal 7 2 3 2 2 9" xfId="30398"/>
    <cellStyle name="Normal 7 2 3 2 2 9 2" xfId="30399"/>
    <cellStyle name="Normal 7 2 3 2 3" xfId="30400"/>
    <cellStyle name="Normal 7 2 3 2 3 2" xfId="30401"/>
    <cellStyle name="Normal 7 2 3 2 4" xfId="30402"/>
    <cellStyle name="Normal 7 2 3 2 4 2" xfId="30403"/>
    <cellStyle name="Normal 7 2 3 2 5" xfId="30404"/>
    <cellStyle name="Normal 7 2 3 2 5 2" xfId="30405"/>
    <cellStyle name="Normal 7 2 3 2 6" xfId="30406"/>
    <cellStyle name="Normal 7 2 3 2 6 2" xfId="30407"/>
    <cellStyle name="Normal 7 2 3 2 7" xfId="30408"/>
    <cellStyle name="Normal 7 2 3 2 7 2" xfId="30409"/>
    <cellStyle name="Normal 7 2 3 2 8" xfId="30410"/>
    <cellStyle name="Normal 7 2 3 2 8 2" xfId="30411"/>
    <cellStyle name="Normal 7 2 3 2 9" xfId="30412"/>
    <cellStyle name="Normal 7 2 3 2 9 2" xfId="30413"/>
    <cellStyle name="Normal 7 2 3 3" xfId="30414"/>
    <cellStyle name="Normal 7 2 3 3 10" xfId="30415"/>
    <cellStyle name="Normal 7 2 3 3 10 2" xfId="30416"/>
    <cellStyle name="Normal 7 2 3 3 11" xfId="30417"/>
    <cellStyle name="Normal 7 2 3 3 2" xfId="30418"/>
    <cellStyle name="Normal 7 2 3 3 2 2" xfId="30419"/>
    <cellStyle name="Normal 7 2 3 3 3" xfId="30420"/>
    <cellStyle name="Normal 7 2 3 3 3 2" xfId="30421"/>
    <cellStyle name="Normal 7 2 3 3 4" xfId="30422"/>
    <cellStyle name="Normal 7 2 3 3 4 2" xfId="30423"/>
    <cellStyle name="Normal 7 2 3 3 5" xfId="30424"/>
    <cellStyle name="Normal 7 2 3 3 5 2" xfId="30425"/>
    <cellStyle name="Normal 7 2 3 3 6" xfId="30426"/>
    <cellStyle name="Normal 7 2 3 3 6 2" xfId="30427"/>
    <cellStyle name="Normal 7 2 3 3 7" xfId="30428"/>
    <cellStyle name="Normal 7 2 3 3 7 2" xfId="30429"/>
    <cellStyle name="Normal 7 2 3 3 8" xfId="30430"/>
    <cellStyle name="Normal 7 2 3 3 8 2" xfId="30431"/>
    <cellStyle name="Normal 7 2 3 3 9" xfId="30432"/>
    <cellStyle name="Normal 7 2 3 3 9 2" xfId="30433"/>
    <cellStyle name="Normal 7 2 3 4" xfId="30434"/>
    <cellStyle name="Normal 7 2 3 4 2" xfId="30435"/>
    <cellStyle name="Normal 7 2 3 5" xfId="30436"/>
    <cellStyle name="Normal 7 2 3 5 2" xfId="30437"/>
    <cellStyle name="Normal 7 2 3 6" xfId="30438"/>
    <cellStyle name="Normal 7 2 3 6 2" xfId="30439"/>
    <cellStyle name="Normal 7 2 3 7" xfId="30440"/>
    <cellStyle name="Normal 7 2 3 7 2" xfId="30441"/>
    <cellStyle name="Normal 7 2 3 8" xfId="30442"/>
    <cellStyle name="Normal 7 2 3 8 2" xfId="30443"/>
    <cellStyle name="Normal 7 2 3 9" xfId="30444"/>
    <cellStyle name="Normal 7 2 3 9 2" xfId="30445"/>
    <cellStyle name="Normal 7 2 4" xfId="30446"/>
    <cellStyle name="Normal 7 2 4 10" xfId="30447"/>
    <cellStyle name="Normal 7 2 4 10 2" xfId="30448"/>
    <cellStyle name="Normal 7 2 4 11" xfId="30449"/>
    <cellStyle name="Normal 7 2 4 11 2" xfId="30450"/>
    <cellStyle name="Normal 7 2 4 12" xfId="30451"/>
    <cellStyle name="Normal 7 2 4 12 2" xfId="30452"/>
    <cellStyle name="Normal 7 2 4 13" xfId="30453"/>
    <cellStyle name="Normal 7 2 4 2" xfId="30454"/>
    <cellStyle name="Normal 7 2 4 2 10" xfId="30455"/>
    <cellStyle name="Normal 7 2 4 2 10 2" xfId="30456"/>
    <cellStyle name="Normal 7 2 4 2 11" xfId="30457"/>
    <cellStyle name="Normal 7 2 4 2 11 2" xfId="30458"/>
    <cellStyle name="Normal 7 2 4 2 12" xfId="30459"/>
    <cellStyle name="Normal 7 2 4 2 2" xfId="30460"/>
    <cellStyle name="Normal 7 2 4 2 2 10" xfId="30461"/>
    <cellStyle name="Normal 7 2 4 2 2 10 2" xfId="30462"/>
    <cellStyle name="Normal 7 2 4 2 2 11" xfId="30463"/>
    <cellStyle name="Normal 7 2 4 2 2 2" xfId="30464"/>
    <cellStyle name="Normal 7 2 4 2 2 2 2" xfId="30465"/>
    <cellStyle name="Normal 7 2 4 2 2 3" xfId="30466"/>
    <cellStyle name="Normal 7 2 4 2 2 3 2" xfId="30467"/>
    <cellStyle name="Normal 7 2 4 2 2 4" xfId="30468"/>
    <cellStyle name="Normal 7 2 4 2 2 4 2" xfId="30469"/>
    <cellStyle name="Normal 7 2 4 2 2 5" xfId="30470"/>
    <cellStyle name="Normal 7 2 4 2 2 5 2" xfId="30471"/>
    <cellStyle name="Normal 7 2 4 2 2 6" xfId="30472"/>
    <cellStyle name="Normal 7 2 4 2 2 6 2" xfId="30473"/>
    <cellStyle name="Normal 7 2 4 2 2 7" xfId="30474"/>
    <cellStyle name="Normal 7 2 4 2 2 7 2" xfId="30475"/>
    <cellStyle name="Normal 7 2 4 2 2 8" xfId="30476"/>
    <cellStyle name="Normal 7 2 4 2 2 8 2" xfId="30477"/>
    <cellStyle name="Normal 7 2 4 2 2 9" xfId="30478"/>
    <cellStyle name="Normal 7 2 4 2 2 9 2" xfId="30479"/>
    <cellStyle name="Normal 7 2 4 2 3" xfId="30480"/>
    <cellStyle name="Normal 7 2 4 2 3 2" xfId="30481"/>
    <cellStyle name="Normal 7 2 4 2 4" xfId="30482"/>
    <cellStyle name="Normal 7 2 4 2 4 2" xfId="30483"/>
    <cellStyle name="Normal 7 2 4 2 5" xfId="30484"/>
    <cellStyle name="Normal 7 2 4 2 5 2" xfId="30485"/>
    <cellStyle name="Normal 7 2 4 2 6" xfId="30486"/>
    <cellStyle name="Normal 7 2 4 2 6 2" xfId="30487"/>
    <cellStyle name="Normal 7 2 4 2 7" xfId="30488"/>
    <cellStyle name="Normal 7 2 4 2 7 2" xfId="30489"/>
    <cellStyle name="Normal 7 2 4 2 8" xfId="30490"/>
    <cellStyle name="Normal 7 2 4 2 8 2" xfId="30491"/>
    <cellStyle name="Normal 7 2 4 2 9" xfId="30492"/>
    <cellStyle name="Normal 7 2 4 2 9 2" xfId="30493"/>
    <cellStyle name="Normal 7 2 4 3" xfId="30494"/>
    <cellStyle name="Normal 7 2 4 3 10" xfId="30495"/>
    <cellStyle name="Normal 7 2 4 3 10 2" xfId="30496"/>
    <cellStyle name="Normal 7 2 4 3 11" xfId="30497"/>
    <cellStyle name="Normal 7 2 4 3 2" xfId="30498"/>
    <cellStyle name="Normal 7 2 4 3 2 2" xfId="30499"/>
    <cellStyle name="Normal 7 2 4 3 3" xfId="30500"/>
    <cellStyle name="Normal 7 2 4 3 3 2" xfId="30501"/>
    <cellStyle name="Normal 7 2 4 3 4" xfId="30502"/>
    <cellStyle name="Normal 7 2 4 3 4 2" xfId="30503"/>
    <cellStyle name="Normal 7 2 4 3 5" xfId="30504"/>
    <cellStyle name="Normal 7 2 4 3 5 2" xfId="30505"/>
    <cellStyle name="Normal 7 2 4 3 6" xfId="30506"/>
    <cellStyle name="Normal 7 2 4 3 6 2" xfId="30507"/>
    <cellStyle name="Normal 7 2 4 3 7" xfId="30508"/>
    <cellStyle name="Normal 7 2 4 3 7 2" xfId="30509"/>
    <cellStyle name="Normal 7 2 4 3 8" xfId="30510"/>
    <cellStyle name="Normal 7 2 4 3 8 2" xfId="30511"/>
    <cellStyle name="Normal 7 2 4 3 9" xfId="30512"/>
    <cellStyle name="Normal 7 2 4 3 9 2" xfId="30513"/>
    <cellStyle name="Normal 7 2 4 4" xfId="30514"/>
    <cellStyle name="Normal 7 2 4 4 2" xfId="30515"/>
    <cellStyle name="Normal 7 2 4 5" xfId="30516"/>
    <cellStyle name="Normal 7 2 4 5 2" xfId="30517"/>
    <cellStyle name="Normal 7 2 4 6" xfId="30518"/>
    <cellStyle name="Normal 7 2 4 6 2" xfId="30519"/>
    <cellStyle name="Normal 7 2 4 7" xfId="30520"/>
    <cellStyle name="Normal 7 2 4 7 2" xfId="30521"/>
    <cellStyle name="Normal 7 2 4 8" xfId="30522"/>
    <cellStyle name="Normal 7 2 4 8 2" xfId="30523"/>
    <cellStyle name="Normal 7 2 4 9" xfId="30524"/>
    <cellStyle name="Normal 7 2 4 9 2" xfId="30525"/>
    <cellStyle name="Normal 7 2 5" xfId="30526"/>
    <cellStyle name="Normal 7 2 5 10" xfId="30527"/>
    <cellStyle name="Normal 7 2 5 10 2" xfId="30528"/>
    <cellStyle name="Normal 7 2 5 11" xfId="30529"/>
    <cellStyle name="Normal 7 2 5 11 2" xfId="30530"/>
    <cellStyle name="Normal 7 2 5 12" xfId="30531"/>
    <cellStyle name="Normal 7 2 5 12 2" xfId="30532"/>
    <cellStyle name="Normal 7 2 5 13" xfId="30533"/>
    <cellStyle name="Normal 7 2 5 2" xfId="30534"/>
    <cellStyle name="Normal 7 2 5 2 10" xfId="30535"/>
    <cellStyle name="Normal 7 2 5 2 10 2" xfId="30536"/>
    <cellStyle name="Normal 7 2 5 2 11" xfId="30537"/>
    <cellStyle name="Normal 7 2 5 2 11 2" xfId="30538"/>
    <cellStyle name="Normal 7 2 5 2 12" xfId="30539"/>
    <cellStyle name="Normal 7 2 5 2 2" xfId="30540"/>
    <cellStyle name="Normal 7 2 5 2 2 10" xfId="30541"/>
    <cellStyle name="Normal 7 2 5 2 2 10 2" xfId="30542"/>
    <cellStyle name="Normal 7 2 5 2 2 11" xfId="30543"/>
    <cellStyle name="Normal 7 2 5 2 2 2" xfId="30544"/>
    <cellStyle name="Normal 7 2 5 2 2 2 2" xfId="30545"/>
    <cellStyle name="Normal 7 2 5 2 2 3" xfId="30546"/>
    <cellStyle name="Normal 7 2 5 2 2 3 2" xfId="30547"/>
    <cellStyle name="Normal 7 2 5 2 2 4" xfId="30548"/>
    <cellStyle name="Normal 7 2 5 2 2 4 2" xfId="30549"/>
    <cellStyle name="Normal 7 2 5 2 2 5" xfId="30550"/>
    <cellStyle name="Normal 7 2 5 2 2 5 2" xfId="30551"/>
    <cellStyle name="Normal 7 2 5 2 2 6" xfId="30552"/>
    <cellStyle name="Normal 7 2 5 2 2 6 2" xfId="30553"/>
    <cellStyle name="Normal 7 2 5 2 2 7" xfId="30554"/>
    <cellStyle name="Normal 7 2 5 2 2 7 2" xfId="30555"/>
    <cellStyle name="Normal 7 2 5 2 2 8" xfId="30556"/>
    <cellStyle name="Normal 7 2 5 2 2 8 2" xfId="30557"/>
    <cellStyle name="Normal 7 2 5 2 2 9" xfId="30558"/>
    <cellStyle name="Normal 7 2 5 2 2 9 2" xfId="30559"/>
    <cellStyle name="Normal 7 2 5 2 3" xfId="30560"/>
    <cellStyle name="Normal 7 2 5 2 3 2" xfId="30561"/>
    <cellStyle name="Normal 7 2 5 2 4" xfId="30562"/>
    <cellStyle name="Normal 7 2 5 2 4 2" xfId="30563"/>
    <cellStyle name="Normal 7 2 5 2 5" xfId="30564"/>
    <cellStyle name="Normal 7 2 5 2 5 2" xfId="30565"/>
    <cellStyle name="Normal 7 2 5 2 6" xfId="30566"/>
    <cellStyle name="Normal 7 2 5 2 6 2" xfId="30567"/>
    <cellStyle name="Normal 7 2 5 2 7" xfId="30568"/>
    <cellStyle name="Normal 7 2 5 2 7 2" xfId="30569"/>
    <cellStyle name="Normal 7 2 5 2 8" xfId="30570"/>
    <cellStyle name="Normal 7 2 5 2 8 2" xfId="30571"/>
    <cellStyle name="Normal 7 2 5 2 9" xfId="30572"/>
    <cellStyle name="Normal 7 2 5 2 9 2" xfId="30573"/>
    <cellStyle name="Normal 7 2 5 3" xfId="30574"/>
    <cellStyle name="Normal 7 2 5 3 10" xfId="30575"/>
    <cellStyle name="Normal 7 2 5 3 10 2" xfId="30576"/>
    <cellStyle name="Normal 7 2 5 3 11" xfId="30577"/>
    <cellStyle name="Normal 7 2 5 3 2" xfId="30578"/>
    <cellStyle name="Normal 7 2 5 3 2 2" xfId="30579"/>
    <cellStyle name="Normal 7 2 5 3 3" xfId="30580"/>
    <cellStyle name="Normal 7 2 5 3 3 2" xfId="30581"/>
    <cellStyle name="Normal 7 2 5 3 4" xfId="30582"/>
    <cellStyle name="Normal 7 2 5 3 4 2" xfId="30583"/>
    <cellStyle name="Normal 7 2 5 3 5" xfId="30584"/>
    <cellStyle name="Normal 7 2 5 3 5 2" xfId="30585"/>
    <cellStyle name="Normal 7 2 5 3 6" xfId="30586"/>
    <cellStyle name="Normal 7 2 5 3 6 2" xfId="30587"/>
    <cellStyle name="Normal 7 2 5 3 7" xfId="30588"/>
    <cellStyle name="Normal 7 2 5 3 7 2" xfId="30589"/>
    <cellStyle name="Normal 7 2 5 3 8" xfId="30590"/>
    <cellStyle name="Normal 7 2 5 3 8 2" xfId="30591"/>
    <cellStyle name="Normal 7 2 5 3 9" xfId="30592"/>
    <cellStyle name="Normal 7 2 5 3 9 2" xfId="30593"/>
    <cellStyle name="Normal 7 2 5 4" xfId="30594"/>
    <cellStyle name="Normal 7 2 5 4 2" xfId="30595"/>
    <cellStyle name="Normal 7 2 5 5" xfId="30596"/>
    <cellStyle name="Normal 7 2 5 5 2" xfId="30597"/>
    <cellStyle name="Normal 7 2 5 6" xfId="30598"/>
    <cellStyle name="Normal 7 2 5 6 2" xfId="30599"/>
    <cellStyle name="Normal 7 2 5 7" xfId="30600"/>
    <cellStyle name="Normal 7 2 5 7 2" xfId="30601"/>
    <cellStyle name="Normal 7 2 5 8" xfId="30602"/>
    <cellStyle name="Normal 7 2 5 8 2" xfId="30603"/>
    <cellStyle name="Normal 7 2 5 9" xfId="30604"/>
    <cellStyle name="Normal 7 2 5 9 2" xfId="30605"/>
    <cellStyle name="Normal 7 2 6" xfId="30606"/>
    <cellStyle name="Normal 7 2 6 10" xfId="30607"/>
    <cellStyle name="Normal 7 2 6 10 2" xfId="30608"/>
    <cellStyle name="Normal 7 2 6 11" xfId="30609"/>
    <cellStyle name="Normal 7 2 6 11 2" xfId="30610"/>
    <cellStyle name="Normal 7 2 6 12" xfId="30611"/>
    <cellStyle name="Normal 7 2 6 2" xfId="30612"/>
    <cellStyle name="Normal 7 2 6 2 10" xfId="30613"/>
    <cellStyle name="Normal 7 2 6 2 10 2" xfId="30614"/>
    <cellStyle name="Normal 7 2 6 2 11" xfId="30615"/>
    <cellStyle name="Normal 7 2 6 2 2" xfId="30616"/>
    <cellStyle name="Normal 7 2 6 2 2 2" xfId="30617"/>
    <cellStyle name="Normal 7 2 6 2 3" xfId="30618"/>
    <cellStyle name="Normal 7 2 6 2 3 2" xfId="30619"/>
    <cellStyle name="Normal 7 2 6 2 4" xfId="30620"/>
    <cellStyle name="Normal 7 2 6 2 4 2" xfId="30621"/>
    <cellStyle name="Normal 7 2 6 2 5" xfId="30622"/>
    <cellStyle name="Normal 7 2 6 2 5 2" xfId="30623"/>
    <cellStyle name="Normal 7 2 6 2 6" xfId="30624"/>
    <cellStyle name="Normal 7 2 6 2 6 2" xfId="30625"/>
    <cellStyle name="Normal 7 2 6 2 7" xfId="30626"/>
    <cellStyle name="Normal 7 2 6 2 7 2" xfId="30627"/>
    <cellStyle name="Normal 7 2 6 2 8" xfId="30628"/>
    <cellStyle name="Normal 7 2 6 2 8 2" xfId="30629"/>
    <cellStyle name="Normal 7 2 6 2 9" xfId="30630"/>
    <cellStyle name="Normal 7 2 6 2 9 2" xfId="30631"/>
    <cellStyle name="Normal 7 2 6 3" xfId="30632"/>
    <cellStyle name="Normal 7 2 6 3 2" xfId="30633"/>
    <cellStyle name="Normal 7 2 6 4" xfId="30634"/>
    <cellStyle name="Normal 7 2 6 4 2" xfId="30635"/>
    <cellStyle name="Normal 7 2 6 5" xfId="30636"/>
    <cellStyle name="Normal 7 2 6 5 2" xfId="30637"/>
    <cellStyle name="Normal 7 2 6 6" xfId="30638"/>
    <cellStyle name="Normal 7 2 6 6 2" xfId="30639"/>
    <cellStyle name="Normal 7 2 6 7" xfId="30640"/>
    <cellStyle name="Normal 7 2 6 7 2" xfId="30641"/>
    <cellStyle name="Normal 7 2 6 8" xfId="30642"/>
    <cellStyle name="Normal 7 2 6 8 2" xfId="30643"/>
    <cellStyle name="Normal 7 2 6 9" xfId="30644"/>
    <cellStyle name="Normal 7 2 6 9 2" xfId="30645"/>
    <cellStyle name="Normal 7 2 7" xfId="30646"/>
    <cellStyle name="Normal 7 2 7 10" xfId="30647"/>
    <cellStyle name="Normal 7 2 7 10 2" xfId="30648"/>
    <cellStyle name="Normal 7 2 7 11" xfId="30649"/>
    <cellStyle name="Normal 7 2 7 2" xfId="30650"/>
    <cellStyle name="Normal 7 2 7 2 2" xfId="30651"/>
    <cellStyle name="Normal 7 2 7 3" xfId="30652"/>
    <cellStyle name="Normal 7 2 7 3 2" xfId="30653"/>
    <cellStyle name="Normal 7 2 7 4" xfId="30654"/>
    <cellStyle name="Normal 7 2 7 4 2" xfId="30655"/>
    <cellStyle name="Normal 7 2 7 5" xfId="30656"/>
    <cellStyle name="Normal 7 2 7 5 2" xfId="30657"/>
    <cellStyle name="Normal 7 2 7 6" xfId="30658"/>
    <cellStyle name="Normal 7 2 7 6 2" xfId="30659"/>
    <cellStyle name="Normal 7 2 7 7" xfId="30660"/>
    <cellStyle name="Normal 7 2 7 7 2" xfId="30661"/>
    <cellStyle name="Normal 7 2 7 8" xfId="30662"/>
    <cellStyle name="Normal 7 2 7 8 2" xfId="30663"/>
    <cellStyle name="Normal 7 2 7 9" xfId="30664"/>
    <cellStyle name="Normal 7 2 7 9 2" xfId="30665"/>
    <cellStyle name="Normal 7 2 8" xfId="30666"/>
    <cellStyle name="Normal 7 2 8 2" xfId="30667"/>
    <cellStyle name="Normal 7 2 9" xfId="30668"/>
    <cellStyle name="Normal 7 2 9 2" xfId="30669"/>
    <cellStyle name="Normal 7 20" xfId="30670"/>
    <cellStyle name="Normal 7 21" xfId="30671"/>
    <cellStyle name="Normal 7 22" xfId="42102"/>
    <cellStyle name="Normal 7 3" xfId="210"/>
    <cellStyle name="Normal 7 3 10" xfId="30672"/>
    <cellStyle name="Normal 7 3 10 2" xfId="30673"/>
    <cellStyle name="Normal 7 3 11" xfId="30674"/>
    <cellStyle name="Normal 7 3 11 2" xfId="30675"/>
    <cellStyle name="Normal 7 3 12" xfId="30676"/>
    <cellStyle name="Normal 7 3 12 2" xfId="30677"/>
    <cellStyle name="Normal 7 3 13" xfId="30678"/>
    <cellStyle name="Normal 7 3 2" xfId="30679"/>
    <cellStyle name="Normal 7 3 2 10" xfId="30680"/>
    <cellStyle name="Normal 7 3 2 10 2" xfId="30681"/>
    <cellStyle name="Normal 7 3 2 11" xfId="30682"/>
    <cellStyle name="Normal 7 3 2 11 2" xfId="30683"/>
    <cellStyle name="Normal 7 3 2 12" xfId="30684"/>
    <cellStyle name="Normal 7 3 2 2" xfId="30685"/>
    <cellStyle name="Normal 7 3 2 2 10" xfId="30686"/>
    <cellStyle name="Normal 7 3 2 2 10 2" xfId="30687"/>
    <cellStyle name="Normal 7 3 2 2 11" xfId="30688"/>
    <cellStyle name="Normal 7 3 2 2 2" xfId="30689"/>
    <cellStyle name="Normal 7 3 2 2 2 2" xfId="30690"/>
    <cellStyle name="Normal 7 3 2 2 3" xfId="30691"/>
    <cellStyle name="Normal 7 3 2 2 3 2" xfId="30692"/>
    <cellStyle name="Normal 7 3 2 2 4" xfId="30693"/>
    <cellStyle name="Normal 7 3 2 2 4 2" xfId="30694"/>
    <cellStyle name="Normal 7 3 2 2 5" xfId="30695"/>
    <cellStyle name="Normal 7 3 2 2 5 2" xfId="30696"/>
    <cellStyle name="Normal 7 3 2 2 6" xfId="30697"/>
    <cellStyle name="Normal 7 3 2 2 6 2" xfId="30698"/>
    <cellStyle name="Normal 7 3 2 2 7" xfId="30699"/>
    <cellStyle name="Normal 7 3 2 2 7 2" xfId="30700"/>
    <cellStyle name="Normal 7 3 2 2 8" xfId="30701"/>
    <cellStyle name="Normal 7 3 2 2 8 2" xfId="30702"/>
    <cellStyle name="Normal 7 3 2 2 9" xfId="30703"/>
    <cellStyle name="Normal 7 3 2 2 9 2" xfId="30704"/>
    <cellStyle name="Normal 7 3 2 3" xfId="30705"/>
    <cellStyle name="Normal 7 3 2 3 2" xfId="30706"/>
    <cellStyle name="Normal 7 3 2 4" xfId="30707"/>
    <cellStyle name="Normal 7 3 2 4 2" xfId="30708"/>
    <cellStyle name="Normal 7 3 2 5" xfId="30709"/>
    <cellStyle name="Normal 7 3 2 5 2" xfId="30710"/>
    <cellStyle name="Normal 7 3 2 6" xfId="30711"/>
    <cellStyle name="Normal 7 3 2 6 2" xfId="30712"/>
    <cellStyle name="Normal 7 3 2 7" xfId="30713"/>
    <cellStyle name="Normal 7 3 2 7 2" xfId="30714"/>
    <cellStyle name="Normal 7 3 2 8" xfId="30715"/>
    <cellStyle name="Normal 7 3 2 8 2" xfId="30716"/>
    <cellStyle name="Normal 7 3 2 9" xfId="30717"/>
    <cellStyle name="Normal 7 3 2 9 2" xfId="30718"/>
    <cellStyle name="Normal 7 3 3" xfId="30719"/>
    <cellStyle name="Normal 7 3 3 10" xfId="30720"/>
    <cellStyle name="Normal 7 3 3 10 2" xfId="30721"/>
    <cellStyle name="Normal 7 3 3 11" xfId="30722"/>
    <cellStyle name="Normal 7 3 3 2" xfId="30723"/>
    <cellStyle name="Normal 7 3 3 2 2" xfId="30724"/>
    <cellStyle name="Normal 7 3 3 3" xfId="30725"/>
    <cellStyle name="Normal 7 3 3 3 2" xfId="30726"/>
    <cellStyle name="Normal 7 3 3 4" xfId="30727"/>
    <cellStyle name="Normal 7 3 3 4 2" xfId="30728"/>
    <cellStyle name="Normal 7 3 3 5" xfId="30729"/>
    <cellStyle name="Normal 7 3 3 5 2" xfId="30730"/>
    <cellStyle name="Normal 7 3 3 6" xfId="30731"/>
    <cellStyle name="Normal 7 3 3 6 2" xfId="30732"/>
    <cellStyle name="Normal 7 3 3 7" xfId="30733"/>
    <cellStyle name="Normal 7 3 3 7 2" xfId="30734"/>
    <cellStyle name="Normal 7 3 3 8" xfId="30735"/>
    <cellStyle name="Normal 7 3 3 8 2" xfId="30736"/>
    <cellStyle name="Normal 7 3 3 9" xfId="30737"/>
    <cellStyle name="Normal 7 3 3 9 2" xfId="30738"/>
    <cellStyle name="Normal 7 3 4" xfId="30739"/>
    <cellStyle name="Normal 7 3 4 2" xfId="30740"/>
    <cellStyle name="Normal 7 3 5" xfId="30741"/>
    <cellStyle name="Normal 7 3 5 2" xfId="30742"/>
    <cellStyle name="Normal 7 3 6" xfId="30743"/>
    <cellStyle name="Normal 7 3 6 2" xfId="30744"/>
    <cellStyle name="Normal 7 3 7" xfId="30745"/>
    <cellStyle name="Normal 7 3 7 2" xfId="30746"/>
    <cellStyle name="Normal 7 3 8" xfId="30747"/>
    <cellStyle name="Normal 7 3 8 2" xfId="30748"/>
    <cellStyle name="Normal 7 3 9" xfId="30749"/>
    <cellStyle name="Normal 7 3 9 2" xfId="30750"/>
    <cellStyle name="Normal 7 4" xfId="30751"/>
    <cellStyle name="Normal 7 4 10" xfId="30752"/>
    <cellStyle name="Normal 7 4 10 2" xfId="30753"/>
    <cellStyle name="Normal 7 4 11" xfId="30754"/>
    <cellStyle name="Normal 7 4 11 2" xfId="30755"/>
    <cellStyle name="Normal 7 4 12" xfId="30756"/>
    <cellStyle name="Normal 7 4 12 2" xfId="30757"/>
    <cellStyle name="Normal 7 4 13" xfId="30758"/>
    <cellStyle name="Normal 7 4 2" xfId="30759"/>
    <cellStyle name="Normal 7 4 2 10" xfId="30760"/>
    <cellStyle name="Normal 7 4 2 10 2" xfId="30761"/>
    <cellStyle name="Normal 7 4 2 11" xfId="30762"/>
    <cellStyle name="Normal 7 4 2 11 2" xfId="30763"/>
    <cellStyle name="Normal 7 4 2 12" xfId="30764"/>
    <cellStyle name="Normal 7 4 2 2" xfId="30765"/>
    <cellStyle name="Normal 7 4 2 2 10" xfId="30766"/>
    <cellStyle name="Normal 7 4 2 2 10 2" xfId="30767"/>
    <cellStyle name="Normal 7 4 2 2 11" xfId="30768"/>
    <cellStyle name="Normal 7 4 2 2 2" xfId="30769"/>
    <cellStyle name="Normal 7 4 2 2 2 2" xfId="30770"/>
    <cellStyle name="Normal 7 4 2 2 3" xfId="30771"/>
    <cellStyle name="Normal 7 4 2 2 3 2" xfId="30772"/>
    <cellStyle name="Normal 7 4 2 2 4" xfId="30773"/>
    <cellStyle name="Normal 7 4 2 2 4 2" xfId="30774"/>
    <cellStyle name="Normal 7 4 2 2 5" xfId="30775"/>
    <cellStyle name="Normal 7 4 2 2 5 2" xfId="30776"/>
    <cellStyle name="Normal 7 4 2 2 6" xfId="30777"/>
    <cellStyle name="Normal 7 4 2 2 6 2" xfId="30778"/>
    <cellStyle name="Normal 7 4 2 2 7" xfId="30779"/>
    <cellStyle name="Normal 7 4 2 2 7 2" xfId="30780"/>
    <cellStyle name="Normal 7 4 2 2 8" xfId="30781"/>
    <cellStyle name="Normal 7 4 2 2 8 2" xfId="30782"/>
    <cellStyle name="Normal 7 4 2 2 9" xfId="30783"/>
    <cellStyle name="Normal 7 4 2 2 9 2" xfId="30784"/>
    <cellStyle name="Normal 7 4 2 3" xfId="30785"/>
    <cellStyle name="Normal 7 4 2 3 2" xfId="30786"/>
    <cellStyle name="Normal 7 4 2 4" xfId="30787"/>
    <cellStyle name="Normal 7 4 2 4 2" xfId="30788"/>
    <cellStyle name="Normal 7 4 2 5" xfId="30789"/>
    <cellStyle name="Normal 7 4 2 5 2" xfId="30790"/>
    <cellStyle name="Normal 7 4 2 6" xfId="30791"/>
    <cellStyle name="Normal 7 4 2 6 2" xfId="30792"/>
    <cellStyle name="Normal 7 4 2 7" xfId="30793"/>
    <cellStyle name="Normal 7 4 2 7 2" xfId="30794"/>
    <cellStyle name="Normal 7 4 2 8" xfId="30795"/>
    <cellStyle name="Normal 7 4 2 8 2" xfId="30796"/>
    <cellStyle name="Normal 7 4 2 9" xfId="30797"/>
    <cellStyle name="Normal 7 4 2 9 2" xfId="30798"/>
    <cellStyle name="Normal 7 4 3" xfId="30799"/>
    <cellStyle name="Normal 7 4 3 10" xfId="30800"/>
    <cellStyle name="Normal 7 4 3 10 2" xfId="30801"/>
    <cellStyle name="Normal 7 4 3 11" xfId="30802"/>
    <cellStyle name="Normal 7 4 3 2" xfId="30803"/>
    <cellStyle name="Normal 7 4 3 2 2" xfId="30804"/>
    <cellStyle name="Normal 7 4 3 3" xfId="30805"/>
    <cellStyle name="Normal 7 4 3 3 2" xfId="30806"/>
    <cellStyle name="Normal 7 4 3 4" xfId="30807"/>
    <cellStyle name="Normal 7 4 3 4 2" xfId="30808"/>
    <cellStyle name="Normal 7 4 3 5" xfId="30809"/>
    <cellStyle name="Normal 7 4 3 5 2" xfId="30810"/>
    <cellStyle name="Normal 7 4 3 6" xfId="30811"/>
    <cellStyle name="Normal 7 4 3 6 2" xfId="30812"/>
    <cellStyle name="Normal 7 4 3 7" xfId="30813"/>
    <cellStyle name="Normal 7 4 3 7 2" xfId="30814"/>
    <cellStyle name="Normal 7 4 3 8" xfId="30815"/>
    <cellStyle name="Normal 7 4 3 8 2" xfId="30816"/>
    <cellStyle name="Normal 7 4 3 9" xfId="30817"/>
    <cellStyle name="Normal 7 4 3 9 2" xfId="30818"/>
    <cellStyle name="Normal 7 4 4" xfId="30819"/>
    <cellStyle name="Normal 7 4 4 2" xfId="30820"/>
    <cellStyle name="Normal 7 4 5" xfId="30821"/>
    <cellStyle name="Normal 7 4 5 2" xfId="30822"/>
    <cellStyle name="Normal 7 4 6" xfId="30823"/>
    <cellStyle name="Normal 7 4 6 2" xfId="30824"/>
    <cellStyle name="Normal 7 4 7" xfId="30825"/>
    <cellStyle name="Normal 7 4 7 2" xfId="30826"/>
    <cellStyle name="Normal 7 4 8" xfId="30827"/>
    <cellStyle name="Normal 7 4 8 2" xfId="30828"/>
    <cellStyle name="Normal 7 4 9" xfId="30829"/>
    <cellStyle name="Normal 7 4 9 2" xfId="30830"/>
    <cellStyle name="Normal 7 5" xfId="30831"/>
    <cellStyle name="Normal 7 5 10" xfId="30832"/>
    <cellStyle name="Normal 7 5 10 2" xfId="30833"/>
    <cellStyle name="Normal 7 5 11" xfId="30834"/>
    <cellStyle name="Normal 7 5 11 2" xfId="30835"/>
    <cellStyle name="Normal 7 5 12" xfId="30836"/>
    <cellStyle name="Normal 7 5 12 2" xfId="30837"/>
    <cellStyle name="Normal 7 5 13" xfId="30838"/>
    <cellStyle name="Normal 7 5 2" xfId="30839"/>
    <cellStyle name="Normal 7 5 2 10" xfId="30840"/>
    <cellStyle name="Normal 7 5 2 10 2" xfId="30841"/>
    <cellStyle name="Normal 7 5 2 11" xfId="30842"/>
    <cellStyle name="Normal 7 5 2 11 2" xfId="30843"/>
    <cellStyle name="Normal 7 5 2 12" xfId="30844"/>
    <cellStyle name="Normal 7 5 2 2" xfId="30845"/>
    <cellStyle name="Normal 7 5 2 2 10" xfId="30846"/>
    <cellStyle name="Normal 7 5 2 2 10 2" xfId="30847"/>
    <cellStyle name="Normal 7 5 2 2 11" xfId="30848"/>
    <cellStyle name="Normal 7 5 2 2 2" xfId="30849"/>
    <cellStyle name="Normal 7 5 2 2 2 2" xfId="30850"/>
    <cellStyle name="Normal 7 5 2 2 3" xfId="30851"/>
    <cellStyle name="Normal 7 5 2 2 3 2" xfId="30852"/>
    <cellStyle name="Normal 7 5 2 2 4" xfId="30853"/>
    <cellStyle name="Normal 7 5 2 2 4 2" xfId="30854"/>
    <cellStyle name="Normal 7 5 2 2 5" xfId="30855"/>
    <cellStyle name="Normal 7 5 2 2 5 2" xfId="30856"/>
    <cellStyle name="Normal 7 5 2 2 6" xfId="30857"/>
    <cellStyle name="Normal 7 5 2 2 6 2" xfId="30858"/>
    <cellStyle name="Normal 7 5 2 2 7" xfId="30859"/>
    <cellStyle name="Normal 7 5 2 2 7 2" xfId="30860"/>
    <cellStyle name="Normal 7 5 2 2 8" xfId="30861"/>
    <cellStyle name="Normal 7 5 2 2 8 2" xfId="30862"/>
    <cellStyle name="Normal 7 5 2 2 9" xfId="30863"/>
    <cellStyle name="Normal 7 5 2 2 9 2" xfId="30864"/>
    <cellStyle name="Normal 7 5 2 3" xfId="30865"/>
    <cellStyle name="Normal 7 5 2 3 2" xfId="30866"/>
    <cellStyle name="Normal 7 5 2 4" xfId="30867"/>
    <cellStyle name="Normal 7 5 2 4 2" xfId="30868"/>
    <cellStyle name="Normal 7 5 2 5" xfId="30869"/>
    <cellStyle name="Normal 7 5 2 5 2" xfId="30870"/>
    <cellStyle name="Normal 7 5 2 6" xfId="30871"/>
    <cellStyle name="Normal 7 5 2 6 2" xfId="30872"/>
    <cellStyle name="Normal 7 5 2 7" xfId="30873"/>
    <cellStyle name="Normal 7 5 2 7 2" xfId="30874"/>
    <cellStyle name="Normal 7 5 2 8" xfId="30875"/>
    <cellStyle name="Normal 7 5 2 8 2" xfId="30876"/>
    <cellStyle name="Normal 7 5 2 9" xfId="30877"/>
    <cellStyle name="Normal 7 5 2 9 2" xfId="30878"/>
    <cellStyle name="Normal 7 5 3" xfId="30879"/>
    <cellStyle name="Normal 7 5 3 10" xfId="30880"/>
    <cellStyle name="Normal 7 5 3 10 2" xfId="30881"/>
    <cellStyle name="Normal 7 5 3 11" xfId="30882"/>
    <cellStyle name="Normal 7 5 3 2" xfId="30883"/>
    <cellStyle name="Normal 7 5 3 2 2" xfId="30884"/>
    <cellStyle name="Normal 7 5 3 3" xfId="30885"/>
    <cellStyle name="Normal 7 5 3 3 2" xfId="30886"/>
    <cellStyle name="Normal 7 5 3 4" xfId="30887"/>
    <cellStyle name="Normal 7 5 3 4 2" xfId="30888"/>
    <cellStyle name="Normal 7 5 3 5" xfId="30889"/>
    <cellStyle name="Normal 7 5 3 5 2" xfId="30890"/>
    <cellStyle name="Normal 7 5 3 6" xfId="30891"/>
    <cellStyle name="Normal 7 5 3 6 2" xfId="30892"/>
    <cellStyle name="Normal 7 5 3 7" xfId="30893"/>
    <cellStyle name="Normal 7 5 3 7 2" xfId="30894"/>
    <cellStyle name="Normal 7 5 3 8" xfId="30895"/>
    <cellStyle name="Normal 7 5 3 8 2" xfId="30896"/>
    <cellStyle name="Normal 7 5 3 9" xfId="30897"/>
    <cellStyle name="Normal 7 5 3 9 2" xfId="30898"/>
    <cellStyle name="Normal 7 5 4" xfId="30899"/>
    <cellStyle name="Normal 7 5 4 2" xfId="30900"/>
    <cellStyle name="Normal 7 5 5" xfId="30901"/>
    <cellStyle name="Normal 7 5 5 2" xfId="30902"/>
    <cellStyle name="Normal 7 5 6" xfId="30903"/>
    <cellStyle name="Normal 7 5 6 2" xfId="30904"/>
    <cellStyle name="Normal 7 5 7" xfId="30905"/>
    <cellStyle name="Normal 7 5 7 2" xfId="30906"/>
    <cellStyle name="Normal 7 5 8" xfId="30907"/>
    <cellStyle name="Normal 7 5 8 2" xfId="30908"/>
    <cellStyle name="Normal 7 5 9" xfId="30909"/>
    <cellStyle name="Normal 7 5 9 2" xfId="30910"/>
    <cellStyle name="Normal 7 6" xfId="30911"/>
    <cellStyle name="Normal 7 6 10" xfId="30912"/>
    <cellStyle name="Normal 7 6 10 2" xfId="30913"/>
    <cellStyle name="Normal 7 6 11" xfId="30914"/>
    <cellStyle name="Normal 7 6 11 2" xfId="30915"/>
    <cellStyle name="Normal 7 6 12" xfId="30916"/>
    <cellStyle name="Normal 7 6 12 2" xfId="30917"/>
    <cellStyle name="Normal 7 6 13" xfId="30918"/>
    <cellStyle name="Normal 7 6 2" xfId="30919"/>
    <cellStyle name="Normal 7 6 2 10" xfId="30920"/>
    <cellStyle name="Normal 7 6 2 10 2" xfId="30921"/>
    <cellStyle name="Normal 7 6 2 11" xfId="30922"/>
    <cellStyle name="Normal 7 6 2 11 2" xfId="30923"/>
    <cellStyle name="Normal 7 6 2 12" xfId="30924"/>
    <cellStyle name="Normal 7 6 2 2" xfId="30925"/>
    <cellStyle name="Normal 7 6 2 2 10" xfId="30926"/>
    <cellStyle name="Normal 7 6 2 2 10 2" xfId="30927"/>
    <cellStyle name="Normal 7 6 2 2 11" xfId="30928"/>
    <cellStyle name="Normal 7 6 2 2 2" xfId="30929"/>
    <cellStyle name="Normal 7 6 2 2 2 2" xfId="30930"/>
    <cellStyle name="Normal 7 6 2 2 3" xfId="30931"/>
    <cellStyle name="Normal 7 6 2 2 3 2" xfId="30932"/>
    <cellStyle name="Normal 7 6 2 2 4" xfId="30933"/>
    <cellStyle name="Normal 7 6 2 2 4 2" xfId="30934"/>
    <cellStyle name="Normal 7 6 2 2 5" xfId="30935"/>
    <cellStyle name="Normal 7 6 2 2 5 2" xfId="30936"/>
    <cellStyle name="Normal 7 6 2 2 6" xfId="30937"/>
    <cellStyle name="Normal 7 6 2 2 6 2" xfId="30938"/>
    <cellStyle name="Normal 7 6 2 2 7" xfId="30939"/>
    <cellStyle name="Normal 7 6 2 2 7 2" xfId="30940"/>
    <cellStyle name="Normal 7 6 2 2 8" xfId="30941"/>
    <cellStyle name="Normal 7 6 2 2 8 2" xfId="30942"/>
    <cellStyle name="Normal 7 6 2 2 9" xfId="30943"/>
    <cellStyle name="Normal 7 6 2 2 9 2" xfId="30944"/>
    <cellStyle name="Normal 7 6 2 3" xfId="30945"/>
    <cellStyle name="Normal 7 6 2 3 2" xfId="30946"/>
    <cellStyle name="Normal 7 6 2 4" xfId="30947"/>
    <cellStyle name="Normal 7 6 2 4 2" xfId="30948"/>
    <cellStyle name="Normal 7 6 2 5" xfId="30949"/>
    <cellStyle name="Normal 7 6 2 5 2" xfId="30950"/>
    <cellStyle name="Normal 7 6 2 6" xfId="30951"/>
    <cellStyle name="Normal 7 6 2 6 2" xfId="30952"/>
    <cellStyle name="Normal 7 6 2 7" xfId="30953"/>
    <cellStyle name="Normal 7 6 2 7 2" xfId="30954"/>
    <cellStyle name="Normal 7 6 2 8" xfId="30955"/>
    <cellStyle name="Normal 7 6 2 8 2" xfId="30956"/>
    <cellStyle name="Normal 7 6 2 9" xfId="30957"/>
    <cellStyle name="Normal 7 6 2 9 2" xfId="30958"/>
    <cellStyle name="Normal 7 6 3" xfId="30959"/>
    <cellStyle name="Normal 7 6 3 10" xfId="30960"/>
    <cellStyle name="Normal 7 6 3 10 2" xfId="30961"/>
    <cellStyle name="Normal 7 6 3 11" xfId="30962"/>
    <cellStyle name="Normal 7 6 3 2" xfId="30963"/>
    <cellStyle name="Normal 7 6 3 2 2" xfId="30964"/>
    <cellStyle name="Normal 7 6 3 3" xfId="30965"/>
    <cellStyle name="Normal 7 6 3 3 2" xfId="30966"/>
    <cellStyle name="Normal 7 6 3 4" xfId="30967"/>
    <cellStyle name="Normal 7 6 3 4 2" xfId="30968"/>
    <cellStyle name="Normal 7 6 3 5" xfId="30969"/>
    <cellStyle name="Normal 7 6 3 5 2" xfId="30970"/>
    <cellStyle name="Normal 7 6 3 6" xfId="30971"/>
    <cellStyle name="Normal 7 6 3 6 2" xfId="30972"/>
    <cellStyle name="Normal 7 6 3 7" xfId="30973"/>
    <cellStyle name="Normal 7 6 3 7 2" xfId="30974"/>
    <cellStyle name="Normal 7 6 3 8" xfId="30975"/>
    <cellStyle name="Normal 7 6 3 8 2" xfId="30976"/>
    <cellStyle name="Normal 7 6 3 9" xfId="30977"/>
    <cellStyle name="Normal 7 6 3 9 2" xfId="30978"/>
    <cellStyle name="Normal 7 6 4" xfId="30979"/>
    <cellStyle name="Normal 7 6 4 2" xfId="30980"/>
    <cellStyle name="Normal 7 6 5" xfId="30981"/>
    <cellStyle name="Normal 7 6 5 2" xfId="30982"/>
    <cellStyle name="Normal 7 6 6" xfId="30983"/>
    <cellStyle name="Normal 7 6 6 2" xfId="30984"/>
    <cellStyle name="Normal 7 6 7" xfId="30985"/>
    <cellStyle name="Normal 7 6 7 2" xfId="30986"/>
    <cellStyle name="Normal 7 6 8" xfId="30987"/>
    <cellStyle name="Normal 7 6 8 2" xfId="30988"/>
    <cellStyle name="Normal 7 6 9" xfId="30989"/>
    <cellStyle name="Normal 7 6 9 2" xfId="30990"/>
    <cellStyle name="Normal 7 7" xfId="30991"/>
    <cellStyle name="Normal 7 7 10" xfId="30992"/>
    <cellStyle name="Normal 7 7 10 2" xfId="30993"/>
    <cellStyle name="Normal 7 7 11" xfId="30994"/>
    <cellStyle name="Normal 7 7 11 2" xfId="30995"/>
    <cellStyle name="Normal 7 7 12" xfId="30996"/>
    <cellStyle name="Normal 7 7 2" xfId="30997"/>
    <cellStyle name="Normal 7 7 2 10" xfId="30998"/>
    <cellStyle name="Normal 7 7 2 10 2" xfId="30999"/>
    <cellStyle name="Normal 7 7 2 11" xfId="31000"/>
    <cellStyle name="Normal 7 7 2 2" xfId="31001"/>
    <cellStyle name="Normal 7 7 2 2 2" xfId="31002"/>
    <cellStyle name="Normal 7 7 2 3" xfId="31003"/>
    <cellStyle name="Normal 7 7 2 3 2" xfId="31004"/>
    <cellStyle name="Normal 7 7 2 4" xfId="31005"/>
    <cellStyle name="Normal 7 7 2 4 2" xfId="31006"/>
    <cellStyle name="Normal 7 7 2 5" xfId="31007"/>
    <cellStyle name="Normal 7 7 2 5 2" xfId="31008"/>
    <cellStyle name="Normal 7 7 2 6" xfId="31009"/>
    <cellStyle name="Normal 7 7 2 6 2" xfId="31010"/>
    <cellStyle name="Normal 7 7 2 7" xfId="31011"/>
    <cellStyle name="Normal 7 7 2 7 2" xfId="31012"/>
    <cellStyle name="Normal 7 7 2 8" xfId="31013"/>
    <cellStyle name="Normal 7 7 2 8 2" xfId="31014"/>
    <cellStyle name="Normal 7 7 2 9" xfId="31015"/>
    <cellStyle name="Normal 7 7 2 9 2" xfId="31016"/>
    <cellStyle name="Normal 7 7 3" xfId="31017"/>
    <cellStyle name="Normal 7 7 3 2" xfId="31018"/>
    <cellStyle name="Normal 7 7 4" xfId="31019"/>
    <cellStyle name="Normal 7 7 4 2" xfId="31020"/>
    <cellStyle name="Normal 7 7 5" xfId="31021"/>
    <cellStyle name="Normal 7 7 5 2" xfId="31022"/>
    <cellStyle name="Normal 7 7 6" xfId="31023"/>
    <cellStyle name="Normal 7 7 6 2" xfId="31024"/>
    <cellStyle name="Normal 7 7 7" xfId="31025"/>
    <cellStyle name="Normal 7 7 7 2" xfId="31026"/>
    <cellStyle name="Normal 7 7 8" xfId="31027"/>
    <cellStyle name="Normal 7 7 8 2" xfId="31028"/>
    <cellStyle name="Normal 7 7 9" xfId="31029"/>
    <cellStyle name="Normal 7 7 9 2" xfId="31030"/>
    <cellStyle name="Normal 7 8" xfId="31031"/>
    <cellStyle name="Normal 7 8 10" xfId="31032"/>
    <cellStyle name="Normal 7 8 10 2" xfId="31033"/>
    <cellStyle name="Normal 7 8 11" xfId="31034"/>
    <cellStyle name="Normal 7 8 2" xfId="31035"/>
    <cellStyle name="Normal 7 8 2 2" xfId="31036"/>
    <cellStyle name="Normal 7 8 3" xfId="31037"/>
    <cellStyle name="Normal 7 8 3 2" xfId="31038"/>
    <cellStyle name="Normal 7 8 4" xfId="31039"/>
    <cellStyle name="Normal 7 8 4 2" xfId="31040"/>
    <cellStyle name="Normal 7 8 5" xfId="31041"/>
    <cellStyle name="Normal 7 8 5 2" xfId="31042"/>
    <cellStyle name="Normal 7 8 6" xfId="31043"/>
    <cellStyle name="Normal 7 8 6 2" xfId="31044"/>
    <cellStyle name="Normal 7 8 7" xfId="31045"/>
    <cellStyle name="Normal 7 8 7 2" xfId="31046"/>
    <cellStyle name="Normal 7 8 8" xfId="31047"/>
    <cellStyle name="Normal 7 8 8 2" xfId="31048"/>
    <cellStyle name="Normal 7 8 9" xfId="31049"/>
    <cellStyle name="Normal 7 8 9 2" xfId="31050"/>
    <cellStyle name="Normal 7 9" xfId="31051"/>
    <cellStyle name="Normal 7 9 2" xfId="31052"/>
    <cellStyle name="Normal 73" xfId="42103"/>
    <cellStyle name="Normal 8" xfId="17"/>
    <cellStyle name="Normal 8 10" xfId="31053"/>
    <cellStyle name="Normal 8 10 2" xfId="31054"/>
    <cellStyle name="Normal 8 11" xfId="31055"/>
    <cellStyle name="Normal 8 11 2" xfId="31056"/>
    <cellStyle name="Normal 8 12" xfId="31057"/>
    <cellStyle name="Normal 8 12 2" xfId="31058"/>
    <cellStyle name="Normal 8 13" xfId="31059"/>
    <cellStyle name="Normal 8 13 2" xfId="31060"/>
    <cellStyle name="Normal 8 14" xfId="31061"/>
    <cellStyle name="Normal 8 14 2" xfId="31062"/>
    <cellStyle name="Normal 8 15" xfId="31063"/>
    <cellStyle name="Normal 8 15 2" xfId="31064"/>
    <cellStyle name="Normal 8 16" xfId="31065"/>
    <cellStyle name="Normal 8 16 2" xfId="31066"/>
    <cellStyle name="Normal 8 17" xfId="31067"/>
    <cellStyle name="Normal 8 17 2" xfId="31068"/>
    <cellStyle name="Normal 8 18" xfId="31069"/>
    <cellStyle name="Normal 8 19" xfId="31070"/>
    <cellStyle name="Normal 8 2" xfId="31071"/>
    <cellStyle name="Normal 8 2 10" xfId="31072"/>
    <cellStyle name="Normal 8 2 10 2" xfId="31073"/>
    <cellStyle name="Normal 8 2 11" xfId="31074"/>
    <cellStyle name="Normal 8 2 11 2" xfId="31075"/>
    <cellStyle name="Normal 8 2 12" xfId="31076"/>
    <cellStyle name="Normal 8 2 12 2" xfId="31077"/>
    <cellStyle name="Normal 8 2 13" xfId="31078"/>
    <cellStyle name="Normal 8 2 13 2" xfId="31079"/>
    <cellStyle name="Normal 8 2 14" xfId="31080"/>
    <cellStyle name="Normal 8 2 15" xfId="42104"/>
    <cellStyle name="Normal 8 2 2" xfId="31081"/>
    <cellStyle name="Normal 8 2 3" xfId="31082"/>
    <cellStyle name="Normal 8 2 3 10" xfId="31083"/>
    <cellStyle name="Normal 8 2 3 10 2" xfId="31084"/>
    <cellStyle name="Normal 8 2 3 11" xfId="31085"/>
    <cellStyle name="Normal 8 2 3 11 2" xfId="31086"/>
    <cellStyle name="Normal 8 2 3 12" xfId="31087"/>
    <cellStyle name="Normal 8 2 3 2" xfId="31088"/>
    <cellStyle name="Normal 8 2 3 2 10" xfId="31089"/>
    <cellStyle name="Normal 8 2 3 2 10 2" xfId="31090"/>
    <cellStyle name="Normal 8 2 3 2 11" xfId="31091"/>
    <cellStyle name="Normal 8 2 3 2 2" xfId="31092"/>
    <cellStyle name="Normal 8 2 3 2 2 2" xfId="31093"/>
    <cellStyle name="Normal 8 2 3 2 3" xfId="31094"/>
    <cellStyle name="Normal 8 2 3 2 3 2" xfId="31095"/>
    <cellStyle name="Normal 8 2 3 2 4" xfId="31096"/>
    <cellStyle name="Normal 8 2 3 2 4 2" xfId="31097"/>
    <cellStyle name="Normal 8 2 3 2 5" xfId="31098"/>
    <cellStyle name="Normal 8 2 3 2 5 2" xfId="31099"/>
    <cellStyle name="Normal 8 2 3 2 6" xfId="31100"/>
    <cellStyle name="Normal 8 2 3 2 6 2" xfId="31101"/>
    <cellStyle name="Normal 8 2 3 2 7" xfId="31102"/>
    <cellStyle name="Normal 8 2 3 2 7 2" xfId="31103"/>
    <cellStyle name="Normal 8 2 3 2 8" xfId="31104"/>
    <cellStyle name="Normal 8 2 3 2 8 2" xfId="31105"/>
    <cellStyle name="Normal 8 2 3 2 9" xfId="31106"/>
    <cellStyle name="Normal 8 2 3 2 9 2" xfId="31107"/>
    <cellStyle name="Normal 8 2 3 3" xfId="31108"/>
    <cellStyle name="Normal 8 2 3 3 2" xfId="31109"/>
    <cellStyle name="Normal 8 2 3 4" xfId="31110"/>
    <cellStyle name="Normal 8 2 3 4 2" xfId="31111"/>
    <cellStyle name="Normal 8 2 3 5" xfId="31112"/>
    <cellStyle name="Normal 8 2 3 5 2" xfId="31113"/>
    <cellStyle name="Normal 8 2 3 6" xfId="31114"/>
    <cellStyle name="Normal 8 2 3 6 2" xfId="31115"/>
    <cellStyle name="Normal 8 2 3 7" xfId="31116"/>
    <cellStyle name="Normal 8 2 3 7 2" xfId="31117"/>
    <cellStyle name="Normal 8 2 3 8" xfId="31118"/>
    <cellStyle name="Normal 8 2 3 8 2" xfId="31119"/>
    <cellStyle name="Normal 8 2 3 9" xfId="31120"/>
    <cellStyle name="Normal 8 2 3 9 2" xfId="31121"/>
    <cellStyle name="Normal 8 2 4" xfId="31122"/>
    <cellStyle name="Normal 8 2 4 10" xfId="31123"/>
    <cellStyle name="Normal 8 2 4 10 2" xfId="31124"/>
    <cellStyle name="Normal 8 2 4 11" xfId="31125"/>
    <cellStyle name="Normal 8 2 4 2" xfId="31126"/>
    <cellStyle name="Normal 8 2 4 2 2" xfId="31127"/>
    <cellStyle name="Normal 8 2 4 3" xfId="31128"/>
    <cellStyle name="Normal 8 2 4 3 2" xfId="31129"/>
    <cellStyle name="Normal 8 2 4 4" xfId="31130"/>
    <cellStyle name="Normal 8 2 4 4 2" xfId="31131"/>
    <cellStyle name="Normal 8 2 4 5" xfId="31132"/>
    <cellStyle name="Normal 8 2 4 5 2" xfId="31133"/>
    <cellStyle name="Normal 8 2 4 6" xfId="31134"/>
    <cellStyle name="Normal 8 2 4 6 2" xfId="31135"/>
    <cellStyle name="Normal 8 2 4 7" xfId="31136"/>
    <cellStyle name="Normal 8 2 4 7 2" xfId="31137"/>
    <cellStyle name="Normal 8 2 4 8" xfId="31138"/>
    <cellStyle name="Normal 8 2 4 8 2" xfId="31139"/>
    <cellStyle name="Normal 8 2 4 9" xfId="31140"/>
    <cellStyle name="Normal 8 2 4 9 2" xfId="31141"/>
    <cellStyle name="Normal 8 2 5" xfId="31142"/>
    <cellStyle name="Normal 8 2 5 2" xfId="31143"/>
    <cellStyle name="Normal 8 2 6" xfId="31144"/>
    <cellStyle name="Normal 8 2 6 2" xfId="31145"/>
    <cellStyle name="Normal 8 2 7" xfId="31146"/>
    <cellStyle name="Normal 8 2 7 2" xfId="31147"/>
    <cellStyle name="Normal 8 2 8" xfId="31148"/>
    <cellStyle name="Normal 8 2 8 2" xfId="31149"/>
    <cellStyle name="Normal 8 2 9" xfId="31150"/>
    <cellStyle name="Normal 8 2 9 2" xfId="31151"/>
    <cellStyle name="Normal 8 20" xfId="31152"/>
    <cellStyle name="Normal 8 21" xfId="31153"/>
    <cellStyle name="Normal 8 3" xfId="31154"/>
    <cellStyle name="Normal 8 3 2" xfId="42105"/>
    <cellStyle name="Normal 8 4" xfId="31155"/>
    <cellStyle name="Normal 8 4 2" xfId="42106"/>
    <cellStyle name="Normal 8 5" xfId="31156"/>
    <cellStyle name="Normal 8 5 2" xfId="42107"/>
    <cellStyle name="Normal 8 6" xfId="31157"/>
    <cellStyle name="Normal 8 6 2" xfId="42108"/>
    <cellStyle name="Normal 8 7" xfId="31158"/>
    <cellStyle name="Normal 8 7 10" xfId="31159"/>
    <cellStyle name="Normal 8 7 10 2" xfId="31160"/>
    <cellStyle name="Normal 8 7 11" xfId="31161"/>
    <cellStyle name="Normal 8 7 11 2" xfId="31162"/>
    <cellStyle name="Normal 8 7 12" xfId="31163"/>
    <cellStyle name="Normal 8 7 13" xfId="42109"/>
    <cellStyle name="Normal 8 7 2" xfId="31164"/>
    <cellStyle name="Normal 8 7 2 10" xfId="31165"/>
    <cellStyle name="Normal 8 7 2 10 2" xfId="31166"/>
    <cellStyle name="Normal 8 7 2 11" xfId="31167"/>
    <cellStyle name="Normal 8 7 2 2" xfId="31168"/>
    <cellStyle name="Normal 8 7 2 2 2" xfId="31169"/>
    <cellStyle name="Normal 8 7 2 3" xfId="31170"/>
    <cellStyle name="Normal 8 7 2 3 2" xfId="31171"/>
    <cellStyle name="Normal 8 7 2 4" xfId="31172"/>
    <cellStyle name="Normal 8 7 2 4 2" xfId="31173"/>
    <cellStyle name="Normal 8 7 2 5" xfId="31174"/>
    <cellStyle name="Normal 8 7 2 5 2" xfId="31175"/>
    <cellStyle name="Normal 8 7 2 6" xfId="31176"/>
    <cellStyle name="Normal 8 7 2 6 2" xfId="31177"/>
    <cellStyle name="Normal 8 7 2 7" xfId="31178"/>
    <cellStyle name="Normal 8 7 2 7 2" xfId="31179"/>
    <cellStyle name="Normal 8 7 2 8" xfId="31180"/>
    <cellStyle name="Normal 8 7 2 8 2" xfId="31181"/>
    <cellStyle name="Normal 8 7 2 9" xfId="31182"/>
    <cellStyle name="Normal 8 7 2 9 2" xfId="31183"/>
    <cellStyle name="Normal 8 7 3" xfId="31184"/>
    <cellStyle name="Normal 8 7 3 2" xfId="31185"/>
    <cellStyle name="Normal 8 7 4" xfId="31186"/>
    <cellStyle name="Normal 8 7 4 2" xfId="31187"/>
    <cellStyle name="Normal 8 7 5" xfId="31188"/>
    <cellStyle name="Normal 8 7 5 2" xfId="31189"/>
    <cellStyle name="Normal 8 7 6" xfId="31190"/>
    <cellStyle name="Normal 8 7 6 2" xfId="31191"/>
    <cellStyle name="Normal 8 7 7" xfId="31192"/>
    <cellStyle name="Normal 8 7 7 2" xfId="31193"/>
    <cellStyle name="Normal 8 7 8" xfId="31194"/>
    <cellStyle name="Normal 8 7 8 2" xfId="31195"/>
    <cellStyle name="Normal 8 7 9" xfId="31196"/>
    <cellStyle name="Normal 8 7 9 2" xfId="31197"/>
    <cellStyle name="Normal 8 8" xfId="31198"/>
    <cellStyle name="Normal 8 8 10" xfId="31199"/>
    <cellStyle name="Normal 8 8 10 2" xfId="31200"/>
    <cellStyle name="Normal 8 8 11" xfId="31201"/>
    <cellStyle name="Normal 8 8 2" xfId="31202"/>
    <cellStyle name="Normal 8 8 2 2" xfId="31203"/>
    <cellStyle name="Normal 8 8 3" xfId="31204"/>
    <cellStyle name="Normal 8 8 3 2" xfId="31205"/>
    <cellStyle name="Normal 8 8 4" xfId="31206"/>
    <cellStyle name="Normal 8 8 4 2" xfId="31207"/>
    <cellStyle name="Normal 8 8 5" xfId="31208"/>
    <cellStyle name="Normal 8 8 5 2" xfId="31209"/>
    <cellStyle name="Normal 8 8 6" xfId="31210"/>
    <cellStyle name="Normal 8 8 6 2" xfId="31211"/>
    <cellStyle name="Normal 8 8 7" xfId="31212"/>
    <cellStyle name="Normal 8 8 7 2" xfId="31213"/>
    <cellStyle name="Normal 8 8 8" xfId="31214"/>
    <cellStyle name="Normal 8 8 8 2" xfId="31215"/>
    <cellStyle name="Normal 8 8 9" xfId="31216"/>
    <cellStyle name="Normal 8 8 9 2" xfId="31217"/>
    <cellStyle name="Normal 8 9" xfId="31218"/>
    <cellStyle name="Normal 8 9 2" xfId="31219"/>
    <cellStyle name="Normal 9" xfId="339"/>
    <cellStyle name="Normal 9 10" xfId="31221"/>
    <cellStyle name="Normal 9 10 2" xfId="31222"/>
    <cellStyle name="Normal 9 11" xfId="31223"/>
    <cellStyle name="Normal 9 11 2" xfId="31224"/>
    <cellStyle name="Normal 9 12" xfId="31225"/>
    <cellStyle name="Normal 9 12 2" xfId="31226"/>
    <cellStyle name="Normal 9 13" xfId="31227"/>
    <cellStyle name="Normal 9 13 2" xfId="31228"/>
    <cellStyle name="Normal 9 14" xfId="31229"/>
    <cellStyle name="Normal 9 15" xfId="42110"/>
    <cellStyle name="Normal 9 16" xfId="31220"/>
    <cellStyle name="Normal 9 2" xfId="31230"/>
    <cellStyle name="Normal 9 2 10" xfId="31231"/>
    <cellStyle name="Normal 9 2 10 2" xfId="31232"/>
    <cellStyle name="Normal 9 2 11" xfId="31233"/>
    <cellStyle name="Normal 9 2 11 2" xfId="31234"/>
    <cellStyle name="Normal 9 2 12" xfId="31235"/>
    <cellStyle name="Normal 9 2 12 2" xfId="31236"/>
    <cellStyle name="Normal 9 2 13" xfId="31237"/>
    <cellStyle name="Normal 9 2 14" xfId="42111"/>
    <cellStyle name="Normal 9 2 2" xfId="31238"/>
    <cellStyle name="Normal 9 2 2 10" xfId="31239"/>
    <cellStyle name="Normal 9 2 2 10 2" xfId="31240"/>
    <cellStyle name="Normal 9 2 2 11" xfId="31241"/>
    <cellStyle name="Normal 9 2 2 11 2" xfId="31242"/>
    <cellStyle name="Normal 9 2 2 12" xfId="31243"/>
    <cellStyle name="Normal 9 2 2 2" xfId="31244"/>
    <cellStyle name="Normal 9 2 2 2 10" xfId="31245"/>
    <cellStyle name="Normal 9 2 2 2 10 2" xfId="31246"/>
    <cellStyle name="Normal 9 2 2 2 11" xfId="31247"/>
    <cellStyle name="Normal 9 2 2 2 2" xfId="31248"/>
    <cellStyle name="Normal 9 2 2 2 2 2" xfId="31249"/>
    <cellStyle name="Normal 9 2 2 2 3" xfId="31250"/>
    <cellStyle name="Normal 9 2 2 2 3 2" xfId="31251"/>
    <cellStyle name="Normal 9 2 2 2 4" xfId="31252"/>
    <cellStyle name="Normal 9 2 2 2 4 2" xfId="31253"/>
    <cellStyle name="Normal 9 2 2 2 5" xfId="31254"/>
    <cellStyle name="Normal 9 2 2 2 5 2" xfId="31255"/>
    <cellStyle name="Normal 9 2 2 2 6" xfId="31256"/>
    <cellStyle name="Normal 9 2 2 2 6 2" xfId="31257"/>
    <cellStyle name="Normal 9 2 2 2 7" xfId="31258"/>
    <cellStyle name="Normal 9 2 2 2 7 2" xfId="31259"/>
    <cellStyle name="Normal 9 2 2 2 8" xfId="31260"/>
    <cellStyle name="Normal 9 2 2 2 8 2" xfId="31261"/>
    <cellStyle name="Normal 9 2 2 2 9" xfId="31262"/>
    <cellStyle name="Normal 9 2 2 2 9 2" xfId="31263"/>
    <cellStyle name="Normal 9 2 2 3" xfId="31264"/>
    <cellStyle name="Normal 9 2 2 3 2" xfId="31265"/>
    <cellStyle name="Normal 9 2 2 4" xfId="31266"/>
    <cellStyle name="Normal 9 2 2 4 2" xfId="31267"/>
    <cellStyle name="Normal 9 2 2 5" xfId="31268"/>
    <cellStyle name="Normal 9 2 2 5 2" xfId="31269"/>
    <cellStyle name="Normal 9 2 2 6" xfId="31270"/>
    <cellStyle name="Normal 9 2 2 6 2" xfId="31271"/>
    <cellStyle name="Normal 9 2 2 7" xfId="31272"/>
    <cellStyle name="Normal 9 2 2 7 2" xfId="31273"/>
    <cellStyle name="Normal 9 2 2 8" xfId="31274"/>
    <cellStyle name="Normal 9 2 2 8 2" xfId="31275"/>
    <cellStyle name="Normal 9 2 2 9" xfId="31276"/>
    <cellStyle name="Normal 9 2 2 9 2" xfId="31277"/>
    <cellStyle name="Normal 9 2 3" xfId="31278"/>
    <cellStyle name="Normal 9 2 3 10" xfId="31279"/>
    <cellStyle name="Normal 9 2 3 10 2" xfId="31280"/>
    <cellStyle name="Normal 9 2 3 11" xfId="31281"/>
    <cellStyle name="Normal 9 2 3 2" xfId="31282"/>
    <cellStyle name="Normal 9 2 3 2 2" xfId="31283"/>
    <cellStyle name="Normal 9 2 3 3" xfId="31284"/>
    <cellStyle name="Normal 9 2 3 3 2" xfId="31285"/>
    <cellStyle name="Normal 9 2 3 4" xfId="31286"/>
    <cellStyle name="Normal 9 2 3 4 2" xfId="31287"/>
    <cellStyle name="Normal 9 2 3 5" xfId="31288"/>
    <cellStyle name="Normal 9 2 3 5 2" xfId="31289"/>
    <cellStyle name="Normal 9 2 3 6" xfId="31290"/>
    <cellStyle name="Normal 9 2 3 6 2" xfId="31291"/>
    <cellStyle name="Normal 9 2 3 7" xfId="31292"/>
    <cellStyle name="Normal 9 2 3 7 2" xfId="31293"/>
    <cellStyle name="Normal 9 2 3 8" xfId="31294"/>
    <cellStyle name="Normal 9 2 3 8 2" xfId="31295"/>
    <cellStyle name="Normal 9 2 3 9" xfId="31296"/>
    <cellStyle name="Normal 9 2 3 9 2" xfId="31297"/>
    <cellStyle name="Normal 9 2 4" xfId="31298"/>
    <cellStyle name="Normal 9 2 4 2" xfId="31299"/>
    <cellStyle name="Normal 9 2 5" xfId="31300"/>
    <cellStyle name="Normal 9 2 5 2" xfId="31301"/>
    <cellStyle name="Normal 9 2 6" xfId="31302"/>
    <cellStyle name="Normal 9 2 6 2" xfId="31303"/>
    <cellStyle name="Normal 9 2 7" xfId="31304"/>
    <cellStyle name="Normal 9 2 7 2" xfId="31305"/>
    <cellStyle name="Normal 9 2 8" xfId="31306"/>
    <cellStyle name="Normal 9 2 8 2" xfId="31307"/>
    <cellStyle name="Normal 9 2 9" xfId="31308"/>
    <cellStyle name="Normal 9 2 9 2" xfId="31309"/>
    <cellStyle name="Normal 9 3" xfId="31310"/>
    <cellStyle name="Normal 9 3 10" xfId="31311"/>
    <cellStyle name="Normal 9 3 10 2" xfId="31312"/>
    <cellStyle name="Normal 9 3 11" xfId="31313"/>
    <cellStyle name="Normal 9 3 11 2" xfId="31314"/>
    <cellStyle name="Normal 9 3 12" xfId="31315"/>
    <cellStyle name="Normal 9 3 2" xfId="31316"/>
    <cellStyle name="Normal 9 3 2 10" xfId="31317"/>
    <cellStyle name="Normal 9 3 2 10 2" xfId="31318"/>
    <cellStyle name="Normal 9 3 2 11" xfId="31319"/>
    <cellStyle name="Normal 9 3 2 2" xfId="31320"/>
    <cellStyle name="Normal 9 3 2 2 2" xfId="31321"/>
    <cellStyle name="Normal 9 3 2 3" xfId="31322"/>
    <cellStyle name="Normal 9 3 2 3 2" xfId="31323"/>
    <cellStyle name="Normal 9 3 2 4" xfId="31324"/>
    <cellStyle name="Normal 9 3 2 4 2" xfId="31325"/>
    <cellStyle name="Normal 9 3 2 5" xfId="31326"/>
    <cellStyle name="Normal 9 3 2 5 2" xfId="31327"/>
    <cellStyle name="Normal 9 3 2 6" xfId="31328"/>
    <cellStyle name="Normal 9 3 2 6 2" xfId="31329"/>
    <cellStyle name="Normal 9 3 2 7" xfId="31330"/>
    <cellStyle name="Normal 9 3 2 7 2" xfId="31331"/>
    <cellStyle name="Normal 9 3 2 8" xfId="31332"/>
    <cellStyle name="Normal 9 3 2 8 2" xfId="31333"/>
    <cellStyle name="Normal 9 3 2 9" xfId="31334"/>
    <cellStyle name="Normal 9 3 2 9 2" xfId="31335"/>
    <cellStyle name="Normal 9 3 3" xfId="31336"/>
    <cellStyle name="Normal 9 3 3 2" xfId="31337"/>
    <cellStyle name="Normal 9 3 4" xfId="31338"/>
    <cellStyle name="Normal 9 3 4 2" xfId="31339"/>
    <cellStyle name="Normal 9 3 5" xfId="31340"/>
    <cellStyle name="Normal 9 3 5 2" xfId="31341"/>
    <cellStyle name="Normal 9 3 6" xfId="31342"/>
    <cellStyle name="Normal 9 3 6 2" xfId="31343"/>
    <cellStyle name="Normal 9 3 7" xfId="31344"/>
    <cellStyle name="Normal 9 3 7 2" xfId="31345"/>
    <cellStyle name="Normal 9 3 8" xfId="31346"/>
    <cellStyle name="Normal 9 3 8 2" xfId="31347"/>
    <cellStyle name="Normal 9 3 9" xfId="31348"/>
    <cellStyle name="Normal 9 3 9 2" xfId="31349"/>
    <cellStyle name="Normal 9 4" xfId="31350"/>
    <cellStyle name="Normal 9 4 10" xfId="31351"/>
    <cellStyle name="Normal 9 4 10 2" xfId="31352"/>
    <cellStyle name="Normal 9 4 11" xfId="31353"/>
    <cellStyle name="Normal 9 4 2" xfId="31354"/>
    <cellStyle name="Normal 9 4 2 2" xfId="31355"/>
    <cellStyle name="Normal 9 4 3" xfId="31356"/>
    <cellStyle name="Normal 9 4 3 2" xfId="31357"/>
    <cellStyle name="Normal 9 4 4" xfId="31358"/>
    <cellStyle name="Normal 9 4 4 2" xfId="31359"/>
    <cellStyle name="Normal 9 4 5" xfId="31360"/>
    <cellStyle name="Normal 9 4 5 2" xfId="31361"/>
    <cellStyle name="Normal 9 4 6" xfId="31362"/>
    <cellStyle name="Normal 9 4 6 2" xfId="31363"/>
    <cellStyle name="Normal 9 4 7" xfId="31364"/>
    <cellStyle name="Normal 9 4 7 2" xfId="31365"/>
    <cellStyle name="Normal 9 4 8" xfId="31366"/>
    <cellStyle name="Normal 9 4 8 2" xfId="31367"/>
    <cellStyle name="Normal 9 4 9" xfId="31368"/>
    <cellStyle name="Normal 9 4 9 2" xfId="31369"/>
    <cellStyle name="Normal 9 5" xfId="31370"/>
    <cellStyle name="Normal 9 5 2" xfId="31371"/>
    <cellStyle name="Normal 9 6" xfId="31372"/>
    <cellStyle name="Normal 9 6 2" xfId="31373"/>
    <cellStyle name="Normal 9 7" xfId="31374"/>
    <cellStyle name="Normal 9 7 2" xfId="31375"/>
    <cellStyle name="Normal 9 8" xfId="31376"/>
    <cellStyle name="Normal 9 8 2" xfId="31377"/>
    <cellStyle name="Normal 9 9" xfId="31378"/>
    <cellStyle name="Normal 9 9 2" xfId="31379"/>
    <cellStyle name="Normal_MZA COMUN" xfId="9"/>
    <cellStyle name="Notas 2" xfId="213"/>
    <cellStyle name="Notas 2 10" xfId="31380"/>
    <cellStyle name="Notas 2 10 10" xfId="31381"/>
    <cellStyle name="Notas 2 10 10 2" xfId="31382"/>
    <cellStyle name="Notas 2 10 11" xfId="31383"/>
    <cellStyle name="Notas 2 10 11 2" xfId="31384"/>
    <cellStyle name="Notas 2 10 12" xfId="31385"/>
    <cellStyle name="Notas 2 10 12 2" xfId="31386"/>
    <cellStyle name="Notas 2 10 13" xfId="31387"/>
    <cellStyle name="Notas 2 10 2" xfId="31388"/>
    <cellStyle name="Notas 2 10 2 10" xfId="31389"/>
    <cellStyle name="Notas 2 10 2 10 2" xfId="31390"/>
    <cellStyle name="Notas 2 10 2 11" xfId="31391"/>
    <cellStyle name="Notas 2 10 2 2" xfId="31392"/>
    <cellStyle name="Notas 2 10 2 2 2" xfId="31393"/>
    <cellStyle name="Notas 2 10 2 3" xfId="31394"/>
    <cellStyle name="Notas 2 10 2 3 2" xfId="31395"/>
    <cellStyle name="Notas 2 10 2 4" xfId="31396"/>
    <cellStyle name="Notas 2 10 2 4 2" xfId="31397"/>
    <cellStyle name="Notas 2 10 2 5" xfId="31398"/>
    <cellStyle name="Notas 2 10 2 5 2" xfId="31399"/>
    <cellStyle name="Notas 2 10 2 6" xfId="31400"/>
    <cellStyle name="Notas 2 10 2 6 2" xfId="31401"/>
    <cellStyle name="Notas 2 10 2 7" xfId="31402"/>
    <cellStyle name="Notas 2 10 2 7 2" xfId="31403"/>
    <cellStyle name="Notas 2 10 2 8" xfId="31404"/>
    <cellStyle name="Notas 2 10 2 8 2" xfId="31405"/>
    <cellStyle name="Notas 2 10 2 9" xfId="31406"/>
    <cellStyle name="Notas 2 10 2 9 2" xfId="31407"/>
    <cellStyle name="Notas 2 10 3" xfId="31408"/>
    <cellStyle name="Notas 2 10 3 10" xfId="31409"/>
    <cellStyle name="Notas 2 10 3 10 2" xfId="31410"/>
    <cellStyle name="Notas 2 10 3 11" xfId="31411"/>
    <cellStyle name="Notas 2 10 3 2" xfId="31412"/>
    <cellStyle name="Notas 2 10 3 2 2" xfId="31413"/>
    <cellStyle name="Notas 2 10 3 3" xfId="31414"/>
    <cellStyle name="Notas 2 10 3 3 2" xfId="31415"/>
    <cellStyle name="Notas 2 10 3 4" xfId="31416"/>
    <cellStyle name="Notas 2 10 3 4 2" xfId="31417"/>
    <cellStyle name="Notas 2 10 3 5" xfId="31418"/>
    <cellStyle name="Notas 2 10 3 5 2" xfId="31419"/>
    <cellStyle name="Notas 2 10 3 6" xfId="31420"/>
    <cellStyle name="Notas 2 10 3 6 2" xfId="31421"/>
    <cellStyle name="Notas 2 10 3 7" xfId="31422"/>
    <cellStyle name="Notas 2 10 3 7 2" xfId="31423"/>
    <cellStyle name="Notas 2 10 3 8" xfId="31424"/>
    <cellStyle name="Notas 2 10 3 8 2" xfId="31425"/>
    <cellStyle name="Notas 2 10 3 9" xfId="31426"/>
    <cellStyle name="Notas 2 10 3 9 2" xfId="31427"/>
    <cellStyle name="Notas 2 10 4" xfId="31428"/>
    <cellStyle name="Notas 2 10 4 2" xfId="31429"/>
    <cellStyle name="Notas 2 10 5" xfId="31430"/>
    <cellStyle name="Notas 2 10 5 2" xfId="31431"/>
    <cellStyle name="Notas 2 10 6" xfId="31432"/>
    <cellStyle name="Notas 2 10 6 2" xfId="31433"/>
    <cellStyle name="Notas 2 10 7" xfId="31434"/>
    <cellStyle name="Notas 2 10 7 2" xfId="31435"/>
    <cellStyle name="Notas 2 10 8" xfId="31436"/>
    <cellStyle name="Notas 2 10 8 2" xfId="31437"/>
    <cellStyle name="Notas 2 10 9" xfId="31438"/>
    <cellStyle name="Notas 2 10 9 2" xfId="31439"/>
    <cellStyle name="Notas 2 11" xfId="31440"/>
    <cellStyle name="Notas 2 11 2" xfId="31441"/>
    <cellStyle name="Notas 2 12" xfId="31442"/>
    <cellStyle name="Notas 2 12 2" xfId="31443"/>
    <cellStyle name="Notas 2 13" xfId="31444"/>
    <cellStyle name="Notas 2 13 2" xfId="31445"/>
    <cellStyle name="Notas 2 14" xfId="31446"/>
    <cellStyle name="Notas 2 14 2" xfId="31447"/>
    <cellStyle name="Notas 2 15" xfId="31448"/>
    <cellStyle name="Notas 2 15 2" xfId="31449"/>
    <cellStyle name="Notas 2 16" xfId="31450"/>
    <cellStyle name="Notas 2 16 2" xfId="31451"/>
    <cellStyle name="Notas 2 17" xfId="31452"/>
    <cellStyle name="Notas 2 17 2" xfId="31453"/>
    <cellStyle name="Notas 2 18" xfId="31454"/>
    <cellStyle name="Notas 2 18 2" xfId="31455"/>
    <cellStyle name="Notas 2 19" xfId="31456"/>
    <cellStyle name="Notas 2 19 2" xfId="31457"/>
    <cellStyle name="Notas 2 2" xfId="214"/>
    <cellStyle name="Notas 2 2 10" xfId="31458"/>
    <cellStyle name="Notas 2 2 10 2" xfId="31459"/>
    <cellStyle name="Notas 2 2 11" xfId="31460"/>
    <cellStyle name="Notas 2 2 11 2" xfId="31461"/>
    <cellStyle name="Notas 2 2 12" xfId="31462"/>
    <cellStyle name="Notas 2 2 12 2" xfId="31463"/>
    <cellStyle name="Notas 2 2 13" xfId="31464"/>
    <cellStyle name="Notas 2 2 13 2" xfId="31465"/>
    <cellStyle name="Notas 2 2 14" xfId="31466"/>
    <cellStyle name="Notas 2 2 14 2" xfId="31467"/>
    <cellStyle name="Notas 2 2 15" xfId="31468"/>
    <cellStyle name="Notas 2 2 15 2" xfId="31469"/>
    <cellStyle name="Notas 2 2 16" xfId="31470"/>
    <cellStyle name="Notas 2 2 16 2" xfId="31471"/>
    <cellStyle name="Notas 2 2 17" xfId="31472"/>
    <cellStyle name="Notas 2 2 17 2" xfId="31473"/>
    <cellStyle name="Notas 2 2 18" xfId="31474"/>
    <cellStyle name="Notas 2 2 19" xfId="31475"/>
    <cellStyle name="Notas 2 2 2" xfId="300"/>
    <cellStyle name="Notas 2 2 2 10" xfId="31476"/>
    <cellStyle name="Notas 2 2 2 10 2" xfId="31477"/>
    <cellStyle name="Notas 2 2 2 11" xfId="31478"/>
    <cellStyle name="Notas 2 2 2 11 2" xfId="31479"/>
    <cellStyle name="Notas 2 2 2 12" xfId="31480"/>
    <cellStyle name="Notas 2 2 2 12 2" xfId="31481"/>
    <cellStyle name="Notas 2 2 2 13" xfId="31482"/>
    <cellStyle name="Notas 2 2 2 13 2" xfId="31483"/>
    <cellStyle name="Notas 2 2 2 14" xfId="31484"/>
    <cellStyle name="Notas 2 2 2 14 2" xfId="31485"/>
    <cellStyle name="Notas 2 2 2 15" xfId="31486"/>
    <cellStyle name="Notas 2 2 2 16" xfId="31487"/>
    <cellStyle name="Notas 2 2 2 2" xfId="31488"/>
    <cellStyle name="Notas 2 2 2 2 10" xfId="31489"/>
    <cellStyle name="Notas 2 2 2 2 10 2" xfId="31490"/>
    <cellStyle name="Notas 2 2 2 2 11" xfId="31491"/>
    <cellStyle name="Notas 2 2 2 2 11 2" xfId="31492"/>
    <cellStyle name="Notas 2 2 2 2 12" xfId="31493"/>
    <cellStyle name="Notas 2 2 2 2 12 2" xfId="31494"/>
    <cellStyle name="Notas 2 2 2 2 13" xfId="31495"/>
    <cellStyle name="Notas 2 2 2 2 2" xfId="31496"/>
    <cellStyle name="Notas 2 2 2 2 2 10" xfId="31497"/>
    <cellStyle name="Notas 2 2 2 2 2 10 2" xfId="31498"/>
    <cellStyle name="Notas 2 2 2 2 2 11" xfId="31499"/>
    <cellStyle name="Notas 2 2 2 2 2 2" xfId="31500"/>
    <cellStyle name="Notas 2 2 2 2 2 2 2" xfId="31501"/>
    <cellStyle name="Notas 2 2 2 2 2 3" xfId="31502"/>
    <cellStyle name="Notas 2 2 2 2 2 3 2" xfId="31503"/>
    <cellStyle name="Notas 2 2 2 2 2 4" xfId="31504"/>
    <cellStyle name="Notas 2 2 2 2 2 4 2" xfId="31505"/>
    <cellStyle name="Notas 2 2 2 2 2 5" xfId="31506"/>
    <cellStyle name="Notas 2 2 2 2 2 5 2" xfId="31507"/>
    <cellStyle name="Notas 2 2 2 2 2 6" xfId="31508"/>
    <cellStyle name="Notas 2 2 2 2 2 6 2" xfId="31509"/>
    <cellStyle name="Notas 2 2 2 2 2 7" xfId="31510"/>
    <cellStyle name="Notas 2 2 2 2 2 7 2" xfId="31511"/>
    <cellStyle name="Notas 2 2 2 2 2 8" xfId="31512"/>
    <cellStyle name="Notas 2 2 2 2 2 8 2" xfId="31513"/>
    <cellStyle name="Notas 2 2 2 2 2 9" xfId="31514"/>
    <cellStyle name="Notas 2 2 2 2 2 9 2" xfId="31515"/>
    <cellStyle name="Notas 2 2 2 2 3" xfId="31516"/>
    <cellStyle name="Notas 2 2 2 2 3 10" xfId="31517"/>
    <cellStyle name="Notas 2 2 2 2 3 10 2" xfId="31518"/>
    <cellStyle name="Notas 2 2 2 2 3 11" xfId="31519"/>
    <cellStyle name="Notas 2 2 2 2 3 2" xfId="31520"/>
    <cellStyle name="Notas 2 2 2 2 3 2 2" xfId="31521"/>
    <cellStyle name="Notas 2 2 2 2 3 3" xfId="31522"/>
    <cellStyle name="Notas 2 2 2 2 3 3 2" xfId="31523"/>
    <cellStyle name="Notas 2 2 2 2 3 4" xfId="31524"/>
    <cellStyle name="Notas 2 2 2 2 3 4 2" xfId="31525"/>
    <cellStyle name="Notas 2 2 2 2 3 5" xfId="31526"/>
    <cellStyle name="Notas 2 2 2 2 3 5 2" xfId="31527"/>
    <cellStyle name="Notas 2 2 2 2 3 6" xfId="31528"/>
    <cellStyle name="Notas 2 2 2 2 3 6 2" xfId="31529"/>
    <cellStyle name="Notas 2 2 2 2 3 7" xfId="31530"/>
    <cellStyle name="Notas 2 2 2 2 3 7 2" xfId="31531"/>
    <cellStyle name="Notas 2 2 2 2 3 8" xfId="31532"/>
    <cellStyle name="Notas 2 2 2 2 3 8 2" xfId="31533"/>
    <cellStyle name="Notas 2 2 2 2 3 9" xfId="31534"/>
    <cellStyle name="Notas 2 2 2 2 3 9 2" xfId="31535"/>
    <cellStyle name="Notas 2 2 2 2 4" xfId="31536"/>
    <cellStyle name="Notas 2 2 2 2 4 2" xfId="31537"/>
    <cellStyle name="Notas 2 2 2 2 5" xfId="31538"/>
    <cellStyle name="Notas 2 2 2 2 5 2" xfId="31539"/>
    <cellStyle name="Notas 2 2 2 2 6" xfId="31540"/>
    <cellStyle name="Notas 2 2 2 2 6 2" xfId="31541"/>
    <cellStyle name="Notas 2 2 2 2 7" xfId="31542"/>
    <cellStyle name="Notas 2 2 2 2 7 2" xfId="31543"/>
    <cellStyle name="Notas 2 2 2 2 8" xfId="31544"/>
    <cellStyle name="Notas 2 2 2 2 8 2" xfId="31545"/>
    <cellStyle name="Notas 2 2 2 2 9" xfId="31546"/>
    <cellStyle name="Notas 2 2 2 2 9 2" xfId="31547"/>
    <cellStyle name="Notas 2 2 2 3" xfId="31548"/>
    <cellStyle name="Notas 2 2 2 3 10" xfId="31549"/>
    <cellStyle name="Notas 2 2 2 3 10 2" xfId="31550"/>
    <cellStyle name="Notas 2 2 2 3 11" xfId="31551"/>
    <cellStyle name="Notas 2 2 2 3 11 2" xfId="31552"/>
    <cellStyle name="Notas 2 2 2 3 12" xfId="31553"/>
    <cellStyle name="Notas 2 2 2 3 12 2" xfId="31554"/>
    <cellStyle name="Notas 2 2 2 3 13" xfId="31555"/>
    <cellStyle name="Notas 2 2 2 3 2" xfId="31556"/>
    <cellStyle name="Notas 2 2 2 3 2 10" xfId="31557"/>
    <cellStyle name="Notas 2 2 2 3 2 10 2" xfId="31558"/>
    <cellStyle name="Notas 2 2 2 3 2 11" xfId="31559"/>
    <cellStyle name="Notas 2 2 2 3 2 2" xfId="31560"/>
    <cellStyle name="Notas 2 2 2 3 2 2 2" xfId="31561"/>
    <cellStyle name="Notas 2 2 2 3 2 3" xfId="31562"/>
    <cellStyle name="Notas 2 2 2 3 2 3 2" xfId="31563"/>
    <cellStyle name="Notas 2 2 2 3 2 4" xfId="31564"/>
    <cellStyle name="Notas 2 2 2 3 2 4 2" xfId="31565"/>
    <cellStyle name="Notas 2 2 2 3 2 5" xfId="31566"/>
    <cellStyle name="Notas 2 2 2 3 2 5 2" xfId="31567"/>
    <cellStyle name="Notas 2 2 2 3 2 6" xfId="31568"/>
    <cellStyle name="Notas 2 2 2 3 2 6 2" xfId="31569"/>
    <cellStyle name="Notas 2 2 2 3 2 7" xfId="31570"/>
    <cellStyle name="Notas 2 2 2 3 2 7 2" xfId="31571"/>
    <cellStyle name="Notas 2 2 2 3 2 8" xfId="31572"/>
    <cellStyle name="Notas 2 2 2 3 2 8 2" xfId="31573"/>
    <cellStyle name="Notas 2 2 2 3 2 9" xfId="31574"/>
    <cellStyle name="Notas 2 2 2 3 2 9 2" xfId="31575"/>
    <cellStyle name="Notas 2 2 2 3 3" xfId="31576"/>
    <cellStyle name="Notas 2 2 2 3 3 10" xfId="31577"/>
    <cellStyle name="Notas 2 2 2 3 3 10 2" xfId="31578"/>
    <cellStyle name="Notas 2 2 2 3 3 11" xfId="31579"/>
    <cellStyle name="Notas 2 2 2 3 3 2" xfId="31580"/>
    <cellStyle name="Notas 2 2 2 3 3 2 2" xfId="31581"/>
    <cellStyle name="Notas 2 2 2 3 3 3" xfId="31582"/>
    <cellStyle name="Notas 2 2 2 3 3 3 2" xfId="31583"/>
    <cellStyle name="Notas 2 2 2 3 3 4" xfId="31584"/>
    <cellStyle name="Notas 2 2 2 3 3 4 2" xfId="31585"/>
    <cellStyle name="Notas 2 2 2 3 3 5" xfId="31586"/>
    <cellStyle name="Notas 2 2 2 3 3 5 2" xfId="31587"/>
    <cellStyle name="Notas 2 2 2 3 3 6" xfId="31588"/>
    <cellStyle name="Notas 2 2 2 3 3 6 2" xfId="31589"/>
    <cellStyle name="Notas 2 2 2 3 3 7" xfId="31590"/>
    <cellStyle name="Notas 2 2 2 3 3 7 2" xfId="31591"/>
    <cellStyle name="Notas 2 2 2 3 3 8" xfId="31592"/>
    <cellStyle name="Notas 2 2 2 3 3 8 2" xfId="31593"/>
    <cellStyle name="Notas 2 2 2 3 3 9" xfId="31594"/>
    <cellStyle name="Notas 2 2 2 3 3 9 2" xfId="31595"/>
    <cellStyle name="Notas 2 2 2 3 4" xfId="31596"/>
    <cellStyle name="Notas 2 2 2 3 4 2" xfId="31597"/>
    <cellStyle name="Notas 2 2 2 3 5" xfId="31598"/>
    <cellStyle name="Notas 2 2 2 3 5 2" xfId="31599"/>
    <cellStyle name="Notas 2 2 2 3 6" xfId="31600"/>
    <cellStyle name="Notas 2 2 2 3 6 2" xfId="31601"/>
    <cellStyle name="Notas 2 2 2 3 7" xfId="31602"/>
    <cellStyle name="Notas 2 2 2 3 7 2" xfId="31603"/>
    <cellStyle name="Notas 2 2 2 3 8" xfId="31604"/>
    <cellStyle name="Notas 2 2 2 3 8 2" xfId="31605"/>
    <cellStyle name="Notas 2 2 2 3 9" xfId="31606"/>
    <cellStyle name="Notas 2 2 2 3 9 2" xfId="31607"/>
    <cellStyle name="Notas 2 2 2 4" xfId="31608"/>
    <cellStyle name="Notas 2 2 2 4 10" xfId="31609"/>
    <cellStyle name="Notas 2 2 2 4 10 2" xfId="31610"/>
    <cellStyle name="Notas 2 2 2 4 11" xfId="31611"/>
    <cellStyle name="Notas 2 2 2 4 2" xfId="31612"/>
    <cellStyle name="Notas 2 2 2 4 2 2" xfId="31613"/>
    <cellStyle name="Notas 2 2 2 4 3" xfId="31614"/>
    <cellStyle name="Notas 2 2 2 4 3 2" xfId="31615"/>
    <cellStyle name="Notas 2 2 2 4 4" xfId="31616"/>
    <cellStyle name="Notas 2 2 2 4 4 2" xfId="31617"/>
    <cellStyle name="Notas 2 2 2 4 5" xfId="31618"/>
    <cellStyle name="Notas 2 2 2 4 5 2" xfId="31619"/>
    <cellStyle name="Notas 2 2 2 4 6" xfId="31620"/>
    <cellStyle name="Notas 2 2 2 4 6 2" xfId="31621"/>
    <cellStyle name="Notas 2 2 2 4 7" xfId="31622"/>
    <cellStyle name="Notas 2 2 2 4 7 2" xfId="31623"/>
    <cellStyle name="Notas 2 2 2 4 8" xfId="31624"/>
    <cellStyle name="Notas 2 2 2 4 8 2" xfId="31625"/>
    <cellStyle name="Notas 2 2 2 4 9" xfId="31626"/>
    <cellStyle name="Notas 2 2 2 4 9 2" xfId="31627"/>
    <cellStyle name="Notas 2 2 2 5" xfId="31628"/>
    <cellStyle name="Notas 2 2 2 5 10" xfId="31629"/>
    <cellStyle name="Notas 2 2 2 5 10 2" xfId="31630"/>
    <cellStyle name="Notas 2 2 2 5 11" xfId="31631"/>
    <cellStyle name="Notas 2 2 2 5 2" xfId="31632"/>
    <cellStyle name="Notas 2 2 2 5 2 2" xfId="31633"/>
    <cellStyle name="Notas 2 2 2 5 3" xfId="31634"/>
    <cellStyle name="Notas 2 2 2 5 3 2" xfId="31635"/>
    <cellStyle name="Notas 2 2 2 5 4" xfId="31636"/>
    <cellStyle name="Notas 2 2 2 5 4 2" xfId="31637"/>
    <cellStyle name="Notas 2 2 2 5 5" xfId="31638"/>
    <cellStyle name="Notas 2 2 2 5 5 2" xfId="31639"/>
    <cellStyle name="Notas 2 2 2 5 6" xfId="31640"/>
    <cellStyle name="Notas 2 2 2 5 6 2" xfId="31641"/>
    <cellStyle name="Notas 2 2 2 5 7" xfId="31642"/>
    <cellStyle name="Notas 2 2 2 5 7 2" xfId="31643"/>
    <cellStyle name="Notas 2 2 2 5 8" xfId="31644"/>
    <cellStyle name="Notas 2 2 2 5 8 2" xfId="31645"/>
    <cellStyle name="Notas 2 2 2 5 9" xfId="31646"/>
    <cellStyle name="Notas 2 2 2 5 9 2" xfId="31647"/>
    <cellStyle name="Notas 2 2 2 6" xfId="31648"/>
    <cellStyle name="Notas 2 2 2 6 2" xfId="31649"/>
    <cellStyle name="Notas 2 2 2 7" xfId="31650"/>
    <cellStyle name="Notas 2 2 2 7 2" xfId="31651"/>
    <cellStyle name="Notas 2 2 2 8" xfId="31652"/>
    <cellStyle name="Notas 2 2 2 8 2" xfId="31653"/>
    <cellStyle name="Notas 2 2 2 9" xfId="31654"/>
    <cellStyle name="Notas 2 2 2 9 2" xfId="31655"/>
    <cellStyle name="Notas 2 2 20" xfId="31656"/>
    <cellStyle name="Notas 2 2 3" xfId="275"/>
    <cellStyle name="Notas 2 2 3 10" xfId="31657"/>
    <cellStyle name="Notas 2 2 3 10 2" xfId="31658"/>
    <cellStyle name="Notas 2 2 3 11" xfId="31659"/>
    <cellStyle name="Notas 2 2 3 11 2" xfId="31660"/>
    <cellStyle name="Notas 2 2 3 12" xfId="31661"/>
    <cellStyle name="Notas 2 2 3 12 2" xfId="31662"/>
    <cellStyle name="Notas 2 2 3 13" xfId="31663"/>
    <cellStyle name="Notas 2 2 3 13 2" xfId="31664"/>
    <cellStyle name="Notas 2 2 3 14" xfId="31665"/>
    <cellStyle name="Notas 2 2 3 14 2" xfId="31666"/>
    <cellStyle name="Notas 2 2 3 15" xfId="31667"/>
    <cellStyle name="Notas 2 2 3 2" xfId="31668"/>
    <cellStyle name="Notas 2 2 3 2 10" xfId="31669"/>
    <cellStyle name="Notas 2 2 3 2 10 2" xfId="31670"/>
    <cellStyle name="Notas 2 2 3 2 11" xfId="31671"/>
    <cellStyle name="Notas 2 2 3 2 11 2" xfId="31672"/>
    <cellStyle name="Notas 2 2 3 2 12" xfId="31673"/>
    <cellStyle name="Notas 2 2 3 2 12 2" xfId="31674"/>
    <cellStyle name="Notas 2 2 3 2 13" xfId="31675"/>
    <cellStyle name="Notas 2 2 3 2 2" xfId="31676"/>
    <cellStyle name="Notas 2 2 3 2 2 10" xfId="31677"/>
    <cellStyle name="Notas 2 2 3 2 2 10 2" xfId="31678"/>
    <cellStyle name="Notas 2 2 3 2 2 11" xfId="31679"/>
    <cellStyle name="Notas 2 2 3 2 2 2" xfId="31680"/>
    <cellStyle name="Notas 2 2 3 2 2 2 2" xfId="31681"/>
    <cellStyle name="Notas 2 2 3 2 2 3" xfId="31682"/>
    <cellStyle name="Notas 2 2 3 2 2 3 2" xfId="31683"/>
    <cellStyle name="Notas 2 2 3 2 2 4" xfId="31684"/>
    <cellStyle name="Notas 2 2 3 2 2 4 2" xfId="31685"/>
    <cellStyle name="Notas 2 2 3 2 2 5" xfId="31686"/>
    <cellStyle name="Notas 2 2 3 2 2 5 2" xfId="31687"/>
    <cellStyle name="Notas 2 2 3 2 2 6" xfId="31688"/>
    <cellStyle name="Notas 2 2 3 2 2 6 2" xfId="31689"/>
    <cellStyle name="Notas 2 2 3 2 2 7" xfId="31690"/>
    <cellStyle name="Notas 2 2 3 2 2 7 2" xfId="31691"/>
    <cellStyle name="Notas 2 2 3 2 2 8" xfId="31692"/>
    <cellStyle name="Notas 2 2 3 2 2 8 2" xfId="31693"/>
    <cellStyle name="Notas 2 2 3 2 2 9" xfId="31694"/>
    <cellStyle name="Notas 2 2 3 2 2 9 2" xfId="31695"/>
    <cellStyle name="Notas 2 2 3 2 3" xfId="31696"/>
    <cellStyle name="Notas 2 2 3 2 3 10" xfId="31697"/>
    <cellStyle name="Notas 2 2 3 2 3 10 2" xfId="31698"/>
    <cellStyle name="Notas 2 2 3 2 3 11" xfId="31699"/>
    <cellStyle name="Notas 2 2 3 2 3 2" xfId="31700"/>
    <cellStyle name="Notas 2 2 3 2 3 2 2" xfId="31701"/>
    <cellStyle name="Notas 2 2 3 2 3 3" xfId="31702"/>
    <cellStyle name="Notas 2 2 3 2 3 3 2" xfId="31703"/>
    <cellStyle name="Notas 2 2 3 2 3 4" xfId="31704"/>
    <cellStyle name="Notas 2 2 3 2 3 4 2" xfId="31705"/>
    <cellStyle name="Notas 2 2 3 2 3 5" xfId="31706"/>
    <cellStyle name="Notas 2 2 3 2 3 5 2" xfId="31707"/>
    <cellStyle name="Notas 2 2 3 2 3 6" xfId="31708"/>
    <cellStyle name="Notas 2 2 3 2 3 6 2" xfId="31709"/>
    <cellStyle name="Notas 2 2 3 2 3 7" xfId="31710"/>
    <cellStyle name="Notas 2 2 3 2 3 7 2" xfId="31711"/>
    <cellStyle name="Notas 2 2 3 2 3 8" xfId="31712"/>
    <cellStyle name="Notas 2 2 3 2 3 8 2" xfId="31713"/>
    <cellStyle name="Notas 2 2 3 2 3 9" xfId="31714"/>
    <cellStyle name="Notas 2 2 3 2 3 9 2" xfId="31715"/>
    <cellStyle name="Notas 2 2 3 2 4" xfId="31716"/>
    <cellStyle name="Notas 2 2 3 2 4 2" xfId="31717"/>
    <cellStyle name="Notas 2 2 3 2 5" xfId="31718"/>
    <cellStyle name="Notas 2 2 3 2 5 2" xfId="31719"/>
    <cellStyle name="Notas 2 2 3 2 6" xfId="31720"/>
    <cellStyle name="Notas 2 2 3 2 6 2" xfId="31721"/>
    <cellStyle name="Notas 2 2 3 2 7" xfId="31722"/>
    <cellStyle name="Notas 2 2 3 2 7 2" xfId="31723"/>
    <cellStyle name="Notas 2 2 3 2 8" xfId="31724"/>
    <cellStyle name="Notas 2 2 3 2 8 2" xfId="31725"/>
    <cellStyle name="Notas 2 2 3 2 9" xfId="31726"/>
    <cellStyle name="Notas 2 2 3 2 9 2" xfId="31727"/>
    <cellStyle name="Notas 2 2 3 3" xfId="31728"/>
    <cellStyle name="Notas 2 2 3 3 10" xfId="31729"/>
    <cellStyle name="Notas 2 2 3 3 10 2" xfId="31730"/>
    <cellStyle name="Notas 2 2 3 3 11" xfId="31731"/>
    <cellStyle name="Notas 2 2 3 3 11 2" xfId="31732"/>
    <cellStyle name="Notas 2 2 3 3 12" xfId="31733"/>
    <cellStyle name="Notas 2 2 3 3 12 2" xfId="31734"/>
    <cellStyle name="Notas 2 2 3 3 13" xfId="31735"/>
    <cellStyle name="Notas 2 2 3 3 2" xfId="31736"/>
    <cellStyle name="Notas 2 2 3 3 2 10" xfId="31737"/>
    <cellStyle name="Notas 2 2 3 3 2 10 2" xfId="31738"/>
    <cellStyle name="Notas 2 2 3 3 2 11" xfId="31739"/>
    <cellStyle name="Notas 2 2 3 3 2 2" xfId="31740"/>
    <cellStyle name="Notas 2 2 3 3 2 2 2" xfId="31741"/>
    <cellStyle name="Notas 2 2 3 3 2 3" xfId="31742"/>
    <cellStyle name="Notas 2 2 3 3 2 3 2" xfId="31743"/>
    <cellStyle name="Notas 2 2 3 3 2 4" xfId="31744"/>
    <cellStyle name="Notas 2 2 3 3 2 4 2" xfId="31745"/>
    <cellStyle name="Notas 2 2 3 3 2 5" xfId="31746"/>
    <cellStyle name="Notas 2 2 3 3 2 5 2" xfId="31747"/>
    <cellStyle name="Notas 2 2 3 3 2 6" xfId="31748"/>
    <cellStyle name="Notas 2 2 3 3 2 6 2" xfId="31749"/>
    <cellStyle name="Notas 2 2 3 3 2 7" xfId="31750"/>
    <cellStyle name="Notas 2 2 3 3 2 7 2" xfId="31751"/>
    <cellStyle name="Notas 2 2 3 3 2 8" xfId="31752"/>
    <cellStyle name="Notas 2 2 3 3 2 8 2" xfId="31753"/>
    <cellStyle name="Notas 2 2 3 3 2 9" xfId="31754"/>
    <cellStyle name="Notas 2 2 3 3 2 9 2" xfId="31755"/>
    <cellStyle name="Notas 2 2 3 3 3" xfId="31756"/>
    <cellStyle name="Notas 2 2 3 3 3 10" xfId="31757"/>
    <cellStyle name="Notas 2 2 3 3 3 10 2" xfId="31758"/>
    <cellStyle name="Notas 2 2 3 3 3 11" xfId="31759"/>
    <cellStyle name="Notas 2 2 3 3 3 2" xfId="31760"/>
    <cellStyle name="Notas 2 2 3 3 3 2 2" xfId="31761"/>
    <cellStyle name="Notas 2 2 3 3 3 3" xfId="31762"/>
    <cellStyle name="Notas 2 2 3 3 3 3 2" xfId="31763"/>
    <cellStyle name="Notas 2 2 3 3 3 4" xfId="31764"/>
    <cellStyle name="Notas 2 2 3 3 3 4 2" xfId="31765"/>
    <cellStyle name="Notas 2 2 3 3 3 5" xfId="31766"/>
    <cellStyle name="Notas 2 2 3 3 3 5 2" xfId="31767"/>
    <cellStyle name="Notas 2 2 3 3 3 6" xfId="31768"/>
    <cellStyle name="Notas 2 2 3 3 3 6 2" xfId="31769"/>
    <cellStyle name="Notas 2 2 3 3 3 7" xfId="31770"/>
    <cellStyle name="Notas 2 2 3 3 3 7 2" xfId="31771"/>
    <cellStyle name="Notas 2 2 3 3 3 8" xfId="31772"/>
    <cellStyle name="Notas 2 2 3 3 3 8 2" xfId="31773"/>
    <cellStyle name="Notas 2 2 3 3 3 9" xfId="31774"/>
    <cellStyle name="Notas 2 2 3 3 3 9 2" xfId="31775"/>
    <cellStyle name="Notas 2 2 3 3 4" xfId="31776"/>
    <cellStyle name="Notas 2 2 3 3 4 2" xfId="31777"/>
    <cellStyle name="Notas 2 2 3 3 5" xfId="31778"/>
    <cellStyle name="Notas 2 2 3 3 5 2" xfId="31779"/>
    <cellStyle name="Notas 2 2 3 3 6" xfId="31780"/>
    <cellStyle name="Notas 2 2 3 3 6 2" xfId="31781"/>
    <cellStyle name="Notas 2 2 3 3 7" xfId="31782"/>
    <cellStyle name="Notas 2 2 3 3 7 2" xfId="31783"/>
    <cellStyle name="Notas 2 2 3 3 8" xfId="31784"/>
    <cellStyle name="Notas 2 2 3 3 8 2" xfId="31785"/>
    <cellStyle name="Notas 2 2 3 3 9" xfId="31786"/>
    <cellStyle name="Notas 2 2 3 3 9 2" xfId="31787"/>
    <cellStyle name="Notas 2 2 3 4" xfId="31788"/>
    <cellStyle name="Notas 2 2 3 4 10" xfId="31789"/>
    <cellStyle name="Notas 2 2 3 4 10 2" xfId="31790"/>
    <cellStyle name="Notas 2 2 3 4 11" xfId="31791"/>
    <cellStyle name="Notas 2 2 3 4 2" xfId="31792"/>
    <cellStyle name="Notas 2 2 3 4 2 2" xfId="31793"/>
    <cellStyle name="Notas 2 2 3 4 3" xfId="31794"/>
    <cellStyle name="Notas 2 2 3 4 3 2" xfId="31795"/>
    <cellStyle name="Notas 2 2 3 4 4" xfId="31796"/>
    <cellStyle name="Notas 2 2 3 4 4 2" xfId="31797"/>
    <cellStyle name="Notas 2 2 3 4 5" xfId="31798"/>
    <cellStyle name="Notas 2 2 3 4 5 2" xfId="31799"/>
    <cellStyle name="Notas 2 2 3 4 6" xfId="31800"/>
    <cellStyle name="Notas 2 2 3 4 6 2" xfId="31801"/>
    <cellStyle name="Notas 2 2 3 4 7" xfId="31802"/>
    <cellStyle name="Notas 2 2 3 4 7 2" xfId="31803"/>
    <cellStyle name="Notas 2 2 3 4 8" xfId="31804"/>
    <cellStyle name="Notas 2 2 3 4 8 2" xfId="31805"/>
    <cellStyle name="Notas 2 2 3 4 9" xfId="31806"/>
    <cellStyle name="Notas 2 2 3 4 9 2" xfId="31807"/>
    <cellStyle name="Notas 2 2 3 5" xfId="31808"/>
    <cellStyle name="Notas 2 2 3 5 10" xfId="31809"/>
    <cellStyle name="Notas 2 2 3 5 10 2" xfId="31810"/>
    <cellStyle name="Notas 2 2 3 5 11" xfId="31811"/>
    <cellStyle name="Notas 2 2 3 5 2" xfId="31812"/>
    <cellStyle name="Notas 2 2 3 5 2 2" xfId="31813"/>
    <cellStyle name="Notas 2 2 3 5 3" xfId="31814"/>
    <cellStyle name="Notas 2 2 3 5 3 2" xfId="31815"/>
    <cellStyle name="Notas 2 2 3 5 4" xfId="31816"/>
    <cellStyle name="Notas 2 2 3 5 4 2" xfId="31817"/>
    <cellStyle name="Notas 2 2 3 5 5" xfId="31818"/>
    <cellStyle name="Notas 2 2 3 5 5 2" xfId="31819"/>
    <cellStyle name="Notas 2 2 3 5 6" xfId="31820"/>
    <cellStyle name="Notas 2 2 3 5 6 2" xfId="31821"/>
    <cellStyle name="Notas 2 2 3 5 7" xfId="31822"/>
    <cellStyle name="Notas 2 2 3 5 7 2" xfId="31823"/>
    <cellStyle name="Notas 2 2 3 5 8" xfId="31824"/>
    <cellStyle name="Notas 2 2 3 5 8 2" xfId="31825"/>
    <cellStyle name="Notas 2 2 3 5 9" xfId="31826"/>
    <cellStyle name="Notas 2 2 3 5 9 2" xfId="31827"/>
    <cellStyle name="Notas 2 2 3 6" xfId="31828"/>
    <cellStyle name="Notas 2 2 3 6 2" xfId="31829"/>
    <cellStyle name="Notas 2 2 3 7" xfId="31830"/>
    <cellStyle name="Notas 2 2 3 7 2" xfId="31831"/>
    <cellStyle name="Notas 2 2 3 8" xfId="31832"/>
    <cellStyle name="Notas 2 2 3 8 2" xfId="31833"/>
    <cellStyle name="Notas 2 2 3 9" xfId="31834"/>
    <cellStyle name="Notas 2 2 3 9 2" xfId="31835"/>
    <cellStyle name="Notas 2 2 4" xfId="31836"/>
    <cellStyle name="Notas 2 2 4 10" xfId="31837"/>
    <cellStyle name="Notas 2 2 4 10 2" xfId="31838"/>
    <cellStyle name="Notas 2 2 4 11" xfId="31839"/>
    <cellStyle name="Notas 2 2 4 11 2" xfId="31840"/>
    <cellStyle name="Notas 2 2 4 12" xfId="31841"/>
    <cellStyle name="Notas 2 2 4 12 2" xfId="31842"/>
    <cellStyle name="Notas 2 2 4 13" xfId="31843"/>
    <cellStyle name="Notas 2 2 4 13 2" xfId="31844"/>
    <cellStyle name="Notas 2 2 4 14" xfId="31845"/>
    <cellStyle name="Notas 2 2 4 14 2" xfId="31846"/>
    <cellStyle name="Notas 2 2 4 15" xfId="31847"/>
    <cellStyle name="Notas 2 2 4 2" xfId="31848"/>
    <cellStyle name="Notas 2 2 4 2 10" xfId="31849"/>
    <cellStyle name="Notas 2 2 4 2 10 2" xfId="31850"/>
    <cellStyle name="Notas 2 2 4 2 11" xfId="31851"/>
    <cellStyle name="Notas 2 2 4 2 11 2" xfId="31852"/>
    <cellStyle name="Notas 2 2 4 2 12" xfId="31853"/>
    <cellStyle name="Notas 2 2 4 2 12 2" xfId="31854"/>
    <cellStyle name="Notas 2 2 4 2 13" xfId="31855"/>
    <cellStyle name="Notas 2 2 4 2 2" xfId="31856"/>
    <cellStyle name="Notas 2 2 4 2 2 10" xfId="31857"/>
    <cellStyle name="Notas 2 2 4 2 2 10 2" xfId="31858"/>
    <cellStyle name="Notas 2 2 4 2 2 11" xfId="31859"/>
    <cellStyle name="Notas 2 2 4 2 2 2" xfId="31860"/>
    <cellStyle name="Notas 2 2 4 2 2 2 2" xfId="31861"/>
    <cellStyle name="Notas 2 2 4 2 2 3" xfId="31862"/>
    <cellStyle name="Notas 2 2 4 2 2 3 2" xfId="31863"/>
    <cellStyle name="Notas 2 2 4 2 2 4" xfId="31864"/>
    <cellStyle name="Notas 2 2 4 2 2 4 2" xfId="31865"/>
    <cellStyle name="Notas 2 2 4 2 2 5" xfId="31866"/>
    <cellStyle name="Notas 2 2 4 2 2 5 2" xfId="31867"/>
    <cellStyle name="Notas 2 2 4 2 2 6" xfId="31868"/>
    <cellStyle name="Notas 2 2 4 2 2 6 2" xfId="31869"/>
    <cellStyle name="Notas 2 2 4 2 2 7" xfId="31870"/>
    <cellStyle name="Notas 2 2 4 2 2 7 2" xfId="31871"/>
    <cellStyle name="Notas 2 2 4 2 2 8" xfId="31872"/>
    <cellStyle name="Notas 2 2 4 2 2 8 2" xfId="31873"/>
    <cellStyle name="Notas 2 2 4 2 2 9" xfId="31874"/>
    <cellStyle name="Notas 2 2 4 2 2 9 2" xfId="31875"/>
    <cellStyle name="Notas 2 2 4 2 3" xfId="31876"/>
    <cellStyle name="Notas 2 2 4 2 3 10" xfId="31877"/>
    <cellStyle name="Notas 2 2 4 2 3 10 2" xfId="31878"/>
    <cellStyle name="Notas 2 2 4 2 3 11" xfId="31879"/>
    <cellStyle name="Notas 2 2 4 2 3 2" xfId="31880"/>
    <cellStyle name="Notas 2 2 4 2 3 2 2" xfId="31881"/>
    <cellStyle name="Notas 2 2 4 2 3 3" xfId="31882"/>
    <cellStyle name="Notas 2 2 4 2 3 3 2" xfId="31883"/>
    <cellStyle name="Notas 2 2 4 2 3 4" xfId="31884"/>
    <cellStyle name="Notas 2 2 4 2 3 4 2" xfId="31885"/>
    <cellStyle name="Notas 2 2 4 2 3 5" xfId="31886"/>
    <cellStyle name="Notas 2 2 4 2 3 5 2" xfId="31887"/>
    <cellStyle name="Notas 2 2 4 2 3 6" xfId="31888"/>
    <cellStyle name="Notas 2 2 4 2 3 6 2" xfId="31889"/>
    <cellStyle name="Notas 2 2 4 2 3 7" xfId="31890"/>
    <cellStyle name="Notas 2 2 4 2 3 7 2" xfId="31891"/>
    <cellStyle name="Notas 2 2 4 2 3 8" xfId="31892"/>
    <cellStyle name="Notas 2 2 4 2 3 8 2" xfId="31893"/>
    <cellStyle name="Notas 2 2 4 2 3 9" xfId="31894"/>
    <cellStyle name="Notas 2 2 4 2 3 9 2" xfId="31895"/>
    <cellStyle name="Notas 2 2 4 2 4" xfId="31896"/>
    <cellStyle name="Notas 2 2 4 2 4 2" xfId="31897"/>
    <cellStyle name="Notas 2 2 4 2 5" xfId="31898"/>
    <cellStyle name="Notas 2 2 4 2 5 2" xfId="31899"/>
    <cellStyle name="Notas 2 2 4 2 6" xfId="31900"/>
    <cellStyle name="Notas 2 2 4 2 6 2" xfId="31901"/>
    <cellStyle name="Notas 2 2 4 2 7" xfId="31902"/>
    <cellStyle name="Notas 2 2 4 2 7 2" xfId="31903"/>
    <cellStyle name="Notas 2 2 4 2 8" xfId="31904"/>
    <cellStyle name="Notas 2 2 4 2 8 2" xfId="31905"/>
    <cellStyle name="Notas 2 2 4 2 9" xfId="31906"/>
    <cellStyle name="Notas 2 2 4 2 9 2" xfId="31907"/>
    <cellStyle name="Notas 2 2 4 3" xfId="31908"/>
    <cellStyle name="Notas 2 2 4 3 10" xfId="31909"/>
    <cellStyle name="Notas 2 2 4 3 10 2" xfId="31910"/>
    <cellStyle name="Notas 2 2 4 3 11" xfId="31911"/>
    <cellStyle name="Notas 2 2 4 3 11 2" xfId="31912"/>
    <cellStyle name="Notas 2 2 4 3 12" xfId="31913"/>
    <cellStyle name="Notas 2 2 4 3 12 2" xfId="31914"/>
    <cellStyle name="Notas 2 2 4 3 13" xfId="31915"/>
    <cellStyle name="Notas 2 2 4 3 2" xfId="31916"/>
    <cellStyle name="Notas 2 2 4 3 2 10" xfId="31917"/>
    <cellStyle name="Notas 2 2 4 3 2 10 2" xfId="31918"/>
    <cellStyle name="Notas 2 2 4 3 2 11" xfId="31919"/>
    <cellStyle name="Notas 2 2 4 3 2 2" xfId="31920"/>
    <cellStyle name="Notas 2 2 4 3 2 2 2" xfId="31921"/>
    <cellStyle name="Notas 2 2 4 3 2 3" xfId="31922"/>
    <cellStyle name="Notas 2 2 4 3 2 3 2" xfId="31923"/>
    <cellStyle name="Notas 2 2 4 3 2 4" xfId="31924"/>
    <cellStyle name="Notas 2 2 4 3 2 4 2" xfId="31925"/>
    <cellStyle name="Notas 2 2 4 3 2 5" xfId="31926"/>
    <cellStyle name="Notas 2 2 4 3 2 5 2" xfId="31927"/>
    <cellStyle name="Notas 2 2 4 3 2 6" xfId="31928"/>
    <cellStyle name="Notas 2 2 4 3 2 6 2" xfId="31929"/>
    <cellStyle name="Notas 2 2 4 3 2 7" xfId="31930"/>
    <cellStyle name="Notas 2 2 4 3 2 7 2" xfId="31931"/>
    <cellStyle name="Notas 2 2 4 3 2 8" xfId="31932"/>
    <cellStyle name="Notas 2 2 4 3 2 8 2" xfId="31933"/>
    <cellStyle name="Notas 2 2 4 3 2 9" xfId="31934"/>
    <cellStyle name="Notas 2 2 4 3 2 9 2" xfId="31935"/>
    <cellStyle name="Notas 2 2 4 3 3" xfId="31936"/>
    <cellStyle name="Notas 2 2 4 3 3 10" xfId="31937"/>
    <cellStyle name="Notas 2 2 4 3 3 10 2" xfId="31938"/>
    <cellStyle name="Notas 2 2 4 3 3 11" xfId="31939"/>
    <cellStyle name="Notas 2 2 4 3 3 2" xfId="31940"/>
    <cellStyle name="Notas 2 2 4 3 3 2 2" xfId="31941"/>
    <cellStyle name="Notas 2 2 4 3 3 3" xfId="31942"/>
    <cellStyle name="Notas 2 2 4 3 3 3 2" xfId="31943"/>
    <cellStyle name="Notas 2 2 4 3 3 4" xfId="31944"/>
    <cellStyle name="Notas 2 2 4 3 3 4 2" xfId="31945"/>
    <cellStyle name="Notas 2 2 4 3 3 5" xfId="31946"/>
    <cellStyle name="Notas 2 2 4 3 3 5 2" xfId="31947"/>
    <cellStyle name="Notas 2 2 4 3 3 6" xfId="31948"/>
    <cellStyle name="Notas 2 2 4 3 3 6 2" xfId="31949"/>
    <cellStyle name="Notas 2 2 4 3 3 7" xfId="31950"/>
    <cellStyle name="Notas 2 2 4 3 3 7 2" xfId="31951"/>
    <cellStyle name="Notas 2 2 4 3 3 8" xfId="31952"/>
    <cellStyle name="Notas 2 2 4 3 3 8 2" xfId="31953"/>
    <cellStyle name="Notas 2 2 4 3 3 9" xfId="31954"/>
    <cellStyle name="Notas 2 2 4 3 3 9 2" xfId="31955"/>
    <cellStyle name="Notas 2 2 4 3 4" xfId="31956"/>
    <cellStyle name="Notas 2 2 4 3 4 2" xfId="31957"/>
    <cellStyle name="Notas 2 2 4 3 5" xfId="31958"/>
    <cellStyle name="Notas 2 2 4 3 5 2" xfId="31959"/>
    <cellStyle name="Notas 2 2 4 3 6" xfId="31960"/>
    <cellStyle name="Notas 2 2 4 3 6 2" xfId="31961"/>
    <cellStyle name="Notas 2 2 4 3 7" xfId="31962"/>
    <cellStyle name="Notas 2 2 4 3 7 2" xfId="31963"/>
    <cellStyle name="Notas 2 2 4 3 8" xfId="31964"/>
    <cellStyle name="Notas 2 2 4 3 8 2" xfId="31965"/>
    <cellStyle name="Notas 2 2 4 3 9" xfId="31966"/>
    <cellStyle name="Notas 2 2 4 3 9 2" xfId="31967"/>
    <cellStyle name="Notas 2 2 4 4" xfId="31968"/>
    <cellStyle name="Notas 2 2 4 4 10" xfId="31969"/>
    <cellStyle name="Notas 2 2 4 4 10 2" xfId="31970"/>
    <cellStyle name="Notas 2 2 4 4 11" xfId="31971"/>
    <cellStyle name="Notas 2 2 4 4 2" xfId="31972"/>
    <cellStyle name="Notas 2 2 4 4 2 2" xfId="31973"/>
    <cellStyle name="Notas 2 2 4 4 3" xfId="31974"/>
    <cellStyle name="Notas 2 2 4 4 3 2" xfId="31975"/>
    <cellStyle name="Notas 2 2 4 4 4" xfId="31976"/>
    <cellStyle name="Notas 2 2 4 4 4 2" xfId="31977"/>
    <cellStyle name="Notas 2 2 4 4 5" xfId="31978"/>
    <cellStyle name="Notas 2 2 4 4 5 2" xfId="31979"/>
    <cellStyle name="Notas 2 2 4 4 6" xfId="31980"/>
    <cellStyle name="Notas 2 2 4 4 6 2" xfId="31981"/>
    <cellStyle name="Notas 2 2 4 4 7" xfId="31982"/>
    <cellStyle name="Notas 2 2 4 4 7 2" xfId="31983"/>
    <cellStyle name="Notas 2 2 4 4 8" xfId="31984"/>
    <cellStyle name="Notas 2 2 4 4 8 2" xfId="31985"/>
    <cellStyle name="Notas 2 2 4 4 9" xfId="31986"/>
    <cellStyle name="Notas 2 2 4 4 9 2" xfId="31987"/>
    <cellStyle name="Notas 2 2 4 5" xfId="31988"/>
    <cellStyle name="Notas 2 2 4 5 10" xfId="31989"/>
    <cellStyle name="Notas 2 2 4 5 10 2" xfId="31990"/>
    <cellStyle name="Notas 2 2 4 5 11" xfId="31991"/>
    <cellStyle name="Notas 2 2 4 5 2" xfId="31992"/>
    <cellStyle name="Notas 2 2 4 5 2 2" xfId="31993"/>
    <cellStyle name="Notas 2 2 4 5 3" xfId="31994"/>
    <cellStyle name="Notas 2 2 4 5 3 2" xfId="31995"/>
    <cellStyle name="Notas 2 2 4 5 4" xfId="31996"/>
    <cellStyle name="Notas 2 2 4 5 4 2" xfId="31997"/>
    <cellStyle name="Notas 2 2 4 5 5" xfId="31998"/>
    <cellStyle name="Notas 2 2 4 5 5 2" xfId="31999"/>
    <cellStyle name="Notas 2 2 4 5 6" xfId="32000"/>
    <cellStyle name="Notas 2 2 4 5 6 2" xfId="32001"/>
    <cellStyle name="Notas 2 2 4 5 7" xfId="32002"/>
    <cellStyle name="Notas 2 2 4 5 7 2" xfId="32003"/>
    <cellStyle name="Notas 2 2 4 5 8" xfId="32004"/>
    <cellStyle name="Notas 2 2 4 5 8 2" xfId="32005"/>
    <cellStyle name="Notas 2 2 4 5 9" xfId="32006"/>
    <cellStyle name="Notas 2 2 4 5 9 2" xfId="32007"/>
    <cellStyle name="Notas 2 2 4 6" xfId="32008"/>
    <cellStyle name="Notas 2 2 4 6 2" xfId="32009"/>
    <cellStyle name="Notas 2 2 4 7" xfId="32010"/>
    <cellStyle name="Notas 2 2 4 7 2" xfId="32011"/>
    <cellStyle name="Notas 2 2 4 8" xfId="32012"/>
    <cellStyle name="Notas 2 2 4 8 2" xfId="32013"/>
    <cellStyle name="Notas 2 2 4 9" xfId="32014"/>
    <cellStyle name="Notas 2 2 4 9 2" xfId="32015"/>
    <cellStyle name="Notas 2 2 5" xfId="32016"/>
    <cellStyle name="Notas 2 2 5 10" xfId="32017"/>
    <cellStyle name="Notas 2 2 5 10 2" xfId="32018"/>
    <cellStyle name="Notas 2 2 5 11" xfId="32019"/>
    <cellStyle name="Notas 2 2 5 11 2" xfId="32020"/>
    <cellStyle name="Notas 2 2 5 12" xfId="32021"/>
    <cellStyle name="Notas 2 2 5 12 2" xfId="32022"/>
    <cellStyle name="Notas 2 2 5 13" xfId="32023"/>
    <cellStyle name="Notas 2 2 5 13 2" xfId="32024"/>
    <cellStyle name="Notas 2 2 5 14" xfId="32025"/>
    <cellStyle name="Notas 2 2 5 14 2" xfId="32026"/>
    <cellStyle name="Notas 2 2 5 15" xfId="32027"/>
    <cellStyle name="Notas 2 2 5 2" xfId="32028"/>
    <cellStyle name="Notas 2 2 5 2 10" xfId="32029"/>
    <cellStyle name="Notas 2 2 5 2 10 2" xfId="32030"/>
    <cellStyle name="Notas 2 2 5 2 11" xfId="32031"/>
    <cellStyle name="Notas 2 2 5 2 11 2" xfId="32032"/>
    <cellStyle name="Notas 2 2 5 2 12" xfId="32033"/>
    <cellStyle name="Notas 2 2 5 2 12 2" xfId="32034"/>
    <cellStyle name="Notas 2 2 5 2 13" xfId="32035"/>
    <cellStyle name="Notas 2 2 5 2 2" xfId="32036"/>
    <cellStyle name="Notas 2 2 5 2 2 10" xfId="32037"/>
    <cellStyle name="Notas 2 2 5 2 2 10 2" xfId="32038"/>
    <cellStyle name="Notas 2 2 5 2 2 11" xfId="32039"/>
    <cellStyle name="Notas 2 2 5 2 2 2" xfId="32040"/>
    <cellStyle name="Notas 2 2 5 2 2 2 2" xfId="32041"/>
    <cellStyle name="Notas 2 2 5 2 2 3" xfId="32042"/>
    <cellStyle name="Notas 2 2 5 2 2 3 2" xfId="32043"/>
    <cellStyle name="Notas 2 2 5 2 2 4" xfId="32044"/>
    <cellStyle name="Notas 2 2 5 2 2 4 2" xfId="32045"/>
    <cellStyle name="Notas 2 2 5 2 2 5" xfId="32046"/>
    <cellStyle name="Notas 2 2 5 2 2 5 2" xfId="32047"/>
    <cellStyle name="Notas 2 2 5 2 2 6" xfId="32048"/>
    <cellStyle name="Notas 2 2 5 2 2 6 2" xfId="32049"/>
    <cellStyle name="Notas 2 2 5 2 2 7" xfId="32050"/>
    <cellStyle name="Notas 2 2 5 2 2 7 2" xfId="32051"/>
    <cellStyle name="Notas 2 2 5 2 2 8" xfId="32052"/>
    <cellStyle name="Notas 2 2 5 2 2 8 2" xfId="32053"/>
    <cellStyle name="Notas 2 2 5 2 2 9" xfId="32054"/>
    <cellStyle name="Notas 2 2 5 2 2 9 2" xfId="32055"/>
    <cellStyle name="Notas 2 2 5 2 3" xfId="32056"/>
    <cellStyle name="Notas 2 2 5 2 3 10" xfId="32057"/>
    <cellStyle name="Notas 2 2 5 2 3 10 2" xfId="32058"/>
    <cellStyle name="Notas 2 2 5 2 3 11" xfId="32059"/>
    <cellStyle name="Notas 2 2 5 2 3 2" xfId="32060"/>
    <cellStyle name="Notas 2 2 5 2 3 2 2" xfId="32061"/>
    <cellStyle name="Notas 2 2 5 2 3 3" xfId="32062"/>
    <cellStyle name="Notas 2 2 5 2 3 3 2" xfId="32063"/>
    <cellStyle name="Notas 2 2 5 2 3 4" xfId="32064"/>
    <cellStyle name="Notas 2 2 5 2 3 4 2" xfId="32065"/>
    <cellStyle name="Notas 2 2 5 2 3 5" xfId="32066"/>
    <cellStyle name="Notas 2 2 5 2 3 5 2" xfId="32067"/>
    <cellStyle name="Notas 2 2 5 2 3 6" xfId="32068"/>
    <cellStyle name="Notas 2 2 5 2 3 6 2" xfId="32069"/>
    <cellStyle name="Notas 2 2 5 2 3 7" xfId="32070"/>
    <cellStyle name="Notas 2 2 5 2 3 7 2" xfId="32071"/>
    <cellStyle name="Notas 2 2 5 2 3 8" xfId="32072"/>
    <cellStyle name="Notas 2 2 5 2 3 8 2" xfId="32073"/>
    <cellStyle name="Notas 2 2 5 2 3 9" xfId="32074"/>
    <cellStyle name="Notas 2 2 5 2 3 9 2" xfId="32075"/>
    <cellStyle name="Notas 2 2 5 2 4" xfId="32076"/>
    <cellStyle name="Notas 2 2 5 2 4 2" xfId="32077"/>
    <cellStyle name="Notas 2 2 5 2 5" xfId="32078"/>
    <cellStyle name="Notas 2 2 5 2 5 2" xfId="32079"/>
    <cellStyle name="Notas 2 2 5 2 6" xfId="32080"/>
    <cellStyle name="Notas 2 2 5 2 6 2" xfId="32081"/>
    <cellStyle name="Notas 2 2 5 2 7" xfId="32082"/>
    <cellStyle name="Notas 2 2 5 2 7 2" xfId="32083"/>
    <cellStyle name="Notas 2 2 5 2 8" xfId="32084"/>
    <cellStyle name="Notas 2 2 5 2 8 2" xfId="32085"/>
    <cellStyle name="Notas 2 2 5 2 9" xfId="32086"/>
    <cellStyle name="Notas 2 2 5 2 9 2" xfId="32087"/>
    <cellStyle name="Notas 2 2 5 3" xfId="32088"/>
    <cellStyle name="Notas 2 2 5 3 10" xfId="32089"/>
    <cellStyle name="Notas 2 2 5 3 10 2" xfId="32090"/>
    <cellStyle name="Notas 2 2 5 3 11" xfId="32091"/>
    <cellStyle name="Notas 2 2 5 3 11 2" xfId="32092"/>
    <cellStyle name="Notas 2 2 5 3 12" xfId="32093"/>
    <cellStyle name="Notas 2 2 5 3 12 2" xfId="32094"/>
    <cellStyle name="Notas 2 2 5 3 13" xfId="32095"/>
    <cellStyle name="Notas 2 2 5 3 2" xfId="32096"/>
    <cellStyle name="Notas 2 2 5 3 2 10" xfId="32097"/>
    <cellStyle name="Notas 2 2 5 3 2 10 2" xfId="32098"/>
    <cellStyle name="Notas 2 2 5 3 2 11" xfId="32099"/>
    <cellStyle name="Notas 2 2 5 3 2 2" xfId="32100"/>
    <cellStyle name="Notas 2 2 5 3 2 2 2" xfId="32101"/>
    <cellStyle name="Notas 2 2 5 3 2 3" xfId="32102"/>
    <cellStyle name="Notas 2 2 5 3 2 3 2" xfId="32103"/>
    <cellStyle name="Notas 2 2 5 3 2 4" xfId="32104"/>
    <cellStyle name="Notas 2 2 5 3 2 4 2" xfId="32105"/>
    <cellStyle name="Notas 2 2 5 3 2 5" xfId="32106"/>
    <cellStyle name="Notas 2 2 5 3 2 5 2" xfId="32107"/>
    <cellStyle name="Notas 2 2 5 3 2 6" xfId="32108"/>
    <cellStyle name="Notas 2 2 5 3 2 6 2" xfId="32109"/>
    <cellStyle name="Notas 2 2 5 3 2 7" xfId="32110"/>
    <cellStyle name="Notas 2 2 5 3 2 7 2" xfId="32111"/>
    <cellStyle name="Notas 2 2 5 3 2 8" xfId="32112"/>
    <cellStyle name="Notas 2 2 5 3 2 8 2" xfId="32113"/>
    <cellStyle name="Notas 2 2 5 3 2 9" xfId="32114"/>
    <cellStyle name="Notas 2 2 5 3 2 9 2" xfId="32115"/>
    <cellStyle name="Notas 2 2 5 3 3" xfId="32116"/>
    <cellStyle name="Notas 2 2 5 3 3 10" xfId="32117"/>
    <cellStyle name="Notas 2 2 5 3 3 10 2" xfId="32118"/>
    <cellStyle name="Notas 2 2 5 3 3 11" xfId="32119"/>
    <cellStyle name="Notas 2 2 5 3 3 2" xfId="32120"/>
    <cellStyle name="Notas 2 2 5 3 3 2 2" xfId="32121"/>
    <cellStyle name="Notas 2 2 5 3 3 3" xfId="32122"/>
    <cellStyle name="Notas 2 2 5 3 3 3 2" xfId="32123"/>
    <cellStyle name="Notas 2 2 5 3 3 4" xfId="32124"/>
    <cellStyle name="Notas 2 2 5 3 3 4 2" xfId="32125"/>
    <cellStyle name="Notas 2 2 5 3 3 5" xfId="32126"/>
    <cellStyle name="Notas 2 2 5 3 3 5 2" xfId="32127"/>
    <cellStyle name="Notas 2 2 5 3 3 6" xfId="32128"/>
    <cellStyle name="Notas 2 2 5 3 3 6 2" xfId="32129"/>
    <cellStyle name="Notas 2 2 5 3 3 7" xfId="32130"/>
    <cellStyle name="Notas 2 2 5 3 3 7 2" xfId="32131"/>
    <cellStyle name="Notas 2 2 5 3 3 8" xfId="32132"/>
    <cellStyle name="Notas 2 2 5 3 3 8 2" xfId="32133"/>
    <cellStyle name="Notas 2 2 5 3 3 9" xfId="32134"/>
    <cellStyle name="Notas 2 2 5 3 3 9 2" xfId="32135"/>
    <cellStyle name="Notas 2 2 5 3 4" xfId="32136"/>
    <cellStyle name="Notas 2 2 5 3 4 2" xfId="32137"/>
    <cellStyle name="Notas 2 2 5 3 5" xfId="32138"/>
    <cellStyle name="Notas 2 2 5 3 5 2" xfId="32139"/>
    <cellStyle name="Notas 2 2 5 3 6" xfId="32140"/>
    <cellStyle name="Notas 2 2 5 3 6 2" xfId="32141"/>
    <cellStyle name="Notas 2 2 5 3 7" xfId="32142"/>
    <cellStyle name="Notas 2 2 5 3 7 2" xfId="32143"/>
    <cellStyle name="Notas 2 2 5 3 8" xfId="32144"/>
    <cellStyle name="Notas 2 2 5 3 8 2" xfId="32145"/>
    <cellStyle name="Notas 2 2 5 3 9" xfId="32146"/>
    <cellStyle name="Notas 2 2 5 3 9 2" xfId="32147"/>
    <cellStyle name="Notas 2 2 5 4" xfId="32148"/>
    <cellStyle name="Notas 2 2 5 4 10" xfId="32149"/>
    <cellStyle name="Notas 2 2 5 4 10 2" xfId="32150"/>
    <cellStyle name="Notas 2 2 5 4 11" xfId="32151"/>
    <cellStyle name="Notas 2 2 5 4 2" xfId="32152"/>
    <cellStyle name="Notas 2 2 5 4 2 2" xfId="32153"/>
    <cellStyle name="Notas 2 2 5 4 3" xfId="32154"/>
    <cellStyle name="Notas 2 2 5 4 3 2" xfId="32155"/>
    <cellStyle name="Notas 2 2 5 4 4" xfId="32156"/>
    <cellStyle name="Notas 2 2 5 4 4 2" xfId="32157"/>
    <cellStyle name="Notas 2 2 5 4 5" xfId="32158"/>
    <cellStyle name="Notas 2 2 5 4 5 2" xfId="32159"/>
    <cellStyle name="Notas 2 2 5 4 6" xfId="32160"/>
    <cellStyle name="Notas 2 2 5 4 6 2" xfId="32161"/>
    <cellStyle name="Notas 2 2 5 4 7" xfId="32162"/>
    <cellStyle name="Notas 2 2 5 4 7 2" xfId="32163"/>
    <cellStyle name="Notas 2 2 5 4 8" xfId="32164"/>
    <cellStyle name="Notas 2 2 5 4 8 2" xfId="32165"/>
    <cellStyle name="Notas 2 2 5 4 9" xfId="32166"/>
    <cellStyle name="Notas 2 2 5 4 9 2" xfId="32167"/>
    <cellStyle name="Notas 2 2 5 5" xfId="32168"/>
    <cellStyle name="Notas 2 2 5 5 10" xfId="32169"/>
    <cellStyle name="Notas 2 2 5 5 10 2" xfId="32170"/>
    <cellStyle name="Notas 2 2 5 5 11" xfId="32171"/>
    <cellStyle name="Notas 2 2 5 5 2" xfId="32172"/>
    <cellStyle name="Notas 2 2 5 5 2 2" xfId="32173"/>
    <cellStyle name="Notas 2 2 5 5 3" xfId="32174"/>
    <cellStyle name="Notas 2 2 5 5 3 2" xfId="32175"/>
    <cellStyle name="Notas 2 2 5 5 4" xfId="32176"/>
    <cellStyle name="Notas 2 2 5 5 4 2" xfId="32177"/>
    <cellStyle name="Notas 2 2 5 5 5" xfId="32178"/>
    <cellStyle name="Notas 2 2 5 5 5 2" xfId="32179"/>
    <cellStyle name="Notas 2 2 5 5 6" xfId="32180"/>
    <cellStyle name="Notas 2 2 5 5 6 2" xfId="32181"/>
    <cellStyle name="Notas 2 2 5 5 7" xfId="32182"/>
    <cellStyle name="Notas 2 2 5 5 7 2" xfId="32183"/>
    <cellStyle name="Notas 2 2 5 5 8" xfId="32184"/>
    <cellStyle name="Notas 2 2 5 5 8 2" xfId="32185"/>
    <cellStyle name="Notas 2 2 5 5 9" xfId="32186"/>
    <cellStyle name="Notas 2 2 5 5 9 2" xfId="32187"/>
    <cellStyle name="Notas 2 2 5 6" xfId="32188"/>
    <cellStyle name="Notas 2 2 5 6 2" xfId="32189"/>
    <cellStyle name="Notas 2 2 5 7" xfId="32190"/>
    <cellStyle name="Notas 2 2 5 7 2" xfId="32191"/>
    <cellStyle name="Notas 2 2 5 8" xfId="32192"/>
    <cellStyle name="Notas 2 2 5 8 2" xfId="32193"/>
    <cellStyle name="Notas 2 2 5 9" xfId="32194"/>
    <cellStyle name="Notas 2 2 5 9 2" xfId="32195"/>
    <cellStyle name="Notas 2 2 6" xfId="32196"/>
    <cellStyle name="Notas 2 2 6 10" xfId="32197"/>
    <cellStyle name="Notas 2 2 6 10 2" xfId="32198"/>
    <cellStyle name="Notas 2 2 6 11" xfId="32199"/>
    <cellStyle name="Notas 2 2 6 11 2" xfId="32200"/>
    <cellStyle name="Notas 2 2 6 12" xfId="32201"/>
    <cellStyle name="Notas 2 2 6 12 2" xfId="32202"/>
    <cellStyle name="Notas 2 2 6 13" xfId="32203"/>
    <cellStyle name="Notas 2 2 6 2" xfId="32204"/>
    <cellStyle name="Notas 2 2 6 2 10" xfId="32205"/>
    <cellStyle name="Notas 2 2 6 2 10 2" xfId="32206"/>
    <cellStyle name="Notas 2 2 6 2 11" xfId="32207"/>
    <cellStyle name="Notas 2 2 6 2 2" xfId="32208"/>
    <cellStyle name="Notas 2 2 6 2 2 2" xfId="32209"/>
    <cellStyle name="Notas 2 2 6 2 3" xfId="32210"/>
    <cellStyle name="Notas 2 2 6 2 3 2" xfId="32211"/>
    <cellStyle name="Notas 2 2 6 2 4" xfId="32212"/>
    <cellStyle name="Notas 2 2 6 2 4 2" xfId="32213"/>
    <cellStyle name="Notas 2 2 6 2 5" xfId="32214"/>
    <cellStyle name="Notas 2 2 6 2 5 2" xfId="32215"/>
    <cellStyle name="Notas 2 2 6 2 6" xfId="32216"/>
    <cellStyle name="Notas 2 2 6 2 6 2" xfId="32217"/>
    <cellStyle name="Notas 2 2 6 2 7" xfId="32218"/>
    <cellStyle name="Notas 2 2 6 2 7 2" xfId="32219"/>
    <cellStyle name="Notas 2 2 6 2 8" xfId="32220"/>
    <cellStyle name="Notas 2 2 6 2 8 2" xfId="32221"/>
    <cellStyle name="Notas 2 2 6 2 9" xfId="32222"/>
    <cellStyle name="Notas 2 2 6 2 9 2" xfId="32223"/>
    <cellStyle name="Notas 2 2 6 3" xfId="32224"/>
    <cellStyle name="Notas 2 2 6 3 10" xfId="32225"/>
    <cellStyle name="Notas 2 2 6 3 10 2" xfId="32226"/>
    <cellStyle name="Notas 2 2 6 3 11" xfId="32227"/>
    <cellStyle name="Notas 2 2 6 3 2" xfId="32228"/>
    <cellStyle name="Notas 2 2 6 3 2 2" xfId="32229"/>
    <cellStyle name="Notas 2 2 6 3 3" xfId="32230"/>
    <cellStyle name="Notas 2 2 6 3 3 2" xfId="32231"/>
    <cellStyle name="Notas 2 2 6 3 4" xfId="32232"/>
    <cellStyle name="Notas 2 2 6 3 4 2" xfId="32233"/>
    <cellStyle name="Notas 2 2 6 3 5" xfId="32234"/>
    <cellStyle name="Notas 2 2 6 3 5 2" xfId="32235"/>
    <cellStyle name="Notas 2 2 6 3 6" xfId="32236"/>
    <cellStyle name="Notas 2 2 6 3 6 2" xfId="32237"/>
    <cellStyle name="Notas 2 2 6 3 7" xfId="32238"/>
    <cellStyle name="Notas 2 2 6 3 7 2" xfId="32239"/>
    <cellStyle name="Notas 2 2 6 3 8" xfId="32240"/>
    <cellStyle name="Notas 2 2 6 3 8 2" xfId="32241"/>
    <cellStyle name="Notas 2 2 6 3 9" xfId="32242"/>
    <cellStyle name="Notas 2 2 6 3 9 2" xfId="32243"/>
    <cellStyle name="Notas 2 2 6 4" xfId="32244"/>
    <cellStyle name="Notas 2 2 6 4 2" xfId="32245"/>
    <cellStyle name="Notas 2 2 6 5" xfId="32246"/>
    <cellStyle name="Notas 2 2 6 5 2" xfId="32247"/>
    <cellStyle name="Notas 2 2 6 6" xfId="32248"/>
    <cellStyle name="Notas 2 2 6 6 2" xfId="32249"/>
    <cellStyle name="Notas 2 2 6 7" xfId="32250"/>
    <cellStyle name="Notas 2 2 6 7 2" xfId="32251"/>
    <cellStyle name="Notas 2 2 6 8" xfId="32252"/>
    <cellStyle name="Notas 2 2 6 8 2" xfId="32253"/>
    <cellStyle name="Notas 2 2 6 9" xfId="32254"/>
    <cellStyle name="Notas 2 2 6 9 2" xfId="32255"/>
    <cellStyle name="Notas 2 2 7" xfId="32256"/>
    <cellStyle name="Notas 2 2 7 10" xfId="32257"/>
    <cellStyle name="Notas 2 2 7 10 2" xfId="32258"/>
    <cellStyle name="Notas 2 2 7 11" xfId="32259"/>
    <cellStyle name="Notas 2 2 7 11 2" xfId="32260"/>
    <cellStyle name="Notas 2 2 7 12" xfId="32261"/>
    <cellStyle name="Notas 2 2 7 12 2" xfId="32262"/>
    <cellStyle name="Notas 2 2 7 13" xfId="32263"/>
    <cellStyle name="Notas 2 2 7 2" xfId="32264"/>
    <cellStyle name="Notas 2 2 7 2 10" xfId="32265"/>
    <cellStyle name="Notas 2 2 7 2 10 2" xfId="32266"/>
    <cellStyle name="Notas 2 2 7 2 11" xfId="32267"/>
    <cellStyle name="Notas 2 2 7 2 2" xfId="32268"/>
    <cellStyle name="Notas 2 2 7 2 2 2" xfId="32269"/>
    <cellStyle name="Notas 2 2 7 2 3" xfId="32270"/>
    <cellStyle name="Notas 2 2 7 2 3 2" xfId="32271"/>
    <cellStyle name="Notas 2 2 7 2 4" xfId="32272"/>
    <cellStyle name="Notas 2 2 7 2 4 2" xfId="32273"/>
    <cellStyle name="Notas 2 2 7 2 5" xfId="32274"/>
    <cellStyle name="Notas 2 2 7 2 5 2" xfId="32275"/>
    <cellStyle name="Notas 2 2 7 2 6" xfId="32276"/>
    <cellStyle name="Notas 2 2 7 2 6 2" xfId="32277"/>
    <cellStyle name="Notas 2 2 7 2 7" xfId="32278"/>
    <cellStyle name="Notas 2 2 7 2 7 2" xfId="32279"/>
    <cellStyle name="Notas 2 2 7 2 8" xfId="32280"/>
    <cellStyle name="Notas 2 2 7 2 8 2" xfId="32281"/>
    <cellStyle name="Notas 2 2 7 2 9" xfId="32282"/>
    <cellStyle name="Notas 2 2 7 2 9 2" xfId="32283"/>
    <cellStyle name="Notas 2 2 7 3" xfId="32284"/>
    <cellStyle name="Notas 2 2 7 3 10" xfId="32285"/>
    <cellStyle name="Notas 2 2 7 3 10 2" xfId="32286"/>
    <cellStyle name="Notas 2 2 7 3 11" xfId="32287"/>
    <cellStyle name="Notas 2 2 7 3 2" xfId="32288"/>
    <cellStyle name="Notas 2 2 7 3 2 2" xfId="32289"/>
    <cellStyle name="Notas 2 2 7 3 3" xfId="32290"/>
    <cellStyle name="Notas 2 2 7 3 3 2" xfId="32291"/>
    <cellStyle name="Notas 2 2 7 3 4" xfId="32292"/>
    <cellStyle name="Notas 2 2 7 3 4 2" xfId="32293"/>
    <cellStyle name="Notas 2 2 7 3 5" xfId="32294"/>
    <cellStyle name="Notas 2 2 7 3 5 2" xfId="32295"/>
    <cellStyle name="Notas 2 2 7 3 6" xfId="32296"/>
    <cellStyle name="Notas 2 2 7 3 6 2" xfId="32297"/>
    <cellStyle name="Notas 2 2 7 3 7" xfId="32298"/>
    <cellStyle name="Notas 2 2 7 3 7 2" xfId="32299"/>
    <cellStyle name="Notas 2 2 7 3 8" xfId="32300"/>
    <cellStyle name="Notas 2 2 7 3 8 2" xfId="32301"/>
    <cellStyle name="Notas 2 2 7 3 9" xfId="32302"/>
    <cellStyle name="Notas 2 2 7 3 9 2" xfId="32303"/>
    <cellStyle name="Notas 2 2 7 4" xfId="32304"/>
    <cellStyle name="Notas 2 2 7 4 2" xfId="32305"/>
    <cellStyle name="Notas 2 2 7 5" xfId="32306"/>
    <cellStyle name="Notas 2 2 7 5 2" xfId="32307"/>
    <cellStyle name="Notas 2 2 7 6" xfId="32308"/>
    <cellStyle name="Notas 2 2 7 6 2" xfId="32309"/>
    <cellStyle name="Notas 2 2 7 7" xfId="32310"/>
    <cellStyle name="Notas 2 2 7 7 2" xfId="32311"/>
    <cellStyle name="Notas 2 2 7 8" xfId="32312"/>
    <cellStyle name="Notas 2 2 7 8 2" xfId="32313"/>
    <cellStyle name="Notas 2 2 7 9" xfId="32314"/>
    <cellStyle name="Notas 2 2 7 9 2" xfId="32315"/>
    <cellStyle name="Notas 2 2 8" xfId="32316"/>
    <cellStyle name="Notas 2 2 8 2" xfId="32317"/>
    <cellStyle name="Notas 2 2 9" xfId="32318"/>
    <cellStyle name="Notas 2 2 9 2" xfId="32319"/>
    <cellStyle name="Notas 2 20" xfId="32320"/>
    <cellStyle name="Notas 2 20 2" xfId="32321"/>
    <cellStyle name="Notas 2 21" xfId="32322"/>
    <cellStyle name="Notas 2 22" xfId="32323"/>
    <cellStyle name="Notas 2 23" xfId="32324"/>
    <cellStyle name="Notas 2 3" xfId="215"/>
    <cellStyle name="Notas 2 3 10" xfId="32325"/>
    <cellStyle name="Notas 2 3 10 2" xfId="32326"/>
    <cellStyle name="Notas 2 3 11" xfId="32327"/>
    <cellStyle name="Notas 2 3 11 2" xfId="32328"/>
    <cellStyle name="Notas 2 3 12" xfId="32329"/>
    <cellStyle name="Notas 2 3 12 2" xfId="32330"/>
    <cellStyle name="Notas 2 3 13" xfId="32331"/>
    <cellStyle name="Notas 2 3 13 2" xfId="32332"/>
    <cellStyle name="Notas 2 3 14" xfId="32333"/>
    <cellStyle name="Notas 2 3 14 2" xfId="32334"/>
    <cellStyle name="Notas 2 3 15" xfId="32335"/>
    <cellStyle name="Notas 2 3 15 2" xfId="32336"/>
    <cellStyle name="Notas 2 3 16" xfId="32337"/>
    <cellStyle name="Notas 2 3 16 2" xfId="32338"/>
    <cellStyle name="Notas 2 3 17" xfId="32339"/>
    <cellStyle name="Notas 2 3 18" xfId="32340"/>
    <cellStyle name="Notas 2 3 19" xfId="32341"/>
    <cellStyle name="Notas 2 3 2" xfId="301"/>
    <cellStyle name="Notas 2 3 2 10" xfId="32342"/>
    <cellStyle name="Notas 2 3 2 10 2" xfId="32343"/>
    <cellStyle name="Notas 2 3 2 11" xfId="32344"/>
    <cellStyle name="Notas 2 3 2 11 2" xfId="32345"/>
    <cellStyle name="Notas 2 3 2 12" xfId="32346"/>
    <cellStyle name="Notas 2 3 2 12 2" xfId="32347"/>
    <cellStyle name="Notas 2 3 2 13" xfId="32348"/>
    <cellStyle name="Notas 2 3 2 13 2" xfId="32349"/>
    <cellStyle name="Notas 2 3 2 14" xfId="32350"/>
    <cellStyle name="Notas 2 3 2 14 2" xfId="32351"/>
    <cellStyle name="Notas 2 3 2 15" xfId="32352"/>
    <cellStyle name="Notas 2 3 2 16" xfId="32353"/>
    <cellStyle name="Notas 2 3 2 2" xfId="32354"/>
    <cellStyle name="Notas 2 3 2 2 10" xfId="32355"/>
    <cellStyle name="Notas 2 3 2 2 10 2" xfId="32356"/>
    <cellStyle name="Notas 2 3 2 2 11" xfId="32357"/>
    <cellStyle name="Notas 2 3 2 2 11 2" xfId="32358"/>
    <cellStyle name="Notas 2 3 2 2 12" xfId="32359"/>
    <cellStyle name="Notas 2 3 2 2 12 2" xfId="32360"/>
    <cellStyle name="Notas 2 3 2 2 13" xfId="32361"/>
    <cellStyle name="Notas 2 3 2 2 2" xfId="32362"/>
    <cellStyle name="Notas 2 3 2 2 2 10" xfId="32363"/>
    <cellStyle name="Notas 2 3 2 2 2 10 2" xfId="32364"/>
    <cellStyle name="Notas 2 3 2 2 2 11" xfId="32365"/>
    <cellStyle name="Notas 2 3 2 2 2 2" xfId="32366"/>
    <cellStyle name="Notas 2 3 2 2 2 2 2" xfId="32367"/>
    <cellStyle name="Notas 2 3 2 2 2 3" xfId="32368"/>
    <cellStyle name="Notas 2 3 2 2 2 3 2" xfId="32369"/>
    <cellStyle name="Notas 2 3 2 2 2 4" xfId="32370"/>
    <cellStyle name="Notas 2 3 2 2 2 4 2" xfId="32371"/>
    <cellStyle name="Notas 2 3 2 2 2 5" xfId="32372"/>
    <cellStyle name="Notas 2 3 2 2 2 5 2" xfId="32373"/>
    <cellStyle name="Notas 2 3 2 2 2 6" xfId="32374"/>
    <cellStyle name="Notas 2 3 2 2 2 6 2" xfId="32375"/>
    <cellStyle name="Notas 2 3 2 2 2 7" xfId="32376"/>
    <cellStyle name="Notas 2 3 2 2 2 7 2" xfId="32377"/>
    <cellStyle name="Notas 2 3 2 2 2 8" xfId="32378"/>
    <cellStyle name="Notas 2 3 2 2 2 8 2" xfId="32379"/>
    <cellStyle name="Notas 2 3 2 2 2 9" xfId="32380"/>
    <cellStyle name="Notas 2 3 2 2 2 9 2" xfId="32381"/>
    <cellStyle name="Notas 2 3 2 2 3" xfId="32382"/>
    <cellStyle name="Notas 2 3 2 2 3 10" xfId="32383"/>
    <cellStyle name="Notas 2 3 2 2 3 10 2" xfId="32384"/>
    <cellStyle name="Notas 2 3 2 2 3 11" xfId="32385"/>
    <cellStyle name="Notas 2 3 2 2 3 2" xfId="32386"/>
    <cellStyle name="Notas 2 3 2 2 3 2 2" xfId="32387"/>
    <cellStyle name="Notas 2 3 2 2 3 3" xfId="32388"/>
    <cellStyle name="Notas 2 3 2 2 3 3 2" xfId="32389"/>
    <cellStyle name="Notas 2 3 2 2 3 4" xfId="32390"/>
    <cellStyle name="Notas 2 3 2 2 3 4 2" xfId="32391"/>
    <cellStyle name="Notas 2 3 2 2 3 5" xfId="32392"/>
    <cellStyle name="Notas 2 3 2 2 3 5 2" xfId="32393"/>
    <cellStyle name="Notas 2 3 2 2 3 6" xfId="32394"/>
    <cellStyle name="Notas 2 3 2 2 3 6 2" xfId="32395"/>
    <cellStyle name="Notas 2 3 2 2 3 7" xfId="32396"/>
    <cellStyle name="Notas 2 3 2 2 3 7 2" xfId="32397"/>
    <cellStyle name="Notas 2 3 2 2 3 8" xfId="32398"/>
    <cellStyle name="Notas 2 3 2 2 3 8 2" xfId="32399"/>
    <cellStyle name="Notas 2 3 2 2 3 9" xfId="32400"/>
    <cellStyle name="Notas 2 3 2 2 3 9 2" xfId="32401"/>
    <cellStyle name="Notas 2 3 2 2 4" xfId="32402"/>
    <cellStyle name="Notas 2 3 2 2 4 2" xfId="32403"/>
    <cellStyle name="Notas 2 3 2 2 5" xfId="32404"/>
    <cellStyle name="Notas 2 3 2 2 5 2" xfId="32405"/>
    <cellStyle name="Notas 2 3 2 2 6" xfId="32406"/>
    <cellStyle name="Notas 2 3 2 2 6 2" xfId="32407"/>
    <cellStyle name="Notas 2 3 2 2 7" xfId="32408"/>
    <cellStyle name="Notas 2 3 2 2 7 2" xfId="32409"/>
    <cellStyle name="Notas 2 3 2 2 8" xfId="32410"/>
    <cellStyle name="Notas 2 3 2 2 8 2" xfId="32411"/>
    <cellStyle name="Notas 2 3 2 2 9" xfId="32412"/>
    <cellStyle name="Notas 2 3 2 2 9 2" xfId="32413"/>
    <cellStyle name="Notas 2 3 2 3" xfId="32414"/>
    <cellStyle name="Notas 2 3 2 3 10" xfId="32415"/>
    <cellStyle name="Notas 2 3 2 3 10 2" xfId="32416"/>
    <cellStyle name="Notas 2 3 2 3 11" xfId="32417"/>
    <cellStyle name="Notas 2 3 2 3 11 2" xfId="32418"/>
    <cellStyle name="Notas 2 3 2 3 12" xfId="32419"/>
    <cellStyle name="Notas 2 3 2 3 12 2" xfId="32420"/>
    <cellStyle name="Notas 2 3 2 3 13" xfId="32421"/>
    <cellStyle name="Notas 2 3 2 3 2" xfId="32422"/>
    <cellStyle name="Notas 2 3 2 3 2 10" xfId="32423"/>
    <cellStyle name="Notas 2 3 2 3 2 10 2" xfId="32424"/>
    <cellStyle name="Notas 2 3 2 3 2 11" xfId="32425"/>
    <cellStyle name="Notas 2 3 2 3 2 2" xfId="32426"/>
    <cellStyle name="Notas 2 3 2 3 2 2 2" xfId="32427"/>
    <cellStyle name="Notas 2 3 2 3 2 3" xfId="32428"/>
    <cellStyle name="Notas 2 3 2 3 2 3 2" xfId="32429"/>
    <cellStyle name="Notas 2 3 2 3 2 4" xfId="32430"/>
    <cellStyle name="Notas 2 3 2 3 2 4 2" xfId="32431"/>
    <cellStyle name="Notas 2 3 2 3 2 5" xfId="32432"/>
    <cellStyle name="Notas 2 3 2 3 2 5 2" xfId="32433"/>
    <cellStyle name="Notas 2 3 2 3 2 6" xfId="32434"/>
    <cellStyle name="Notas 2 3 2 3 2 6 2" xfId="32435"/>
    <cellStyle name="Notas 2 3 2 3 2 7" xfId="32436"/>
    <cellStyle name="Notas 2 3 2 3 2 7 2" xfId="32437"/>
    <cellStyle name="Notas 2 3 2 3 2 8" xfId="32438"/>
    <cellStyle name="Notas 2 3 2 3 2 8 2" xfId="32439"/>
    <cellStyle name="Notas 2 3 2 3 2 9" xfId="32440"/>
    <cellStyle name="Notas 2 3 2 3 2 9 2" xfId="32441"/>
    <cellStyle name="Notas 2 3 2 3 3" xfId="32442"/>
    <cellStyle name="Notas 2 3 2 3 3 10" xfId="32443"/>
    <cellStyle name="Notas 2 3 2 3 3 10 2" xfId="32444"/>
    <cellStyle name="Notas 2 3 2 3 3 11" xfId="32445"/>
    <cellStyle name="Notas 2 3 2 3 3 2" xfId="32446"/>
    <cellStyle name="Notas 2 3 2 3 3 2 2" xfId="32447"/>
    <cellStyle name="Notas 2 3 2 3 3 3" xfId="32448"/>
    <cellStyle name="Notas 2 3 2 3 3 3 2" xfId="32449"/>
    <cellStyle name="Notas 2 3 2 3 3 4" xfId="32450"/>
    <cellStyle name="Notas 2 3 2 3 3 4 2" xfId="32451"/>
    <cellStyle name="Notas 2 3 2 3 3 5" xfId="32452"/>
    <cellStyle name="Notas 2 3 2 3 3 5 2" xfId="32453"/>
    <cellStyle name="Notas 2 3 2 3 3 6" xfId="32454"/>
    <cellStyle name="Notas 2 3 2 3 3 6 2" xfId="32455"/>
    <cellStyle name="Notas 2 3 2 3 3 7" xfId="32456"/>
    <cellStyle name="Notas 2 3 2 3 3 7 2" xfId="32457"/>
    <cellStyle name="Notas 2 3 2 3 3 8" xfId="32458"/>
    <cellStyle name="Notas 2 3 2 3 3 8 2" xfId="32459"/>
    <cellStyle name="Notas 2 3 2 3 3 9" xfId="32460"/>
    <cellStyle name="Notas 2 3 2 3 3 9 2" xfId="32461"/>
    <cellStyle name="Notas 2 3 2 3 4" xfId="32462"/>
    <cellStyle name="Notas 2 3 2 3 4 2" xfId="32463"/>
    <cellStyle name="Notas 2 3 2 3 5" xfId="32464"/>
    <cellStyle name="Notas 2 3 2 3 5 2" xfId="32465"/>
    <cellStyle name="Notas 2 3 2 3 6" xfId="32466"/>
    <cellStyle name="Notas 2 3 2 3 6 2" xfId="32467"/>
    <cellStyle name="Notas 2 3 2 3 7" xfId="32468"/>
    <cellStyle name="Notas 2 3 2 3 7 2" xfId="32469"/>
    <cellStyle name="Notas 2 3 2 3 8" xfId="32470"/>
    <cellStyle name="Notas 2 3 2 3 8 2" xfId="32471"/>
    <cellStyle name="Notas 2 3 2 3 9" xfId="32472"/>
    <cellStyle name="Notas 2 3 2 3 9 2" xfId="32473"/>
    <cellStyle name="Notas 2 3 2 4" xfId="32474"/>
    <cellStyle name="Notas 2 3 2 4 10" xfId="32475"/>
    <cellStyle name="Notas 2 3 2 4 10 2" xfId="32476"/>
    <cellStyle name="Notas 2 3 2 4 11" xfId="32477"/>
    <cellStyle name="Notas 2 3 2 4 2" xfId="32478"/>
    <cellStyle name="Notas 2 3 2 4 2 2" xfId="32479"/>
    <cellStyle name="Notas 2 3 2 4 3" xfId="32480"/>
    <cellStyle name="Notas 2 3 2 4 3 2" xfId="32481"/>
    <cellStyle name="Notas 2 3 2 4 4" xfId="32482"/>
    <cellStyle name="Notas 2 3 2 4 4 2" xfId="32483"/>
    <cellStyle name="Notas 2 3 2 4 5" xfId="32484"/>
    <cellStyle name="Notas 2 3 2 4 5 2" xfId="32485"/>
    <cellStyle name="Notas 2 3 2 4 6" xfId="32486"/>
    <cellStyle name="Notas 2 3 2 4 6 2" xfId="32487"/>
    <cellStyle name="Notas 2 3 2 4 7" xfId="32488"/>
    <cellStyle name="Notas 2 3 2 4 7 2" xfId="32489"/>
    <cellStyle name="Notas 2 3 2 4 8" xfId="32490"/>
    <cellStyle name="Notas 2 3 2 4 8 2" xfId="32491"/>
    <cellStyle name="Notas 2 3 2 4 9" xfId="32492"/>
    <cellStyle name="Notas 2 3 2 4 9 2" xfId="32493"/>
    <cellStyle name="Notas 2 3 2 5" xfId="32494"/>
    <cellStyle name="Notas 2 3 2 5 10" xfId="32495"/>
    <cellStyle name="Notas 2 3 2 5 10 2" xfId="32496"/>
    <cellStyle name="Notas 2 3 2 5 11" xfId="32497"/>
    <cellStyle name="Notas 2 3 2 5 2" xfId="32498"/>
    <cellStyle name="Notas 2 3 2 5 2 2" xfId="32499"/>
    <cellStyle name="Notas 2 3 2 5 3" xfId="32500"/>
    <cellStyle name="Notas 2 3 2 5 3 2" xfId="32501"/>
    <cellStyle name="Notas 2 3 2 5 4" xfId="32502"/>
    <cellStyle name="Notas 2 3 2 5 4 2" xfId="32503"/>
    <cellStyle name="Notas 2 3 2 5 5" xfId="32504"/>
    <cellStyle name="Notas 2 3 2 5 5 2" xfId="32505"/>
    <cellStyle name="Notas 2 3 2 5 6" xfId="32506"/>
    <cellStyle name="Notas 2 3 2 5 6 2" xfId="32507"/>
    <cellStyle name="Notas 2 3 2 5 7" xfId="32508"/>
    <cellStyle name="Notas 2 3 2 5 7 2" xfId="32509"/>
    <cellStyle name="Notas 2 3 2 5 8" xfId="32510"/>
    <cellStyle name="Notas 2 3 2 5 8 2" xfId="32511"/>
    <cellStyle name="Notas 2 3 2 5 9" xfId="32512"/>
    <cellStyle name="Notas 2 3 2 5 9 2" xfId="32513"/>
    <cellStyle name="Notas 2 3 2 6" xfId="32514"/>
    <cellStyle name="Notas 2 3 2 6 2" xfId="32515"/>
    <cellStyle name="Notas 2 3 2 7" xfId="32516"/>
    <cellStyle name="Notas 2 3 2 7 2" xfId="32517"/>
    <cellStyle name="Notas 2 3 2 8" xfId="32518"/>
    <cellStyle name="Notas 2 3 2 8 2" xfId="32519"/>
    <cellStyle name="Notas 2 3 2 9" xfId="32520"/>
    <cellStyle name="Notas 2 3 2 9 2" xfId="32521"/>
    <cellStyle name="Notas 2 3 3" xfId="273"/>
    <cellStyle name="Notas 2 3 3 10" xfId="32522"/>
    <cellStyle name="Notas 2 3 3 10 2" xfId="32523"/>
    <cellStyle name="Notas 2 3 3 11" xfId="32524"/>
    <cellStyle name="Notas 2 3 3 11 2" xfId="32525"/>
    <cellStyle name="Notas 2 3 3 12" xfId="32526"/>
    <cellStyle name="Notas 2 3 3 12 2" xfId="32527"/>
    <cellStyle name="Notas 2 3 3 13" xfId="32528"/>
    <cellStyle name="Notas 2 3 3 13 2" xfId="32529"/>
    <cellStyle name="Notas 2 3 3 14" xfId="32530"/>
    <cellStyle name="Notas 2 3 3 14 2" xfId="32531"/>
    <cellStyle name="Notas 2 3 3 15" xfId="32532"/>
    <cellStyle name="Notas 2 3 3 2" xfId="32533"/>
    <cellStyle name="Notas 2 3 3 2 10" xfId="32534"/>
    <cellStyle name="Notas 2 3 3 2 10 2" xfId="32535"/>
    <cellStyle name="Notas 2 3 3 2 11" xfId="32536"/>
    <cellStyle name="Notas 2 3 3 2 11 2" xfId="32537"/>
    <cellStyle name="Notas 2 3 3 2 12" xfId="32538"/>
    <cellStyle name="Notas 2 3 3 2 12 2" xfId="32539"/>
    <cellStyle name="Notas 2 3 3 2 13" xfId="32540"/>
    <cellStyle name="Notas 2 3 3 2 2" xfId="32541"/>
    <cellStyle name="Notas 2 3 3 2 2 10" xfId="32542"/>
    <cellStyle name="Notas 2 3 3 2 2 10 2" xfId="32543"/>
    <cellStyle name="Notas 2 3 3 2 2 11" xfId="32544"/>
    <cellStyle name="Notas 2 3 3 2 2 2" xfId="32545"/>
    <cellStyle name="Notas 2 3 3 2 2 2 2" xfId="32546"/>
    <cellStyle name="Notas 2 3 3 2 2 3" xfId="32547"/>
    <cellStyle name="Notas 2 3 3 2 2 3 2" xfId="32548"/>
    <cellStyle name="Notas 2 3 3 2 2 4" xfId="32549"/>
    <cellStyle name="Notas 2 3 3 2 2 4 2" xfId="32550"/>
    <cellStyle name="Notas 2 3 3 2 2 5" xfId="32551"/>
    <cellStyle name="Notas 2 3 3 2 2 5 2" xfId="32552"/>
    <cellStyle name="Notas 2 3 3 2 2 6" xfId="32553"/>
    <cellStyle name="Notas 2 3 3 2 2 6 2" xfId="32554"/>
    <cellStyle name="Notas 2 3 3 2 2 7" xfId="32555"/>
    <cellStyle name="Notas 2 3 3 2 2 7 2" xfId="32556"/>
    <cellStyle name="Notas 2 3 3 2 2 8" xfId="32557"/>
    <cellStyle name="Notas 2 3 3 2 2 8 2" xfId="32558"/>
    <cellStyle name="Notas 2 3 3 2 2 9" xfId="32559"/>
    <cellStyle name="Notas 2 3 3 2 2 9 2" xfId="32560"/>
    <cellStyle name="Notas 2 3 3 2 3" xfId="32561"/>
    <cellStyle name="Notas 2 3 3 2 3 10" xfId="32562"/>
    <cellStyle name="Notas 2 3 3 2 3 10 2" xfId="32563"/>
    <cellStyle name="Notas 2 3 3 2 3 11" xfId="32564"/>
    <cellStyle name="Notas 2 3 3 2 3 2" xfId="32565"/>
    <cellStyle name="Notas 2 3 3 2 3 2 2" xfId="32566"/>
    <cellStyle name="Notas 2 3 3 2 3 3" xfId="32567"/>
    <cellStyle name="Notas 2 3 3 2 3 3 2" xfId="32568"/>
    <cellStyle name="Notas 2 3 3 2 3 4" xfId="32569"/>
    <cellStyle name="Notas 2 3 3 2 3 4 2" xfId="32570"/>
    <cellStyle name="Notas 2 3 3 2 3 5" xfId="32571"/>
    <cellStyle name="Notas 2 3 3 2 3 5 2" xfId="32572"/>
    <cellStyle name="Notas 2 3 3 2 3 6" xfId="32573"/>
    <cellStyle name="Notas 2 3 3 2 3 6 2" xfId="32574"/>
    <cellStyle name="Notas 2 3 3 2 3 7" xfId="32575"/>
    <cellStyle name="Notas 2 3 3 2 3 7 2" xfId="32576"/>
    <cellStyle name="Notas 2 3 3 2 3 8" xfId="32577"/>
    <cellStyle name="Notas 2 3 3 2 3 8 2" xfId="32578"/>
    <cellStyle name="Notas 2 3 3 2 3 9" xfId="32579"/>
    <cellStyle name="Notas 2 3 3 2 3 9 2" xfId="32580"/>
    <cellStyle name="Notas 2 3 3 2 4" xfId="32581"/>
    <cellStyle name="Notas 2 3 3 2 4 2" xfId="32582"/>
    <cellStyle name="Notas 2 3 3 2 5" xfId="32583"/>
    <cellStyle name="Notas 2 3 3 2 5 2" xfId="32584"/>
    <cellStyle name="Notas 2 3 3 2 6" xfId="32585"/>
    <cellStyle name="Notas 2 3 3 2 6 2" xfId="32586"/>
    <cellStyle name="Notas 2 3 3 2 7" xfId="32587"/>
    <cellStyle name="Notas 2 3 3 2 7 2" xfId="32588"/>
    <cellStyle name="Notas 2 3 3 2 8" xfId="32589"/>
    <cellStyle name="Notas 2 3 3 2 8 2" xfId="32590"/>
    <cellStyle name="Notas 2 3 3 2 9" xfId="32591"/>
    <cellStyle name="Notas 2 3 3 2 9 2" xfId="32592"/>
    <cellStyle name="Notas 2 3 3 3" xfId="32593"/>
    <cellStyle name="Notas 2 3 3 3 10" xfId="32594"/>
    <cellStyle name="Notas 2 3 3 3 10 2" xfId="32595"/>
    <cellStyle name="Notas 2 3 3 3 11" xfId="32596"/>
    <cellStyle name="Notas 2 3 3 3 11 2" xfId="32597"/>
    <cellStyle name="Notas 2 3 3 3 12" xfId="32598"/>
    <cellStyle name="Notas 2 3 3 3 12 2" xfId="32599"/>
    <cellStyle name="Notas 2 3 3 3 13" xfId="32600"/>
    <cellStyle name="Notas 2 3 3 3 2" xfId="32601"/>
    <cellStyle name="Notas 2 3 3 3 2 10" xfId="32602"/>
    <cellStyle name="Notas 2 3 3 3 2 10 2" xfId="32603"/>
    <cellStyle name="Notas 2 3 3 3 2 11" xfId="32604"/>
    <cellStyle name="Notas 2 3 3 3 2 2" xfId="32605"/>
    <cellStyle name="Notas 2 3 3 3 2 2 2" xfId="32606"/>
    <cellStyle name="Notas 2 3 3 3 2 3" xfId="32607"/>
    <cellStyle name="Notas 2 3 3 3 2 3 2" xfId="32608"/>
    <cellStyle name="Notas 2 3 3 3 2 4" xfId="32609"/>
    <cellStyle name="Notas 2 3 3 3 2 4 2" xfId="32610"/>
    <cellStyle name="Notas 2 3 3 3 2 5" xfId="32611"/>
    <cellStyle name="Notas 2 3 3 3 2 5 2" xfId="32612"/>
    <cellStyle name="Notas 2 3 3 3 2 6" xfId="32613"/>
    <cellStyle name="Notas 2 3 3 3 2 6 2" xfId="32614"/>
    <cellStyle name="Notas 2 3 3 3 2 7" xfId="32615"/>
    <cellStyle name="Notas 2 3 3 3 2 7 2" xfId="32616"/>
    <cellStyle name="Notas 2 3 3 3 2 8" xfId="32617"/>
    <cellStyle name="Notas 2 3 3 3 2 8 2" xfId="32618"/>
    <cellStyle name="Notas 2 3 3 3 2 9" xfId="32619"/>
    <cellStyle name="Notas 2 3 3 3 2 9 2" xfId="32620"/>
    <cellStyle name="Notas 2 3 3 3 3" xfId="32621"/>
    <cellStyle name="Notas 2 3 3 3 3 10" xfId="32622"/>
    <cellStyle name="Notas 2 3 3 3 3 10 2" xfId="32623"/>
    <cellStyle name="Notas 2 3 3 3 3 11" xfId="32624"/>
    <cellStyle name="Notas 2 3 3 3 3 2" xfId="32625"/>
    <cellStyle name="Notas 2 3 3 3 3 2 2" xfId="32626"/>
    <cellStyle name="Notas 2 3 3 3 3 3" xfId="32627"/>
    <cellStyle name="Notas 2 3 3 3 3 3 2" xfId="32628"/>
    <cellStyle name="Notas 2 3 3 3 3 4" xfId="32629"/>
    <cellStyle name="Notas 2 3 3 3 3 4 2" xfId="32630"/>
    <cellStyle name="Notas 2 3 3 3 3 5" xfId="32631"/>
    <cellStyle name="Notas 2 3 3 3 3 5 2" xfId="32632"/>
    <cellStyle name="Notas 2 3 3 3 3 6" xfId="32633"/>
    <cellStyle name="Notas 2 3 3 3 3 6 2" xfId="32634"/>
    <cellStyle name="Notas 2 3 3 3 3 7" xfId="32635"/>
    <cellStyle name="Notas 2 3 3 3 3 7 2" xfId="32636"/>
    <cellStyle name="Notas 2 3 3 3 3 8" xfId="32637"/>
    <cellStyle name="Notas 2 3 3 3 3 8 2" xfId="32638"/>
    <cellStyle name="Notas 2 3 3 3 3 9" xfId="32639"/>
    <cellStyle name="Notas 2 3 3 3 3 9 2" xfId="32640"/>
    <cellStyle name="Notas 2 3 3 3 4" xfId="32641"/>
    <cellStyle name="Notas 2 3 3 3 4 2" xfId="32642"/>
    <cellStyle name="Notas 2 3 3 3 5" xfId="32643"/>
    <cellStyle name="Notas 2 3 3 3 5 2" xfId="32644"/>
    <cellStyle name="Notas 2 3 3 3 6" xfId="32645"/>
    <cellStyle name="Notas 2 3 3 3 6 2" xfId="32646"/>
    <cellStyle name="Notas 2 3 3 3 7" xfId="32647"/>
    <cellStyle name="Notas 2 3 3 3 7 2" xfId="32648"/>
    <cellStyle name="Notas 2 3 3 3 8" xfId="32649"/>
    <cellStyle name="Notas 2 3 3 3 8 2" xfId="32650"/>
    <cellStyle name="Notas 2 3 3 3 9" xfId="32651"/>
    <cellStyle name="Notas 2 3 3 3 9 2" xfId="32652"/>
    <cellStyle name="Notas 2 3 3 4" xfId="32653"/>
    <cellStyle name="Notas 2 3 3 4 10" xfId="32654"/>
    <cellStyle name="Notas 2 3 3 4 10 2" xfId="32655"/>
    <cellStyle name="Notas 2 3 3 4 11" xfId="32656"/>
    <cellStyle name="Notas 2 3 3 4 2" xfId="32657"/>
    <cellStyle name="Notas 2 3 3 4 2 2" xfId="32658"/>
    <cellStyle name="Notas 2 3 3 4 3" xfId="32659"/>
    <cellStyle name="Notas 2 3 3 4 3 2" xfId="32660"/>
    <cellStyle name="Notas 2 3 3 4 4" xfId="32661"/>
    <cellStyle name="Notas 2 3 3 4 4 2" xfId="32662"/>
    <cellStyle name="Notas 2 3 3 4 5" xfId="32663"/>
    <cellStyle name="Notas 2 3 3 4 5 2" xfId="32664"/>
    <cellStyle name="Notas 2 3 3 4 6" xfId="32665"/>
    <cellStyle name="Notas 2 3 3 4 6 2" xfId="32666"/>
    <cellStyle name="Notas 2 3 3 4 7" xfId="32667"/>
    <cellStyle name="Notas 2 3 3 4 7 2" xfId="32668"/>
    <cellStyle name="Notas 2 3 3 4 8" xfId="32669"/>
    <cellStyle name="Notas 2 3 3 4 8 2" xfId="32670"/>
    <cellStyle name="Notas 2 3 3 4 9" xfId="32671"/>
    <cellStyle name="Notas 2 3 3 4 9 2" xfId="32672"/>
    <cellStyle name="Notas 2 3 3 5" xfId="32673"/>
    <cellStyle name="Notas 2 3 3 5 10" xfId="32674"/>
    <cellStyle name="Notas 2 3 3 5 10 2" xfId="32675"/>
    <cellStyle name="Notas 2 3 3 5 11" xfId="32676"/>
    <cellStyle name="Notas 2 3 3 5 2" xfId="32677"/>
    <cellStyle name="Notas 2 3 3 5 2 2" xfId="32678"/>
    <cellStyle name="Notas 2 3 3 5 3" xfId="32679"/>
    <cellStyle name="Notas 2 3 3 5 3 2" xfId="32680"/>
    <cellStyle name="Notas 2 3 3 5 4" xfId="32681"/>
    <cellStyle name="Notas 2 3 3 5 4 2" xfId="32682"/>
    <cellStyle name="Notas 2 3 3 5 5" xfId="32683"/>
    <cellStyle name="Notas 2 3 3 5 5 2" xfId="32684"/>
    <cellStyle name="Notas 2 3 3 5 6" xfId="32685"/>
    <cellStyle name="Notas 2 3 3 5 6 2" xfId="32686"/>
    <cellStyle name="Notas 2 3 3 5 7" xfId="32687"/>
    <cellStyle name="Notas 2 3 3 5 7 2" xfId="32688"/>
    <cellStyle name="Notas 2 3 3 5 8" xfId="32689"/>
    <cellStyle name="Notas 2 3 3 5 8 2" xfId="32690"/>
    <cellStyle name="Notas 2 3 3 5 9" xfId="32691"/>
    <cellStyle name="Notas 2 3 3 5 9 2" xfId="32692"/>
    <cellStyle name="Notas 2 3 3 6" xfId="32693"/>
    <cellStyle name="Notas 2 3 3 6 2" xfId="32694"/>
    <cellStyle name="Notas 2 3 3 7" xfId="32695"/>
    <cellStyle name="Notas 2 3 3 7 2" xfId="32696"/>
    <cellStyle name="Notas 2 3 3 8" xfId="32697"/>
    <cellStyle name="Notas 2 3 3 8 2" xfId="32698"/>
    <cellStyle name="Notas 2 3 3 9" xfId="32699"/>
    <cellStyle name="Notas 2 3 3 9 2" xfId="32700"/>
    <cellStyle name="Notas 2 3 4" xfId="32701"/>
    <cellStyle name="Notas 2 3 4 10" xfId="32702"/>
    <cellStyle name="Notas 2 3 4 10 2" xfId="32703"/>
    <cellStyle name="Notas 2 3 4 11" xfId="32704"/>
    <cellStyle name="Notas 2 3 4 11 2" xfId="32705"/>
    <cellStyle name="Notas 2 3 4 12" xfId="32706"/>
    <cellStyle name="Notas 2 3 4 12 2" xfId="32707"/>
    <cellStyle name="Notas 2 3 4 13" xfId="32708"/>
    <cellStyle name="Notas 2 3 4 13 2" xfId="32709"/>
    <cellStyle name="Notas 2 3 4 14" xfId="32710"/>
    <cellStyle name="Notas 2 3 4 14 2" xfId="32711"/>
    <cellStyle name="Notas 2 3 4 15" xfId="32712"/>
    <cellStyle name="Notas 2 3 4 2" xfId="32713"/>
    <cellStyle name="Notas 2 3 4 2 10" xfId="32714"/>
    <cellStyle name="Notas 2 3 4 2 10 2" xfId="32715"/>
    <cellStyle name="Notas 2 3 4 2 11" xfId="32716"/>
    <cellStyle name="Notas 2 3 4 2 11 2" xfId="32717"/>
    <cellStyle name="Notas 2 3 4 2 12" xfId="32718"/>
    <cellStyle name="Notas 2 3 4 2 12 2" xfId="32719"/>
    <cellStyle name="Notas 2 3 4 2 13" xfId="32720"/>
    <cellStyle name="Notas 2 3 4 2 2" xfId="32721"/>
    <cellStyle name="Notas 2 3 4 2 2 10" xfId="32722"/>
    <cellStyle name="Notas 2 3 4 2 2 10 2" xfId="32723"/>
    <cellStyle name="Notas 2 3 4 2 2 11" xfId="32724"/>
    <cellStyle name="Notas 2 3 4 2 2 2" xfId="32725"/>
    <cellStyle name="Notas 2 3 4 2 2 2 2" xfId="32726"/>
    <cellStyle name="Notas 2 3 4 2 2 3" xfId="32727"/>
    <cellStyle name="Notas 2 3 4 2 2 3 2" xfId="32728"/>
    <cellStyle name="Notas 2 3 4 2 2 4" xfId="32729"/>
    <cellStyle name="Notas 2 3 4 2 2 4 2" xfId="32730"/>
    <cellStyle name="Notas 2 3 4 2 2 5" xfId="32731"/>
    <cellStyle name="Notas 2 3 4 2 2 5 2" xfId="32732"/>
    <cellStyle name="Notas 2 3 4 2 2 6" xfId="32733"/>
    <cellStyle name="Notas 2 3 4 2 2 6 2" xfId="32734"/>
    <cellStyle name="Notas 2 3 4 2 2 7" xfId="32735"/>
    <cellStyle name="Notas 2 3 4 2 2 7 2" xfId="32736"/>
    <cellStyle name="Notas 2 3 4 2 2 8" xfId="32737"/>
    <cellStyle name="Notas 2 3 4 2 2 8 2" xfId="32738"/>
    <cellStyle name="Notas 2 3 4 2 2 9" xfId="32739"/>
    <cellStyle name="Notas 2 3 4 2 2 9 2" xfId="32740"/>
    <cellStyle name="Notas 2 3 4 2 3" xfId="32741"/>
    <cellStyle name="Notas 2 3 4 2 3 10" xfId="32742"/>
    <cellStyle name="Notas 2 3 4 2 3 10 2" xfId="32743"/>
    <cellStyle name="Notas 2 3 4 2 3 11" xfId="32744"/>
    <cellStyle name="Notas 2 3 4 2 3 2" xfId="32745"/>
    <cellStyle name="Notas 2 3 4 2 3 2 2" xfId="32746"/>
    <cellStyle name="Notas 2 3 4 2 3 3" xfId="32747"/>
    <cellStyle name="Notas 2 3 4 2 3 3 2" xfId="32748"/>
    <cellStyle name="Notas 2 3 4 2 3 4" xfId="32749"/>
    <cellStyle name="Notas 2 3 4 2 3 4 2" xfId="32750"/>
    <cellStyle name="Notas 2 3 4 2 3 5" xfId="32751"/>
    <cellStyle name="Notas 2 3 4 2 3 5 2" xfId="32752"/>
    <cellStyle name="Notas 2 3 4 2 3 6" xfId="32753"/>
    <cellStyle name="Notas 2 3 4 2 3 6 2" xfId="32754"/>
    <cellStyle name="Notas 2 3 4 2 3 7" xfId="32755"/>
    <cellStyle name="Notas 2 3 4 2 3 7 2" xfId="32756"/>
    <cellStyle name="Notas 2 3 4 2 3 8" xfId="32757"/>
    <cellStyle name="Notas 2 3 4 2 3 8 2" xfId="32758"/>
    <cellStyle name="Notas 2 3 4 2 3 9" xfId="32759"/>
    <cellStyle name="Notas 2 3 4 2 3 9 2" xfId="32760"/>
    <cellStyle name="Notas 2 3 4 2 4" xfId="32761"/>
    <cellStyle name="Notas 2 3 4 2 4 2" xfId="32762"/>
    <cellStyle name="Notas 2 3 4 2 5" xfId="32763"/>
    <cellStyle name="Notas 2 3 4 2 5 2" xfId="32764"/>
    <cellStyle name="Notas 2 3 4 2 6" xfId="32765"/>
    <cellStyle name="Notas 2 3 4 2 6 2" xfId="32766"/>
    <cellStyle name="Notas 2 3 4 2 7" xfId="32767"/>
    <cellStyle name="Notas 2 3 4 2 7 2" xfId="32768"/>
    <cellStyle name="Notas 2 3 4 2 8" xfId="32769"/>
    <cellStyle name="Notas 2 3 4 2 8 2" xfId="32770"/>
    <cellStyle name="Notas 2 3 4 2 9" xfId="32771"/>
    <cellStyle name="Notas 2 3 4 2 9 2" xfId="32772"/>
    <cellStyle name="Notas 2 3 4 3" xfId="32773"/>
    <cellStyle name="Notas 2 3 4 3 10" xfId="32774"/>
    <cellStyle name="Notas 2 3 4 3 10 2" xfId="32775"/>
    <cellStyle name="Notas 2 3 4 3 11" xfId="32776"/>
    <cellStyle name="Notas 2 3 4 3 11 2" xfId="32777"/>
    <cellStyle name="Notas 2 3 4 3 12" xfId="32778"/>
    <cellStyle name="Notas 2 3 4 3 12 2" xfId="32779"/>
    <cellStyle name="Notas 2 3 4 3 13" xfId="32780"/>
    <cellStyle name="Notas 2 3 4 3 2" xfId="32781"/>
    <cellStyle name="Notas 2 3 4 3 2 10" xfId="32782"/>
    <cellStyle name="Notas 2 3 4 3 2 10 2" xfId="32783"/>
    <cellStyle name="Notas 2 3 4 3 2 11" xfId="32784"/>
    <cellStyle name="Notas 2 3 4 3 2 2" xfId="32785"/>
    <cellStyle name="Notas 2 3 4 3 2 2 2" xfId="32786"/>
    <cellStyle name="Notas 2 3 4 3 2 3" xfId="32787"/>
    <cellStyle name="Notas 2 3 4 3 2 3 2" xfId="32788"/>
    <cellStyle name="Notas 2 3 4 3 2 4" xfId="32789"/>
    <cellStyle name="Notas 2 3 4 3 2 4 2" xfId="32790"/>
    <cellStyle name="Notas 2 3 4 3 2 5" xfId="32791"/>
    <cellStyle name="Notas 2 3 4 3 2 5 2" xfId="32792"/>
    <cellStyle name="Notas 2 3 4 3 2 6" xfId="32793"/>
    <cellStyle name="Notas 2 3 4 3 2 6 2" xfId="32794"/>
    <cellStyle name="Notas 2 3 4 3 2 7" xfId="32795"/>
    <cellStyle name="Notas 2 3 4 3 2 7 2" xfId="32796"/>
    <cellStyle name="Notas 2 3 4 3 2 8" xfId="32797"/>
    <cellStyle name="Notas 2 3 4 3 2 8 2" xfId="32798"/>
    <cellStyle name="Notas 2 3 4 3 2 9" xfId="32799"/>
    <cellStyle name="Notas 2 3 4 3 2 9 2" xfId="32800"/>
    <cellStyle name="Notas 2 3 4 3 3" xfId="32801"/>
    <cellStyle name="Notas 2 3 4 3 3 10" xfId="32802"/>
    <cellStyle name="Notas 2 3 4 3 3 10 2" xfId="32803"/>
    <cellStyle name="Notas 2 3 4 3 3 11" xfId="32804"/>
    <cellStyle name="Notas 2 3 4 3 3 2" xfId="32805"/>
    <cellStyle name="Notas 2 3 4 3 3 2 2" xfId="32806"/>
    <cellStyle name="Notas 2 3 4 3 3 3" xfId="32807"/>
    <cellStyle name="Notas 2 3 4 3 3 3 2" xfId="32808"/>
    <cellStyle name="Notas 2 3 4 3 3 4" xfId="32809"/>
    <cellStyle name="Notas 2 3 4 3 3 4 2" xfId="32810"/>
    <cellStyle name="Notas 2 3 4 3 3 5" xfId="32811"/>
    <cellStyle name="Notas 2 3 4 3 3 5 2" xfId="32812"/>
    <cellStyle name="Notas 2 3 4 3 3 6" xfId="32813"/>
    <cellStyle name="Notas 2 3 4 3 3 6 2" xfId="32814"/>
    <cellStyle name="Notas 2 3 4 3 3 7" xfId="32815"/>
    <cellStyle name="Notas 2 3 4 3 3 7 2" xfId="32816"/>
    <cellStyle name="Notas 2 3 4 3 3 8" xfId="32817"/>
    <cellStyle name="Notas 2 3 4 3 3 8 2" xfId="32818"/>
    <cellStyle name="Notas 2 3 4 3 3 9" xfId="32819"/>
    <cellStyle name="Notas 2 3 4 3 3 9 2" xfId="32820"/>
    <cellStyle name="Notas 2 3 4 3 4" xfId="32821"/>
    <cellStyle name="Notas 2 3 4 3 4 2" xfId="32822"/>
    <cellStyle name="Notas 2 3 4 3 5" xfId="32823"/>
    <cellStyle name="Notas 2 3 4 3 5 2" xfId="32824"/>
    <cellStyle name="Notas 2 3 4 3 6" xfId="32825"/>
    <cellStyle name="Notas 2 3 4 3 6 2" xfId="32826"/>
    <cellStyle name="Notas 2 3 4 3 7" xfId="32827"/>
    <cellStyle name="Notas 2 3 4 3 7 2" xfId="32828"/>
    <cellStyle name="Notas 2 3 4 3 8" xfId="32829"/>
    <cellStyle name="Notas 2 3 4 3 8 2" xfId="32830"/>
    <cellStyle name="Notas 2 3 4 3 9" xfId="32831"/>
    <cellStyle name="Notas 2 3 4 3 9 2" xfId="32832"/>
    <cellStyle name="Notas 2 3 4 4" xfId="32833"/>
    <cellStyle name="Notas 2 3 4 4 10" xfId="32834"/>
    <cellStyle name="Notas 2 3 4 4 10 2" xfId="32835"/>
    <cellStyle name="Notas 2 3 4 4 11" xfId="32836"/>
    <cellStyle name="Notas 2 3 4 4 2" xfId="32837"/>
    <cellStyle name="Notas 2 3 4 4 2 2" xfId="32838"/>
    <cellStyle name="Notas 2 3 4 4 3" xfId="32839"/>
    <cellStyle name="Notas 2 3 4 4 3 2" xfId="32840"/>
    <cellStyle name="Notas 2 3 4 4 4" xfId="32841"/>
    <cellStyle name="Notas 2 3 4 4 4 2" xfId="32842"/>
    <cellStyle name="Notas 2 3 4 4 5" xfId="32843"/>
    <cellStyle name="Notas 2 3 4 4 5 2" xfId="32844"/>
    <cellStyle name="Notas 2 3 4 4 6" xfId="32845"/>
    <cellStyle name="Notas 2 3 4 4 6 2" xfId="32846"/>
    <cellStyle name="Notas 2 3 4 4 7" xfId="32847"/>
    <cellStyle name="Notas 2 3 4 4 7 2" xfId="32848"/>
    <cellStyle name="Notas 2 3 4 4 8" xfId="32849"/>
    <cellStyle name="Notas 2 3 4 4 8 2" xfId="32850"/>
    <cellStyle name="Notas 2 3 4 4 9" xfId="32851"/>
    <cellStyle name="Notas 2 3 4 4 9 2" xfId="32852"/>
    <cellStyle name="Notas 2 3 4 5" xfId="32853"/>
    <cellStyle name="Notas 2 3 4 5 10" xfId="32854"/>
    <cellStyle name="Notas 2 3 4 5 10 2" xfId="32855"/>
    <cellStyle name="Notas 2 3 4 5 11" xfId="32856"/>
    <cellStyle name="Notas 2 3 4 5 2" xfId="32857"/>
    <cellStyle name="Notas 2 3 4 5 2 2" xfId="32858"/>
    <cellStyle name="Notas 2 3 4 5 3" xfId="32859"/>
    <cellStyle name="Notas 2 3 4 5 3 2" xfId="32860"/>
    <cellStyle name="Notas 2 3 4 5 4" xfId="32861"/>
    <cellStyle name="Notas 2 3 4 5 4 2" xfId="32862"/>
    <cellStyle name="Notas 2 3 4 5 5" xfId="32863"/>
    <cellStyle name="Notas 2 3 4 5 5 2" xfId="32864"/>
    <cellStyle name="Notas 2 3 4 5 6" xfId="32865"/>
    <cellStyle name="Notas 2 3 4 5 6 2" xfId="32866"/>
    <cellStyle name="Notas 2 3 4 5 7" xfId="32867"/>
    <cellStyle name="Notas 2 3 4 5 7 2" xfId="32868"/>
    <cellStyle name="Notas 2 3 4 5 8" xfId="32869"/>
    <cellStyle name="Notas 2 3 4 5 8 2" xfId="32870"/>
    <cellStyle name="Notas 2 3 4 5 9" xfId="32871"/>
    <cellStyle name="Notas 2 3 4 5 9 2" xfId="32872"/>
    <cellStyle name="Notas 2 3 4 6" xfId="32873"/>
    <cellStyle name="Notas 2 3 4 6 2" xfId="32874"/>
    <cellStyle name="Notas 2 3 4 7" xfId="32875"/>
    <cellStyle name="Notas 2 3 4 7 2" xfId="32876"/>
    <cellStyle name="Notas 2 3 4 8" xfId="32877"/>
    <cellStyle name="Notas 2 3 4 8 2" xfId="32878"/>
    <cellStyle name="Notas 2 3 4 9" xfId="32879"/>
    <cellStyle name="Notas 2 3 4 9 2" xfId="32880"/>
    <cellStyle name="Notas 2 3 5" xfId="32881"/>
    <cellStyle name="Notas 2 3 5 10" xfId="32882"/>
    <cellStyle name="Notas 2 3 5 10 2" xfId="32883"/>
    <cellStyle name="Notas 2 3 5 11" xfId="32884"/>
    <cellStyle name="Notas 2 3 5 11 2" xfId="32885"/>
    <cellStyle name="Notas 2 3 5 12" xfId="32886"/>
    <cellStyle name="Notas 2 3 5 12 2" xfId="32887"/>
    <cellStyle name="Notas 2 3 5 13" xfId="32888"/>
    <cellStyle name="Notas 2 3 5 13 2" xfId="32889"/>
    <cellStyle name="Notas 2 3 5 14" xfId="32890"/>
    <cellStyle name="Notas 2 3 5 14 2" xfId="32891"/>
    <cellStyle name="Notas 2 3 5 15" xfId="32892"/>
    <cellStyle name="Notas 2 3 5 2" xfId="32893"/>
    <cellStyle name="Notas 2 3 5 2 10" xfId="32894"/>
    <cellStyle name="Notas 2 3 5 2 10 2" xfId="32895"/>
    <cellStyle name="Notas 2 3 5 2 11" xfId="32896"/>
    <cellStyle name="Notas 2 3 5 2 11 2" xfId="32897"/>
    <cellStyle name="Notas 2 3 5 2 12" xfId="32898"/>
    <cellStyle name="Notas 2 3 5 2 12 2" xfId="32899"/>
    <cellStyle name="Notas 2 3 5 2 13" xfId="32900"/>
    <cellStyle name="Notas 2 3 5 2 2" xfId="32901"/>
    <cellStyle name="Notas 2 3 5 2 2 10" xfId="32902"/>
    <cellStyle name="Notas 2 3 5 2 2 10 2" xfId="32903"/>
    <cellStyle name="Notas 2 3 5 2 2 11" xfId="32904"/>
    <cellStyle name="Notas 2 3 5 2 2 2" xfId="32905"/>
    <cellStyle name="Notas 2 3 5 2 2 2 2" xfId="32906"/>
    <cellStyle name="Notas 2 3 5 2 2 3" xfId="32907"/>
    <cellStyle name="Notas 2 3 5 2 2 3 2" xfId="32908"/>
    <cellStyle name="Notas 2 3 5 2 2 4" xfId="32909"/>
    <cellStyle name="Notas 2 3 5 2 2 4 2" xfId="32910"/>
    <cellStyle name="Notas 2 3 5 2 2 5" xfId="32911"/>
    <cellStyle name="Notas 2 3 5 2 2 5 2" xfId="32912"/>
    <cellStyle name="Notas 2 3 5 2 2 6" xfId="32913"/>
    <cellStyle name="Notas 2 3 5 2 2 6 2" xfId="32914"/>
    <cellStyle name="Notas 2 3 5 2 2 7" xfId="32915"/>
    <cellStyle name="Notas 2 3 5 2 2 7 2" xfId="32916"/>
    <cellStyle name="Notas 2 3 5 2 2 8" xfId="32917"/>
    <cellStyle name="Notas 2 3 5 2 2 8 2" xfId="32918"/>
    <cellStyle name="Notas 2 3 5 2 2 9" xfId="32919"/>
    <cellStyle name="Notas 2 3 5 2 2 9 2" xfId="32920"/>
    <cellStyle name="Notas 2 3 5 2 3" xfId="32921"/>
    <cellStyle name="Notas 2 3 5 2 3 10" xfId="32922"/>
    <cellStyle name="Notas 2 3 5 2 3 10 2" xfId="32923"/>
    <cellStyle name="Notas 2 3 5 2 3 11" xfId="32924"/>
    <cellStyle name="Notas 2 3 5 2 3 2" xfId="32925"/>
    <cellStyle name="Notas 2 3 5 2 3 2 2" xfId="32926"/>
    <cellStyle name="Notas 2 3 5 2 3 3" xfId="32927"/>
    <cellStyle name="Notas 2 3 5 2 3 3 2" xfId="32928"/>
    <cellStyle name="Notas 2 3 5 2 3 4" xfId="32929"/>
    <cellStyle name="Notas 2 3 5 2 3 4 2" xfId="32930"/>
    <cellStyle name="Notas 2 3 5 2 3 5" xfId="32931"/>
    <cellStyle name="Notas 2 3 5 2 3 5 2" xfId="32932"/>
    <cellStyle name="Notas 2 3 5 2 3 6" xfId="32933"/>
    <cellStyle name="Notas 2 3 5 2 3 6 2" xfId="32934"/>
    <cellStyle name="Notas 2 3 5 2 3 7" xfId="32935"/>
    <cellStyle name="Notas 2 3 5 2 3 7 2" xfId="32936"/>
    <cellStyle name="Notas 2 3 5 2 3 8" xfId="32937"/>
    <cellStyle name="Notas 2 3 5 2 3 8 2" xfId="32938"/>
    <cellStyle name="Notas 2 3 5 2 3 9" xfId="32939"/>
    <cellStyle name="Notas 2 3 5 2 3 9 2" xfId="32940"/>
    <cellStyle name="Notas 2 3 5 2 4" xfId="32941"/>
    <cellStyle name="Notas 2 3 5 2 4 2" xfId="32942"/>
    <cellStyle name="Notas 2 3 5 2 5" xfId="32943"/>
    <cellStyle name="Notas 2 3 5 2 5 2" xfId="32944"/>
    <cellStyle name="Notas 2 3 5 2 6" xfId="32945"/>
    <cellStyle name="Notas 2 3 5 2 6 2" xfId="32946"/>
    <cellStyle name="Notas 2 3 5 2 7" xfId="32947"/>
    <cellStyle name="Notas 2 3 5 2 7 2" xfId="32948"/>
    <cellStyle name="Notas 2 3 5 2 8" xfId="32949"/>
    <cellStyle name="Notas 2 3 5 2 8 2" xfId="32950"/>
    <cellStyle name="Notas 2 3 5 2 9" xfId="32951"/>
    <cellStyle name="Notas 2 3 5 2 9 2" xfId="32952"/>
    <cellStyle name="Notas 2 3 5 3" xfId="32953"/>
    <cellStyle name="Notas 2 3 5 3 10" xfId="32954"/>
    <cellStyle name="Notas 2 3 5 3 10 2" xfId="32955"/>
    <cellStyle name="Notas 2 3 5 3 11" xfId="32956"/>
    <cellStyle name="Notas 2 3 5 3 11 2" xfId="32957"/>
    <cellStyle name="Notas 2 3 5 3 12" xfId="32958"/>
    <cellStyle name="Notas 2 3 5 3 12 2" xfId="32959"/>
    <cellStyle name="Notas 2 3 5 3 13" xfId="32960"/>
    <cellStyle name="Notas 2 3 5 3 2" xfId="32961"/>
    <cellStyle name="Notas 2 3 5 3 2 10" xfId="32962"/>
    <cellStyle name="Notas 2 3 5 3 2 10 2" xfId="32963"/>
    <cellStyle name="Notas 2 3 5 3 2 11" xfId="32964"/>
    <cellStyle name="Notas 2 3 5 3 2 2" xfId="32965"/>
    <cellStyle name="Notas 2 3 5 3 2 2 2" xfId="32966"/>
    <cellStyle name="Notas 2 3 5 3 2 3" xfId="32967"/>
    <cellStyle name="Notas 2 3 5 3 2 3 2" xfId="32968"/>
    <cellStyle name="Notas 2 3 5 3 2 4" xfId="32969"/>
    <cellStyle name="Notas 2 3 5 3 2 4 2" xfId="32970"/>
    <cellStyle name="Notas 2 3 5 3 2 5" xfId="32971"/>
    <cellStyle name="Notas 2 3 5 3 2 5 2" xfId="32972"/>
    <cellStyle name="Notas 2 3 5 3 2 6" xfId="32973"/>
    <cellStyle name="Notas 2 3 5 3 2 6 2" xfId="32974"/>
    <cellStyle name="Notas 2 3 5 3 2 7" xfId="32975"/>
    <cellStyle name="Notas 2 3 5 3 2 7 2" xfId="32976"/>
    <cellStyle name="Notas 2 3 5 3 2 8" xfId="32977"/>
    <cellStyle name="Notas 2 3 5 3 2 8 2" xfId="32978"/>
    <cellStyle name="Notas 2 3 5 3 2 9" xfId="32979"/>
    <cellStyle name="Notas 2 3 5 3 2 9 2" xfId="32980"/>
    <cellStyle name="Notas 2 3 5 3 3" xfId="32981"/>
    <cellStyle name="Notas 2 3 5 3 3 10" xfId="32982"/>
    <cellStyle name="Notas 2 3 5 3 3 10 2" xfId="32983"/>
    <cellStyle name="Notas 2 3 5 3 3 11" xfId="32984"/>
    <cellStyle name="Notas 2 3 5 3 3 2" xfId="32985"/>
    <cellStyle name="Notas 2 3 5 3 3 2 2" xfId="32986"/>
    <cellStyle name="Notas 2 3 5 3 3 3" xfId="32987"/>
    <cellStyle name="Notas 2 3 5 3 3 3 2" xfId="32988"/>
    <cellStyle name="Notas 2 3 5 3 3 4" xfId="32989"/>
    <cellStyle name="Notas 2 3 5 3 3 4 2" xfId="32990"/>
    <cellStyle name="Notas 2 3 5 3 3 5" xfId="32991"/>
    <cellStyle name="Notas 2 3 5 3 3 5 2" xfId="32992"/>
    <cellStyle name="Notas 2 3 5 3 3 6" xfId="32993"/>
    <cellStyle name="Notas 2 3 5 3 3 6 2" xfId="32994"/>
    <cellStyle name="Notas 2 3 5 3 3 7" xfId="32995"/>
    <cellStyle name="Notas 2 3 5 3 3 7 2" xfId="32996"/>
    <cellStyle name="Notas 2 3 5 3 3 8" xfId="32997"/>
    <cellStyle name="Notas 2 3 5 3 3 8 2" xfId="32998"/>
    <cellStyle name="Notas 2 3 5 3 3 9" xfId="32999"/>
    <cellStyle name="Notas 2 3 5 3 3 9 2" xfId="33000"/>
    <cellStyle name="Notas 2 3 5 3 4" xfId="33001"/>
    <cellStyle name="Notas 2 3 5 3 4 2" xfId="33002"/>
    <cellStyle name="Notas 2 3 5 3 5" xfId="33003"/>
    <cellStyle name="Notas 2 3 5 3 5 2" xfId="33004"/>
    <cellStyle name="Notas 2 3 5 3 6" xfId="33005"/>
    <cellStyle name="Notas 2 3 5 3 6 2" xfId="33006"/>
    <cellStyle name="Notas 2 3 5 3 7" xfId="33007"/>
    <cellStyle name="Notas 2 3 5 3 7 2" xfId="33008"/>
    <cellStyle name="Notas 2 3 5 3 8" xfId="33009"/>
    <cellStyle name="Notas 2 3 5 3 8 2" xfId="33010"/>
    <cellStyle name="Notas 2 3 5 3 9" xfId="33011"/>
    <cellStyle name="Notas 2 3 5 3 9 2" xfId="33012"/>
    <cellStyle name="Notas 2 3 5 4" xfId="33013"/>
    <cellStyle name="Notas 2 3 5 4 10" xfId="33014"/>
    <cellStyle name="Notas 2 3 5 4 10 2" xfId="33015"/>
    <cellStyle name="Notas 2 3 5 4 11" xfId="33016"/>
    <cellStyle name="Notas 2 3 5 4 2" xfId="33017"/>
    <cellStyle name="Notas 2 3 5 4 2 2" xfId="33018"/>
    <cellStyle name="Notas 2 3 5 4 3" xfId="33019"/>
    <cellStyle name="Notas 2 3 5 4 3 2" xfId="33020"/>
    <cellStyle name="Notas 2 3 5 4 4" xfId="33021"/>
    <cellStyle name="Notas 2 3 5 4 4 2" xfId="33022"/>
    <cellStyle name="Notas 2 3 5 4 5" xfId="33023"/>
    <cellStyle name="Notas 2 3 5 4 5 2" xfId="33024"/>
    <cellStyle name="Notas 2 3 5 4 6" xfId="33025"/>
    <cellStyle name="Notas 2 3 5 4 6 2" xfId="33026"/>
    <cellStyle name="Notas 2 3 5 4 7" xfId="33027"/>
    <cellStyle name="Notas 2 3 5 4 7 2" xfId="33028"/>
    <cellStyle name="Notas 2 3 5 4 8" xfId="33029"/>
    <cellStyle name="Notas 2 3 5 4 8 2" xfId="33030"/>
    <cellStyle name="Notas 2 3 5 4 9" xfId="33031"/>
    <cellStyle name="Notas 2 3 5 4 9 2" xfId="33032"/>
    <cellStyle name="Notas 2 3 5 5" xfId="33033"/>
    <cellStyle name="Notas 2 3 5 5 10" xfId="33034"/>
    <cellStyle name="Notas 2 3 5 5 10 2" xfId="33035"/>
    <cellStyle name="Notas 2 3 5 5 11" xfId="33036"/>
    <cellStyle name="Notas 2 3 5 5 2" xfId="33037"/>
    <cellStyle name="Notas 2 3 5 5 2 2" xfId="33038"/>
    <cellStyle name="Notas 2 3 5 5 3" xfId="33039"/>
    <cellStyle name="Notas 2 3 5 5 3 2" xfId="33040"/>
    <cellStyle name="Notas 2 3 5 5 4" xfId="33041"/>
    <cellStyle name="Notas 2 3 5 5 4 2" xfId="33042"/>
    <cellStyle name="Notas 2 3 5 5 5" xfId="33043"/>
    <cellStyle name="Notas 2 3 5 5 5 2" xfId="33044"/>
    <cellStyle name="Notas 2 3 5 5 6" xfId="33045"/>
    <cellStyle name="Notas 2 3 5 5 6 2" xfId="33046"/>
    <cellStyle name="Notas 2 3 5 5 7" xfId="33047"/>
    <cellStyle name="Notas 2 3 5 5 7 2" xfId="33048"/>
    <cellStyle name="Notas 2 3 5 5 8" xfId="33049"/>
    <cellStyle name="Notas 2 3 5 5 8 2" xfId="33050"/>
    <cellStyle name="Notas 2 3 5 5 9" xfId="33051"/>
    <cellStyle name="Notas 2 3 5 5 9 2" xfId="33052"/>
    <cellStyle name="Notas 2 3 5 6" xfId="33053"/>
    <cellStyle name="Notas 2 3 5 6 2" xfId="33054"/>
    <cellStyle name="Notas 2 3 5 7" xfId="33055"/>
    <cellStyle name="Notas 2 3 5 7 2" xfId="33056"/>
    <cellStyle name="Notas 2 3 5 8" xfId="33057"/>
    <cellStyle name="Notas 2 3 5 8 2" xfId="33058"/>
    <cellStyle name="Notas 2 3 5 9" xfId="33059"/>
    <cellStyle name="Notas 2 3 5 9 2" xfId="33060"/>
    <cellStyle name="Notas 2 3 6" xfId="33061"/>
    <cellStyle name="Notas 2 3 6 10" xfId="33062"/>
    <cellStyle name="Notas 2 3 6 10 2" xfId="33063"/>
    <cellStyle name="Notas 2 3 6 11" xfId="33064"/>
    <cellStyle name="Notas 2 3 6 11 2" xfId="33065"/>
    <cellStyle name="Notas 2 3 6 12" xfId="33066"/>
    <cellStyle name="Notas 2 3 6 12 2" xfId="33067"/>
    <cellStyle name="Notas 2 3 6 13" xfId="33068"/>
    <cellStyle name="Notas 2 3 6 2" xfId="33069"/>
    <cellStyle name="Notas 2 3 6 2 10" xfId="33070"/>
    <cellStyle name="Notas 2 3 6 2 10 2" xfId="33071"/>
    <cellStyle name="Notas 2 3 6 2 11" xfId="33072"/>
    <cellStyle name="Notas 2 3 6 2 2" xfId="33073"/>
    <cellStyle name="Notas 2 3 6 2 2 2" xfId="33074"/>
    <cellStyle name="Notas 2 3 6 2 3" xfId="33075"/>
    <cellStyle name="Notas 2 3 6 2 3 2" xfId="33076"/>
    <cellStyle name="Notas 2 3 6 2 4" xfId="33077"/>
    <cellStyle name="Notas 2 3 6 2 4 2" xfId="33078"/>
    <cellStyle name="Notas 2 3 6 2 5" xfId="33079"/>
    <cellStyle name="Notas 2 3 6 2 5 2" xfId="33080"/>
    <cellStyle name="Notas 2 3 6 2 6" xfId="33081"/>
    <cellStyle name="Notas 2 3 6 2 6 2" xfId="33082"/>
    <cellStyle name="Notas 2 3 6 2 7" xfId="33083"/>
    <cellStyle name="Notas 2 3 6 2 7 2" xfId="33084"/>
    <cellStyle name="Notas 2 3 6 2 8" xfId="33085"/>
    <cellStyle name="Notas 2 3 6 2 8 2" xfId="33086"/>
    <cellStyle name="Notas 2 3 6 2 9" xfId="33087"/>
    <cellStyle name="Notas 2 3 6 2 9 2" xfId="33088"/>
    <cellStyle name="Notas 2 3 6 3" xfId="33089"/>
    <cellStyle name="Notas 2 3 6 3 10" xfId="33090"/>
    <cellStyle name="Notas 2 3 6 3 10 2" xfId="33091"/>
    <cellStyle name="Notas 2 3 6 3 11" xfId="33092"/>
    <cellStyle name="Notas 2 3 6 3 2" xfId="33093"/>
    <cellStyle name="Notas 2 3 6 3 2 2" xfId="33094"/>
    <cellStyle name="Notas 2 3 6 3 3" xfId="33095"/>
    <cellStyle name="Notas 2 3 6 3 3 2" xfId="33096"/>
    <cellStyle name="Notas 2 3 6 3 4" xfId="33097"/>
    <cellStyle name="Notas 2 3 6 3 4 2" xfId="33098"/>
    <cellStyle name="Notas 2 3 6 3 5" xfId="33099"/>
    <cellStyle name="Notas 2 3 6 3 5 2" xfId="33100"/>
    <cellStyle name="Notas 2 3 6 3 6" xfId="33101"/>
    <cellStyle name="Notas 2 3 6 3 6 2" xfId="33102"/>
    <cellStyle name="Notas 2 3 6 3 7" xfId="33103"/>
    <cellStyle name="Notas 2 3 6 3 7 2" xfId="33104"/>
    <cellStyle name="Notas 2 3 6 3 8" xfId="33105"/>
    <cellStyle name="Notas 2 3 6 3 8 2" xfId="33106"/>
    <cellStyle name="Notas 2 3 6 3 9" xfId="33107"/>
    <cellStyle name="Notas 2 3 6 3 9 2" xfId="33108"/>
    <cellStyle name="Notas 2 3 6 4" xfId="33109"/>
    <cellStyle name="Notas 2 3 6 4 2" xfId="33110"/>
    <cellStyle name="Notas 2 3 6 5" xfId="33111"/>
    <cellStyle name="Notas 2 3 6 5 2" xfId="33112"/>
    <cellStyle name="Notas 2 3 6 6" xfId="33113"/>
    <cellStyle name="Notas 2 3 6 6 2" xfId="33114"/>
    <cellStyle name="Notas 2 3 6 7" xfId="33115"/>
    <cellStyle name="Notas 2 3 6 7 2" xfId="33116"/>
    <cellStyle name="Notas 2 3 6 8" xfId="33117"/>
    <cellStyle name="Notas 2 3 6 8 2" xfId="33118"/>
    <cellStyle name="Notas 2 3 6 9" xfId="33119"/>
    <cellStyle name="Notas 2 3 6 9 2" xfId="33120"/>
    <cellStyle name="Notas 2 3 7" xfId="33121"/>
    <cellStyle name="Notas 2 3 7 10" xfId="33122"/>
    <cellStyle name="Notas 2 3 7 10 2" xfId="33123"/>
    <cellStyle name="Notas 2 3 7 11" xfId="33124"/>
    <cellStyle name="Notas 2 3 7 11 2" xfId="33125"/>
    <cellStyle name="Notas 2 3 7 12" xfId="33126"/>
    <cellStyle name="Notas 2 3 7 12 2" xfId="33127"/>
    <cellStyle name="Notas 2 3 7 13" xfId="33128"/>
    <cellStyle name="Notas 2 3 7 2" xfId="33129"/>
    <cellStyle name="Notas 2 3 7 2 10" xfId="33130"/>
    <cellStyle name="Notas 2 3 7 2 10 2" xfId="33131"/>
    <cellStyle name="Notas 2 3 7 2 11" xfId="33132"/>
    <cellStyle name="Notas 2 3 7 2 2" xfId="33133"/>
    <cellStyle name="Notas 2 3 7 2 2 2" xfId="33134"/>
    <cellStyle name="Notas 2 3 7 2 3" xfId="33135"/>
    <cellStyle name="Notas 2 3 7 2 3 2" xfId="33136"/>
    <cellStyle name="Notas 2 3 7 2 4" xfId="33137"/>
    <cellStyle name="Notas 2 3 7 2 4 2" xfId="33138"/>
    <cellStyle name="Notas 2 3 7 2 5" xfId="33139"/>
    <cellStyle name="Notas 2 3 7 2 5 2" xfId="33140"/>
    <cellStyle name="Notas 2 3 7 2 6" xfId="33141"/>
    <cellStyle name="Notas 2 3 7 2 6 2" xfId="33142"/>
    <cellStyle name="Notas 2 3 7 2 7" xfId="33143"/>
    <cellStyle name="Notas 2 3 7 2 7 2" xfId="33144"/>
    <cellStyle name="Notas 2 3 7 2 8" xfId="33145"/>
    <cellStyle name="Notas 2 3 7 2 8 2" xfId="33146"/>
    <cellStyle name="Notas 2 3 7 2 9" xfId="33147"/>
    <cellStyle name="Notas 2 3 7 2 9 2" xfId="33148"/>
    <cellStyle name="Notas 2 3 7 3" xfId="33149"/>
    <cellStyle name="Notas 2 3 7 3 10" xfId="33150"/>
    <cellStyle name="Notas 2 3 7 3 10 2" xfId="33151"/>
    <cellStyle name="Notas 2 3 7 3 11" xfId="33152"/>
    <cellStyle name="Notas 2 3 7 3 2" xfId="33153"/>
    <cellStyle name="Notas 2 3 7 3 2 2" xfId="33154"/>
    <cellStyle name="Notas 2 3 7 3 3" xfId="33155"/>
    <cellStyle name="Notas 2 3 7 3 3 2" xfId="33156"/>
    <cellStyle name="Notas 2 3 7 3 4" xfId="33157"/>
    <cellStyle name="Notas 2 3 7 3 4 2" xfId="33158"/>
    <cellStyle name="Notas 2 3 7 3 5" xfId="33159"/>
    <cellStyle name="Notas 2 3 7 3 5 2" xfId="33160"/>
    <cellStyle name="Notas 2 3 7 3 6" xfId="33161"/>
    <cellStyle name="Notas 2 3 7 3 6 2" xfId="33162"/>
    <cellStyle name="Notas 2 3 7 3 7" xfId="33163"/>
    <cellStyle name="Notas 2 3 7 3 7 2" xfId="33164"/>
    <cellStyle name="Notas 2 3 7 3 8" xfId="33165"/>
    <cellStyle name="Notas 2 3 7 3 8 2" xfId="33166"/>
    <cellStyle name="Notas 2 3 7 3 9" xfId="33167"/>
    <cellStyle name="Notas 2 3 7 3 9 2" xfId="33168"/>
    <cellStyle name="Notas 2 3 7 4" xfId="33169"/>
    <cellStyle name="Notas 2 3 7 4 2" xfId="33170"/>
    <cellStyle name="Notas 2 3 7 5" xfId="33171"/>
    <cellStyle name="Notas 2 3 7 5 2" xfId="33172"/>
    <cellStyle name="Notas 2 3 7 6" xfId="33173"/>
    <cellStyle name="Notas 2 3 7 6 2" xfId="33174"/>
    <cellStyle name="Notas 2 3 7 7" xfId="33175"/>
    <cellStyle name="Notas 2 3 7 7 2" xfId="33176"/>
    <cellStyle name="Notas 2 3 7 8" xfId="33177"/>
    <cellStyle name="Notas 2 3 7 8 2" xfId="33178"/>
    <cellStyle name="Notas 2 3 7 9" xfId="33179"/>
    <cellStyle name="Notas 2 3 7 9 2" xfId="33180"/>
    <cellStyle name="Notas 2 3 8" xfId="33181"/>
    <cellStyle name="Notas 2 3 8 2" xfId="33182"/>
    <cellStyle name="Notas 2 3 9" xfId="33183"/>
    <cellStyle name="Notas 2 3 9 2" xfId="33184"/>
    <cellStyle name="Notas 2 4" xfId="299"/>
    <cellStyle name="Notas 2 4 10" xfId="33185"/>
    <cellStyle name="Notas 2 4 10 2" xfId="33186"/>
    <cellStyle name="Notas 2 4 11" xfId="33187"/>
    <cellStyle name="Notas 2 4 11 2" xfId="33188"/>
    <cellStyle name="Notas 2 4 12" xfId="33189"/>
    <cellStyle name="Notas 2 4 12 2" xfId="33190"/>
    <cellStyle name="Notas 2 4 13" xfId="33191"/>
    <cellStyle name="Notas 2 4 13 2" xfId="33192"/>
    <cellStyle name="Notas 2 4 14" xfId="33193"/>
    <cellStyle name="Notas 2 4 14 2" xfId="33194"/>
    <cellStyle name="Notas 2 4 15" xfId="33195"/>
    <cellStyle name="Notas 2 4 16" xfId="33196"/>
    <cellStyle name="Notas 2 4 2" xfId="33197"/>
    <cellStyle name="Notas 2 4 2 10" xfId="33198"/>
    <cellStyle name="Notas 2 4 2 10 2" xfId="33199"/>
    <cellStyle name="Notas 2 4 2 11" xfId="33200"/>
    <cellStyle name="Notas 2 4 2 11 2" xfId="33201"/>
    <cellStyle name="Notas 2 4 2 12" xfId="33202"/>
    <cellStyle name="Notas 2 4 2 12 2" xfId="33203"/>
    <cellStyle name="Notas 2 4 2 13" xfId="33204"/>
    <cellStyle name="Notas 2 4 2 2" xfId="33205"/>
    <cellStyle name="Notas 2 4 2 2 10" xfId="33206"/>
    <cellStyle name="Notas 2 4 2 2 10 2" xfId="33207"/>
    <cellStyle name="Notas 2 4 2 2 11" xfId="33208"/>
    <cellStyle name="Notas 2 4 2 2 2" xfId="33209"/>
    <cellStyle name="Notas 2 4 2 2 2 2" xfId="33210"/>
    <cellStyle name="Notas 2 4 2 2 3" xfId="33211"/>
    <cellStyle name="Notas 2 4 2 2 3 2" xfId="33212"/>
    <cellStyle name="Notas 2 4 2 2 4" xfId="33213"/>
    <cellStyle name="Notas 2 4 2 2 4 2" xfId="33214"/>
    <cellStyle name="Notas 2 4 2 2 5" xfId="33215"/>
    <cellStyle name="Notas 2 4 2 2 5 2" xfId="33216"/>
    <cellStyle name="Notas 2 4 2 2 6" xfId="33217"/>
    <cellStyle name="Notas 2 4 2 2 6 2" xfId="33218"/>
    <cellStyle name="Notas 2 4 2 2 7" xfId="33219"/>
    <cellStyle name="Notas 2 4 2 2 7 2" xfId="33220"/>
    <cellStyle name="Notas 2 4 2 2 8" xfId="33221"/>
    <cellStyle name="Notas 2 4 2 2 8 2" xfId="33222"/>
    <cellStyle name="Notas 2 4 2 2 9" xfId="33223"/>
    <cellStyle name="Notas 2 4 2 2 9 2" xfId="33224"/>
    <cellStyle name="Notas 2 4 2 3" xfId="33225"/>
    <cellStyle name="Notas 2 4 2 3 10" xfId="33226"/>
    <cellStyle name="Notas 2 4 2 3 10 2" xfId="33227"/>
    <cellStyle name="Notas 2 4 2 3 11" xfId="33228"/>
    <cellStyle name="Notas 2 4 2 3 2" xfId="33229"/>
    <cellStyle name="Notas 2 4 2 3 2 2" xfId="33230"/>
    <cellStyle name="Notas 2 4 2 3 3" xfId="33231"/>
    <cellStyle name="Notas 2 4 2 3 3 2" xfId="33232"/>
    <cellStyle name="Notas 2 4 2 3 4" xfId="33233"/>
    <cellStyle name="Notas 2 4 2 3 4 2" xfId="33234"/>
    <cellStyle name="Notas 2 4 2 3 5" xfId="33235"/>
    <cellStyle name="Notas 2 4 2 3 5 2" xfId="33236"/>
    <cellStyle name="Notas 2 4 2 3 6" xfId="33237"/>
    <cellStyle name="Notas 2 4 2 3 6 2" xfId="33238"/>
    <cellStyle name="Notas 2 4 2 3 7" xfId="33239"/>
    <cellStyle name="Notas 2 4 2 3 7 2" xfId="33240"/>
    <cellStyle name="Notas 2 4 2 3 8" xfId="33241"/>
    <cellStyle name="Notas 2 4 2 3 8 2" xfId="33242"/>
    <cellStyle name="Notas 2 4 2 3 9" xfId="33243"/>
    <cellStyle name="Notas 2 4 2 3 9 2" xfId="33244"/>
    <cellStyle name="Notas 2 4 2 4" xfId="33245"/>
    <cellStyle name="Notas 2 4 2 4 2" xfId="33246"/>
    <cellStyle name="Notas 2 4 2 5" xfId="33247"/>
    <cellStyle name="Notas 2 4 2 5 2" xfId="33248"/>
    <cellStyle name="Notas 2 4 2 6" xfId="33249"/>
    <cellStyle name="Notas 2 4 2 6 2" xfId="33250"/>
    <cellStyle name="Notas 2 4 2 7" xfId="33251"/>
    <cellStyle name="Notas 2 4 2 7 2" xfId="33252"/>
    <cellStyle name="Notas 2 4 2 8" xfId="33253"/>
    <cellStyle name="Notas 2 4 2 8 2" xfId="33254"/>
    <cellStyle name="Notas 2 4 2 9" xfId="33255"/>
    <cellStyle name="Notas 2 4 2 9 2" xfId="33256"/>
    <cellStyle name="Notas 2 4 3" xfId="33257"/>
    <cellStyle name="Notas 2 4 3 10" xfId="33258"/>
    <cellStyle name="Notas 2 4 3 10 2" xfId="33259"/>
    <cellStyle name="Notas 2 4 3 11" xfId="33260"/>
    <cellStyle name="Notas 2 4 3 11 2" xfId="33261"/>
    <cellStyle name="Notas 2 4 3 12" xfId="33262"/>
    <cellStyle name="Notas 2 4 3 12 2" xfId="33263"/>
    <cellStyle name="Notas 2 4 3 13" xfId="33264"/>
    <cellStyle name="Notas 2 4 3 2" xfId="33265"/>
    <cellStyle name="Notas 2 4 3 2 10" xfId="33266"/>
    <cellStyle name="Notas 2 4 3 2 10 2" xfId="33267"/>
    <cellStyle name="Notas 2 4 3 2 11" xfId="33268"/>
    <cellStyle name="Notas 2 4 3 2 2" xfId="33269"/>
    <cellStyle name="Notas 2 4 3 2 2 2" xfId="33270"/>
    <cellStyle name="Notas 2 4 3 2 3" xfId="33271"/>
    <cellStyle name="Notas 2 4 3 2 3 2" xfId="33272"/>
    <cellStyle name="Notas 2 4 3 2 4" xfId="33273"/>
    <cellStyle name="Notas 2 4 3 2 4 2" xfId="33274"/>
    <cellStyle name="Notas 2 4 3 2 5" xfId="33275"/>
    <cellStyle name="Notas 2 4 3 2 5 2" xfId="33276"/>
    <cellStyle name="Notas 2 4 3 2 6" xfId="33277"/>
    <cellStyle name="Notas 2 4 3 2 6 2" xfId="33278"/>
    <cellStyle name="Notas 2 4 3 2 7" xfId="33279"/>
    <cellStyle name="Notas 2 4 3 2 7 2" xfId="33280"/>
    <cellStyle name="Notas 2 4 3 2 8" xfId="33281"/>
    <cellStyle name="Notas 2 4 3 2 8 2" xfId="33282"/>
    <cellStyle name="Notas 2 4 3 2 9" xfId="33283"/>
    <cellStyle name="Notas 2 4 3 2 9 2" xfId="33284"/>
    <cellStyle name="Notas 2 4 3 3" xfId="33285"/>
    <cellStyle name="Notas 2 4 3 3 10" xfId="33286"/>
    <cellStyle name="Notas 2 4 3 3 10 2" xfId="33287"/>
    <cellStyle name="Notas 2 4 3 3 11" xfId="33288"/>
    <cellStyle name="Notas 2 4 3 3 2" xfId="33289"/>
    <cellStyle name="Notas 2 4 3 3 2 2" xfId="33290"/>
    <cellStyle name="Notas 2 4 3 3 3" xfId="33291"/>
    <cellStyle name="Notas 2 4 3 3 3 2" xfId="33292"/>
    <cellStyle name="Notas 2 4 3 3 4" xfId="33293"/>
    <cellStyle name="Notas 2 4 3 3 4 2" xfId="33294"/>
    <cellStyle name="Notas 2 4 3 3 5" xfId="33295"/>
    <cellStyle name="Notas 2 4 3 3 5 2" xfId="33296"/>
    <cellStyle name="Notas 2 4 3 3 6" xfId="33297"/>
    <cellStyle name="Notas 2 4 3 3 6 2" xfId="33298"/>
    <cellStyle name="Notas 2 4 3 3 7" xfId="33299"/>
    <cellStyle name="Notas 2 4 3 3 7 2" xfId="33300"/>
    <cellStyle name="Notas 2 4 3 3 8" xfId="33301"/>
    <cellStyle name="Notas 2 4 3 3 8 2" xfId="33302"/>
    <cellStyle name="Notas 2 4 3 3 9" xfId="33303"/>
    <cellStyle name="Notas 2 4 3 3 9 2" xfId="33304"/>
    <cellStyle name="Notas 2 4 3 4" xfId="33305"/>
    <cellStyle name="Notas 2 4 3 4 2" xfId="33306"/>
    <cellStyle name="Notas 2 4 3 5" xfId="33307"/>
    <cellStyle name="Notas 2 4 3 5 2" xfId="33308"/>
    <cellStyle name="Notas 2 4 3 6" xfId="33309"/>
    <cellStyle name="Notas 2 4 3 6 2" xfId="33310"/>
    <cellStyle name="Notas 2 4 3 7" xfId="33311"/>
    <cellStyle name="Notas 2 4 3 7 2" xfId="33312"/>
    <cellStyle name="Notas 2 4 3 8" xfId="33313"/>
    <cellStyle name="Notas 2 4 3 8 2" xfId="33314"/>
    <cellStyle name="Notas 2 4 3 9" xfId="33315"/>
    <cellStyle name="Notas 2 4 3 9 2" xfId="33316"/>
    <cellStyle name="Notas 2 4 4" xfId="33317"/>
    <cellStyle name="Notas 2 4 4 10" xfId="33318"/>
    <cellStyle name="Notas 2 4 4 10 2" xfId="33319"/>
    <cellStyle name="Notas 2 4 4 11" xfId="33320"/>
    <cellStyle name="Notas 2 4 4 2" xfId="33321"/>
    <cellStyle name="Notas 2 4 4 2 2" xfId="33322"/>
    <cellStyle name="Notas 2 4 4 3" xfId="33323"/>
    <cellStyle name="Notas 2 4 4 3 2" xfId="33324"/>
    <cellStyle name="Notas 2 4 4 4" xfId="33325"/>
    <cellStyle name="Notas 2 4 4 4 2" xfId="33326"/>
    <cellStyle name="Notas 2 4 4 5" xfId="33327"/>
    <cellStyle name="Notas 2 4 4 5 2" xfId="33328"/>
    <cellStyle name="Notas 2 4 4 6" xfId="33329"/>
    <cellStyle name="Notas 2 4 4 6 2" xfId="33330"/>
    <cellStyle name="Notas 2 4 4 7" xfId="33331"/>
    <cellStyle name="Notas 2 4 4 7 2" xfId="33332"/>
    <cellStyle name="Notas 2 4 4 8" xfId="33333"/>
    <cellStyle name="Notas 2 4 4 8 2" xfId="33334"/>
    <cellStyle name="Notas 2 4 4 9" xfId="33335"/>
    <cellStyle name="Notas 2 4 4 9 2" xfId="33336"/>
    <cellStyle name="Notas 2 4 5" xfId="33337"/>
    <cellStyle name="Notas 2 4 5 10" xfId="33338"/>
    <cellStyle name="Notas 2 4 5 10 2" xfId="33339"/>
    <cellStyle name="Notas 2 4 5 11" xfId="33340"/>
    <cellStyle name="Notas 2 4 5 2" xfId="33341"/>
    <cellStyle name="Notas 2 4 5 2 2" xfId="33342"/>
    <cellStyle name="Notas 2 4 5 3" xfId="33343"/>
    <cellStyle name="Notas 2 4 5 3 2" xfId="33344"/>
    <cellStyle name="Notas 2 4 5 4" xfId="33345"/>
    <cellStyle name="Notas 2 4 5 4 2" xfId="33346"/>
    <cellStyle name="Notas 2 4 5 5" xfId="33347"/>
    <cellStyle name="Notas 2 4 5 5 2" xfId="33348"/>
    <cellStyle name="Notas 2 4 5 6" xfId="33349"/>
    <cellStyle name="Notas 2 4 5 6 2" xfId="33350"/>
    <cellStyle name="Notas 2 4 5 7" xfId="33351"/>
    <cellStyle name="Notas 2 4 5 7 2" xfId="33352"/>
    <cellStyle name="Notas 2 4 5 8" xfId="33353"/>
    <cellStyle name="Notas 2 4 5 8 2" xfId="33354"/>
    <cellStyle name="Notas 2 4 5 9" xfId="33355"/>
    <cellStyle name="Notas 2 4 5 9 2" xfId="33356"/>
    <cellStyle name="Notas 2 4 6" xfId="33357"/>
    <cellStyle name="Notas 2 4 6 2" xfId="33358"/>
    <cellStyle name="Notas 2 4 7" xfId="33359"/>
    <cellStyle name="Notas 2 4 7 2" xfId="33360"/>
    <cellStyle name="Notas 2 4 8" xfId="33361"/>
    <cellStyle name="Notas 2 4 8 2" xfId="33362"/>
    <cellStyle name="Notas 2 4 9" xfId="33363"/>
    <cellStyle name="Notas 2 4 9 2" xfId="33364"/>
    <cellStyle name="Notas 2 5" xfId="276"/>
    <cellStyle name="Notas 2 5 10" xfId="33365"/>
    <cellStyle name="Notas 2 5 10 2" xfId="33366"/>
    <cellStyle name="Notas 2 5 11" xfId="33367"/>
    <cellStyle name="Notas 2 5 11 2" xfId="33368"/>
    <cellStyle name="Notas 2 5 12" xfId="33369"/>
    <cellStyle name="Notas 2 5 12 2" xfId="33370"/>
    <cellStyle name="Notas 2 5 13" xfId="33371"/>
    <cellStyle name="Notas 2 5 13 2" xfId="33372"/>
    <cellStyle name="Notas 2 5 14" xfId="33373"/>
    <cellStyle name="Notas 2 5 14 2" xfId="33374"/>
    <cellStyle name="Notas 2 5 15" xfId="33375"/>
    <cellStyle name="Notas 2 5 2" xfId="33376"/>
    <cellStyle name="Notas 2 5 2 10" xfId="33377"/>
    <cellStyle name="Notas 2 5 2 10 2" xfId="33378"/>
    <cellStyle name="Notas 2 5 2 11" xfId="33379"/>
    <cellStyle name="Notas 2 5 2 11 2" xfId="33380"/>
    <cellStyle name="Notas 2 5 2 12" xfId="33381"/>
    <cellStyle name="Notas 2 5 2 12 2" xfId="33382"/>
    <cellStyle name="Notas 2 5 2 13" xfId="33383"/>
    <cellStyle name="Notas 2 5 2 2" xfId="33384"/>
    <cellStyle name="Notas 2 5 2 2 10" xfId="33385"/>
    <cellStyle name="Notas 2 5 2 2 10 2" xfId="33386"/>
    <cellStyle name="Notas 2 5 2 2 11" xfId="33387"/>
    <cellStyle name="Notas 2 5 2 2 2" xfId="33388"/>
    <cellStyle name="Notas 2 5 2 2 2 2" xfId="33389"/>
    <cellStyle name="Notas 2 5 2 2 3" xfId="33390"/>
    <cellStyle name="Notas 2 5 2 2 3 2" xfId="33391"/>
    <cellStyle name="Notas 2 5 2 2 4" xfId="33392"/>
    <cellStyle name="Notas 2 5 2 2 4 2" xfId="33393"/>
    <cellStyle name="Notas 2 5 2 2 5" xfId="33394"/>
    <cellStyle name="Notas 2 5 2 2 5 2" xfId="33395"/>
    <cellStyle name="Notas 2 5 2 2 6" xfId="33396"/>
    <cellStyle name="Notas 2 5 2 2 6 2" xfId="33397"/>
    <cellStyle name="Notas 2 5 2 2 7" xfId="33398"/>
    <cellStyle name="Notas 2 5 2 2 7 2" xfId="33399"/>
    <cellStyle name="Notas 2 5 2 2 8" xfId="33400"/>
    <cellStyle name="Notas 2 5 2 2 8 2" xfId="33401"/>
    <cellStyle name="Notas 2 5 2 2 9" xfId="33402"/>
    <cellStyle name="Notas 2 5 2 2 9 2" xfId="33403"/>
    <cellStyle name="Notas 2 5 2 3" xfId="33404"/>
    <cellStyle name="Notas 2 5 2 3 10" xfId="33405"/>
    <cellStyle name="Notas 2 5 2 3 10 2" xfId="33406"/>
    <cellStyle name="Notas 2 5 2 3 11" xfId="33407"/>
    <cellStyle name="Notas 2 5 2 3 2" xfId="33408"/>
    <cellStyle name="Notas 2 5 2 3 2 2" xfId="33409"/>
    <cellStyle name="Notas 2 5 2 3 3" xfId="33410"/>
    <cellStyle name="Notas 2 5 2 3 3 2" xfId="33411"/>
    <cellStyle name="Notas 2 5 2 3 4" xfId="33412"/>
    <cellStyle name="Notas 2 5 2 3 4 2" xfId="33413"/>
    <cellStyle name="Notas 2 5 2 3 5" xfId="33414"/>
    <cellStyle name="Notas 2 5 2 3 5 2" xfId="33415"/>
    <cellStyle name="Notas 2 5 2 3 6" xfId="33416"/>
    <cellStyle name="Notas 2 5 2 3 6 2" xfId="33417"/>
    <cellStyle name="Notas 2 5 2 3 7" xfId="33418"/>
    <cellStyle name="Notas 2 5 2 3 7 2" xfId="33419"/>
    <cellStyle name="Notas 2 5 2 3 8" xfId="33420"/>
    <cellStyle name="Notas 2 5 2 3 8 2" xfId="33421"/>
    <cellStyle name="Notas 2 5 2 3 9" xfId="33422"/>
    <cellStyle name="Notas 2 5 2 3 9 2" xfId="33423"/>
    <cellStyle name="Notas 2 5 2 4" xfId="33424"/>
    <cellStyle name="Notas 2 5 2 4 2" xfId="33425"/>
    <cellStyle name="Notas 2 5 2 5" xfId="33426"/>
    <cellStyle name="Notas 2 5 2 5 2" xfId="33427"/>
    <cellStyle name="Notas 2 5 2 6" xfId="33428"/>
    <cellStyle name="Notas 2 5 2 6 2" xfId="33429"/>
    <cellStyle name="Notas 2 5 2 7" xfId="33430"/>
    <cellStyle name="Notas 2 5 2 7 2" xfId="33431"/>
    <cellStyle name="Notas 2 5 2 8" xfId="33432"/>
    <cellStyle name="Notas 2 5 2 8 2" xfId="33433"/>
    <cellStyle name="Notas 2 5 2 9" xfId="33434"/>
    <cellStyle name="Notas 2 5 2 9 2" xfId="33435"/>
    <cellStyle name="Notas 2 5 3" xfId="33436"/>
    <cellStyle name="Notas 2 5 3 10" xfId="33437"/>
    <cellStyle name="Notas 2 5 3 10 2" xfId="33438"/>
    <cellStyle name="Notas 2 5 3 11" xfId="33439"/>
    <cellStyle name="Notas 2 5 3 11 2" xfId="33440"/>
    <cellStyle name="Notas 2 5 3 12" xfId="33441"/>
    <cellStyle name="Notas 2 5 3 12 2" xfId="33442"/>
    <cellStyle name="Notas 2 5 3 13" xfId="33443"/>
    <cellStyle name="Notas 2 5 3 2" xfId="33444"/>
    <cellStyle name="Notas 2 5 3 2 10" xfId="33445"/>
    <cellStyle name="Notas 2 5 3 2 10 2" xfId="33446"/>
    <cellStyle name="Notas 2 5 3 2 11" xfId="33447"/>
    <cellStyle name="Notas 2 5 3 2 2" xfId="33448"/>
    <cellStyle name="Notas 2 5 3 2 2 2" xfId="33449"/>
    <cellStyle name="Notas 2 5 3 2 3" xfId="33450"/>
    <cellStyle name="Notas 2 5 3 2 3 2" xfId="33451"/>
    <cellStyle name="Notas 2 5 3 2 4" xfId="33452"/>
    <cellStyle name="Notas 2 5 3 2 4 2" xfId="33453"/>
    <cellStyle name="Notas 2 5 3 2 5" xfId="33454"/>
    <cellStyle name="Notas 2 5 3 2 5 2" xfId="33455"/>
    <cellStyle name="Notas 2 5 3 2 6" xfId="33456"/>
    <cellStyle name="Notas 2 5 3 2 6 2" xfId="33457"/>
    <cellStyle name="Notas 2 5 3 2 7" xfId="33458"/>
    <cellStyle name="Notas 2 5 3 2 7 2" xfId="33459"/>
    <cellStyle name="Notas 2 5 3 2 8" xfId="33460"/>
    <cellStyle name="Notas 2 5 3 2 8 2" xfId="33461"/>
    <cellStyle name="Notas 2 5 3 2 9" xfId="33462"/>
    <cellStyle name="Notas 2 5 3 2 9 2" xfId="33463"/>
    <cellStyle name="Notas 2 5 3 3" xfId="33464"/>
    <cellStyle name="Notas 2 5 3 3 10" xfId="33465"/>
    <cellStyle name="Notas 2 5 3 3 10 2" xfId="33466"/>
    <cellStyle name="Notas 2 5 3 3 11" xfId="33467"/>
    <cellStyle name="Notas 2 5 3 3 2" xfId="33468"/>
    <cellStyle name="Notas 2 5 3 3 2 2" xfId="33469"/>
    <cellStyle name="Notas 2 5 3 3 3" xfId="33470"/>
    <cellStyle name="Notas 2 5 3 3 3 2" xfId="33471"/>
    <cellStyle name="Notas 2 5 3 3 4" xfId="33472"/>
    <cellStyle name="Notas 2 5 3 3 4 2" xfId="33473"/>
    <cellStyle name="Notas 2 5 3 3 5" xfId="33474"/>
    <cellStyle name="Notas 2 5 3 3 5 2" xfId="33475"/>
    <cellStyle name="Notas 2 5 3 3 6" xfId="33476"/>
    <cellStyle name="Notas 2 5 3 3 6 2" xfId="33477"/>
    <cellStyle name="Notas 2 5 3 3 7" xfId="33478"/>
    <cellStyle name="Notas 2 5 3 3 7 2" xfId="33479"/>
    <cellStyle name="Notas 2 5 3 3 8" xfId="33480"/>
    <cellStyle name="Notas 2 5 3 3 8 2" xfId="33481"/>
    <cellStyle name="Notas 2 5 3 3 9" xfId="33482"/>
    <cellStyle name="Notas 2 5 3 3 9 2" xfId="33483"/>
    <cellStyle name="Notas 2 5 3 4" xfId="33484"/>
    <cellStyle name="Notas 2 5 3 4 2" xfId="33485"/>
    <cellStyle name="Notas 2 5 3 5" xfId="33486"/>
    <cellStyle name="Notas 2 5 3 5 2" xfId="33487"/>
    <cellStyle name="Notas 2 5 3 6" xfId="33488"/>
    <cellStyle name="Notas 2 5 3 6 2" xfId="33489"/>
    <cellStyle name="Notas 2 5 3 7" xfId="33490"/>
    <cellStyle name="Notas 2 5 3 7 2" xfId="33491"/>
    <cellStyle name="Notas 2 5 3 8" xfId="33492"/>
    <cellStyle name="Notas 2 5 3 8 2" xfId="33493"/>
    <cellStyle name="Notas 2 5 3 9" xfId="33494"/>
    <cellStyle name="Notas 2 5 3 9 2" xfId="33495"/>
    <cellStyle name="Notas 2 5 4" xfId="33496"/>
    <cellStyle name="Notas 2 5 4 10" xfId="33497"/>
    <cellStyle name="Notas 2 5 4 10 2" xfId="33498"/>
    <cellStyle name="Notas 2 5 4 11" xfId="33499"/>
    <cellStyle name="Notas 2 5 4 2" xfId="33500"/>
    <cellStyle name="Notas 2 5 4 2 2" xfId="33501"/>
    <cellStyle name="Notas 2 5 4 3" xfId="33502"/>
    <cellStyle name="Notas 2 5 4 3 2" xfId="33503"/>
    <cellStyle name="Notas 2 5 4 4" xfId="33504"/>
    <cellStyle name="Notas 2 5 4 4 2" xfId="33505"/>
    <cellStyle name="Notas 2 5 4 5" xfId="33506"/>
    <cellStyle name="Notas 2 5 4 5 2" xfId="33507"/>
    <cellStyle name="Notas 2 5 4 6" xfId="33508"/>
    <cellStyle name="Notas 2 5 4 6 2" xfId="33509"/>
    <cellStyle name="Notas 2 5 4 7" xfId="33510"/>
    <cellStyle name="Notas 2 5 4 7 2" xfId="33511"/>
    <cellStyle name="Notas 2 5 4 8" xfId="33512"/>
    <cellStyle name="Notas 2 5 4 8 2" xfId="33513"/>
    <cellStyle name="Notas 2 5 4 9" xfId="33514"/>
    <cellStyle name="Notas 2 5 4 9 2" xfId="33515"/>
    <cellStyle name="Notas 2 5 5" xfId="33516"/>
    <cellStyle name="Notas 2 5 5 10" xfId="33517"/>
    <cellStyle name="Notas 2 5 5 10 2" xfId="33518"/>
    <cellStyle name="Notas 2 5 5 11" xfId="33519"/>
    <cellStyle name="Notas 2 5 5 2" xfId="33520"/>
    <cellStyle name="Notas 2 5 5 2 2" xfId="33521"/>
    <cellStyle name="Notas 2 5 5 3" xfId="33522"/>
    <cellStyle name="Notas 2 5 5 3 2" xfId="33523"/>
    <cellStyle name="Notas 2 5 5 4" xfId="33524"/>
    <cellStyle name="Notas 2 5 5 4 2" xfId="33525"/>
    <cellStyle name="Notas 2 5 5 5" xfId="33526"/>
    <cellStyle name="Notas 2 5 5 5 2" xfId="33527"/>
    <cellStyle name="Notas 2 5 5 6" xfId="33528"/>
    <cellStyle name="Notas 2 5 5 6 2" xfId="33529"/>
    <cellStyle name="Notas 2 5 5 7" xfId="33530"/>
    <cellStyle name="Notas 2 5 5 7 2" xfId="33531"/>
    <cellStyle name="Notas 2 5 5 8" xfId="33532"/>
    <cellStyle name="Notas 2 5 5 8 2" xfId="33533"/>
    <cellStyle name="Notas 2 5 5 9" xfId="33534"/>
    <cellStyle name="Notas 2 5 5 9 2" xfId="33535"/>
    <cellStyle name="Notas 2 5 6" xfId="33536"/>
    <cellStyle name="Notas 2 5 6 2" xfId="33537"/>
    <cellStyle name="Notas 2 5 7" xfId="33538"/>
    <cellStyle name="Notas 2 5 7 2" xfId="33539"/>
    <cellStyle name="Notas 2 5 8" xfId="33540"/>
    <cellStyle name="Notas 2 5 8 2" xfId="33541"/>
    <cellStyle name="Notas 2 5 9" xfId="33542"/>
    <cellStyle name="Notas 2 5 9 2" xfId="33543"/>
    <cellStyle name="Notas 2 6" xfId="33544"/>
    <cellStyle name="Notas 2 6 10" xfId="33545"/>
    <cellStyle name="Notas 2 6 10 2" xfId="33546"/>
    <cellStyle name="Notas 2 6 11" xfId="33547"/>
    <cellStyle name="Notas 2 6 11 2" xfId="33548"/>
    <cellStyle name="Notas 2 6 12" xfId="33549"/>
    <cellStyle name="Notas 2 6 12 2" xfId="33550"/>
    <cellStyle name="Notas 2 6 13" xfId="33551"/>
    <cellStyle name="Notas 2 6 13 2" xfId="33552"/>
    <cellStyle name="Notas 2 6 14" xfId="33553"/>
    <cellStyle name="Notas 2 6 14 2" xfId="33554"/>
    <cellStyle name="Notas 2 6 15" xfId="33555"/>
    <cellStyle name="Notas 2 6 2" xfId="33556"/>
    <cellStyle name="Notas 2 6 2 10" xfId="33557"/>
    <cellStyle name="Notas 2 6 2 10 2" xfId="33558"/>
    <cellStyle name="Notas 2 6 2 11" xfId="33559"/>
    <cellStyle name="Notas 2 6 2 11 2" xfId="33560"/>
    <cellStyle name="Notas 2 6 2 12" xfId="33561"/>
    <cellStyle name="Notas 2 6 2 12 2" xfId="33562"/>
    <cellStyle name="Notas 2 6 2 13" xfId="33563"/>
    <cellStyle name="Notas 2 6 2 2" xfId="33564"/>
    <cellStyle name="Notas 2 6 2 2 10" xfId="33565"/>
    <cellStyle name="Notas 2 6 2 2 10 2" xfId="33566"/>
    <cellStyle name="Notas 2 6 2 2 11" xfId="33567"/>
    <cellStyle name="Notas 2 6 2 2 2" xfId="33568"/>
    <cellStyle name="Notas 2 6 2 2 2 2" xfId="33569"/>
    <cellStyle name="Notas 2 6 2 2 3" xfId="33570"/>
    <cellStyle name="Notas 2 6 2 2 3 2" xfId="33571"/>
    <cellStyle name="Notas 2 6 2 2 4" xfId="33572"/>
    <cellStyle name="Notas 2 6 2 2 4 2" xfId="33573"/>
    <cellStyle name="Notas 2 6 2 2 5" xfId="33574"/>
    <cellStyle name="Notas 2 6 2 2 5 2" xfId="33575"/>
    <cellStyle name="Notas 2 6 2 2 6" xfId="33576"/>
    <cellStyle name="Notas 2 6 2 2 6 2" xfId="33577"/>
    <cellStyle name="Notas 2 6 2 2 7" xfId="33578"/>
    <cellStyle name="Notas 2 6 2 2 7 2" xfId="33579"/>
    <cellStyle name="Notas 2 6 2 2 8" xfId="33580"/>
    <cellStyle name="Notas 2 6 2 2 8 2" xfId="33581"/>
    <cellStyle name="Notas 2 6 2 2 9" xfId="33582"/>
    <cellStyle name="Notas 2 6 2 2 9 2" xfId="33583"/>
    <cellStyle name="Notas 2 6 2 3" xfId="33584"/>
    <cellStyle name="Notas 2 6 2 3 10" xfId="33585"/>
    <cellStyle name="Notas 2 6 2 3 10 2" xfId="33586"/>
    <cellStyle name="Notas 2 6 2 3 11" xfId="33587"/>
    <cellStyle name="Notas 2 6 2 3 2" xfId="33588"/>
    <cellStyle name="Notas 2 6 2 3 2 2" xfId="33589"/>
    <cellStyle name="Notas 2 6 2 3 3" xfId="33590"/>
    <cellStyle name="Notas 2 6 2 3 3 2" xfId="33591"/>
    <cellStyle name="Notas 2 6 2 3 4" xfId="33592"/>
    <cellStyle name="Notas 2 6 2 3 4 2" xfId="33593"/>
    <cellStyle name="Notas 2 6 2 3 5" xfId="33594"/>
    <cellStyle name="Notas 2 6 2 3 5 2" xfId="33595"/>
    <cellStyle name="Notas 2 6 2 3 6" xfId="33596"/>
    <cellStyle name="Notas 2 6 2 3 6 2" xfId="33597"/>
    <cellStyle name="Notas 2 6 2 3 7" xfId="33598"/>
    <cellStyle name="Notas 2 6 2 3 7 2" xfId="33599"/>
    <cellStyle name="Notas 2 6 2 3 8" xfId="33600"/>
    <cellStyle name="Notas 2 6 2 3 8 2" xfId="33601"/>
    <cellStyle name="Notas 2 6 2 3 9" xfId="33602"/>
    <cellStyle name="Notas 2 6 2 3 9 2" xfId="33603"/>
    <cellStyle name="Notas 2 6 2 4" xfId="33604"/>
    <cellStyle name="Notas 2 6 2 4 2" xfId="33605"/>
    <cellStyle name="Notas 2 6 2 5" xfId="33606"/>
    <cellStyle name="Notas 2 6 2 5 2" xfId="33607"/>
    <cellStyle name="Notas 2 6 2 6" xfId="33608"/>
    <cellStyle name="Notas 2 6 2 6 2" xfId="33609"/>
    <cellStyle name="Notas 2 6 2 7" xfId="33610"/>
    <cellStyle name="Notas 2 6 2 7 2" xfId="33611"/>
    <cellStyle name="Notas 2 6 2 8" xfId="33612"/>
    <cellStyle name="Notas 2 6 2 8 2" xfId="33613"/>
    <cellStyle name="Notas 2 6 2 9" xfId="33614"/>
    <cellStyle name="Notas 2 6 2 9 2" xfId="33615"/>
    <cellStyle name="Notas 2 6 3" xfId="33616"/>
    <cellStyle name="Notas 2 6 3 10" xfId="33617"/>
    <cellStyle name="Notas 2 6 3 10 2" xfId="33618"/>
    <cellStyle name="Notas 2 6 3 11" xfId="33619"/>
    <cellStyle name="Notas 2 6 3 11 2" xfId="33620"/>
    <cellStyle name="Notas 2 6 3 12" xfId="33621"/>
    <cellStyle name="Notas 2 6 3 12 2" xfId="33622"/>
    <cellStyle name="Notas 2 6 3 13" xfId="33623"/>
    <cellStyle name="Notas 2 6 3 2" xfId="33624"/>
    <cellStyle name="Notas 2 6 3 2 10" xfId="33625"/>
    <cellStyle name="Notas 2 6 3 2 10 2" xfId="33626"/>
    <cellStyle name="Notas 2 6 3 2 11" xfId="33627"/>
    <cellStyle name="Notas 2 6 3 2 2" xfId="33628"/>
    <cellStyle name="Notas 2 6 3 2 2 2" xfId="33629"/>
    <cellStyle name="Notas 2 6 3 2 3" xfId="33630"/>
    <cellStyle name="Notas 2 6 3 2 3 2" xfId="33631"/>
    <cellStyle name="Notas 2 6 3 2 4" xfId="33632"/>
    <cellStyle name="Notas 2 6 3 2 4 2" xfId="33633"/>
    <cellStyle name="Notas 2 6 3 2 5" xfId="33634"/>
    <cellStyle name="Notas 2 6 3 2 5 2" xfId="33635"/>
    <cellStyle name="Notas 2 6 3 2 6" xfId="33636"/>
    <cellStyle name="Notas 2 6 3 2 6 2" xfId="33637"/>
    <cellStyle name="Notas 2 6 3 2 7" xfId="33638"/>
    <cellStyle name="Notas 2 6 3 2 7 2" xfId="33639"/>
    <cellStyle name="Notas 2 6 3 2 8" xfId="33640"/>
    <cellStyle name="Notas 2 6 3 2 8 2" xfId="33641"/>
    <cellStyle name="Notas 2 6 3 2 9" xfId="33642"/>
    <cellStyle name="Notas 2 6 3 2 9 2" xfId="33643"/>
    <cellStyle name="Notas 2 6 3 3" xfId="33644"/>
    <cellStyle name="Notas 2 6 3 3 10" xfId="33645"/>
    <cellStyle name="Notas 2 6 3 3 10 2" xfId="33646"/>
    <cellStyle name="Notas 2 6 3 3 11" xfId="33647"/>
    <cellStyle name="Notas 2 6 3 3 2" xfId="33648"/>
    <cellStyle name="Notas 2 6 3 3 2 2" xfId="33649"/>
    <cellStyle name="Notas 2 6 3 3 3" xfId="33650"/>
    <cellStyle name="Notas 2 6 3 3 3 2" xfId="33651"/>
    <cellStyle name="Notas 2 6 3 3 4" xfId="33652"/>
    <cellStyle name="Notas 2 6 3 3 4 2" xfId="33653"/>
    <cellStyle name="Notas 2 6 3 3 5" xfId="33654"/>
    <cellStyle name="Notas 2 6 3 3 5 2" xfId="33655"/>
    <cellStyle name="Notas 2 6 3 3 6" xfId="33656"/>
    <cellStyle name="Notas 2 6 3 3 6 2" xfId="33657"/>
    <cellStyle name="Notas 2 6 3 3 7" xfId="33658"/>
    <cellStyle name="Notas 2 6 3 3 7 2" xfId="33659"/>
    <cellStyle name="Notas 2 6 3 3 8" xfId="33660"/>
    <cellStyle name="Notas 2 6 3 3 8 2" xfId="33661"/>
    <cellStyle name="Notas 2 6 3 3 9" xfId="33662"/>
    <cellStyle name="Notas 2 6 3 3 9 2" xfId="33663"/>
    <cellStyle name="Notas 2 6 3 4" xfId="33664"/>
    <cellStyle name="Notas 2 6 3 4 2" xfId="33665"/>
    <cellStyle name="Notas 2 6 3 5" xfId="33666"/>
    <cellStyle name="Notas 2 6 3 5 2" xfId="33667"/>
    <cellStyle name="Notas 2 6 3 6" xfId="33668"/>
    <cellStyle name="Notas 2 6 3 6 2" xfId="33669"/>
    <cellStyle name="Notas 2 6 3 7" xfId="33670"/>
    <cellStyle name="Notas 2 6 3 7 2" xfId="33671"/>
    <cellStyle name="Notas 2 6 3 8" xfId="33672"/>
    <cellStyle name="Notas 2 6 3 8 2" xfId="33673"/>
    <cellStyle name="Notas 2 6 3 9" xfId="33674"/>
    <cellStyle name="Notas 2 6 3 9 2" xfId="33675"/>
    <cellStyle name="Notas 2 6 4" xfId="33676"/>
    <cellStyle name="Notas 2 6 4 10" xfId="33677"/>
    <cellStyle name="Notas 2 6 4 10 2" xfId="33678"/>
    <cellStyle name="Notas 2 6 4 11" xfId="33679"/>
    <cellStyle name="Notas 2 6 4 2" xfId="33680"/>
    <cellStyle name="Notas 2 6 4 2 2" xfId="33681"/>
    <cellStyle name="Notas 2 6 4 3" xfId="33682"/>
    <cellStyle name="Notas 2 6 4 3 2" xfId="33683"/>
    <cellStyle name="Notas 2 6 4 4" xfId="33684"/>
    <cellStyle name="Notas 2 6 4 4 2" xfId="33685"/>
    <cellStyle name="Notas 2 6 4 5" xfId="33686"/>
    <cellStyle name="Notas 2 6 4 5 2" xfId="33687"/>
    <cellStyle name="Notas 2 6 4 6" xfId="33688"/>
    <cellStyle name="Notas 2 6 4 6 2" xfId="33689"/>
    <cellStyle name="Notas 2 6 4 7" xfId="33690"/>
    <cellStyle name="Notas 2 6 4 7 2" xfId="33691"/>
    <cellStyle name="Notas 2 6 4 8" xfId="33692"/>
    <cellStyle name="Notas 2 6 4 8 2" xfId="33693"/>
    <cellStyle name="Notas 2 6 4 9" xfId="33694"/>
    <cellStyle name="Notas 2 6 4 9 2" xfId="33695"/>
    <cellStyle name="Notas 2 6 5" xfId="33696"/>
    <cellStyle name="Notas 2 6 5 10" xfId="33697"/>
    <cellStyle name="Notas 2 6 5 10 2" xfId="33698"/>
    <cellStyle name="Notas 2 6 5 11" xfId="33699"/>
    <cellStyle name="Notas 2 6 5 2" xfId="33700"/>
    <cellStyle name="Notas 2 6 5 2 2" xfId="33701"/>
    <cellStyle name="Notas 2 6 5 3" xfId="33702"/>
    <cellStyle name="Notas 2 6 5 3 2" xfId="33703"/>
    <cellStyle name="Notas 2 6 5 4" xfId="33704"/>
    <cellStyle name="Notas 2 6 5 4 2" xfId="33705"/>
    <cellStyle name="Notas 2 6 5 5" xfId="33706"/>
    <cellStyle name="Notas 2 6 5 5 2" xfId="33707"/>
    <cellStyle name="Notas 2 6 5 6" xfId="33708"/>
    <cellStyle name="Notas 2 6 5 6 2" xfId="33709"/>
    <cellStyle name="Notas 2 6 5 7" xfId="33710"/>
    <cellStyle name="Notas 2 6 5 7 2" xfId="33711"/>
    <cellStyle name="Notas 2 6 5 8" xfId="33712"/>
    <cellStyle name="Notas 2 6 5 8 2" xfId="33713"/>
    <cellStyle name="Notas 2 6 5 9" xfId="33714"/>
    <cellStyle name="Notas 2 6 5 9 2" xfId="33715"/>
    <cellStyle name="Notas 2 6 6" xfId="33716"/>
    <cellStyle name="Notas 2 6 6 2" xfId="33717"/>
    <cellStyle name="Notas 2 6 7" xfId="33718"/>
    <cellStyle name="Notas 2 6 7 2" xfId="33719"/>
    <cellStyle name="Notas 2 6 8" xfId="33720"/>
    <cellStyle name="Notas 2 6 8 2" xfId="33721"/>
    <cellStyle name="Notas 2 6 9" xfId="33722"/>
    <cellStyle name="Notas 2 6 9 2" xfId="33723"/>
    <cellStyle name="Notas 2 7" xfId="33724"/>
    <cellStyle name="Notas 2 7 10" xfId="33725"/>
    <cellStyle name="Notas 2 7 10 2" xfId="33726"/>
    <cellStyle name="Notas 2 7 11" xfId="33727"/>
    <cellStyle name="Notas 2 7 11 2" xfId="33728"/>
    <cellStyle name="Notas 2 7 12" xfId="33729"/>
    <cellStyle name="Notas 2 7 12 2" xfId="33730"/>
    <cellStyle name="Notas 2 7 13" xfId="33731"/>
    <cellStyle name="Notas 2 7 13 2" xfId="33732"/>
    <cellStyle name="Notas 2 7 14" xfId="33733"/>
    <cellStyle name="Notas 2 7 14 2" xfId="33734"/>
    <cellStyle name="Notas 2 7 15" xfId="33735"/>
    <cellStyle name="Notas 2 7 2" xfId="33736"/>
    <cellStyle name="Notas 2 7 2 10" xfId="33737"/>
    <cellStyle name="Notas 2 7 2 10 2" xfId="33738"/>
    <cellStyle name="Notas 2 7 2 11" xfId="33739"/>
    <cellStyle name="Notas 2 7 2 11 2" xfId="33740"/>
    <cellStyle name="Notas 2 7 2 12" xfId="33741"/>
    <cellStyle name="Notas 2 7 2 12 2" xfId="33742"/>
    <cellStyle name="Notas 2 7 2 13" xfId="33743"/>
    <cellStyle name="Notas 2 7 2 2" xfId="33744"/>
    <cellStyle name="Notas 2 7 2 2 10" xfId="33745"/>
    <cellStyle name="Notas 2 7 2 2 10 2" xfId="33746"/>
    <cellStyle name="Notas 2 7 2 2 11" xfId="33747"/>
    <cellStyle name="Notas 2 7 2 2 2" xfId="33748"/>
    <cellStyle name="Notas 2 7 2 2 2 2" xfId="33749"/>
    <cellStyle name="Notas 2 7 2 2 3" xfId="33750"/>
    <cellStyle name="Notas 2 7 2 2 3 2" xfId="33751"/>
    <cellStyle name="Notas 2 7 2 2 4" xfId="33752"/>
    <cellStyle name="Notas 2 7 2 2 4 2" xfId="33753"/>
    <cellStyle name="Notas 2 7 2 2 5" xfId="33754"/>
    <cellStyle name="Notas 2 7 2 2 5 2" xfId="33755"/>
    <cellStyle name="Notas 2 7 2 2 6" xfId="33756"/>
    <cellStyle name="Notas 2 7 2 2 6 2" xfId="33757"/>
    <cellStyle name="Notas 2 7 2 2 7" xfId="33758"/>
    <cellStyle name="Notas 2 7 2 2 7 2" xfId="33759"/>
    <cellStyle name="Notas 2 7 2 2 8" xfId="33760"/>
    <cellStyle name="Notas 2 7 2 2 8 2" xfId="33761"/>
    <cellStyle name="Notas 2 7 2 2 9" xfId="33762"/>
    <cellStyle name="Notas 2 7 2 2 9 2" xfId="33763"/>
    <cellStyle name="Notas 2 7 2 3" xfId="33764"/>
    <cellStyle name="Notas 2 7 2 3 10" xfId="33765"/>
    <cellStyle name="Notas 2 7 2 3 10 2" xfId="33766"/>
    <cellStyle name="Notas 2 7 2 3 11" xfId="33767"/>
    <cellStyle name="Notas 2 7 2 3 2" xfId="33768"/>
    <cellStyle name="Notas 2 7 2 3 2 2" xfId="33769"/>
    <cellStyle name="Notas 2 7 2 3 3" xfId="33770"/>
    <cellStyle name="Notas 2 7 2 3 3 2" xfId="33771"/>
    <cellStyle name="Notas 2 7 2 3 4" xfId="33772"/>
    <cellStyle name="Notas 2 7 2 3 4 2" xfId="33773"/>
    <cellStyle name="Notas 2 7 2 3 5" xfId="33774"/>
    <cellStyle name="Notas 2 7 2 3 5 2" xfId="33775"/>
    <cellStyle name="Notas 2 7 2 3 6" xfId="33776"/>
    <cellStyle name="Notas 2 7 2 3 6 2" xfId="33777"/>
    <cellStyle name="Notas 2 7 2 3 7" xfId="33778"/>
    <cellStyle name="Notas 2 7 2 3 7 2" xfId="33779"/>
    <cellStyle name="Notas 2 7 2 3 8" xfId="33780"/>
    <cellStyle name="Notas 2 7 2 3 8 2" xfId="33781"/>
    <cellStyle name="Notas 2 7 2 3 9" xfId="33782"/>
    <cellStyle name="Notas 2 7 2 3 9 2" xfId="33783"/>
    <cellStyle name="Notas 2 7 2 4" xfId="33784"/>
    <cellStyle name="Notas 2 7 2 4 2" xfId="33785"/>
    <cellStyle name="Notas 2 7 2 5" xfId="33786"/>
    <cellStyle name="Notas 2 7 2 5 2" xfId="33787"/>
    <cellStyle name="Notas 2 7 2 6" xfId="33788"/>
    <cellStyle name="Notas 2 7 2 6 2" xfId="33789"/>
    <cellStyle name="Notas 2 7 2 7" xfId="33790"/>
    <cellStyle name="Notas 2 7 2 7 2" xfId="33791"/>
    <cellStyle name="Notas 2 7 2 8" xfId="33792"/>
    <cellStyle name="Notas 2 7 2 8 2" xfId="33793"/>
    <cellStyle name="Notas 2 7 2 9" xfId="33794"/>
    <cellStyle name="Notas 2 7 2 9 2" xfId="33795"/>
    <cellStyle name="Notas 2 7 3" xfId="33796"/>
    <cellStyle name="Notas 2 7 3 10" xfId="33797"/>
    <cellStyle name="Notas 2 7 3 10 2" xfId="33798"/>
    <cellStyle name="Notas 2 7 3 11" xfId="33799"/>
    <cellStyle name="Notas 2 7 3 11 2" xfId="33800"/>
    <cellStyle name="Notas 2 7 3 12" xfId="33801"/>
    <cellStyle name="Notas 2 7 3 12 2" xfId="33802"/>
    <cellStyle name="Notas 2 7 3 13" xfId="33803"/>
    <cellStyle name="Notas 2 7 3 2" xfId="33804"/>
    <cellStyle name="Notas 2 7 3 2 10" xfId="33805"/>
    <cellStyle name="Notas 2 7 3 2 10 2" xfId="33806"/>
    <cellStyle name="Notas 2 7 3 2 11" xfId="33807"/>
    <cellStyle name="Notas 2 7 3 2 2" xfId="33808"/>
    <cellStyle name="Notas 2 7 3 2 2 2" xfId="33809"/>
    <cellStyle name="Notas 2 7 3 2 3" xfId="33810"/>
    <cellStyle name="Notas 2 7 3 2 3 2" xfId="33811"/>
    <cellStyle name="Notas 2 7 3 2 4" xfId="33812"/>
    <cellStyle name="Notas 2 7 3 2 4 2" xfId="33813"/>
    <cellStyle name="Notas 2 7 3 2 5" xfId="33814"/>
    <cellStyle name="Notas 2 7 3 2 5 2" xfId="33815"/>
    <cellStyle name="Notas 2 7 3 2 6" xfId="33816"/>
    <cellStyle name="Notas 2 7 3 2 6 2" xfId="33817"/>
    <cellStyle name="Notas 2 7 3 2 7" xfId="33818"/>
    <cellStyle name="Notas 2 7 3 2 7 2" xfId="33819"/>
    <cellStyle name="Notas 2 7 3 2 8" xfId="33820"/>
    <cellStyle name="Notas 2 7 3 2 8 2" xfId="33821"/>
    <cellStyle name="Notas 2 7 3 2 9" xfId="33822"/>
    <cellStyle name="Notas 2 7 3 2 9 2" xfId="33823"/>
    <cellStyle name="Notas 2 7 3 3" xfId="33824"/>
    <cellStyle name="Notas 2 7 3 3 10" xfId="33825"/>
    <cellStyle name="Notas 2 7 3 3 10 2" xfId="33826"/>
    <cellStyle name="Notas 2 7 3 3 11" xfId="33827"/>
    <cellStyle name="Notas 2 7 3 3 2" xfId="33828"/>
    <cellStyle name="Notas 2 7 3 3 2 2" xfId="33829"/>
    <cellStyle name="Notas 2 7 3 3 3" xfId="33830"/>
    <cellStyle name="Notas 2 7 3 3 3 2" xfId="33831"/>
    <cellStyle name="Notas 2 7 3 3 4" xfId="33832"/>
    <cellStyle name="Notas 2 7 3 3 4 2" xfId="33833"/>
    <cellStyle name="Notas 2 7 3 3 5" xfId="33834"/>
    <cellStyle name="Notas 2 7 3 3 5 2" xfId="33835"/>
    <cellStyle name="Notas 2 7 3 3 6" xfId="33836"/>
    <cellStyle name="Notas 2 7 3 3 6 2" xfId="33837"/>
    <cellStyle name="Notas 2 7 3 3 7" xfId="33838"/>
    <cellStyle name="Notas 2 7 3 3 7 2" xfId="33839"/>
    <cellStyle name="Notas 2 7 3 3 8" xfId="33840"/>
    <cellStyle name="Notas 2 7 3 3 8 2" xfId="33841"/>
    <cellStyle name="Notas 2 7 3 3 9" xfId="33842"/>
    <cellStyle name="Notas 2 7 3 3 9 2" xfId="33843"/>
    <cellStyle name="Notas 2 7 3 4" xfId="33844"/>
    <cellStyle name="Notas 2 7 3 4 2" xfId="33845"/>
    <cellStyle name="Notas 2 7 3 5" xfId="33846"/>
    <cellStyle name="Notas 2 7 3 5 2" xfId="33847"/>
    <cellStyle name="Notas 2 7 3 6" xfId="33848"/>
    <cellStyle name="Notas 2 7 3 6 2" xfId="33849"/>
    <cellStyle name="Notas 2 7 3 7" xfId="33850"/>
    <cellStyle name="Notas 2 7 3 7 2" xfId="33851"/>
    <cellStyle name="Notas 2 7 3 8" xfId="33852"/>
    <cellStyle name="Notas 2 7 3 8 2" xfId="33853"/>
    <cellStyle name="Notas 2 7 3 9" xfId="33854"/>
    <cellStyle name="Notas 2 7 3 9 2" xfId="33855"/>
    <cellStyle name="Notas 2 7 4" xfId="33856"/>
    <cellStyle name="Notas 2 7 4 10" xfId="33857"/>
    <cellStyle name="Notas 2 7 4 10 2" xfId="33858"/>
    <cellStyle name="Notas 2 7 4 11" xfId="33859"/>
    <cellStyle name="Notas 2 7 4 2" xfId="33860"/>
    <cellStyle name="Notas 2 7 4 2 2" xfId="33861"/>
    <cellStyle name="Notas 2 7 4 3" xfId="33862"/>
    <cellStyle name="Notas 2 7 4 3 2" xfId="33863"/>
    <cellStyle name="Notas 2 7 4 4" xfId="33864"/>
    <cellStyle name="Notas 2 7 4 4 2" xfId="33865"/>
    <cellStyle name="Notas 2 7 4 5" xfId="33866"/>
    <cellStyle name="Notas 2 7 4 5 2" xfId="33867"/>
    <cellStyle name="Notas 2 7 4 6" xfId="33868"/>
    <cellStyle name="Notas 2 7 4 6 2" xfId="33869"/>
    <cellStyle name="Notas 2 7 4 7" xfId="33870"/>
    <cellStyle name="Notas 2 7 4 7 2" xfId="33871"/>
    <cellStyle name="Notas 2 7 4 8" xfId="33872"/>
    <cellStyle name="Notas 2 7 4 8 2" xfId="33873"/>
    <cellStyle name="Notas 2 7 4 9" xfId="33874"/>
    <cellStyle name="Notas 2 7 4 9 2" xfId="33875"/>
    <cellStyle name="Notas 2 7 5" xfId="33876"/>
    <cellStyle name="Notas 2 7 5 10" xfId="33877"/>
    <cellStyle name="Notas 2 7 5 10 2" xfId="33878"/>
    <cellStyle name="Notas 2 7 5 11" xfId="33879"/>
    <cellStyle name="Notas 2 7 5 2" xfId="33880"/>
    <cellStyle name="Notas 2 7 5 2 2" xfId="33881"/>
    <cellStyle name="Notas 2 7 5 3" xfId="33882"/>
    <cellStyle name="Notas 2 7 5 3 2" xfId="33883"/>
    <cellStyle name="Notas 2 7 5 4" xfId="33884"/>
    <cellStyle name="Notas 2 7 5 4 2" xfId="33885"/>
    <cellStyle name="Notas 2 7 5 5" xfId="33886"/>
    <cellStyle name="Notas 2 7 5 5 2" xfId="33887"/>
    <cellStyle name="Notas 2 7 5 6" xfId="33888"/>
    <cellStyle name="Notas 2 7 5 6 2" xfId="33889"/>
    <cellStyle name="Notas 2 7 5 7" xfId="33890"/>
    <cellStyle name="Notas 2 7 5 7 2" xfId="33891"/>
    <cellStyle name="Notas 2 7 5 8" xfId="33892"/>
    <cellStyle name="Notas 2 7 5 8 2" xfId="33893"/>
    <cellStyle name="Notas 2 7 5 9" xfId="33894"/>
    <cellStyle name="Notas 2 7 5 9 2" xfId="33895"/>
    <cellStyle name="Notas 2 7 6" xfId="33896"/>
    <cellStyle name="Notas 2 7 6 2" xfId="33897"/>
    <cellStyle name="Notas 2 7 7" xfId="33898"/>
    <cellStyle name="Notas 2 7 7 2" xfId="33899"/>
    <cellStyle name="Notas 2 7 8" xfId="33900"/>
    <cellStyle name="Notas 2 7 8 2" xfId="33901"/>
    <cellStyle name="Notas 2 7 9" xfId="33902"/>
    <cellStyle name="Notas 2 7 9 2" xfId="33903"/>
    <cellStyle name="Notas 2 8" xfId="33904"/>
    <cellStyle name="Notas 2 8 10" xfId="33905"/>
    <cellStyle name="Notas 2 8 10 2" xfId="33906"/>
    <cellStyle name="Notas 2 8 11" xfId="33907"/>
    <cellStyle name="Notas 2 8 11 2" xfId="33908"/>
    <cellStyle name="Notas 2 8 12" xfId="33909"/>
    <cellStyle name="Notas 2 8 12 2" xfId="33910"/>
    <cellStyle name="Notas 2 8 13" xfId="33911"/>
    <cellStyle name="Notas 2 8 13 2" xfId="33912"/>
    <cellStyle name="Notas 2 8 14" xfId="33913"/>
    <cellStyle name="Notas 2 8 14 2" xfId="33914"/>
    <cellStyle name="Notas 2 8 15" xfId="33915"/>
    <cellStyle name="Notas 2 8 2" xfId="33916"/>
    <cellStyle name="Notas 2 8 2 10" xfId="33917"/>
    <cellStyle name="Notas 2 8 2 10 2" xfId="33918"/>
    <cellStyle name="Notas 2 8 2 11" xfId="33919"/>
    <cellStyle name="Notas 2 8 2 11 2" xfId="33920"/>
    <cellStyle name="Notas 2 8 2 12" xfId="33921"/>
    <cellStyle name="Notas 2 8 2 12 2" xfId="33922"/>
    <cellStyle name="Notas 2 8 2 13" xfId="33923"/>
    <cellStyle name="Notas 2 8 2 2" xfId="33924"/>
    <cellStyle name="Notas 2 8 2 2 10" xfId="33925"/>
    <cellStyle name="Notas 2 8 2 2 10 2" xfId="33926"/>
    <cellStyle name="Notas 2 8 2 2 11" xfId="33927"/>
    <cellStyle name="Notas 2 8 2 2 2" xfId="33928"/>
    <cellStyle name="Notas 2 8 2 2 2 2" xfId="33929"/>
    <cellStyle name="Notas 2 8 2 2 3" xfId="33930"/>
    <cellStyle name="Notas 2 8 2 2 3 2" xfId="33931"/>
    <cellStyle name="Notas 2 8 2 2 4" xfId="33932"/>
    <cellStyle name="Notas 2 8 2 2 4 2" xfId="33933"/>
    <cellStyle name="Notas 2 8 2 2 5" xfId="33934"/>
    <cellStyle name="Notas 2 8 2 2 5 2" xfId="33935"/>
    <cellStyle name="Notas 2 8 2 2 6" xfId="33936"/>
    <cellStyle name="Notas 2 8 2 2 6 2" xfId="33937"/>
    <cellStyle name="Notas 2 8 2 2 7" xfId="33938"/>
    <cellStyle name="Notas 2 8 2 2 7 2" xfId="33939"/>
    <cellStyle name="Notas 2 8 2 2 8" xfId="33940"/>
    <cellStyle name="Notas 2 8 2 2 8 2" xfId="33941"/>
    <cellStyle name="Notas 2 8 2 2 9" xfId="33942"/>
    <cellStyle name="Notas 2 8 2 2 9 2" xfId="33943"/>
    <cellStyle name="Notas 2 8 2 3" xfId="33944"/>
    <cellStyle name="Notas 2 8 2 3 10" xfId="33945"/>
    <cellStyle name="Notas 2 8 2 3 10 2" xfId="33946"/>
    <cellStyle name="Notas 2 8 2 3 11" xfId="33947"/>
    <cellStyle name="Notas 2 8 2 3 2" xfId="33948"/>
    <cellStyle name="Notas 2 8 2 3 2 2" xfId="33949"/>
    <cellStyle name="Notas 2 8 2 3 3" xfId="33950"/>
    <cellStyle name="Notas 2 8 2 3 3 2" xfId="33951"/>
    <cellStyle name="Notas 2 8 2 3 4" xfId="33952"/>
    <cellStyle name="Notas 2 8 2 3 4 2" xfId="33953"/>
    <cellStyle name="Notas 2 8 2 3 5" xfId="33954"/>
    <cellStyle name="Notas 2 8 2 3 5 2" xfId="33955"/>
    <cellStyle name="Notas 2 8 2 3 6" xfId="33956"/>
    <cellStyle name="Notas 2 8 2 3 6 2" xfId="33957"/>
    <cellStyle name="Notas 2 8 2 3 7" xfId="33958"/>
    <cellStyle name="Notas 2 8 2 3 7 2" xfId="33959"/>
    <cellStyle name="Notas 2 8 2 3 8" xfId="33960"/>
    <cellStyle name="Notas 2 8 2 3 8 2" xfId="33961"/>
    <cellStyle name="Notas 2 8 2 3 9" xfId="33962"/>
    <cellStyle name="Notas 2 8 2 3 9 2" xfId="33963"/>
    <cellStyle name="Notas 2 8 2 4" xfId="33964"/>
    <cellStyle name="Notas 2 8 2 4 2" xfId="33965"/>
    <cellStyle name="Notas 2 8 2 5" xfId="33966"/>
    <cellStyle name="Notas 2 8 2 5 2" xfId="33967"/>
    <cellStyle name="Notas 2 8 2 6" xfId="33968"/>
    <cellStyle name="Notas 2 8 2 6 2" xfId="33969"/>
    <cellStyle name="Notas 2 8 2 7" xfId="33970"/>
    <cellStyle name="Notas 2 8 2 7 2" xfId="33971"/>
    <cellStyle name="Notas 2 8 2 8" xfId="33972"/>
    <cellStyle name="Notas 2 8 2 8 2" xfId="33973"/>
    <cellStyle name="Notas 2 8 2 9" xfId="33974"/>
    <cellStyle name="Notas 2 8 2 9 2" xfId="33975"/>
    <cellStyle name="Notas 2 8 3" xfId="33976"/>
    <cellStyle name="Notas 2 8 3 10" xfId="33977"/>
    <cellStyle name="Notas 2 8 3 10 2" xfId="33978"/>
    <cellStyle name="Notas 2 8 3 11" xfId="33979"/>
    <cellStyle name="Notas 2 8 3 11 2" xfId="33980"/>
    <cellStyle name="Notas 2 8 3 12" xfId="33981"/>
    <cellStyle name="Notas 2 8 3 12 2" xfId="33982"/>
    <cellStyle name="Notas 2 8 3 13" xfId="33983"/>
    <cellStyle name="Notas 2 8 3 2" xfId="33984"/>
    <cellStyle name="Notas 2 8 3 2 10" xfId="33985"/>
    <cellStyle name="Notas 2 8 3 2 10 2" xfId="33986"/>
    <cellStyle name="Notas 2 8 3 2 11" xfId="33987"/>
    <cellStyle name="Notas 2 8 3 2 2" xfId="33988"/>
    <cellStyle name="Notas 2 8 3 2 2 2" xfId="33989"/>
    <cellStyle name="Notas 2 8 3 2 3" xfId="33990"/>
    <cellStyle name="Notas 2 8 3 2 3 2" xfId="33991"/>
    <cellStyle name="Notas 2 8 3 2 4" xfId="33992"/>
    <cellStyle name="Notas 2 8 3 2 4 2" xfId="33993"/>
    <cellStyle name="Notas 2 8 3 2 5" xfId="33994"/>
    <cellStyle name="Notas 2 8 3 2 5 2" xfId="33995"/>
    <cellStyle name="Notas 2 8 3 2 6" xfId="33996"/>
    <cellStyle name="Notas 2 8 3 2 6 2" xfId="33997"/>
    <cellStyle name="Notas 2 8 3 2 7" xfId="33998"/>
    <cellStyle name="Notas 2 8 3 2 7 2" xfId="33999"/>
    <cellStyle name="Notas 2 8 3 2 8" xfId="34000"/>
    <cellStyle name="Notas 2 8 3 2 8 2" xfId="34001"/>
    <cellStyle name="Notas 2 8 3 2 9" xfId="34002"/>
    <cellStyle name="Notas 2 8 3 2 9 2" xfId="34003"/>
    <cellStyle name="Notas 2 8 3 3" xfId="34004"/>
    <cellStyle name="Notas 2 8 3 3 10" xfId="34005"/>
    <cellStyle name="Notas 2 8 3 3 10 2" xfId="34006"/>
    <cellStyle name="Notas 2 8 3 3 11" xfId="34007"/>
    <cellStyle name="Notas 2 8 3 3 2" xfId="34008"/>
    <cellStyle name="Notas 2 8 3 3 2 2" xfId="34009"/>
    <cellStyle name="Notas 2 8 3 3 3" xfId="34010"/>
    <cellStyle name="Notas 2 8 3 3 3 2" xfId="34011"/>
    <cellStyle name="Notas 2 8 3 3 4" xfId="34012"/>
    <cellStyle name="Notas 2 8 3 3 4 2" xfId="34013"/>
    <cellStyle name="Notas 2 8 3 3 5" xfId="34014"/>
    <cellStyle name="Notas 2 8 3 3 5 2" xfId="34015"/>
    <cellStyle name="Notas 2 8 3 3 6" xfId="34016"/>
    <cellStyle name="Notas 2 8 3 3 6 2" xfId="34017"/>
    <cellStyle name="Notas 2 8 3 3 7" xfId="34018"/>
    <cellStyle name="Notas 2 8 3 3 7 2" xfId="34019"/>
    <cellStyle name="Notas 2 8 3 3 8" xfId="34020"/>
    <cellStyle name="Notas 2 8 3 3 8 2" xfId="34021"/>
    <cellStyle name="Notas 2 8 3 3 9" xfId="34022"/>
    <cellStyle name="Notas 2 8 3 3 9 2" xfId="34023"/>
    <cellStyle name="Notas 2 8 3 4" xfId="34024"/>
    <cellStyle name="Notas 2 8 3 4 2" xfId="34025"/>
    <cellStyle name="Notas 2 8 3 5" xfId="34026"/>
    <cellStyle name="Notas 2 8 3 5 2" xfId="34027"/>
    <cellStyle name="Notas 2 8 3 6" xfId="34028"/>
    <cellStyle name="Notas 2 8 3 6 2" xfId="34029"/>
    <cellStyle name="Notas 2 8 3 7" xfId="34030"/>
    <cellStyle name="Notas 2 8 3 7 2" xfId="34031"/>
    <cellStyle name="Notas 2 8 3 8" xfId="34032"/>
    <cellStyle name="Notas 2 8 3 8 2" xfId="34033"/>
    <cellStyle name="Notas 2 8 3 9" xfId="34034"/>
    <cellStyle name="Notas 2 8 3 9 2" xfId="34035"/>
    <cellStyle name="Notas 2 8 4" xfId="34036"/>
    <cellStyle name="Notas 2 8 4 10" xfId="34037"/>
    <cellStyle name="Notas 2 8 4 10 2" xfId="34038"/>
    <cellStyle name="Notas 2 8 4 11" xfId="34039"/>
    <cellStyle name="Notas 2 8 4 2" xfId="34040"/>
    <cellStyle name="Notas 2 8 4 2 2" xfId="34041"/>
    <cellStyle name="Notas 2 8 4 3" xfId="34042"/>
    <cellStyle name="Notas 2 8 4 3 2" xfId="34043"/>
    <cellStyle name="Notas 2 8 4 4" xfId="34044"/>
    <cellStyle name="Notas 2 8 4 4 2" xfId="34045"/>
    <cellStyle name="Notas 2 8 4 5" xfId="34046"/>
    <cellStyle name="Notas 2 8 4 5 2" xfId="34047"/>
    <cellStyle name="Notas 2 8 4 6" xfId="34048"/>
    <cellStyle name="Notas 2 8 4 6 2" xfId="34049"/>
    <cellStyle name="Notas 2 8 4 7" xfId="34050"/>
    <cellStyle name="Notas 2 8 4 7 2" xfId="34051"/>
    <cellStyle name="Notas 2 8 4 8" xfId="34052"/>
    <cellStyle name="Notas 2 8 4 8 2" xfId="34053"/>
    <cellStyle name="Notas 2 8 4 9" xfId="34054"/>
    <cellStyle name="Notas 2 8 4 9 2" xfId="34055"/>
    <cellStyle name="Notas 2 8 5" xfId="34056"/>
    <cellStyle name="Notas 2 8 5 10" xfId="34057"/>
    <cellStyle name="Notas 2 8 5 10 2" xfId="34058"/>
    <cellStyle name="Notas 2 8 5 11" xfId="34059"/>
    <cellStyle name="Notas 2 8 5 2" xfId="34060"/>
    <cellStyle name="Notas 2 8 5 2 2" xfId="34061"/>
    <cellStyle name="Notas 2 8 5 3" xfId="34062"/>
    <cellStyle name="Notas 2 8 5 3 2" xfId="34063"/>
    <cellStyle name="Notas 2 8 5 4" xfId="34064"/>
    <cellStyle name="Notas 2 8 5 4 2" xfId="34065"/>
    <cellStyle name="Notas 2 8 5 5" xfId="34066"/>
    <cellStyle name="Notas 2 8 5 5 2" xfId="34067"/>
    <cellStyle name="Notas 2 8 5 6" xfId="34068"/>
    <cellStyle name="Notas 2 8 5 6 2" xfId="34069"/>
    <cellStyle name="Notas 2 8 5 7" xfId="34070"/>
    <cellStyle name="Notas 2 8 5 7 2" xfId="34071"/>
    <cellStyle name="Notas 2 8 5 8" xfId="34072"/>
    <cellStyle name="Notas 2 8 5 8 2" xfId="34073"/>
    <cellStyle name="Notas 2 8 5 9" xfId="34074"/>
    <cellStyle name="Notas 2 8 5 9 2" xfId="34075"/>
    <cellStyle name="Notas 2 8 6" xfId="34076"/>
    <cellStyle name="Notas 2 8 6 2" xfId="34077"/>
    <cellStyle name="Notas 2 8 7" xfId="34078"/>
    <cellStyle name="Notas 2 8 7 2" xfId="34079"/>
    <cellStyle name="Notas 2 8 8" xfId="34080"/>
    <cellStyle name="Notas 2 8 8 2" xfId="34081"/>
    <cellStyle name="Notas 2 8 9" xfId="34082"/>
    <cellStyle name="Notas 2 8 9 2" xfId="34083"/>
    <cellStyle name="Notas 2 9" xfId="34084"/>
    <cellStyle name="Notas 2 9 10" xfId="34085"/>
    <cellStyle name="Notas 2 9 10 2" xfId="34086"/>
    <cellStyle name="Notas 2 9 11" xfId="34087"/>
    <cellStyle name="Notas 2 9 11 2" xfId="34088"/>
    <cellStyle name="Notas 2 9 12" xfId="34089"/>
    <cellStyle name="Notas 2 9 12 2" xfId="34090"/>
    <cellStyle name="Notas 2 9 13" xfId="34091"/>
    <cellStyle name="Notas 2 9 2" xfId="34092"/>
    <cellStyle name="Notas 2 9 2 10" xfId="34093"/>
    <cellStyle name="Notas 2 9 2 10 2" xfId="34094"/>
    <cellStyle name="Notas 2 9 2 11" xfId="34095"/>
    <cellStyle name="Notas 2 9 2 2" xfId="34096"/>
    <cellStyle name="Notas 2 9 2 2 2" xfId="34097"/>
    <cellStyle name="Notas 2 9 2 3" xfId="34098"/>
    <cellStyle name="Notas 2 9 2 3 2" xfId="34099"/>
    <cellStyle name="Notas 2 9 2 4" xfId="34100"/>
    <cellStyle name="Notas 2 9 2 4 2" xfId="34101"/>
    <cellStyle name="Notas 2 9 2 5" xfId="34102"/>
    <cellStyle name="Notas 2 9 2 5 2" xfId="34103"/>
    <cellStyle name="Notas 2 9 2 6" xfId="34104"/>
    <cellStyle name="Notas 2 9 2 6 2" xfId="34105"/>
    <cellStyle name="Notas 2 9 2 7" xfId="34106"/>
    <cellStyle name="Notas 2 9 2 7 2" xfId="34107"/>
    <cellStyle name="Notas 2 9 2 8" xfId="34108"/>
    <cellStyle name="Notas 2 9 2 8 2" xfId="34109"/>
    <cellStyle name="Notas 2 9 2 9" xfId="34110"/>
    <cellStyle name="Notas 2 9 2 9 2" xfId="34111"/>
    <cellStyle name="Notas 2 9 3" xfId="34112"/>
    <cellStyle name="Notas 2 9 3 10" xfId="34113"/>
    <cellStyle name="Notas 2 9 3 10 2" xfId="34114"/>
    <cellStyle name="Notas 2 9 3 11" xfId="34115"/>
    <cellStyle name="Notas 2 9 3 2" xfId="34116"/>
    <cellStyle name="Notas 2 9 3 2 2" xfId="34117"/>
    <cellStyle name="Notas 2 9 3 3" xfId="34118"/>
    <cellStyle name="Notas 2 9 3 3 2" xfId="34119"/>
    <cellStyle name="Notas 2 9 3 4" xfId="34120"/>
    <cellStyle name="Notas 2 9 3 4 2" xfId="34121"/>
    <cellStyle name="Notas 2 9 3 5" xfId="34122"/>
    <cellStyle name="Notas 2 9 3 5 2" xfId="34123"/>
    <cellStyle name="Notas 2 9 3 6" xfId="34124"/>
    <cellStyle name="Notas 2 9 3 6 2" xfId="34125"/>
    <cellStyle name="Notas 2 9 3 7" xfId="34126"/>
    <cellStyle name="Notas 2 9 3 7 2" xfId="34127"/>
    <cellStyle name="Notas 2 9 3 8" xfId="34128"/>
    <cellStyle name="Notas 2 9 3 8 2" xfId="34129"/>
    <cellStyle name="Notas 2 9 3 9" xfId="34130"/>
    <cellStyle name="Notas 2 9 3 9 2" xfId="34131"/>
    <cellStyle name="Notas 2 9 4" xfId="34132"/>
    <cellStyle name="Notas 2 9 4 2" xfId="34133"/>
    <cellStyle name="Notas 2 9 5" xfId="34134"/>
    <cellStyle name="Notas 2 9 5 2" xfId="34135"/>
    <cellStyle name="Notas 2 9 6" xfId="34136"/>
    <cellStyle name="Notas 2 9 6 2" xfId="34137"/>
    <cellStyle name="Notas 2 9 7" xfId="34138"/>
    <cellStyle name="Notas 2 9 7 2" xfId="34139"/>
    <cellStyle name="Notas 2 9 8" xfId="34140"/>
    <cellStyle name="Notas 2 9 8 2" xfId="34141"/>
    <cellStyle name="Notas 2 9 9" xfId="34142"/>
    <cellStyle name="Notas 2 9 9 2" xfId="34143"/>
    <cellStyle name="Notas 3" xfId="216"/>
    <cellStyle name="Notas 3 10" xfId="34144"/>
    <cellStyle name="Notas 3 10 2" xfId="34145"/>
    <cellStyle name="Notas 3 11" xfId="34146"/>
    <cellStyle name="Notas 3 11 2" xfId="34147"/>
    <cellStyle name="Notas 3 12" xfId="34148"/>
    <cellStyle name="Notas 3 12 2" xfId="34149"/>
    <cellStyle name="Notas 3 13" xfId="34150"/>
    <cellStyle name="Notas 3 13 2" xfId="34151"/>
    <cellStyle name="Notas 3 14" xfId="34152"/>
    <cellStyle name="Notas 3 14 2" xfId="34153"/>
    <cellStyle name="Notas 3 15" xfId="34154"/>
    <cellStyle name="Notas 3 15 2" xfId="34155"/>
    <cellStyle name="Notas 3 16" xfId="34156"/>
    <cellStyle name="Notas 3 16 2" xfId="34157"/>
    <cellStyle name="Notas 3 17" xfId="34158"/>
    <cellStyle name="Notas 3 18" xfId="34159"/>
    <cellStyle name="Notas 3 19" xfId="34160"/>
    <cellStyle name="Notas 3 2" xfId="302"/>
    <cellStyle name="Notas 3 2 10" xfId="34161"/>
    <cellStyle name="Notas 3 2 10 2" xfId="34162"/>
    <cellStyle name="Notas 3 2 11" xfId="34163"/>
    <cellStyle name="Notas 3 2 11 2" xfId="34164"/>
    <cellStyle name="Notas 3 2 12" xfId="34165"/>
    <cellStyle name="Notas 3 2 12 2" xfId="34166"/>
    <cellStyle name="Notas 3 2 13" xfId="34167"/>
    <cellStyle name="Notas 3 2 13 2" xfId="34168"/>
    <cellStyle name="Notas 3 2 14" xfId="34169"/>
    <cellStyle name="Notas 3 2 14 2" xfId="34170"/>
    <cellStyle name="Notas 3 2 15" xfId="34171"/>
    <cellStyle name="Notas 3 2 16" xfId="34172"/>
    <cellStyle name="Notas 3 2 2" xfId="34173"/>
    <cellStyle name="Notas 3 2 2 10" xfId="34174"/>
    <cellStyle name="Notas 3 2 2 10 2" xfId="34175"/>
    <cellStyle name="Notas 3 2 2 11" xfId="34176"/>
    <cellStyle name="Notas 3 2 2 11 2" xfId="34177"/>
    <cellStyle name="Notas 3 2 2 12" xfId="34178"/>
    <cellStyle name="Notas 3 2 2 12 2" xfId="34179"/>
    <cellStyle name="Notas 3 2 2 13" xfId="34180"/>
    <cellStyle name="Notas 3 2 2 2" xfId="34181"/>
    <cellStyle name="Notas 3 2 2 2 10" xfId="34182"/>
    <cellStyle name="Notas 3 2 2 2 10 2" xfId="34183"/>
    <cellStyle name="Notas 3 2 2 2 11" xfId="34184"/>
    <cellStyle name="Notas 3 2 2 2 2" xfId="34185"/>
    <cellStyle name="Notas 3 2 2 2 2 2" xfId="34186"/>
    <cellStyle name="Notas 3 2 2 2 3" xfId="34187"/>
    <cellStyle name="Notas 3 2 2 2 3 2" xfId="34188"/>
    <cellStyle name="Notas 3 2 2 2 4" xfId="34189"/>
    <cellStyle name="Notas 3 2 2 2 4 2" xfId="34190"/>
    <cellStyle name="Notas 3 2 2 2 5" xfId="34191"/>
    <cellStyle name="Notas 3 2 2 2 5 2" xfId="34192"/>
    <cellStyle name="Notas 3 2 2 2 6" xfId="34193"/>
    <cellStyle name="Notas 3 2 2 2 6 2" xfId="34194"/>
    <cellStyle name="Notas 3 2 2 2 7" xfId="34195"/>
    <cellStyle name="Notas 3 2 2 2 7 2" xfId="34196"/>
    <cellStyle name="Notas 3 2 2 2 8" xfId="34197"/>
    <cellStyle name="Notas 3 2 2 2 8 2" xfId="34198"/>
    <cellStyle name="Notas 3 2 2 2 9" xfId="34199"/>
    <cellStyle name="Notas 3 2 2 2 9 2" xfId="34200"/>
    <cellStyle name="Notas 3 2 2 3" xfId="34201"/>
    <cellStyle name="Notas 3 2 2 3 10" xfId="34202"/>
    <cellStyle name="Notas 3 2 2 3 10 2" xfId="34203"/>
    <cellStyle name="Notas 3 2 2 3 11" xfId="34204"/>
    <cellStyle name="Notas 3 2 2 3 2" xfId="34205"/>
    <cellStyle name="Notas 3 2 2 3 2 2" xfId="34206"/>
    <cellStyle name="Notas 3 2 2 3 3" xfId="34207"/>
    <cellStyle name="Notas 3 2 2 3 3 2" xfId="34208"/>
    <cellStyle name="Notas 3 2 2 3 4" xfId="34209"/>
    <cellStyle name="Notas 3 2 2 3 4 2" xfId="34210"/>
    <cellStyle name="Notas 3 2 2 3 5" xfId="34211"/>
    <cellStyle name="Notas 3 2 2 3 5 2" xfId="34212"/>
    <cellStyle name="Notas 3 2 2 3 6" xfId="34213"/>
    <cellStyle name="Notas 3 2 2 3 6 2" xfId="34214"/>
    <cellStyle name="Notas 3 2 2 3 7" xfId="34215"/>
    <cellStyle name="Notas 3 2 2 3 7 2" xfId="34216"/>
    <cellStyle name="Notas 3 2 2 3 8" xfId="34217"/>
    <cellStyle name="Notas 3 2 2 3 8 2" xfId="34218"/>
    <cellStyle name="Notas 3 2 2 3 9" xfId="34219"/>
    <cellStyle name="Notas 3 2 2 3 9 2" xfId="34220"/>
    <cellStyle name="Notas 3 2 2 4" xfId="34221"/>
    <cellStyle name="Notas 3 2 2 4 2" xfId="34222"/>
    <cellStyle name="Notas 3 2 2 5" xfId="34223"/>
    <cellStyle name="Notas 3 2 2 5 2" xfId="34224"/>
    <cellStyle name="Notas 3 2 2 6" xfId="34225"/>
    <cellStyle name="Notas 3 2 2 6 2" xfId="34226"/>
    <cellStyle name="Notas 3 2 2 7" xfId="34227"/>
    <cellStyle name="Notas 3 2 2 7 2" xfId="34228"/>
    <cellStyle name="Notas 3 2 2 8" xfId="34229"/>
    <cellStyle name="Notas 3 2 2 8 2" xfId="34230"/>
    <cellStyle name="Notas 3 2 2 9" xfId="34231"/>
    <cellStyle name="Notas 3 2 2 9 2" xfId="34232"/>
    <cellStyle name="Notas 3 2 3" xfId="34233"/>
    <cellStyle name="Notas 3 2 3 10" xfId="34234"/>
    <cellStyle name="Notas 3 2 3 10 2" xfId="34235"/>
    <cellStyle name="Notas 3 2 3 11" xfId="34236"/>
    <cellStyle name="Notas 3 2 3 11 2" xfId="34237"/>
    <cellStyle name="Notas 3 2 3 12" xfId="34238"/>
    <cellStyle name="Notas 3 2 3 12 2" xfId="34239"/>
    <cellStyle name="Notas 3 2 3 13" xfId="34240"/>
    <cellStyle name="Notas 3 2 3 2" xfId="34241"/>
    <cellStyle name="Notas 3 2 3 2 10" xfId="34242"/>
    <cellStyle name="Notas 3 2 3 2 10 2" xfId="34243"/>
    <cellStyle name="Notas 3 2 3 2 11" xfId="34244"/>
    <cellStyle name="Notas 3 2 3 2 2" xfId="34245"/>
    <cellStyle name="Notas 3 2 3 2 2 2" xfId="34246"/>
    <cellStyle name="Notas 3 2 3 2 3" xfId="34247"/>
    <cellStyle name="Notas 3 2 3 2 3 2" xfId="34248"/>
    <cellStyle name="Notas 3 2 3 2 4" xfId="34249"/>
    <cellStyle name="Notas 3 2 3 2 4 2" xfId="34250"/>
    <cellStyle name="Notas 3 2 3 2 5" xfId="34251"/>
    <cellStyle name="Notas 3 2 3 2 5 2" xfId="34252"/>
    <cellStyle name="Notas 3 2 3 2 6" xfId="34253"/>
    <cellStyle name="Notas 3 2 3 2 6 2" xfId="34254"/>
    <cellStyle name="Notas 3 2 3 2 7" xfId="34255"/>
    <cellStyle name="Notas 3 2 3 2 7 2" xfId="34256"/>
    <cellStyle name="Notas 3 2 3 2 8" xfId="34257"/>
    <cellStyle name="Notas 3 2 3 2 8 2" xfId="34258"/>
    <cellStyle name="Notas 3 2 3 2 9" xfId="34259"/>
    <cellStyle name="Notas 3 2 3 2 9 2" xfId="34260"/>
    <cellStyle name="Notas 3 2 3 3" xfId="34261"/>
    <cellStyle name="Notas 3 2 3 3 10" xfId="34262"/>
    <cellStyle name="Notas 3 2 3 3 10 2" xfId="34263"/>
    <cellStyle name="Notas 3 2 3 3 11" xfId="34264"/>
    <cellStyle name="Notas 3 2 3 3 2" xfId="34265"/>
    <cellStyle name="Notas 3 2 3 3 2 2" xfId="34266"/>
    <cellStyle name="Notas 3 2 3 3 3" xfId="34267"/>
    <cellStyle name="Notas 3 2 3 3 3 2" xfId="34268"/>
    <cellStyle name="Notas 3 2 3 3 4" xfId="34269"/>
    <cellStyle name="Notas 3 2 3 3 4 2" xfId="34270"/>
    <cellStyle name="Notas 3 2 3 3 5" xfId="34271"/>
    <cellStyle name="Notas 3 2 3 3 5 2" xfId="34272"/>
    <cellStyle name="Notas 3 2 3 3 6" xfId="34273"/>
    <cellStyle name="Notas 3 2 3 3 6 2" xfId="34274"/>
    <cellStyle name="Notas 3 2 3 3 7" xfId="34275"/>
    <cellStyle name="Notas 3 2 3 3 7 2" xfId="34276"/>
    <cellStyle name="Notas 3 2 3 3 8" xfId="34277"/>
    <cellStyle name="Notas 3 2 3 3 8 2" xfId="34278"/>
    <cellStyle name="Notas 3 2 3 3 9" xfId="34279"/>
    <cellStyle name="Notas 3 2 3 3 9 2" xfId="34280"/>
    <cellStyle name="Notas 3 2 3 4" xfId="34281"/>
    <cellStyle name="Notas 3 2 3 4 2" xfId="34282"/>
    <cellStyle name="Notas 3 2 3 5" xfId="34283"/>
    <cellStyle name="Notas 3 2 3 5 2" xfId="34284"/>
    <cellStyle name="Notas 3 2 3 6" xfId="34285"/>
    <cellStyle name="Notas 3 2 3 6 2" xfId="34286"/>
    <cellStyle name="Notas 3 2 3 7" xfId="34287"/>
    <cellStyle name="Notas 3 2 3 7 2" xfId="34288"/>
    <cellStyle name="Notas 3 2 3 8" xfId="34289"/>
    <cellStyle name="Notas 3 2 3 8 2" xfId="34290"/>
    <cellStyle name="Notas 3 2 3 9" xfId="34291"/>
    <cellStyle name="Notas 3 2 3 9 2" xfId="34292"/>
    <cellStyle name="Notas 3 2 4" xfId="34293"/>
    <cellStyle name="Notas 3 2 4 10" xfId="34294"/>
    <cellStyle name="Notas 3 2 4 10 2" xfId="34295"/>
    <cellStyle name="Notas 3 2 4 11" xfId="34296"/>
    <cellStyle name="Notas 3 2 4 2" xfId="34297"/>
    <cellStyle name="Notas 3 2 4 2 2" xfId="34298"/>
    <cellStyle name="Notas 3 2 4 3" xfId="34299"/>
    <cellStyle name="Notas 3 2 4 3 2" xfId="34300"/>
    <cellStyle name="Notas 3 2 4 4" xfId="34301"/>
    <cellStyle name="Notas 3 2 4 4 2" xfId="34302"/>
    <cellStyle name="Notas 3 2 4 5" xfId="34303"/>
    <cellStyle name="Notas 3 2 4 5 2" xfId="34304"/>
    <cellStyle name="Notas 3 2 4 6" xfId="34305"/>
    <cellStyle name="Notas 3 2 4 6 2" xfId="34306"/>
    <cellStyle name="Notas 3 2 4 7" xfId="34307"/>
    <cellStyle name="Notas 3 2 4 7 2" xfId="34308"/>
    <cellStyle name="Notas 3 2 4 8" xfId="34309"/>
    <cellStyle name="Notas 3 2 4 8 2" xfId="34310"/>
    <cellStyle name="Notas 3 2 4 9" xfId="34311"/>
    <cellStyle name="Notas 3 2 4 9 2" xfId="34312"/>
    <cellStyle name="Notas 3 2 5" xfId="34313"/>
    <cellStyle name="Notas 3 2 5 10" xfId="34314"/>
    <cellStyle name="Notas 3 2 5 10 2" xfId="34315"/>
    <cellStyle name="Notas 3 2 5 11" xfId="34316"/>
    <cellStyle name="Notas 3 2 5 2" xfId="34317"/>
    <cellStyle name="Notas 3 2 5 2 2" xfId="34318"/>
    <cellStyle name="Notas 3 2 5 3" xfId="34319"/>
    <cellStyle name="Notas 3 2 5 3 2" xfId="34320"/>
    <cellStyle name="Notas 3 2 5 4" xfId="34321"/>
    <cellStyle name="Notas 3 2 5 4 2" xfId="34322"/>
    <cellStyle name="Notas 3 2 5 5" xfId="34323"/>
    <cellStyle name="Notas 3 2 5 5 2" xfId="34324"/>
    <cellStyle name="Notas 3 2 5 6" xfId="34325"/>
    <cellStyle name="Notas 3 2 5 6 2" xfId="34326"/>
    <cellStyle name="Notas 3 2 5 7" xfId="34327"/>
    <cellStyle name="Notas 3 2 5 7 2" xfId="34328"/>
    <cellStyle name="Notas 3 2 5 8" xfId="34329"/>
    <cellStyle name="Notas 3 2 5 8 2" xfId="34330"/>
    <cellStyle name="Notas 3 2 5 9" xfId="34331"/>
    <cellStyle name="Notas 3 2 5 9 2" xfId="34332"/>
    <cellStyle name="Notas 3 2 6" xfId="34333"/>
    <cellStyle name="Notas 3 2 6 2" xfId="34334"/>
    <cellStyle name="Notas 3 2 7" xfId="34335"/>
    <cellStyle name="Notas 3 2 7 2" xfId="34336"/>
    <cellStyle name="Notas 3 2 8" xfId="34337"/>
    <cellStyle name="Notas 3 2 8 2" xfId="34338"/>
    <cellStyle name="Notas 3 2 9" xfId="34339"/>
    <cellStyle name="Notas 3 2 9 2" xfId="34340"/>
    <cellStyle name="Notas 3 3" xfId="274"/>
    <cellStyle name="Notas 3 3 10" xfId="34341"/>
    <cellStyle name="Notas 3 3 10 2" xfId="34342"/>
    <cellStyle name="Notas 3 3 11" xfId="34343"/>
    <cellStyle name="Notas 3 3 11 2" xfId="34344"/>
    <cellStyle name="Notas 3 3 12" xfId="34345"/>
    <cellStyle name="Notas 3 3 12 2" xfId="34346"/>
    <cellStyle name="Notas 3 3 13" xfId="34347"/>
    <cellStyle name="Notas 3 3 13 2" xfId="34348"/>
    <cellStyle name="Notas 3 3 14" xfId="34349"/>
    <cellStyle name="Notas 3 3 14 2" xfId="34350"/>
    <cellStyle name="Notas 3 3 15" xfId="34351"/>
    <cellStyle name="Notas 3 3 2" xfId="34352"/>
    <cellStyle name="Notas 3 3 2 10" xfId="34353"/>
    <cellStyle name="Notas 3 3 2 10 2" xfId="34354"/>
    <cellStyle name="Notas 3 3 2 11" xfId="34355"/>
    <cellStyle name="Notas 3 3 2 11 2" xfId="34356"/>
    <cellStyle name="Notas 3 3 2 12" xfId="34357"/>
    <cellStyle name="Notas 3 3 2 12 2" xfId="34358"/>
    <cellStyle name="Notas 3 3 2 13" xfId="34359"/>
    <cellStyle name="Notas 3 3 2 2" xfId="34360"/>
    <cellStyle name="Notas 3 3 2 2 10" xfId="34361"/>
    <cellStyle name="Notas 3 3 2 2 10 2" xfId="34362"/>
    <cellStyle name="Notas 3 3 2 2 11" xfId="34363"/>
    <cellStyle name="Notas 3 3 2 2 2" xfId="34364"/>
    <cellStyle name="Notas 3 3 2 2 2 2" xfId="34365"/>
    <cellStyle name="Notas 3 3 2 2 3" xfId="34366"/>
    <cellStyle name="Notas 3 3 2 2 3 2" xfId="34367"/>
    <cellStyle name="Notas 3 3 2 2 4" xfId="34368"/>
    <cellStyle name="Notas 3 3 2 2 4 2" xfId="34369"/>
    <cellStyle name="Notas 3 3 2 2 5" xfId="34370"/>
    <cellStyle name="Notas 3 3 2 2 5 2" xfId="34371"/>
    <cellStyle name="Notas 3 3 2 2 6" xfId="34372"/>
    <cellStyle name="Notas 3 3 2 2 6 2" xfId="34373"/>
    <cellStyle name="Notas 3 3 2 2 7" xfId="34374"/>
    <cellStyle name="Notas 3 3 2 2 7 2" xfId="34375"/>
    <cellStyle name="Notas 3 3 2 2 8" xfId="34376"/>
    <cellStyle name="Notas 3 3 2 2 8 2" xfId="34377"/>
    <cellStyle name="Notas 3 3 2 2 9" xfId="34378"/>
    <cellStyle name="Notas 3 3 2 2 9 2" xfId="34379"/>
    <cellStyle name="Notas 3 3 2 3" xfId="34380"/>
    <cellStyle name="Notas 3 3 2 3 10" xfId="34381"/>
    <cellStyle name="Notas 3 3 2 3 10 2" xfId="34382"/>
    <cellStyle name="Notas 3 3 2 3 11" xfId="34383"/>
    <cellStyle name="Notas 3 3 2 3 2" xfId="34384"/>
    <cellStyle name="Notas 3 3 2 3 2 2" xfId="34385"/>
    <cellStyle name="Notas 3 3 2 3 3" xfId="34386"/>
    <cellStyle name="Notas 3 3 2 3 3 2" xfId="34387"/>
    <cellStyle name="Notas 3 3 2 3 4" xfId="34388"/>
    <cellStyle name="Notas 3 3 2 3 4 2" xfId="34389"/>
    <cellStyle name="Notas 3 3 2 3 5" xfId="34390"/>
    <cellStyle name="Notas 3 3 2 3 5 2" xfId="34391"/>
    <cellStyle name="Notas 3 3 2 3 6" xfId="34392"/>
    <cellStyle name="Notas 3 3 2 3 6 2" xfId="34393"/>
    <cellStyle name="Notas 3 3 2 3 7" xfId="34394"/>
    <cellStyle name="Notas 3 3 2 3 7 2" xfId="34395"/>
    <cellStyle name="Notas 3 3 2 3 8" xfId="34396"/>
    <cellStyle name="Notas 3 3 2 3 8 2" xfId="34397"/>
    <cellStyle name="Notas 3 3 2 3 9" xfId="34398"/>
    <cellStyle name="Notas 3 3 2 3 9 2" xfId="34399"/>
    <cellStyle name="Notas 3 3 2 4" xfId="34400"/>
    <cellStyle name="Notas 3 3 2 4 2" xfId="34401"/>
    <cellStyle name="Notas 3 3 2 5" xfId="34402"/>
    <cellStyle name="Notas 3 3 2 5 2" xfId="34403"/>
    <cellStyle name="Notas 3 3 2 6" xfId="34404"/>
    <cellStyle name="Notas 3 3 2 6 2" xfId="34405"/>
    <cellStyle name="Notas 3 3 2 7" xfId="34406"/>
    <cellStyle name="Notas 3 3 2 7 2" xfId="34407"/>
    <cellStyle name="Notas 3 3 2 8" xfId="34408"/>
    <cellStyle name="Notas 3 3 2 8 2" xfId="34409"/>
    <cellStyle name="Notas 3 3 2 9" xfId="34410"/>
    <cellStyle name="Notas 3 3 2 9 2" xfId="34411"/>
    <cellStyle name="Notas 3 3 3" xfId="34412"/>
    <cellStyle name="Notas 3 3 3 10" xfId="34413"/>
    <cellStyle name="Notas 3 3 3 10 2" xfId="34414"/>
    <cellStyle name="Notas 3 3 3 11" xfId="34415"/>
    <cellStyle name="Notas 3 3 3 11 2" xfId="34416"/>
    <cellStyle name="Notas 3 3 3 12" xfId="34417"/>
    <cellStyle name="Notas 3 3 3 12 2" xfId="34418"/>
    <cellStyle name="Notas 3 3 3 13" xfId="34419"/>
    <cellStyle name="Notas 3 3 3 2" xfId="34420"/>
    <cellStyle name="Notas 3 3 3 2 10" xfId="34421"/>
    <cellStyle name="Notas 3 3 3 2 10 2" xfId="34422"/>
    <cellStyle name="Notas 3 3 3 2 11" xfId="34423"/>
    <cellStyle name="Notas 3 3 3 2 2" xfId="34424"/>
    <cellStyle name="Notas 3 3 3 2 2 2" xfId="34425"/>
    <cellStyle name="Notas 3 3 3 2 3" xfId="34426"/>
    <cellStyle name="Notas 3 3 3 2 3 2" xfId="34427"/>
    <cellStyle name="Notas 3 3 3 2 4" xfId="34428"/>
    <cellStyle name="Notas 3 3 3 2 4 2" xfId="34429"/>
    <cellStyle name="Notas 3 3 3 2 5" xfId="34430"/>
    <cellStyle name="Notas 3 3 3 2 5 2" xfId="34431"/>
    <cellStyle name="Notas 3 3 3 2 6" xfId="34432"/>
    <cellStyle name="Notas 3 3 3 2 6 2" xfId="34433"/>
    <cellStyle name="Notas 3 3 3 2 7" xfId="34434"/>
    <cellStyle name="Notas 3 3 3 2 7 2" xfId="34435"/>
    <cellStyle name="Notas 3 3 3 2 8" xfId="34436"/>
    <cellStyle name="Notas 3 3 3 2 8 2" xfId="34437"/>
    <cellStyle name="Notas 3 3 3 2 9" xfId="34438"/>
    <cellStyle name="Notas 3 3 3 2 9 2" xfId="34439"/>
    <cellStyle name="Notas 3 3 3 3" xfId="34440"/>
    <cellStyle name="Notas 3 3 3 3 10" xfId="34441"/>
    <cellStyle name="Notas 3 3 3 3 10 2" xfId="34442"/>
    <cellStyle name="Notas 3 3 3 3 11" xfId="34443"/>
    <cellStyle name="Notas 3 3 3 3 2" xfId="34444"/>
    <cellStyle name="Notas 3 3 3 3 2 2" xfId="34445"/>
    <cellStyle name="Notas 3 3 3 3 3" xfId="34446"/>
    <cellStyle name="Notas 3 3 3 3 3 2" xfId="34447"/>
    <cellStyle name="Notas 3 3 3 3 4" xfId="34448"/>
    <cellStyle name="Notas 3 3 3 3 4 2" xfId="34449"/>
    <cellStyle name="Notas 3 3 3 3 5" xfId="34450"/>
    <cellStyle name="Notas 3 3 3 3 5 2" xfId="34451"/>
    <cellStyle name="Notas 3 3 3 3 6" xfId="34452"/>
    <cellStyle name="Notas 3 3 3 3 6 2" xfId="34453"/>
    <cellStyle name="Notas 3 3 3 3 7" xfId="34454"/>
    <cellStyle name="Notas 3 3 3 3 7 2" xfId="34455"/>
    <cellStyle name="Notas 3 3 3 3 8" xfId="34456"/>
    <cellStyle name="Notas 3 3 3 3 8 2" xfId="34457"/>
    <cellStyle name="Notas 3 3 3 3 9" xfId="34458"/>
    <cellStyle name="Notas 3 3 3 3 9 2" xfId="34459"/>
    <cellStyle name="Notas 3 3 3 4" xfId="34460"/>
    <cellStyle name="Notas 3 3 3 4 2" xfId="34461"/>
    <cellStyle name="Notas 3 3 3 5" xfId="34462"/>
    <cellStyle name="Notas 3 3 3 5 2" xfId="34463"/>
    <cellStyle name="Notas 3 3 3 6" xfId="34464"/>
    <cellStyle name="Notas 3 3 3 6 2" xfId="34465"/>
    <cellStyle name="Notas 3 3 3 7" xfId="34466"/>
    <cellStyle name="Notas 3 3 3 7 2" xfId="34467"/>
    <cellStyle name="Notas 3 3 3 8" xfId="34468"/>
    <cellStyle name="Notas 3 3 3 8 2" xfId="34469"/>
    <cellStyle name="Notas 3 3 3 9" xfId="34470"/>
    <cellStyle name="Notas 3 3 3 9 2" xfId="34471"/>
    <cellStyle name="Notas 3 3 4" xfId="34472"/>
    <cellStyle name="Notas 3 3 4 10" xfId="34473"/>
    <cellStyle name="Notas 3 3 4 10 2" xfId="34474"/>
    <cellStyle name="Notas 3 3 4 11" xfId="34475"/>
    <cellStyle name="Notas 3 3 4 2" xfId="34476"/>
    <cellStyle name="Notas 3 3 4 2 2" xfId="34477"/>
    <cellStyle name="Notas 3 3 4 3" xfId="34478"/>
    <cellStyle name="Notas 3 3 4 3 2" xfId="34479"/>
    <cellStyle name="Notas 3 3 4 4" xfId="34480"/>
    <cellStyle name="Notas 3 3 4 4 2" xfId="34481"/>
    <cellStyle name="Notas 3 3 4 5" xfId="34482"/>
    <cellStyle name="Notas 3 3 4 5 2" xfId="34483"/>
    <cellStyle name="Notas 3 3 4 6" xfId="34484"/>
    <cellStyle name="Notas 3 3 4 6 2" xfId="34485"/>
    <cellStyle name="Notas 3 3 4 7" xfId="34486"/>
    <cellStyle name="Notas 3 3 4 7 2" xfId="34487"/>
    <cellStyle name="Notas 3 3 4 8" xfId="34488"/>
    <cellStyle name="Notas 3 3 4 8 2" xfId="34489"/>
    <cellStyle name="Notas 3 3 4 9" xfId="34490"/>
    <cellStyle name="Notas 3 3 4 9 2" xfId="34491"/>
    <cellStyle name="Notas 3 3 5" xfId="34492"/>
    <cellStyle name="Notas 3 3 5 10" xfId="34493"/>
    <cellStyle name="Notas 3 3 5 10 2" xfId="34494"/>
    <cellStyle name="Notas 3 3 5 11" xfId="34495"/>
    <cellStyle name="Notas 3 3 5 2" xfId="34496"/>
    <cellStyle name="Notas 3 3 5 2 2" xfId="34497"/>
    <cellStyle name="Notas 3 3 5 3" xfId="34498"/>
    <cellStyle name="Notas 3 3 5 3 2" xfId="34499"/>
    <cellStyle name="Notas 3 3 5 4" xfId="34500"/>
    <cellStyle name="Notas 3 3 5 4 2" xfId="34501"/>
    <cellStyle name="Notas 3 3 5 5" xfId="34502"/>
    <cellStyle name="Notas 3 3 5 5 2" xfId="34503"/>
    <cellStyle name="Notas 3 3 5 6" xfId="34504"/>
    <cellStyle name="Notas 3 3 5 6 2" xfId="34505"/>
    <cellStyle name="Notas 3 3 5 7" xfId="34506"/>
    <cellStyle name="Notas 3 3 5 7 2" xfId="34507"/>
    <cellStyle name="Notas 3 3 5 8" xfId="34508"/>
    <cellStyle name="Notas 3 3 5 8 2" xfId="34509"/>
    <cellStyle name="Notas 3 3 5 9" xfId="34510"/>
    <cellStyle name="Notas 3 3 5 9 2" xfId="34511"/>
    <cellStyle name="Notas 3 3 6" xfId="34512"/>
    <cellStyle name="Notas 3 3 6 2" xfId="34513"/>
    <cellStyle name="Notas 3 3 7" xfId="34514"/>
    <cellStyle name="Notas 3 3 7 2" xfId="34515"/>
    <cellStyle name="Notas 3 3 8" xfId="34516"/>
    <cellStyle name="Notas 3 3 8 2" xfId="34517"/>
    <cellStyle name="Notas 3 3 9" xfId="34518"/>
    <cellStyle name="Notas 3 3 9 2" xfId="34519"/>
    <cellStyle name="Notas 3 4" xfId="34520"/>
    <cellStyle name="Notas 3 4 10" xfId="34521"/>
    <cellStyle name="Notas 3 4 10 2" xfId="34522"/>
    <cellStyle name="Notas 3 4 11" xfId="34523"/>
    <cellStyle name="Notas 3 4 11 2" xfId="34524"/>
    <cellStyle name="Notas 3 4 12" xfId="34525"/>
    <cellStyle name="Notas 3 4 12 2" xfId="34526"/>
    <cellStyle name="Notas 3 4 13" xfId="34527"/>
    <cellStyle name="Notas 3 4 13 2" xfId="34528"/>
    <cellStyle name="Notas 3 4 14" xfId="34529"/>
    <cellStyle name="Notas 3 4 14 2" xfId="34530"/>
    <cellStyle name="Notas 3 4 15" xfId="34531"/>
    <cellStyle name="Notas 3 4 2" xfId="34532"/>
    <cellStyle name="Notas 3 4 2 10" xfId="34533"/>
    <cellStyle name="Notas 3 4 2 10 2" xfId="34534"/>
    <cellStyle name="Notas 3 4 2 11" xfId="34535"/>
    <cellStyle name="Notas 3 4 2 11 2" xfId="34536"/>
    <cellStyle name="Notas 3 4 2 12" xfId="34537"/>
    <cellStyle name="Notas 3 4 2 12 2" xfId="34538"/>
    <cellStyle name="Notas 3 4 2 13" xfId="34539"/>
    <cellStyle name="Notas 3 4 2 2" xfId="34540"/>
    <cellStyle name="Notas 3 4 2 2 10" xfId="34541"/>
    <cellStyle name="Notas 3 4 2 2 10 2" xfId="34542"/>
    <cellStyle name="Notas 3 4 2 2 11" xfId="34543"/>
    <cellStyle name="Notas 3 4 2 2 2" xfId="34544"/>
    <cellStyle name="Notas 3 4 2 2 2 2" xfId="34545"/>
    <cellStyle name="Notas 3 4 2 2 3" xfId="34546"/>
    <cellStyle name="Notas 3 4 2 2 3 2" xfId="34547"/>
    <cellStyle name="Notas 3 4 2 2 4" xfId="34548"/>
    <cellStyle name="Notas 3 4 2 2 4 2" xfId="34549"/>
    <cellStyle name="Notas 3 4 2 2 5" xfId="34550"/>
    <cellStyle name="Notas 3 4 2 2 5 2" xfId="34551"/>
    <cellStyle name="Notas 3 4 2 2 6" xfId="34552"/>
    <cellStyle name="Notas 3 4 2 2 6 2" xfId="34553"/>
    <cellStyle name="Notas 3 4 2 2 7" xfId="34554"/>
    <cellStyle name="Notas 3 4 2 2 7 2" xfId="34555"/>
    <cellStyle name="Notas 3 4 2 2 8" xfId="34556"/>
    <cellStyle name="Notas 3 4 2 2 8 2" xfId="34557"/>
    <cellStyle name="Notas 3 4 2 2 9" xfId="34558"/>
    <cellStyle name="Notas 3 4 2 2 9 2" xfId="34559"/>
    <cellStyle name="Notas 3 4 2 3" xfId="34560"/>
    <cellStyle name="Notas 3 4 2 3 10" xfId="34561"/>
    <cellStyle name="Notas 3 4 2 3 10 2" xfId="34562"/>
    <cellStyle name="Notas 3 4 2 3 11" xfId="34563"/>
    <cellStyle name="Notas 3 4 2 3 2" xfId="34564"/>
    <cellStyle name="Notas 3 4 2 3 2 2" xfId="34565"/>
    <cellStyle name="Notas 3 4 2 3 3" xfId="34566"/>
    <cellStyle name="Notas 3 4 2 3 3 2" xfId="34567"/>
    <cellStyle name="Notas 3 4 2 3 4" xfId="34568"/>
    <cellStyle name="Notas 3 4 2 3 4 2" xfId="34569"/>
    <cellStyle name="Notas 3 4 2 3 5" xfId="34570"/>
    <cellStyle name="Notas 3 4 2 3 5 2" xfId="34571"/>
    <cellStyle name="Notas 3 4 2 3 6" xfId="34572"/>
    <cellStyle name="Notas 3 4 2 3 6 2" xfId="34573"/>
    <cellStyle name="Notas 3 4 2 3 7" xfId="34574"/>
    <cellStyle name="Notas 3 4 2 3 7 2" xfId="34575"/>
    <cellStyle name="Notas 3 4 2 3 8" xfId="34576"/>
    <cellStyle name="Notas 3 4 2 3 8 2" xfId="34577"/>
    <cellStyle name="Notas 3 4 2 3 9" xfId="34578"/>
    <cellStyle name="Notas 3 4 2 3 9 2" xfId="34579"/>
    <cellStyle name="Notas 3 4 2 4" xfId="34580"/>
    <cellStyle name="Notas 3 4 2 4 2" xfId="34581"/>
    <cellStyle name="Notas 3 4 2 5" xfId="34582"/>
    <cellStyle name="Notas 3 4 2 5 2" xfId="34583"/>
    <cellStyle name="Notas 3 4 2 6" xfId="34584"/>
    <cellStyle name="Notas 3 4 2 6 2" xfId="34585"/>
    <cellStyle name="Notas 3 4 2 7" xfId="34586"/>
    <cellStyle name="Notas 3 4 2 7 2" xfId="34587"/>
    <cellStyle name="Notas 3 4 2 8" xfId="34588"/>
    <cellStyle name="Notas 3 4 2 8 2" xfId="34589"/>
    <cellStyle name="Notas 3 4 2 9" xfId="34590"/>
    <cellStyle name="Notas 3 4 2 9 2" xfId="34591"/>
    <cellStyle name="Notas 3 4 3" xfId="34592"/>
    <cellStyle name="Notas 3 4 3 10" xfId="34593"/>
    <cellStyle name="Notas 3 4 3 10 2" xfId="34594"/>
    <cellStyle name="Notas 3 4 3 11" xfId="34595"/>
    <cellStyle name="Notas 3 4 3 11 2" xfId="34596"/>
    <cellStyle name="Notas 3 4 3 12" xfId="34597"/>
    <cellStyle name="Notas 3 4 3 12 2" xfId="34598"/>
    <cellStyle name="Notas 3 4 3 13" xfId="34599"/>
    <cellStyle name="Notas 3 4 3 2" xfId="34600"/>
    <cellStyle name="Notas 3 4 3 2 10" xfId="34601"/>
    <cellStyle name="Notas 3 4 3 2 10 2" xfId="34602"/>
    <cellStyle name="Notas 3 4 3 2 11" xfId="34603"/>
    <cellStyle name="Notas 3 4 3 2 2" xfId="34604"/>
    <cellStyle name="Notas 3 4 3 2 2 2" xfId="34605"/>
    <cellStyle name="Notas 3 4 3 2 3" xfId="34606"/>
    <cellStyle name="Notas 3 4 3 2 3 2" xfId="34607"/>
    <cellStyle name="Notas 3 4 3 2 4" xfId="34608"/>
    <cellStyle name="Notas 3 4 3 2 4 2" xfId="34609"/>
    <cellStyle name="Notas 3 4 3 2 5" xfId="34610"/>
    <cellStyle name="Notas 3 4 3 2 5 2" xfId="34611"/>
    <cellStyle name="Notas 3 4 3 2 6" xfId="34612"/>
    <cellStyle name="Notas 3 4 3 2 6 2" xfId="34613"/>
    <cellStyle name="Notas 3 4 3 2 7" xfId="34614"/>
    <cellStyle name="Notas 3 4 3 2 7 2" xfId="34615"/>
    <cellStyle name="Notas 3 4 3 2 8" xfId="34616"/>
    <cellStyle name="Notas 3 4 3 2 8 2" xfId="34617"/>
    <cellStyle name="Notas 3 4 3 2 9" xfId="34618"/>
    <cellStyle name="Notas 3 4 3 2 9 2" xfId="34619"/>
    <cellStyle name="Notas 3 4 3 3" xfId="34620"/>
    <cellStyle name="Notas 3 4 3 3 10" xfId="34621"/>
    <cellStyle name="Notas 3 4 3 3 10 2" xfId="34622"/>
    <cellStyle name="Notas 3 4 3 3 11" xfId="34623"/>
    <cellStyle name="Notas 3 4 3 3 2" xfId="34624"/>
    <cellStyle name="Notas 3 4 3 3 2 2" xfId="34625"/>
    <cellStyle name="Notas 3 4 3 3 3" xfId="34626"/>
    <cellStyle name="Notas 3 4 3 3 3 2" xfId="34627"/>
    <cellStyle name="Notas 3 4 3 3 4" xfId="34628"/>
    <cellStyle name="Notas 3 4 3 3 4 2" xfId="34629"/>
    <cellStyle name="Notas 3 4 3 3 5" xfId="34630"/>
    <cellStyle name="Notas 3 4 3 3 5 2" xfId="34631"/>
    <cellStyle name="Notas 3 4 3 3 6" xfId="34632"/>
    <cellStyle name="Notas 3 4 3 3 6 2" xfId="34633"/>
    <cellStyle name="Notas 3 4 3 3 7" xfId="34634"/>
    <cellStyle name="Notas 3 4 3 3 7 2" xfId="34635"/>
    <cellStyle name="Notas 3 4 3 3 8" xfId="34636"/>
    <cellStyle name="Notas 3 4 3 3 8 2" xfId="34637"/>
    <cellStyle name="Notas 3 4 3 3 9" xfId="34638"/>
    <cellStyle name="Notas 3 4 3 3 9 2" xfId="34639"/>
    <cellStyle name="Notas 3 4 3 4" xfId="34640"/>
    <cellStyle name="Notas 3 4 3 4 2" xfId="34641"/>
    <cellStyle name="Notas 3 4 3 5" xfId="34642"/>
    <cellStyle name="Notas 3 4 3 5 2" xfId="34643"/>
    <cellStyle name="Notas 3 4 3 6" xfId="34644"/>
    <cellStyle name="Notas 3 4 3 6 2" xfId="34645"/>
    <cellStyle name="Notas 3 4 3 7" xfId="34646"/>
    <cellStyle name="Notas 3 4 3 7 2" xfId="34647"/>
    <cellStyle name="Notas 3 4 3 8" xfId="34648"/>
    <cellStyle name="Notas 3 4 3 8 2" xfId="34649"/>
    <cellStyle name="Notas 3 4 3 9" xfId="34650"/>
    <cellStyle name="Notas 3 4 3 9 2" xfId="34651"/>
    <cellStyle name="Notas 3 4 4" xfId="34652"/>
    <cellStyle name="Notas 3 4 4 10" xfId="34653"/>
    <cellStyle name="Notas 3 4 4 10 2" xfId="34654"/>
    <cellStyle name="Notas 3 4 4 11" xfId="34655"/>
    <cellStyle name="Notas 3 4 4 2" xfId="34656"/>
    <cellStyle name="Notas 3 4 4 2 2" xfId="34657"/>
    <cellStyle name="Notas 3 4 4 3" xfId="34658"/>
    <cellStyle name="Notas 3 4 4 3 2" xfId="34659"/>
    <cellStyle name="Notas 3 4 4 4" xfId="34660"/>
    <cellStyle name="Notas 3 4 4 4 2" xfId="34661"/>
    <cellStyle name="Notas 3 4 4 5" xfId="34662"/>
    <cellStyle name="Notas 3 4 4 5 2" xfId="34663"/>
    <cellStyle name="Notas 3 4 4 6" xfId="34664"/>
    <cellStyle name="Notas 3 4 4 6 2" xfId="34665"/>
    <cellStyle name="Notas 3 4 4 7" xfId="34666"/>
    <cellStyle name="Notas 3 4 4 7 2" xfId="34667"/>
    <cellStyle name="Notas 3 4 4 8" xfId="34668"/>
    <cellStyle name="Notas 3 4 4 8 2" xfId="34669"/>
    <cellStyle name="Notas 3 4 4 9" xfId="34670"/>
    <cellStyle name="Notas 3 4 4 9 2" xfId="34671"/>
    <cellStyle name="Notas 3 4 5" xfId="34672"/>
    <cellStyle name="Notas 3 4 5 10" xfId="34673"/>
    <cellStyle name="Notas 3 4 5 10 2" xfId="34674"/>
    <cellStyle name="Notas 3 4 5 11" xfId="34675"/>
    <cellStyle name="Notas 3 4 5 2" xfId="34676"/>
    <cellStyle name="Notas 3 4 5 2 2" xfId="34677"/>
    <cellStyle name="Notas 3 4 5 3" xfId="34678"/>
    <cellStyle name="Notas 3 4 5 3 2" xfId="34679"/>
    <cellStyle name="Notas 3 4 5 4" xfId="34680"/>
    <cellStyle name="Notas 3 4 5 4 2" xfId="34681"/>
    <cellStyle name="Notas 3 4 5 5" xfId="34682"/>
    <cellStyle name="Notas 3 4 5 5 2" xfId="34683"/>
    <cellStyle name="Notas 3 4 5 6" xfId="34684"/>
    <cellStyle name="Notas 3 4 5 6 2" xfId="34685"/>
    <cellStyle name="Notas 3 4 5 7" xfId="34686"/>
    <cellStyle name="Notas 3 4 5 7 2" xfId="34687"/>
    <cellStyle name="Notas 3 4 5 8" xfId="34688"/>
    <cellStyle name="Notas 3 4 5 8 2" xfId="34689"/>
    <cellStyle name="Notas 3 4 5 9" xfId="34690"/>
    <cellStyle name="Notas 3 4 5 9 2" xfId="34691"/>
    <cellStyle name="Notas 3 4 6" xfId="34692"/>
    <cellStyle name="Notas 3 4 6 2" xfId="34693"/>
    <cellStyle name="Notas 3 4 7" xfId="34694"/>
    <cellStyle name="Notas 3 4 7 2" xfId="34695"/>
    <cellStyle name="Notas 3 4 8" xfId="34696"/>
    <cellStyle name="Notas 3 4 8 2" xfId="34697"/>
    <cellStyle name="Notas 3 4 9" xfId="34698"/>
    <cellStyle name="Notas 3 4 9 2" xfId="34699"/>
    <cellStyle name="Notas 3 5" xfId="34700"/>
    <cellStyle name="Notas 3 5 10" xfId="34701"/>
    <cellStyle name="Notas 3 5 10 2" xfId="34702"/>
    <cellStyle name="Notas 3 5 11" xfId="34703"/>
    <cellStyle name="Notas 3 5 11 2" xfId="34704"/>
    <cellStyle name="Notas 3 5 12" xfId="34705"/>
    <cellStyle name="Notas 3 5 12 2" xfId="34706"/>
    <cellStyle name="Notas 3 5 13" xfId="34707"/>
    <cellStyle name="Notas 3 5 13 2" xfId="34708"/>
    <cellStyle name="Notas 3 5 14" xfId="34709"/>
    <cellStyle name="Notas 3 5 14 2" xfId="34710"/>
    <cellStyle name="Notas 3 5 15" xfId="34711"/>
    <cellStyle name="Notas 3 5 2" xfId="34712"/>
    <cellStyle name="Notas 3 5 2 10" xfId="34713"/>
    <cellStyle name="Notas 3 5 2 10 2" xfId="34714"/>
    <cellStyle name="Notas 3 5 2 11" xfId="34715"/>
    <cellStyle name="Notas 3 5 2 11 2" xfId="34716"/>
    <cellStyle name="Notas 3 5 2 12" xfId="34717"/>
    <cellStyle name="Notas 3 5 2 12 2" xfId="34718"/>
    <cellStyle name="Notas 3 5 2 13" xfId="34719"/>
    <cellStyle name="Notas 3 5 2 2" xfId="34720"/>
    <cellStyle name="Notas 3 5 2 2 10" xfId="34721"/>
    <cellStyle name="Notas 3 5 2 2 10 2" xfId="34722"/>
    <cellStyle name="Notas 3 5 2 2 11" xfId="34723"/>
    <cellStyle name="Notas 3 5 2 2 2" xfId="34724"/>
    <cellStyle name="Notas 3 5 2 2 2 2" xfId="34725"/>
    <cellStyle name="Notas 3 5 2 2 3" xfId="34726"/>
    <cellStyle name="Notas 3 5 2 2 3 2" xfId="34727"/>
    <cellStyle name="Notas 3 5 2 2 4" xfId="34728"/>
    <cellStyle name="Notas 3 5 2 2 4 2" xfId="34729"/>
    <cellStyle name="Notas 3 5 2 2 5" xfId="34730"/>
    <cellStyle name="Notas 3 5 2 2 5 2" xfId="34731"/>
    <cellStyle name="Notas 3 5 2 2 6" xfId="34732"/>
    <cellStyle name="Notas 3 5 2 2 6 2" xfId="34733"/>
    <cellStyle name="Notas 3 5 2 2 7" xfId="34734"/>
    <cellStyle name="Notas 3 5 2 2 7 2" xfId="34735"/>
    <cellStyle name="Notas 3 5 2 2 8" xfId="34736"/>
    <cellStyle name="Notas 3 5 2 2 8 2" xfId="34737"/>
    <cellStyle name="Notas 3 5 2 2 9" xfId="34738"/>
    <cellStyle name="Notas 3 5 2 2 9 2" xfId="34739"/>
    <cellStyle name="Notas 3 5 2 3" xfId="34740"/>
    <cellStyle name="Notas 3 5 2 3 10" xfId="34741"/>
    <cellStyle name="Notas 3 5 2 3 10 2" xfId="34742"/>
    <cellStyle name="Notas 3 5 2 3 11" xfId="34743"/>
    <cellStyle name="Notas 3 5 2 3 2" xfId="34744"/>
    <cellStyle name="Notas 3 5 2 3 2 2" xfId="34745"/>
    <cellStyle name="Notas 3 5 2 3 3" xfId="34746"/>
    <cellStyle name="Notas 3 5 2 3 3 2" xfId="34747"/>
    <cellStyle name="Notas 3 5 2 3 4" xfId="34748"/>
    <cellStyle name="Notas 3 5 2 3 4 2" xfId="34749"/>
    <cellStyle name="Notas 3 5 2 3 5" xfId="34750"/>
    <cellStyle name="Notas 3 5 2 3 5 2" xfId="34751"/>
    <cellStyle name="Notas 3 5 2 3 6" xfId="34752"/>
    <cellStyle name="Notas 3 5 2 3 6 2" xfId="34753"/>
    <cellStyle name="Notas 3 5 2 3 7" xfId="34754"/>
    <cellStyle name="Notas 3 5 2 3 7 2" xfId="34755"/>
    <cellStyle name="Notas 3 5 2 3 8" xfId="34756"/>
    <cellStyle name="Notas 3 5 2 3 8 2" xfId="34757"/>
    <cellStyle name="Notas 3 5 2 3 9" xfId="34758"/>
    <cellStyle name="Notas 3 5 2 3 9 2" xfId="34759"/>
    <cellStyle name="Notas 3 5 2 4" xfId="34760"/>
    <cellStyle name="Notas 3 5 2 4 2" xfId="34761"/>
    <cellStyle name="Notas 3 5 2 5" xfId="34762"/>
    <cellStyle name="Notas 3 5 2 5 2" xfId="34763"/>
    <cellStyle name="Notas 3 5 2 6" xfId="34764"/>
    <cellStyle name="Notas 3 5 2 6 2" xfId="34765"/>
    <cellStyle name="Notas 3 5 2 7" xfId="34766"/>
    <cellStyle name="Notas 3 5 2 7 2" xfId="34767"/>
    <cellStyle name="Notas 3 5 2 8" xfId="34768"/>
    <cellStyle name="Notas 3 5 2 8 2" xfId="34769"/>
    <cellStyle name="Notas 3 5 2 9" xfId="34770"/>
    <cellStyle name="Notas 3 5 2 9 2" xfId="34771"/>
    <cellStyle name="Notas 3 5 3" xfId="34772"/>
    <cellStyle name="Notas 3 5 3 10" xfId="34773"/>
    <cellStyle name="Notas 3 5 3 10 2" xfId="34774"/>
    <cellStyle name="Notas 3 5 3 11" xfId="34775"/>
    <cellStyle name="Notas 3 5 3 11 2" xfId="34776"/>
    <cellStyle name="Notas 3 5 3 12" xfId="34777"/>
    <cellStyle name="Notas 3 5 3 12 2" xfId="34778"/>
    <cellStyle name="Notas 3 5 3 13" xfId="34779"/>
    <cellStyle name="Notas 3 5 3 2" xfId="34780"/>
    <cellStyle name="Notas 3 5 3 2 10" xfId="34781"/>
    <cellStyle name="Notas 3 5 3 2 10 2" xfId="34782"/>
    <cellStyle name="Notas 3 5 3 2 11" xfId="34783"/>
    <cellStyle name="Notas 3 5 3 2 2" xfId="34784"/>
    <cellStyle name="Notas 3 5 3 2 2 2" xfId="34785"/>
    <cellStyle name="Notas 3 5 3 2 3" xfId="34786"/>
    <cellStyle name="Notas 3 5 3 2 3 2" xfId="34787"/>
    <cellStyle name="Notas 3 5 3 2 4" xfId="34788"/>
    <cellStyle name="Notas 3 5 3 2 4 2" xfId="34789"/>
    <cellStyle name="Notas 3 5 3 2 5" xfId="34790"/>
    <cellStyle name="Notas 3 5 3 2 5 2" xfId="34791"/>
    <cellStyle name="Notas 3 5 3 2 6" xfId="34792"/>
    <cellStyle name="Notas 3 5 3 2 6 2" xfId="34793"/>
    <cellStyle name="Notas 3 5 3 2 7" xfId="34794"/>
    <cellStyle name="Notas 3 5 3 2 7 2" xfId="34795"/>
    <cellStyle name="Notas 3 5 3 2 8" xfId="34796"/>
    <cellStyle name="Notas 3 5 3 2 8 2" xfId="34797"/>
    <cellStyle name="Notas 3 5 3 2 9" xfId="34798"/>
    <cellStyle name="Notas 3 5 3 2 9 2" xfId="34799"/>
    <cellStyle name="Notas 3 5 3 3" xfId="34800"/>
    <cellStyle name="Notas 3 5 3 3 10" xfId="34801"/>
    <cellStyle name="Notas 3 5 3 3 10 2" xfId="34802"/>
    <cellStyle name="Notas 3 5 3 3 11" xfId="34803"/>
    <cellStyle name="Notas 3 5 3 3 2" xfId="34804"/>
    <cellStyle name="Notas 3 5 3 3 2 2" xfId="34805"/>
    <cellStyle name="Notas 3 5 3 3 3" xfId="34806"/>
    <cellStyle name="Notas 3 5 3 3 3 2" xfId="34807"/>
    <cellStyle name="Notas 3 5 3 3 4" xfId="34808"/>
    <cellStyle name="Notas 3 5 3 3 4 2" xfId="34809"/>
    <cellStyle name="Notas 3 5 3 3 5" xfId="34810"/>
    <cellStyle name="Notas 3 5 3 3 5 2" xfId="34811"/>
    <cellStyle name="Notas 3 5 3 3 6" xfId="34812"/>
    <cellStyle name="Notas 3 5 3 3 6 2" xfId="34813"/>
    <cellStyle name="Notas 3 5 3 3 7" xfId="34814"/>
    <cellStyle name="Notas 3 5 3 3 7 2" xfId="34815"/>
    <cellStyle name="Notas 3 5 3 3 8" xfId="34816"/>
    <cellStyle name="Notas 3 5 3 3 8 2" xfId="34817"/>
    <cellStyle name="Notas 3 5 3 3 9" xfId="34818"/>
    <cellStyle name="Notas 3 5 3 3 9 2" xfId="34819"/>
    <cellStyle name="Notas 3 5 3 4" xfId="34820"/>
    <cellStyle name="Notas 3 5 3 4 2" xfId="34821"/>
    <cellStyle name="Notas 3 5 3 5" xfId="34822"/>
    <cellStyle name="Notas 3 5 3 5 2" xfId="34823"/>
    <cellStyle name="Notas 3 5 3 6" xfId="34824"/>
    <cellStyle name="Notas 3 5 3 6 2" xfId="34825"/>
    <cellStyle name="Notas 3 5 3 7" xfId="34826"/>
    <cellStyle name="Notas 3 5 3 7 2" xfId="34827"/>
    <cellStyle name="Notas 3 5 3 8" xfId="34828"/>
    <cellStyle name="Notas 3 5 3 8 2" xfId="34829"/>
    <cellStyle name="Notas 3 5 3 9" xfId="34830"/>
    <cellStyle name="Notas 3 5 3 9 2" xfId="34831"/>
    <cellStyle name="Notas 3 5 4" xfId="34832"/>
    <cellStyle name="Notas 3 5 4 10" xfId="34833"/>
    <cellStyle name="Notas 3 5 4 10 2" xfId="34834"/>
    <cellStyle name="Notas 3 5 4 11" xfId="34835"/>
    <cellStyle name="Notas 3 5 4 2" xfId="34836"/>
    <cellStyle name="Notas 3 5 4 2 2" xfId="34837"/>
    <cellStyle name="Notas 3 5 4 3" xfId="34838"/>
    <cellStyle name="Notas 3 5 4 3 2" xfId="34839"/>
    <cellStyle name="Notas 3 5 4 4" xfId="34840"/>
    <cellStyle name="Notas 3 5 4 4 2" xfId="34841"/>
    <cellStyle name="Notas 3 5 4 5" xfId="34842"/>
    <cellStyle name="Notas 3 5 4 5 2" xfId="34843"/>
    <cellStyle name="Notas 3 5 4 6" xfId="34844"/>
    <cellStyle name="Notas 3 5 4 6 2" xfId="34845"/>
    <cellStyle name="Notas 3 5 4 7" xfId="34846"/>
    <cellStyle name="Notas 3 5 4 7 2" xfId="34847"/>
    <cellStyle name="Notas 3 5 4 8" xfId="34848"/>
    <cellStyle name="Notas 3 5 4 8 2" xfId="34849"/>
    <cellStyle name="Notas 3 5 4 9" xfId="34850"/>
    <cellStyle name="Notas 3 5 4 9 2" xfId="34851"/>
    <cellStyle name="Notas 3 5 5" xfId="34852"/>
    <cellStyle name="Notas 3 5 5 10" xfId="34853"/>
    <cellStyle name="Notas 3 5 5 10 2" xfId="34854"/>
    <cellStyle name="Notas 3 5 5 11" xfId="34855"/>
    <cellStyle name="Notas 3 5 5 2" xfId="34856"/>
    <cellStyle name="Notas 3 5 5 2 2" xfId="34857"/>
    <cellStyle name="Notas 3 5 5 3" xfId="34858"/>
    <cellStyle name="Notas 3 5 5 3 2" xfId="34859"/>
    <cellStyle name="Notas 3 5 5 4" xfId="34860"/>
    <cellStyle name="Notas 3 5 5 4 2" xfId="34861"/>
    <cellStyle name="Notas 3 5 5 5" xfId="34862"/>
    <cellStyle name="Notas 3 5 5 5 2" xfId="34863"/>
    <cellStyle name="Notas 3 5 5 6" xfId="34864"/>
    <cellStyle name="Notas 3 5 5 6 2" xfId="34865"/>
    <cellStyle name="Notas 3 5 5 7" xfId="34866"/>
    <cellStyle name="Notas 3 5 5 7 2" xfId="34867"/>
    <cellStyle name="Notas 3 5 5 8" xfId="34868"/>
    <cellStyle name="Notas 3 5 5 8 2" xfId="34869"/>
    <cellStyle name="Notas 3 5 5 9" xfId="34870"/>
    <cellStyle name="Notas 3 5 5 9 2" xfId="34871"/>
    <cellStyle name="Notas 3 5 6" xfId="34872"/>
    <cellStyle name="Notas 3 5 6 2" xfId="34873"/>
    <cellStyle name="Notas 3 5 7" xfId="34874"/>
    <cellStyle name="Notas 3 5 7 2" xfId="34875"/>
    <cellStyle name="Notas 3 5 8" xfId="34876"/>
    <cellStyle name="Notas 3 5 8 2" xfId="34877"/>
    <cellStyle name="Notas 3 5 9" xfId="34878"/>
    <cellStyle name="Notas 3 5 9 2" xfId="34879"/>
    <cellStyle name="Notas 3 6" xfId="34880"/>
    <cellStyle name="Notas 3 6 10" xfId="34881"/>
    <cellStyle name="Notas 3 6 10 2" xfId="34882"/>
    <cellStyle name="Notas 3 6 11" xfId="34883"/>
    <cellStyle name="Notas 3 6 11 2" xfId="34884"/>
    <cellStyle name="Notas 3 6 12" xfId="34885"/>
    <cellStyle name="Notas 3 6 12 2" xfId="34886"/>
    <cellStyle name="Notas 3 6 13" xfId="34887"/>
    <cellStyle name="Notas 3 6 2" xfId="34888"/>
    <cellStyle name="Notas 3 6 2 10" xfId="34889"/>
    <cellStyle name="Notas 3 6 2 10 2" xfId="34890"/>
    <cellStyle name="Notas 3 6 2 11" xfId="34891"/>
    <cellStyle name="Notas 3 6 2 2" xfId="34892"/>
    <cellStyle name="Notas 3 6 2 2 2" xfId="34893"/>
    <cellStyle name="Notas 3 6 2 3" xfId="34894"/>
    <cellStyle name="Notas 3 6 2 3 2" xfId="34895"/>
    <cellStyle name="Notas 3 6 2 4" xfId="34896"/>
    <cellStyle name="Notas 3 6 2 4 2" xfId="34897"/>
    <cellStyle name="Notas 3 6 2 5" xfId="34898"/>
    <cellStyle name="Notas 3 6 2 5 2" xfId="34899"/>
    <cellStyle name="Notas 3 6 2 6" xfId="34900"/>
    <cellStyle name="Notas 3 6 2 6 2" xfId="34901"/>
    <cellStyle name="Notas 3 6 2 7" xfId="34902"/>
    <cellStyle name="Notas 3 6 2 7 2" xfId="34903"/>
    <cellStyle name="Notas 3 6 2 8" xfId="34904"/>
    <cellStyle name="Notas 3 6 2 8 2" xfId="34905"/>
    <cellStyle name="Notas 3 6 2 9" xfId="34906"/>
    <cellStyle name="Notas 3 6 2 9 2" xfId="34907"/>
    <cellStyle name="Notas 3 6 3" xfId="34908"/>
    <cellStyle name="Notas 3 6 3 10" xfId="34909"/>
    <cellStyle name="Notas 3 6 3 10 2" xfId="34910"/>
    <cellStyle name="Notas 3 6 3 11" xfId="34911"/>
    <cellStyle name="Notas 3 6 3 2" xfId="34912"/>
    <cellStyle name="Notas 3 6 3 2 2" xfId="34913"/>
    <cellStyle name="Notas 3 6 3 3" xfId="34914"/>
    <cellStyle name="Notas 3 6 3 3 2" xfId="34915"/>
    <cellStyle name="Notas 3 6 3 4" xfId="34916"/>
    <cellStyle name="Notas 3 6 3 4 2" xfId="34917"/>
    <cellStyle name="Notas 3 6 3 5" xfId="34918"/>
    <cellStyle name="Notas 3 6 3 5 2" xfId="34919"/>
    <cellStyle name="Notas 3 6 3 6" xfId="34920"/>
    <cellStyle name="Notas 3 6 3 6 2" xfId="34921"/>
    <cellStyle name="Notas 3 6 3 7" xfId="34922"/>
    <cellStyle name="Notas 3 6 3 7 2" xfId="34923"/>
    <cellStyle name="Notas 3 6 3 8" xfId="34924"/>
    <cellStyle name="Notas 3 6 3 8 2" xfId="34925"/>
    <cellStyle name="Notas 3 6 3 9" xfId="34926"/>
    <cellStyle name="Notas 3 6 3 9 2" xfId="34927"/>
    <cellStyle name="Notas 3 6 4" xfId="34928"/>
    <cellStyle name="Notas 3 6 4 2" xfId="34929"/>
    <cellStyle name="Notas 3 6 5" xfId="34930"/>
    <cellStyle name="Notas 3 6 5 2" xfId="34931"/>
    <cellStyle name="Notas 3 6 6" xfId="34932"/>
    <cellStyle name="Notas 3 6 6 2" xfId="34933"/>
    <cellStyle name="Notas 3 6 7" xfId="34934"/>
    <cellStyle name="Notas 3 6 7 2" xfId="34935"/>
    <cellStyle name="Notas 3 6 8" xfId="34936"/>
    <cellStyle name="Notas 3 6 8 2" xfId="34937"/>
    <cellStyle name="Notas 3 6 9" xfId="34938"/>
    <cellStyle name="Notas 3 6 9 2" xfId="34939"/>
    <cellStyle name="Notas 3 7" xfId="34940"/>
    <cellStyle name="Notas 3 7 10" xfId="34941"/>
    <cellStyle name="Notas 3 7 10 2" xfId="34942"/>
    <cellStyle name="Notas 3 7 11" xfId="34943"/>
    <cellStyle name="Notas 3 7 11 2" xfId="34944"/>
    <cellStyle name="Notas 3 7 12" xfId="34945"/>
    <cellStyle name="Notas 3 7 12 2" xfId="34946"/>
    <cellStyle name="Notas 3 7 13" xfId="34947"/>
    <cellStyle name="Notas 3 7 2" xfId="34948"/>
    <cellStyle name="Notas 3 7 2 10" xfId="34949"/>
    <cellStyle name="Notas 3 7 2 10 2" xfId="34950"/>
    <cellStyle name="Notas 3 7 2 11" xfId="34951"/>
    <cellStyle name="Notas 3 7 2 2" xfId="34952"/>
    <cellStyle name="Notas 3 7 2 2 2" xfId="34953"/>
    <cellStyle name="Notas 3 7 2 3" xfId="34954"/>
    <cellStyle name="Notas 3 7 2 3 2" xfId="34955"/>
    <cellStyle name="Notas 3 7 2 4" xfId="34956"/>
    <cellStyle name="Notas 3 7 2 4 2" xfId="34957"/>
    <cellStyle name="Notas 3 7 2 5" xfId="34958"/>
    <cellStyle name="Notas 3 7 2 5 2" xfId="34959"/>
    <cellStyle name="Notas 3 7 2 6" xfId="34960"/>
    <cellStyle name="Notas 3 7 2 6 2" xfId="34961"/>
    <cellStyle name="Notas 3 7 2 7" xfId="34962"/>
    <cellStyle name="Notas 3 7 2 7 2" xfId="34963"/>
    <cellStyle name="Notas 3 7 2 8" xfId="34964"/>
    <cellStyle name="Notas 3 7 2 8 2" xfId="34965"/>
    <cellStyle name="Notas 3 7 2 9" xfId="34966"/>
    <cellStyle name="Notas 3 7 2 9 2" xfId="34967"/>
    <cellStyle name="Notas 3 7 3" xfId="34968"/>
    <cellStyle name="Notas 3 7 3 10" xfId="34969"/>
    <cellStyle name="Notas 3 7 3 10 2" xfId="34970"/>
    <cellStyle name="Notas 3 7 3 11" xfId="34971"/>
    <cellStyle name="Notas 3 7 3 2" xfId="34972"/>
    <cellStyle name="Notas 3 7 3 2 2" xfId="34973"/>
    <cellStyle name="Notas 3 7 3 3" xfId="34974"/>
    <cellStyle name="Notas 3 7 3 3 2" xfId="34975"/>
    <cellStyle name="Notas 3 7 3 4" xfId="34976"/>
    <cellStyle name="Notas 3 7 3 4 2" xfId="34977"/>
    <cellStyle name="Notas 3 7 3 5" xfId="34978"/>
    <cellStyle name="Notas 3 7 3 5 2" xfId="34979"/>
    <cellStyle name="Notas 3 7 3 6" xfId="34980"/>
    <cellStyle name="Notas 3 7 3 6 2" xfId="34981"/>
    <cellStyle name="Notas 3 7 3 7" xfId="34982"/>
    <cellStyle name="Notas 3 7 3 7 2" xfId="34983"/>
    <cellStyle name="Notas 3 7 3 8" xfId="34984"/>
    <cellStyle name="Notas 3 7 3 8 2" xfId="34985"/>
    <cellStyle name="Notas 3 7 3 9" xfId="34986"/>
    <cellStyle name="Notas 3 7 3 9 2" xfId="34987"/>
    <cellStyle name="Notas 3 7 4" xfId="34988"/>
    <cellStyle name="Notas 3 7 4 2" xfId="34989"/>
    <cellStyle name="Notas 3 7 5" xfId="34990"/>
    <cellStyle name="Notas 3 7 5 2" xfId="34991"/>
    <cellStyle name="Notas 3 7 6" xfId="34992"/>
    <cellStyle name="Notas 3 7 6 2" xfId="34993"/>
    <cellStyle name="Notas 3 7 7" xfId="34994"/>
    <cellStyle name="Notas 3 7 7 2" xfId="34995"/>
    <cellStyle name="Notas 3 7 8" xfId="34996"/>
    <cellStyle name="Notas 3 7 8 2" xfId="34997"/>
    <cellStyle name="Notas 3 7 9" xfId="34998"/>
    <cellStyle name="Notas 3 7 9 2" xfId="34999"/>
    <cellStyle name="Notas 3 8" xfId="35000"/>
    <cellStyle name="Notas 3 8 2" xfId="35001"/>
    <cellStyle name="Notas 3 9" xfId="35002"/>
    <cellStyle name="Notas 3 9 2" xfId="35003"/>
    <cellStyle name="Notas 4" xfId="212"/>
    <cellStyle name="Notas 4 10" xfId="35004"/>
    <cellStyle name="Notas 4 10 2" xfId="35005"/>
    <cellStyle name="Notas 4 11" xfId="35006"/>
    <cellStyle name="Notas 4 11 2" xfId="35007"/>
    <cellStyle name="Notas 4 12" xfId="35008"/>
    <cellStyle name="Notas 4 12 2" xfId="35009"/>
    <cellStyle name="Notas 4 13" xfId="35010"/>
    <cellStyle name="Notas 4 13 2" xfId="35011"/>
    <cellStyle name="Notas 4 14" xfId="35012"/>
    <cellStyle name="Notas 4 14 2" xfId="35013"/>
    <cellStyle name="Notas 4 15" xfId="35014"/>
    <cellStyle name="Notas 4 15 2" xfId="35015"/>
    <cellStyle name="Notas 4 16" xfId="35016"/>
    <cellStyle name="Notas 4 16 2" xfId="35017"/>
    <cellStyle name="Notas 4 17" xfId="35018"/>
    <cellStyle name="Notas 4 17 2" xfId="35019"/>
    <cellStyle name="Notas 4 18" xfId="35020"/>
    <cellStyle name="Notas 4 19" xfId="35021"/>
    <cellStyle name="Notas 4 2" xfId="298"/>
    <cellStyle name="Notas 4 2 10" xfId="35022"/>
    <cellStyle name="Notas 4 2 10 2" xfId="35023"/>
    <cellStyle name="Notas 4 2 11" xfId="35024"/>
    <cellStyle name="Notas 4 2 11 2" xfId="35025"/>
    <cellStyle name="Notas 4 2 12" xfId="35026"/>
    <cellStyle name="Notas 4 2 12 2" xfId="35027"/>
    <cellStyle name="Notas 4 2 13" xfId="35028"/>
    <cellStyle name="Notas 4 2 13 2" xfId="35029"/>
    <cellStyle name="Notas 4 2 14" xfId="35030"/>
    <cellStyle name="Notas 4 2 14 2" xfId="35031"/>
    <cellStyle name="Notas 4 2 15" xfId="35032"/>
    <cellStyle name="Notas 4 2 16" xfId="35033"/>
    <cellStyle name="Notas 4 2 2" xfId="35034"/>
    <cellStyle name="Notas 4 2 2 10" xfId="35035"/>
    <cellStyle name="Notas 4 2 2 10 2" xfId="35036"/>
    <cellStyle name="Notas 4 2 2 11" xfId="35037"/>
    <cellStyle name="Notas 4 2 2 11 2" xfId="35038"/>
    <cellStyle name="Notas 4 2 2 12" xfId="35039"/>
    <cellStyle name="Notas 4 2 2 12 2" xfId="35040"/>
    <cellStyle name="Notas 4 2 2 13" xfId="35041"/>
    <cellStyle name="Notas 4 2 2 2" xfId="35042"/>
    <cellStyle name="Notas 4 2 2 2 10" xfId="35043"/>
    <cellStyle name="Notas 4 2 2 2 10 2" xfId="35044"/>
    <cellStyle name="Notas 4 2 2 2 11" xfId="35045"/>
    <cellStyle name="Notas 4 2 2 2 2" xfId="35046"/>
    <cellStyle name="Notas 4 2 2 2 2 2" xfId="35047"/>
    <cellStyle name="Notas 4 2 2 2 3" xfId="35048"/>
    <cellStyle name="Notas 4 2 2 2 3 2" xfId="35049"/>
    <cellStyle name="Notas 4 2 2 2 4" xfId="35050"/>
    <cellStyle name="Notas 4 2 2 2 4 2" xfId="35051"/>
    <cellStyle name="Notas 4 2 2 2 5" xfId="35052"/>
    <cellStyle name="Notas 4 2 2 2 5 2" xfId="35053"/>
    <cellStyle name="Notas 4 2 2 2 6" xfId="35054"/>
    <cellStyle name="Notas 4 2 2 2 6 2" xfId="35055"/>
    <cellStyle name="Notas 4 2 2 2 7" xfId="35056"/>
    <cellStyle name="Notas 4 2 2 2 7 2" xfId="35057"/>
    <cellStyle name="Notas 4 2 2 2 8" xfId="35058"/>
    <cellStyle name="Notas 4 2 2 2 8 2" xfId="35059"/>
    <cellStyle name="Notas 4 2 2 2 9" xfId="35060"/>
    <cellStyle name="Notas 4 2 2 2 9 2" xfId="35061"/>
    <cellStyle name="Notas 4 2 2 3" xfId="35062"/>
    <cellStyle name="Notas 4 2 2 3 10" xfId="35063"/>
    <cellStyle name="Notas 4 2 2 3 10 2" xfId="35064"/>
    <cellStyle name="Notas 4 2 2 3 11" xfId="35065"/>
    <cellStyle name="Notas 4 2 2 3 2" xfId="35066"/>
    <cellStyle name="Notas 4 2 2 3 2 2" xfId="35067"/>
    <cellStyle name="Notas 4 2 2 3 3" xfId="35068"/>
    <cellStyle name="Notas 4 2 2 3 3 2" xfId="35069"/>
    <cellStyle name="Notas 4 2 2 3 4" xfId="35070"/>
    <cellStyle name="Notas 4 2 2 3 4 2" xfId="35071"/>
    <cellStyle name="Notas 4 2 2 3 5" xfId="35072"/>
    <cellStyle name="Notas 4 2 2 3 5 2" xfId="35073"/>
    <cellStyle name="Notas 4 2 2 3 6" xfId="35074"/>
    <cellStyle name="Notas 4 2 2 3 6 2" xfId="35075"/>
    <cellStyle name="Notas 4 2 2 3 7" xfId="35076"/>
    <cellStyle name="Notas 4 2 2 3 7 2" xfId="35077"/>
    <cellStyle name="Notas 4 2 2 3 8" xfId="35078"/>
    <cellStyle name="Notas 4 2 2 3 8 2" xfId="35079"/>
    <cellStyle name="Notas 4 2 2 3 9" xfId="35080"/>
    <cellStyle name="Notas 4 2 2 3 9 2" xfId="35081"/>
    <cellStyle name="Notas 4 2 2 4" xfId="35082"/>
    <cellStyle name="Notas 4 2 2 4 2" xfId="35083"/>
    <cellStyle name="Notas 4 2 2 5" xfId="35084"/>
    <cellStyle name="Notas 4 2 2 5 2" xfId="35085"/>
    <cellStyle name="Notas 4 2 2 6" xfId="35086"/>
    <cellStyle name="Notas 4 2 2 6 2" xfId="35087"/>
    <cellStyle name="Notas 4 2 2 7" xfId="35088"/>
    <cellStyle name="Notas 4 2 2 7 2" xfId="35089"/>
    <cellStyle name="Notas 4 2 2 8" xfId="35090"/>
    <cellStyle name="Notas 4 2 2 8 2" xfId="35091"/>
    <cellStyle name="Notas 4 2 2 9" xfId="35092"/>
    <cellStyle name="Notas 4 2 2 9 2" xfId="35093"/>
    <cellStyle name="Notas 4 2 3" xfId="35094"/>
    <cellStyle name="Notas 4 2 3 10" xfId="35095"/>
    <cellStyle name="Notas 4 2 3 10 2" xfId="35096"/>
    <cellStyle name="Notas 4 2 3 11" xfId="35097"/>
    <cellStyle name="Notas 4 2 3 11 2" xfId="35098"/>
    <cellStyle name="Notas 4 2 3 12" xfId="35099"/>
    <cellStyle name="Notas 4 2 3 12 2" xfId="35100"/>
    <cellStyle name="Notas 4 2 3 13" xfId="35101"/>
    <cellStyle name="Notas 4 2 3 2" xfId="35102"/>
    <cellStyle name="Notas 4 2 3 2 10" xfId="35103"/>
    <cellStyle name="Notas 4 2 3 2 10 2" xfId="35104"/>
    <cellStyle name="Notas 4 2 3 2 11" xfId="35105"/>
    <cellStyle name="Notas 4 2 3 2 2" xfId="35106"/>
    <cellStyle name="Notas 4 2 3 2 2 2" xfId="35107"/>
    <cellStyle name="Notas 4 2 3 2 3" xfId="35108"/>
    <cellStyle name="Notas 4 2 3 2 3 2" xfId="35109"/>
    <cellStyle name="Notas 4 2 3 2 4" xfId="35110"/>
    <cellStyle name="Notas 4 2 3 2 4 2" xfId="35111"/>
    <cellStyle name="Notas 4 2 3 2 5" xfId="35112"/>
    <cellStyle name="Notas 4 2 3 2 5 2" xfId="35113"/>
    <cellStyle name="Notas 4 2 3 2 6" xfId="35114"/>
    <cellStyle name="Notas 4 2 3 2 6 2" xfId="35115"/>
    <cellStyle name="Notas 4 2 3 2 7" xfId="35116"/>
    <cellStyle name="Notas 4 2 3 2 7 2" xfId="35117"/>
    <cellStyle name="Notas 4 2 3 2 8" xfId="35118"/>
    <cellStyle name="Notas 4 2 3 2 8 2" xfId="35119"/>
    <cellStyle name="Notas 4 2 3 2 9" xfId="35120"/>
    <cellStyle name="Notas 4 2 3 2 9 2" xfId="35121"/>
    <cellStyle name="Notas 4 2 3 3" xfId="35122"/>
    <cellStyle name="Notas 4 2 3 3 10" xfId="35123"/>
    <cellStyle name="Notas 4 2 3 3 10 2" xfId="35124"/>
    <cellStyle name="Notas 4 2 3 3 11" xfId="35125"/>
    <cellStyle name="Notas 4 2 3 3 2" xfId="35126"/>
    <cellStyle name="Notas 4 2 3 3 2 2" xfId="35127"/>
    <cellStyle name="Notas 4 2 3 3 3" xfId="35128"/>
    <cellStyle name="Notas 4 2 3 3 3 2" xfId="35129"/>
    <cellStyle name="Notas 4 2 3 3 4" xfId="35130"/>
    <cellStyle name="Notas 4 2 3 3 4 2" xfId="35131"/>
    <cellStyle name="Notas 4 2 3 3 5" xfId="35132"/>
    <cellStyle name="Notas 4 2 3 3 5 2" xfId="35133"/>
    <cellStyle name="Notas 4 2 3 3 6" xfId="35134"/>
    <cellStyle name="Notas 4 2 3 3 6 2" xfId="35135"/>
    <cellStyle name="Notas 4 2 3 3 7" xfId="35136"/>
    <cellStyle name="Notas 4 2 3 3 7 2" xfId="35137"/>
    <cellStyle name="Notas 4 2 3 3 8" xfId="35138"/>
    <cellStyle name="Notas 4 2 3 3 8 2" xfId="35139"/>
    <cellStyle name="Notas 4 2 3 3 9" xfId="35140"/>
    <cellStyle name="Notas 4 2 3 3 9 2" xfId="35141"/>
    <cellStyle name="Notas 4 2 3 4" xfId="35142"/>
    <cellStyle name="Notas 4 2 3 4 2" xfId="35143"/>
    <cellStyle name="Notas 4 2 3 5" xfId="35144"/>
    <cellStyle name="Notas 4 2 3 5 2" xfId="35145"/>
    <cellStyle name="Notas 4 2 3 6" xfId="35146"/>
    <cellStyle name="Notas 4 2 3 6 2" xfId="35147"/>
    <cellStyle name="Notas 4 2 3 7" xfId="35148"/>
    <cellStyle name="Notas 4 2 3 7 2" xfId="35149"/>
    <cellStyle name="Notas 4 2 3 8" xfId="35150"/>
    <cellStyle name="Notas 4 2 3 8 2" xfId="35151"/>
    <cellStyle name="Notas 4 2 3 9" xfId="35152"/>
    <cellStyle name="Notas 4 2 3 9 2" xfId="35153"/>
    <cellStyle name="Notas 4 2 4" xfId="35154"/>
    <cellStyle name="Notas 4 2 4 10" xfId="35155"/>
    <cellStyle name="Notas 4 2 4 10 2" xfId="35156"/>
    <cellStyle name="Notas 4 2 4 11" xfId="35157"/>
    <cellStyle name="Notas 4 2 4 2" xfId="35158"/>
    <cellStyle name="Notas 4 2 4 2 2" xfId="35159"/>
    <cellStyle name="Notas 4 2 4 3" xfId="35160"/>
    <cellStyle name="Notas 4 2 4 3 2" xfId="35161"/>
    <cellStyle name="Notas 4 2 4 4" xfId="35162"/>
    <cellStyle name="Notas 4 2 4 4 2" xfId="35163"/>
    <cellStyle name="Notas 4 2 4 5" xfId="35164"/>
    <cellStyle name="Notas 4 2 4 5 2" xfId="35165"/>
    <cellStyle name="Notas 4 2 4 6" xfId="35166"/>
    <cellStyle name="Notas 4 2 4 6 2" xfId="35167"/>
    <cellStyle name="Notas 4 2 4 7" xfId="35168"/>
    <cellStyle name="Notas 4 2 4 7 2" xfId="35169"/>
    <cellStyle name="Notas 4 2 4 8" xfId="35170"/>
    <cellStyle name="Notas 4 2 4 8 2" xfId="35171"/>
    <cellStyle name="Notas 4 2 4 9" xfId="35172"/>
    <cellStyle name="Notas 4 2 4 9 2" xfId="35173"/>
    <cellStyle name="Notas 4 2 5" xfId="35174"/>
    <cellStyle name="Notas 4 2 5 10" xfId="35175"/>
    <cellStyle name="Notas 4 2 5 10 2" xfId="35176"/>
    <cellStyle name="Notas 4 2 5 11" xfId="35177"/>
    <cellStyle name="Notas 4 2 5 2" xfId="35178"/>
    <cellStyle name="Notas 4 2 5 2 2" xfId="35179"/>
    <cellStyle name="Notas 4 2 5 3" xfId="35180"/>
    <cellStyle name="Notas 4 2 5 3 2" xfId="35181"/>
    <cellStyle name="Notas 4 2 5 4" xfId="35182"/>
    <cellStyle name="Notas 4 2 5 4 2" xfId="35183"/>
    <cellStyle name="Notas 4 2 5 5" xfId="35184"/>
    <cellStyle name="Notas 4 2 5 5 2" xfId="35185"/>
    <cellStyle name="Notas 4 2 5 6" xfId="35186"/>
    <cellStyle name="Notas 4 2 5 6 2" xfId="35187"/>
    <cellStyle name="Notas 4 2 5 7" xfId="35188"/>
    <cellStyle name="Notas 4 2 5 7 2" xfId="35189"/>
    <cellStyle name="Notas 4 2 5 8" xfId="35190"/>
    <cellStyle name="Notas 4 2 5 8 2" xfId="35191"/>
    <cellStyle name="Notas 4 2 5 9" xfId="35192"/>
    <cellStyle name="Notas 4 2 5 9 2" xfId="35193"/>
    <cellStyle name="Notas 4 2 6" xfId="35194"/>
    <cellStyle name="Notas 4 2 6 2" xfId="35195"/>
    <cellStyle name="Notas 4 2 7" xfId="35196"/>
    <cellStyle name="Notas 4 2 7 2" xfId="35197"/>
    <cellStyle name="Notas 4 2 8" xfId="35198"/>
    <cellStyle name="Notas 4 2 8 2" xfId="35199"/>
    <cellStyle name="Notas 4 2 9" xfId="35200"/>
    <cellStyle name="Notas 4 2 9 2" xfId="35201"/>
    <cellStyle name="Notas 4 20" xfId="35202"/>
    <cellStyle name="Notas 4 3" xfId="277"/>
    <cellStyle name="Notas 4 3 10" xfId="35203"/>
    <cellStyle name="Notas 4 3 10 2" xfId="35204"/>
    <cellStyle name="Notas 4 3 11" xfId="35205"/>
    <cellStyle name="Notas 4 3 11 2" xfId="35206"/>
    <cellStyle name="Notas 4 3 12" xfId="35207"/>
    <cellStyle name="Notas 4 3 12 2" xfId="35208"/>
    <cellStyle name="Notas 4 3 13" xfId="35209"/>
    <cellStyle name="Notas 4 3 13 2" xfId="35210"/>
    <cellStyle name="Notas 4 3 14" xfId="35211"/>
    <cellStyle name="Notas 4 3 14 2" xfId="35212"/>
    <cellStyle name="Notas 4 3 15" xfId="35213"/>
    <cellStyle name="Notas 4 3 2" xfId="35214"/>
    <cellStyle name="Notas 4 3 2 10" xfId="35215"/>
    <cellStyle name="Notas 4 3 2 10 2" xfId="35216"/>
    <cellStyle name="Notas 4 3 2 11" xfId="35217"/>
    <cellStyle name="Notas 4 3 2 11 2" xfId="35218"/>
    <cellStyle name="Notas 4 3 2 12" xfId="35219"/>
    <cellStyle name="Notas 4 3 2 12 2" xfId="35220"/>
    <cellStyle name="Notas 4 3 2 13" xfId="35221"/>
    <cellStyle name="Notas 4 3 2 2" xfId="35222"/>
    <cellStyle name="Notas 4 3 2 2 10" xfId="35223"/>
    <cellStyle name="Notas 4 3 2 2 10 2" xfId="35224"/>
    <cellStyle name="Notas 4 3 2 2 11" xfId="35225"/>
    <cellStyle name="Notas 4 3 2 2 2" xfId="35226"/>
    <cellStyle name="Notas 4 3 2 2 2 2" xfId="35227"/>
    <cellStyle name="Notas 4 3 2 2 3" xfId="35228"/>
    <cellStyle name="Notas 4 3 2 2 3 2" xfId="35229"/>
    <cellStyle name="Notas 4 3 2 2 4" xfId="35230"/>
    <cellStyle name="Notas 4 3 2 2 4 2" xfId="35231"/>
    <cellStyle name="Notas 4 3 2 2 5" xfId="35232"/>
    <cellStyle name="Notas 4 3 2 2 5 2" xfId="35233"/>
    <cellStyle name="Notas 4 3 2 2 6" xfId="35234"/>
    <cellStyle name="Notas 4 3 2 2 6 2" xfId="35235"/>
    <cellStyle name="Notas 4 3 2 2 7" xfId="35236"/>
    <cellStyle name="Notas 4 3 2 2 7 2" xfId="35237"/>
    <cellStyle name="Notas 4 3 2 2 8" xfId="35238"/>
    <cellStyle name="Notas 4 3 2 2 8 2" xfId="35239"/>
    <cellStyle name="Notas 4 3 2 2 9" xfId="35240"/>
    <cellStyle name="Notas 4 3 2 2 9 2" xfId="35241"/>
    <cellStyle name="Notas 4 3 2 3" xfId="35242"/>
    <cellStyle name="Notas 4 3 2 3 10" xfId="35243"/>
    <cellStyle name="Notas 4 3 2 3 10 2" xfId="35244"/>
    <cellStyle name="Notas 4 3 2 3 11" xfId="35245"/>
    <cellStyle name="Notas 4 3 2 3 2" xfId="35246"/>
    <cellStyle name="Notas 4 3 2 3 2 2" xfId="35247"/>
    <cellStyle name="Notas 4 3 2 3 3" xfId="35248"/>
    <cellStyle name="Notas 4 3 2 3 3 2" xfId="35249"/>
    <cellStyle name="Notas 4 3 2 3 4" xfId="35250"/>
    <cellStyle name="Notas 4 3 2 3 4 2" xfId="35251"/>
    <cellStyle name="Notas 4 3 2 3 5" xfId="35252"/>
    <cellStyle name="Notas 4 3 2 3 5 2" xfId="35253"/>
    <cellStyle name="Notas 4 3 2 3 6" xfId="35254"/>
    <cellStyle name="Notas 4 3 2 3 6 2" xfId="35255"/>
    <cellStyle name="Notas 4 3 2 3 7" xfId="35256"/>
    <cellStyle name="Notas 4 3 2 3 7 2" xfId="35257"/>
    <cellStyle name="Notas 4 3 2 3 8" xfId="35258"/>
    <cellStyle name="Notas 4 3 2 3 8 2" xfId="35259"/>
    <cellStyle name="Notas 4 3 2 3 9" xfId="35260"/>
    <cellStyle name="Notas 4 3 2 3 9 2" xfId="35261"/>
    <cellStyle name="Notas 4 3 2 4" xfId="35262"/>
    <cellStyle name="Notas 4 3 2 4 2" xfId="35263"/>
    <cellStyle name="Notas 4 3 2 5" xfId="35264"/>
    <cellStyle name="Notas 4 3 2 5 2" xfId="35265"/>
    <cellStyle name="Notas 4 3 2 6" xfId="35266"/>
    <cellStyle name="Notas 4 3 2 6 2" xfId="35267"/>
    <cellStyle name="Notas 4 3 2 7" xfId="35268"/>
    <cellStyle name="Notas 4 3 2 7 2" xfId="35269"/>
    <cellStyle name="Notas 4 3 2 8" xfId="35270"/>
    <cellStyle name="Notas 4 3 2 8 2" xfId="35271"/>
    <cellStyle name="Notas 4 3 2 9" xfId="35272"/>
    <cellStyle name="Notas 4 3 2 9 2" xfId="35273"/>
    <cellStyle name="Notas 4 3 3" xfId="35274"/>
    <cellStyle name="Notas 4 3 3 10" xfId="35275"/>
    <cellStyle name="Notas 4 3 3 10 2" xfId="35276"/>
    <cellStyle name="Notas 4 3 3 11" xfId="35277"/>
    <cellStyle name="Notas 4 3 3 11 2" xfId="35278"/>
    <cellStyle name="Notas 4 3 3 12" xfId="35279"/>
    <cellStyle name="Notas 4 3 3 12 2" xfId="35280"/>
    <cellStyle name="Notas 4 3 3 13" xfId="35281"/>
    <cellStyle name="Notas 4 3 3 2" xfId="35282"/>
    <cellStyle name="Notas 4 3 3 2 10" xfId="35283"/>
    <cellStyle name="Notas 4 3 3 2 10 2" xfId="35284"/>
    <cellStyle name="Notas 4 3 3 2 11" xfId="35285"/>
    <cellStyle name="Notas 4 3 3 2 2" xfId="35286"/>
    <cellStyle name="Notas 4 3 3 2 2 2" xfId="35287"/>
    <cellStyle name="Notas 4 3 3 2 3" xfId="35288"/>
    <cellStyle name="Notas 4 3 3 2 3 2" xfId="35289"/>
    <cellStyle name="Notas 4 3 3 2 4" xfId="35290"/>
    <cellStyle name="Notas 4 3 3 2 4 2" xfId="35291"/>
    <cellStyle name="Notas 4 3 3 2 5" xfId="35292"/>
    <cellStyle name="Notas 4 3 3 2 5 2" xfId="35293"/>
    <cellStyle name="Notas 4 3 3 2 6" xfId="35294"/>
    <cellStyle name="Notas 4 3 3 2 6 2" xfId="35295"/>
    <cellStyle name="Notas 4 3 3 2 7" xfId="35296"/>
    <cellStyle name="Notas 4 3 3 2 7 2" xfId="35297"/>
    <cellStyle name="Notas 4 3 3 2 8" xfId="35298"/>
    <cellStyle name="Notas 4 3 3 2 8 2" xfId="35299"/>
    <cellStyle name="Notas 4 3 3 2 9" xfId="35300"/>
    <cellStyle name="Notas 4 3 3 2 9 2" xfId="35301"/>
    <cellStyle name="Notas 4 3 3 3" xfId="35302"/>
    <cellStyle name="Notas 4 3 3 3 10" xfId="35303"/>
    <cellStyle name="Notas 4 3 3 3 10 2" xfId="35304"/>
    <cellStyle name="Notas 4 3 3 3 11" xfId="35305"/>
    <cellStyle name="Notas 4 3 3 3 2" xfId="35306"/>
    <cellStyle name="Notas 4 3 3 3 2 2" xfId="35307"/>
    <cellStyle name="Notas 4 3 3 3 3" xfId="35308"/>
    <cellStyle name="Notas 4 3 3 3 3 2" xfId="35309"/>
    <cellStyle name="Notas 4 3 3 3 4" xfId="35310"/>
    <cellStyle name="Notas 4 3 3 3 4 2" xfId="35311"/>
    <cellStyle name="Notas 4 3 3 3 5" xfId="35312"/>
    <cellStyle name="Notas 4 3 3 3 5 2" xfId="35313"/>
    <cellStyle name="Notas 4 3 3 3 6" xfId="35314"/>
    <cellStyle name="Notas 4 3 3 3 6 2" xfId="35315"/>
    <cellStyle name="Notas 4 3 3 3 7" xfId="35316"/>
    <cellStyle name="Notas 4 3 3 3 7 2" xfId="35317"/>
    <cellStyle name="Notas 4 3 3 3 8" xfId="35318"/>
    <cellStyle name="Notas 4 3 3 3 8 2" xfId="35319"/>
    <cellStyle name="Notas 4 3 3 3 9" xfId="35320"/>
    <cellStyle name="Notas 4 3 3 3 9 2" xfId="35321"/>
    <cellStyle name="Notas 4 3 3 4" xfId="35322"/>
    <cellStyle name="Notas 4 3 3 4 2" xfId="35323"/>
    <cellStyle name="Notas 4 3 3 5" xfId="35324"/>
    <cellStyle name="Notas 4 3 3 5 2" xfId="35325"/>
    <cellStyle name="Notas 4 3 3 6" xfId="35326"/>
    <cellStyle name="Notas 4 3 3 6 2" xfId="35327"/>
    <cellStyle name="Notas 4 3 3 7" xfId="35328"/>
    <cellStyle name="Notas 4 3 3 7 2" xfId="35329"/>
    <cellStyle name="Notas 4 3 3 8" xfId="35330"/>
    <cellStyle name="Notas 4 3 3 8 2" xfId="35331"/>
    <cellStyle name="Notas 4 3 3 9" xfId="35332"/>
    <cellStyle name="Notas 4 3 3 9 2" xfId="35333"/>
    <cellStyle name="Notas 4 3 4" xfId="35334"/>
    <cellStyle name="Notas 4 3 4 10" xfId="35335"/>
    <cellStyle name="Notas 4 3 4 10 2" xfId="35336"/>
    <cellStyle name="Notas 4 3 4 11" xfId="35337"/>
    <cellStyle name="Notas 4 3 4 2" xfId="35338"/>
    <cellStyle name="Notas 4 3 4 2 2" xfId="35339"/>
    <cellStyle name="Notas 4 3 4 3" xfId="35340"/>
    <cellStyle name="Notas 4 3 4 3 2" xfId="35341"/>
    <cellStyle name="Notas 4 3 4 4" xfId="35342"/>
    <cellStyle name="Notas 4 3 4 4 2" xfId="35343"/>
    <cellStyle name="Notas 4 3 4 5" xfId="35344"/>
    <cellStyle name="Notas 4 3 4 5 2" xfId="35345"/>
    <cellStyle name="Notas 4 3 4 6" xfId="35346"/>
    <cellStyle name="Notas 4 3 4 6 2" xfId="35347"/>
    <cellStyle name="Notas 4 3 4 7" xfId="35348"/>
    <cellStyle name="Notas 4 3 4 7 2" xfId="35349"/>
    <cellStyle name="Notas 4 3 4 8" xfId="35350"/>
    <cellStyle name="Notas 4 3 4 8 2" xfId="35351"/>
    <cellStyle name="Notas 4 3 4 9" xfId="35352"/>
    <cellStyle name="Notas 4 3 4 9 2" xfId="35353"/>
    <cellStyle name="Notas 4 3 5" xfId="35354"/>
    <cellStyle name="Notas 4 3 5 10" xfId="35355"/>
    <cellStyle name="Notas 4 3 5 10 2" xfId="35356"/>
    <cellStyle name="Notas 4 3 5 11" xfId="35357"/>
    <cellStyle name="Notas 4 3 5 2" xfId="35358"/>
    <cellStyle name="Notas 4 3 5 2 2" xfId="35359"/>
    <cellStyle name="Notas 4 3 5 3" xfId="35360"/>
    <cellStyle name="Notas 4 3 5 3 2" xfId="35361"/>
    <cellStyle name="Notas 4 3 5 4" xfId="35362"/>
    <cellStyle name="Notas 4 3 5 4 2" xfId="35363"/>
    <cellStyle name="Notas 4 3 5 5" xfId="35364"/>
    <cellStyle name="Notas 4 3 5 5 2" xfId="35365"/>
    <cellStyle name="Notas 4 3 5 6" xfId="35366"/>
    <cellStyle name="Notas 4 3 5 6 2" xfId="35367"/>
    <cellStyle name="Notas 4 3 5 7" xfId="35368"/>
    <cellStyle name="Notas 4 3 5 7 2" xfId="35369"/>
    <cellStyle name="Notas 4 3 5 8" xfId="35370"/>
    <cellStyle name="Notas 4 3 5 8 2" xfId="35371"/>
    <cellStyle name="Notas 4 3 5 9" xfId="35372"/>
    <cellStyle name="Notas 4 3 5 9 2" xfId="35373"/>
    <cellStyle name="Notas 4 3 6" xfId="35374"/>
    <cellStyle name="Notas 4 3 6 2" xfId="35375"/>
    <cellStyle name="Notas 4 3 7" xfId="35376"/>
    <cellStyle name="Notas 4 3 7 2" xfId="35377"/>
    <cellStyle name="Notas 4 3 8" xfId="35378"/>
    <cellStyle name="Notas 4 3 8 2" xfId="35379"/>
    <cellStyle name="Notas 4 3 9" xfId="35380"/>
    <cellStyle name="Notas 4 3 9 2" xfId="35381"/>
    <cellStyle name="Notas 4 4" xfId="35382"/>
    <cellStyle name="Notas 4 4 10" xfId="35383"/>
    <cellStyle name="Notas 4 4 10 2" xfId="35384"/>
    <cellStyle name="Notas 4 4 11" xfId="35385"/>
    <cellStyle name="Notas 4 4 11 2" xfId="35386"/>
    <cellStyle name="Notas 4 4 12" xfId="35387"/>
    <cellStyle name="Notas 4 4 12 2" xfId="35388"/>
    <cellStyle name="Notas 4 4 13" xfId="35389"/>
    <cellStyle name="Notas 4 4 13 2" xfId="35390"/>
    <cellStyle name="Notas 4 4 14" xfId="35391"/>
    <cellStyle name="Notas 4 4 14 2" xfId="35392"/>
    <cellStyle name="Notas 4 4 15" xfId="35393"/>
    <cellStyle name="Notas 4 4 2" xfId="35394"/>
    <cellStyle name="Notas 4 4 2 10" xfId="35395"/>
    <cellStyle name="Notas 4 4 2 10 2" xfId="35396"/>
    <cellStyle name="Notas 4 4 2 11" xfId="35397"/>
    <cellStyle name="Notas 4 4 2 11 2" xfId="35398"/>
    <cellStyle name="Notas 4 4 2 12" xfId="35399"/>
    <cellStyle name="Notas 4 4 2 12 2" xfId="35400"/>
    <cellStyle name="Notas 4 4 2 13" xfId="35401"/>
    <cellStyle name="Notas 4 4 2 2" xfId="35402"/>
    <cellStyle name="Notas 4 4 2 2 10" xfId="35403"/>
    <cellStyle name="Notas 4 4 2 2 10 2" xfId="35404"/>
    <cellStyle name="Notas 4 4 2 2 11" xfId="35405"/>
    <cellStyle name="Notas 4 4 2 2 2" xfId="35406"/>
    <cellStyle name="Notas 4 4 2 2 2 2" xfId="35407"/>
    <cellStyle name="Notas 4 4 2 2 3" xfId="35408"/>
    <cellStyle name="Notas 4 4 2 2 3 2" xfId="35409"/>
    <cellStyle name="Notas 4 4 2 2 4" xfId="35410"/>
    <cellStyle name="Notas 4 4 2 2 4 2" xfId="35411"/>
    <cellStyle name="Notas 4 4 2 2 5" xfId="35412"/>
    <cellStyle name="Notas 4 4 2 2 5 2" xfId="35413"/>
    <cellStyle name="Notas 4 4 2 2 6" xfId="35414"/>
    <cellStyle name="Notas 4 4 2 2 6 2" xfId="35415"/>
    <cellStyle name="Notas 4 4 2 2 7" xfId="35416"/>
    <cellStyle name="Notas 4 4 2 2 7 2" xfId="35417"/>
    <cellStyle name="Notas 4 4 2 2 8" xfId="35418"/>
    <cellStyle name="Notas 4 4 2 2 8 2" xfId="35419"/>
    <cellStyle name="Notas 4 4 2 2 9" xfId="35420"/>
    <cellStyle name="Notas 4 4 2 2 9 2" xfId="35421"/>
    <cellStyle name="Notas 4 4 2 3" xfId="35422"/>
    <cellStyle name="Notas 4 4 2 3 10" xfId="35423"/>
    <cellStyle name="Notas 4 4 2 3 10 2" xfId="35424"/>
    <cellStyle name="Notas 4 4 2 3 11" xfId="35425"/>
    <cellStyle name="Notas 4 4 2 3 2" xfId="35426"/>
    <cellStyle name="Notas 4 4 2 3 2 2" xfId="35427"/>
    <cellStyle name="Notas 4 4 2 3 3" xfId="35428"/>
    <cellStyle name="Notas 4 4 2 3 3 2" xfId="35429"/>
    <cellStyle name="Notas 4 4 2 3 4" xfId="35430"/>
    <cellStyle name="Notas 4 4 2 3 4 2" xfId="35431"/>
    <cellStyle name="Notas 4 4 2 3 5" xfId="35432"/>
    <cellStyle name="Notas 4 4 2 3 5 2" xfId="35433"/>
    <cellStyle name="Notas 4 4 2 3 6" xfId="35434"/>
    <cellStyle name="Notas 4 4 2 3 6 2" xfId="35435"/>
    <cellStyle name="Notas 4 4 2 3 7" xfId="35436"/>
    <cellStyle name="Notas 4 4 2 3 7 2" xfId="35437"/>
    <cellStyle name="Notas 4 4 2 3 8" xfId="35438"/>
    <cellStyle name="Notas 4 4 2 3 8 2" xfId="35439"/>
    <cellStyle name="Notas 4 4 2 3 9" xfId="35440"/>
    <cellStyle name="Notas 4 4 2 3 9 2" xfId="35441"/>
    <cellStyle name="Notas 4 4 2 4" xfId="35442"/>
    <cellStyle name="Notas 4 4 2 4 2" xfId="35443"/>
    <cellStyle name="Notas 4 4 2 5" xfId="35444"/>
    <cellStyle name="Notas 4 4 2 5 2" xfId="35445"/>
    <cellStyle name="Notas 4 4 2 6" xfId="35446"/>
    <cellStyle name="Notas 4 4 2 6 2" xfId="35447"/>
    <cellStyle name="Notas 4 4 2 7" xfId="35448"/>
    <cellStyle name="Notas 4 4 2 7 2" xfId="35449"/>
    <cellStyle name="Notas 4 4 2 8" xfId="35450"/>
    <cellStyle name="Notas 4 4 2 8 2" xfId="35451"/>
    <cellStyle name="Notas 4 4 2 9" xfId="35452"/>
    <cellStyle name="Notas 4 4 2 9 2" xfId="35453"/>
    <cellStyle name="Notas 4 4 3" xfId="35454"/>
    <cellStyle name="Notas 4 4 3 10" xfId="35455"/>
    <cellStyle name="Notas 4 4 3 10 2" xfId="35456"/>
    <cellStyle name="Notas 4 4 3 11" xfId="35457"/>
    <cellStyle name="Notas 4 4 3 11 2" xfId="35458"/>
    <cellStyle name="Notas 4 4 3 12" xfId="35459"/>
    <cellStyle name="Notas 4 4 3 12 2" xfId="35460"/>
    <cellStyle name="Notas 4 4 3 13" xfId="35461"/>
    <cellStyle name="Notas 4 4 3 2" xfId="35462"/>
    <cellStyle name="Notas 4 4 3 2 10" xfId="35463"/>
    <cellStyle name="Notas 4 4 3 2 10 2" xfId="35464"/>
    <cellStyle name="Notas 4 4 3 2 11" xfId="35465"/>
    <cellStyle name="Notas 4 4 3 2 2" xfId="35466"/>
    <cellStyle name="Notas 4 4 3 2 2 2" xfId="35467"/>
    <cellStyle name="Notas 4 4 3 2 3" xfId="35468"/>
    <cellStyle name="Notas 4 4 3 2 3 2" xfId="35469"/>
    <cellStyle name="Notas 4 4 3 2 4" xfId="35470"/>
    <cellStyle name="Notas 4 4 3 2 4 2" xfId="35471"/>
    <cellStyle name="Notas 4 4 3 2 5" xfId="35472"/>
    <cellStyle name="Notas 4 4 3 2 5 2" xfId="35473"/>
    <cellStyle name="Notas 4 4 3 2 6" xfId="35474"/>
    <cellStyle name="Notas 4 4 3 2 6 2" xfId="35475"/>
    <cellStyle name="Notas 4 4 3 2 7" xfId="35476"/>
    <cellStyle name="Notas 4 4 3 2 7 2" xfId="35477"/>
    <cellStyle name="Notas 4 4 3 2 8" xfId="35478"/>
    <cellStyle name="Notas 4 4 3 2 8 2" xfId="35479"/>
    <cellStyle name="Notas 4 4 3 2 9" xfId="35480"/>
    <cellStyle name="Notas 4 4 3 2 9 2" xfId="35481"/>
    <cellStyle name="Notas 4 4 3 3" xfId="35482"/>
    <cellStyle name="Notas 4 4 3 3 10" xfId="35483"/>
    <cellStyle name="Notas 4 4 3 3 10 2" xfId="35484"/>
    <cellStyle name="Notas 4 4 3 3 11" xfId="35485"/>
    <cellStyle name="Notas 4 4 3 3 2" xfId="35486"/>
    <cellStyle name="Notas 4 4 3 3 2 2" xfId="35487"/>
    <cellStyle name="Notas 4 4 3 3 3" xfId="35488"/>
    <cellStyle name="Notas 4 4 3 3 3 2" xfId="35489"/>
    <cellStyle name="Notas 4 4 3 3 4" xfId="35490"/>
    <cellStyle name="Notas 4 4 3 3 4 2" xfId="35491"/>
    <cellStyle name="Notas 4 4 3 3 5" xfId="35492"/>
    <cellStyle name="Notas 4 4 3 3 5 2" xfId="35493"/>
    <cellStyle name="Notas 4 4 3 3 6" xfId="35494"/>
    <cellStyle name="Notas 4 4 3 3 6 2" xfId="35495"/>
    <cellStyle name="Notas 4 4 3 3 7" xfId="35496"/>
    <cellStyle name="Notas 4 4 3 3 7 2" xfId="35497"/>
    <cellStyle name="Notas 4 4 3 3 8" xfId="35498"/>
    <cellStyle name="Notas 4 4 3 3 8 2" xfId="35499"/>
    <cellStyle name="Notas 4 4 3 3 9" xfId="35500"/>
    <cellStyle name="Notas 4 4 3 3 9 2" xfId="35501"/>
    <cellStyle name="Notas 4 4 3 4" xfId="35502"/>
    <cellStyle name="Notas 4 4 3 4 2" xfId="35503"/>
    <cellStyle name="Notas 4 4 3 5" xfId="35504"/>
    <cellStyle name="Notas 4 4 3 5 2" xfId="35505"/>
    <cellStyle name="Notas 4 4 3 6" xfId="35506"/>
    <cellStyle name="Notas 4 4 3 6 2" xfId="35507"/>
    <cellStyle name="Notas 4 4 3 7" xfId="35508"/>
    <cellStyle name="Notas 4 4 3 7 2" xfId="35509"/>
    <cellStyle name="Notas 4 4 3 8" xfId="35510"/>
    <cellStyle name="Notas 4 4 3 8 2" xfId="35511"/>
    <cellStyle name="Notas 4 4 3 9" xfId="35512"/>
    <cellStyle name="Notas 4 4 3 9 2" xfId="35513"/>
    <cellStyle name="Notas 4 4 4" xfId="35514"/>
    <cellStyle name="Notas 4 4 4 10" xfId="35515"/>
    <cellStyle name="Notas 4 4 4 10 2" xfId="35516"/>
    <cellStyle name="Notas 4 4 4 11" xfId="35517"/>
    <cellStyle name="Notas 4 4 4 2" xfId="35518"/>
    <cellStyle name="Notas 4 4 4 2 2" xfId="35519"/>
    <cellStyle name="Notas 4 4 4 3" xfId="35520"/>
    <cellStyle name="Notas 4 4 4 3 2" xfId="35521"/>
    <cellStyle name="Notas 4 4 4 4" xfId="35522"/>
    <cellStyle name="Notas 4 4 4 4 2" xfId="35523"/>
    <cellStyle name="Notas 4 4 4 5" xfId="35524"/>
    <cellStyle name="Notas 4 4 4 5 2" xfId="35525"/>
    <cellStyle name="Notas 4 4 4 6" xfId="35526"/>
    <cellStyle name="Notas 4 4 4 6 2" xfId="35527"/>
    <cellStyle name="Notas 4 4 4 7" xfId="35528"/>
    <cellStyle name="Notas 4 4 4 7 2" xfId="35529"/>
    <cellStyle name="Notas 4 4 4 8" xfId="35530"/>
    <cellStyle name="Notas 4 4 4 8 2" xfId="35531"/>
    <cellStyle name="Notas 4 4 4 9" xfId="35532"/>
    <cellStyle name="Notas 4 4 4 9 2" xfId="35533"/>
    <cellStyle name="Notas 4 4 5" xfId="35534"/>
    <cellStyle name="Notas 4 4 5 10" xfId="35535"/>
    <cellStyle name="Notas 4 4 5 10 2" xfId="35536"/>
    <cellStyle name="Notas 4 4 5 11" xfId="35537"/>
    <cellStyle name="Notas 4 4 5 2" xfId="35538"/>
    <cellStyle name="Notas 4 4 5 2 2" xfId="35539"/>
    <cellStyle name="Notas 4 4 5 3" xfId="35540"/>
    <cellStyle name="Notas 4 4 5 3 2" xfId="35541"/>
    <cellStyle name="Notas 4 4 5 4" xfId="35542"/>
    <cellStyle name="Notas 4 4 5 4 2" xfId="35543"/>
    <cellStyle name="Notas 4 4 5 5" xfId="35544"/>
    <cellStyle name="Notas 4 4 5 5 2" xfId="35545"/>
    <cellStyle name="Notas 4 4 5 6" xfId="35546"/>
    <cellStyle name="Notas 4 4 5 6 2" xfId="35547"/>
    <cellStyle name="Notas 4 4 5 7" xfId="35548"/>
    <cellStyle name="Notas 4 4 5 7 2" xfId="35549"/>
    <cellStyle name="Notas 4 4 5 8" xfId="35550"/>
    <cellStyle name="Notas 4 4 5 8 2" xfId="35551"/>
    <cellStyle name="Notas 4 4 5 9" xfId="35552"/>
    <cellStyle name="Notas 4 4 5 9 2" xfId="35553"/>
    <cellStyle name="Notas 4 4 6" xfId="35554"/>
    <cellStyle name="Notas 4 4 6 2" xfId="35555"/>
    <cellStyle name="Notas 4 4 7" xfId="35556"/>
    <cellStyle name="Notas 4 4 7 2" xfId="35557"/>
    <cellStyle name="Notas 4 4 8" xfId="35558"/>
    <cellStyle name="Notas 4 4 8 2" xfId="35559"/>
    <cellStyle name="Notas 4 4 9" xfId="35560"/>
    <cellStyle name="Notas 4 4 9 2" xfId="35561"/>
    <cellStyle name="Notas 4 5" xfId="35562"/>
    <cellStyle name="Notas 4 5 10" xfId="35563"/>
    <cellStyle name="Notas 4 5 10 2" xfId="35564"/>
    <cellStyle name="Notas 4 5 11" xfId="35565"/>
    <cellStyle name="Notas 4 5 11 2" xfId="35566"/>
    <cellStyle name="Notas 4 5 12" xfId="35567"/>
    <cellStyle name="Notas 4 5 12 2" xfId="35568"/>
    <cellStyle name="Notas 4 5 13" xfId="35569"/>
    <cellStyle name="Notas 4 5 2" xfId="35570"/>
    <cellStyle name="Notas 4 5 2 10" xfId="35571"/>
    <cellStyle name="Notas 4 5 2 10 2" xfId="35572"/>
    <cellStyle name="Notas 4 5 2 11" xfId="35573"/>
    <cellStyle name="Notas 4 5 2 2" xfId="35574"/>
    <cellStyle name="Notas 4 5 2 2 2" xfId="35575"/>
    <cellStyle name="Notas 4 5 2 3" xfId="35576"/>
    <cellStyle name="Notas 4 5 2 3 2" xfId="35577"/>
    <cellStyle name="Notas 4 5 2 4" xfId="35578"/>
    <cellStyle name="Notas 4 5 2 4 2" xfId="35579"/>
    <cellStyle name="Notas 4 5 2 5" xfId="35580"/>
    <cellStyle name="Notas 4 5 2 5 2" xfId="35581"/>
    <cellStyle name="Notas 4 5 2 6" xfId="35582"/>
    <cellStyle name="Notas 4 5 2 6 2" xfId="35583"/>
    <cellStyle name="Notas 4 5 2 7" xfId="35584"/>
    <cellStyle name="Notas 4 5 2 7 2" xfId="35585"/>
    <cellStyle name="Notas 4 5 2 8" xfId="35586"/>
    <cellStyle name="Notas 4 5 2 8 2" xfId="35587"/>
    <cellStyle name="Notas 4 5 2 9" xfId="35588"/>
    <cellStyle name="Notas 4 5 2 9 2" xfId="35589"/>
    <cellStyle name="Notas 4 5 3" xfId="35590"/>
    <cellStyle name="Notas 4 5 3 10" xfId="35591"/>
    <cellStyle name="Notas 4 5 3 10 2" xfId="35592"/>
    <cellStyle name="Notas 4 5 3 11" xfId="35593"/>
    <cellStyle name="Notas 4 5 3 2" xfId="35594"/>
    <cellStyle name="Notas 4 5 3 2 2" xfId="35595"/>
    <cellStyle name="Notas 4 5 3 3" xfId="35596"/>
    <cellStyle name="Notas 4 5 3 3 2" xfId="35597"/>
    <cellStyle name="Notas 4 5 3 4" xfId="35598"/>
    <cellStyle name="Notas 4 5 3 4 2" xfId="35599"/>
    <cellStyle name="Notas 4 5 3 5" xfId="35600"/>
    <cellStyle name="Notas 4 5 3 5 2" xfId="35601"/>
    <cellStyle name="Notas 4 5 3 6" xfId="35602"/>
    <cellStyle name="Notas 4 5 3 6 2" xfId="35603"/>
    <cellStyle name="Notas 4 5 3 7" xfId="35604"/>
    <cellStyle name="Notas 4 5 3 7 2" xfId="35605"/>
    <cellStyle name="Notas 4 5 3 8" xfId="35606"/>
    <cellStyle name="Notas 4 5 3 8 2" xfId="35607"/>
    <cellStyle name="Notas 4 5 3 9" xfId="35608"/>
    <cellStyle name="Notas 4 5 3 9 2" xfId="35609"/>
    <cellStyle name="Notas 4 5 4" xfId="35610"/>
    <cellStyle name="Notas 4 5 4 2" xfId="35611"/>
    <cellStyle name="Notas 4 5 5" xfId="35612"/>
    <cellStyle name="Notas 4 5 5 2" xfId="35613"/>
    <cellStyle name="Notas 4 5 6" xfId="35614"/>
    <cellStyle name="Notas 4 5 6 2" xfId="35615"/>
    <cellStyle name="Notas 4 5 7" xfId="35616"/>
    <cellStyle name="Notas 4 5 7 2" xfId="35617"/>
    <cellStyle name="Notas 4 5 8" xfId="35618"/>
    <cellStyle name="Notas 4 5 8 2" xfId="35619"/>
    <cellStyle name="Notas 4 5 9" xfId="35620"/>
    <cellStyle name="Notas 4 5 9 2" xfId="35621"/>
    <cellStyle name="Notas 4 6" xfId="35622"/>
    <cellStyle name="Notas 4 6 10" xfId="35623"/>
    <cellStyle name="Notas 4 6 10 2" xfId="35624"/>
    <cellStyle name="Notas 4 6 11" xfId="35625"/>
    <cellStyle name="Notas 4 6 11 2" xfId="35626"/>
    <cellStyle name="Notas 4 6 12" xfId="35627"/>
    <cellStyle name="Notas 4 6 12 2" xfId="35628"/>
    <cellStyle name="Notas 4 6 13" xfId="35629"/>
    <cellStyle name="Notas 4 6 2" xfId="35630"/>
    <cellStyle name="Notas 4 6 2 10" xfId="35631"/>
    <cellStyle name="Notas 4 6 2 10 2" xfId="35632"/>
    <cellStyle name="Notas 4 6 2 11" xfId="35633"/>
    <cellStyle name="Notas 4 6 2 2" xfId="35634"/>
    <cellStyle name="Notas 4 6 2 2 2" xfId="35635"/>
    <cellStyle name="Notas 4 6 2 3" xfId="35636"/>
    <cellStyle name="Notas 4 6 2 3 2" xfId="35637"/>
    <cellStyle name="Notas 4 6 2 4" xfId="35638"/>
    <cellStyle name="Notas 4 6 2 4 2" xfId="35639"/>
    <cellStyle name="Notas 4 6 2 5" xfId="35640"/>
    <cellStyle name="Notas 4 6 2 5 2" xfId="35641"/>
    <cellStyle name="Notas 4 6 2 6" xfId="35642"/>
    <cellStyle name="Notas 4 6 2 6 2" xfId="35643"/>
    <cellStyle name="Notas 4 6 2 7" xfId="35644"/>
    <cellStyle name="Notas 4 6 2 7 2" xfId="35645"/>
    <cellStyle name="Notas 4 6 2 8" xfId="35646"/>
    <cellStyle name="Notas 4 6 2 8 2" xfId="35647"/>
    <cellStyle name="Notas 4 6 2 9" xfId="35648"/>
    <cellStyle name="Notas 4 6 2 9 2" xfId="35649"/>
    <cellStyle name="Notas 4 6 3" xfId="35650"/>
    <cellStyle name="Notas 4 6 3 10" xfId="35651"/>
    <cellStyle name="Notas 4 6 3 10 2" xfId="35652"/>
    <cellStyle name="Notas 4 6 3 11" xfId="35653"/>
    <cellStyle name="Notas 4 6 3 2" xfId="35654"/>
    <cellStyle name="Notas 4 6 3 2 2" xfId="35655"/>
    <cellStyle name="Notas 4 6 3 3" xfId="35656"/>
    <cellStyle name="Notas 4 6 3 3 2" xfId="35657"/>
    <cellStyle name="Notas 4 6 3 4" xfId="35658"/>
    <cellStyle name="Notas 4 6 3 4 2" xfId="35659"/>
    <cellStyle name="Notas 4 6 3 5" xfId="35660"/>
    <cellStyle name="Notas 4 6 3 5 2" xfId="35661"/>
    <cellStyle name="Notas 4 6 3 6" xfId="35662"/>
    <cellStyle name="Notas 4 6 3 6 2" xfId="35663"/>
    <cellStyle name="Notas 4 6 3 7" xfId="35664"/>
    <cellStyle name="Notas 4 6 3 7 2" xfId="35665"/>
    <cellStyle name="Notas 4 6 3 8" xfId="35666"/>
    <cellStyle name="Notas 4 6 3 8 2" xfId="35667"/>
    <cellStyle name="Notas 4 6 3 9" xfId="35668"/>
    <cellStyle name="Notas 4 6 3 9 2" xfId="35669"/>
    <cellStyle name="Notas 4 6 4" xfId="35670"/>
    <cellStyle name="Notas 4 6 4 2" xfId="35671"/>
    <cellStyle name="Notas 4 6 5" xfId="35672"/>
    <cellStyle name="Notas 4 6 5 2" xfId="35673"/>
    <cellStyle name="Notas 4 6 6" xfId="35674"/>
    <cellStyle name="Notas 4 6 6 2" xfId="35675"/>
    <cellStyle name="Notas 4 6 7" xfId="35676"/>
    <cellStyle name="Notas 4 6 7 2" xfId="35677"/>
    <cellStyle name="Notas 4 6 8" xfId="35678"/>
    <cellStyle name="Notas 4 6 8 2" xfId="35679"/>
    <cellStyle name="Notas 4 6 9" xfId="35680"/>
    <cellStyle name="Notas 4 6 9 2" xfId="35681"/>
    <cellStyle name="Notas 4 7" xfId="35682"/>
    <cellStyle name="Notas 4 7 10" xfId="35683"/>
    <cellStyle name="Notas 4 7 10 2" xfId="35684"/>
    <cellStyle name="Notas 4 7 11" xfId="35685"/>
    <cellStyle name="Notas 4 7 2" xfId="35686"/>
    <cellStyle name="Notas 4 7 2 2" xfId="35687"/>
    <cellStyle name="Notas 4 7 3" xfId="35688"/>
    <cellStyle name="Notas 4 7 3 2" xfId="35689"/>
    <cellStyle name="Notas 4 7 4" xfId="35690"/>
    <cellStyle name="Notas 4 7 4 2" xfId="35691"/>
    <cellStyle name="Notas 4 7 5" xfId="35692"/>
    <cellStyle name="Notas 4 7 5 2" xfId="35693"/>
    <cellStyle name="Notas 4 7 6" xfId="35694"/>
    <cellStyle name="Notas 4 7 6 2" xfId="35695"/>
    <cellStyle name="Notas 4 7 7" xfId="35696"/>
    <cellStyle name="Notas 4 7 7 2" xfId="35697"/>
    <cellStyle name="Notas 4 7 8" xfId="35698"/>
    <cellStyle name="Notas 4 7 8 2" xfId="35699"/>
    <cellStyle name="Notas 4 7 9" xfId="35700"/>
    <cellStyle name="Notas 4 7 9 2" xfId="35701"/>
    <cellStyle name="Notas 4 8" xfId="35702"/>
    <cellStyle name="Notas 4 8 10" xfId="35703"/>
    <cellStyle name="Notas 4 8 10 2" xfId="35704"/>
    <cellStyle name="Notas 4 8 11" xfId="35705"/>
    <cellStyle name="Notas 4 8 2" xfId="35706"/>
    <cellStyle name="Notas 4 8 2 2" xfId="35707"/>
    <cellStyle name="Notas 4 8 3" xfId="35708"/>
    <cellStyle name="Notas 4 8 3 2" xfId="35709"/>
    <cellStyle name="Notas 4 8 4" xfId="35710"/>
    <cellStyle name="Notas 4 8 4 2" xfId="35711"/>
    <cellStyle name="Notas 4 8 5" xfId="35712"/>
    <cellStyle name="Notas 4 8 5 2" xfId="35713"/>
    <cellStyle name="Notas 4 8 6" xfId="35714"/>
    <cellStyle name="Notas 4 8 6 2" xfId="35715"/>
    <cellStyle name="Notas 4 8 7" xfId="35716"/>
    <cellStyle name="Notas 4 8 7 2" xfId="35717"/>
    <cellStyle name="Notas 4 8 8" xfId="35718"/>
    <cellStyle name="Notas 4 8 8 2" xfId="35719"/>
    <cellStyle name="Notas 4 8 9" xfId="35720"/>
    <cellStyle name="Notas 4 8 9 2" xfId="35721"/>
    <cellStyle name="Notas 4 9" xfId="35722"/>
    <cellStyle name="Notas 4 9 2" xfId="35723"/>
    <cellStyle name="Notas 5" xfId="35724"/>
    <cellStyle name="Notas 5 10" xfId="35725"/>
    <cellStyle name="Notas 5 10 2" xfId="35726"/>
    <cellStyle name="Notas 5 11" xfId="35727"/>
    <cellStyle name="Notas 5 11 2" xfId="35728"/>
    <cellStyle name="Notas 5 12" xfId="35729"/>
    <cellStyle name="Notas 5 12 2" xfId="35730"/>
    <cellStyle name="Notas 5 13" xfId="35731"/>
    <cellStyle name="Notas 5 2" xfId="35732"/>
    <cellStyle name="Notas 5 2 10" xfId="35733"/>
    <cellStyle name="Notas 5 2 10 2" xfId="35734"/>
    <cellStyle name="Notas 5 2 11" xfId="35735"/>
    <cellStyle name="Notas 5 2 2" xfId="35736"/>
    <cellStyle name="Notas 5 2 2 2" xfId="35737"/>
    <cellStyle name="Notas 5 2 3" xfId="35738"/>
    <cellStyle name="Notas 5 2 3 2" xfId="35739"/>
    <cellStyle name="Notas 5 2 4" xfId="35740"/>
    <cellStyle name="Notas 5 2 4 2" xfId="35741"/>
    <cellStyle name="Notas 5 2 5" xfId="35742"/>
    <cellStyle name="Notas 5 2 5 2" xfId="35743"/>
    <cellStyle name="Notas 5 2 6" xfId="35744"/>
    <cellStyle name="Notas 5 2 6 2" xfId="35745"/>
    <cellStyle name="Notas 5 2 7" xfId="35746"/>
    <cellStyle name="Notas 5 2 7 2" xfId="35747"/>
    <cellStyle name="Notas 5 2 8" xfId="35748"/>
    <cellStyle name="Notas 5 2 8 2" xfId="35749"/>
    <cellStyle name="Notas 5 2 9" xfId="35750"/>
    <cellStyle name="Notas 5 2 9 2" xfId="35751"/>
    <cellStyle name="Notas 5 3" xfId="35752"/>
    <cellStyle name="Notas 5 3 10" xfId="35753"/>
    <cellStyle name="Notas 5 3 10 2" xfId="35754"/>
    <cellStyle name="Notas 5 3 11" xfId="35755"/>
    <cellStyle name="Notas 5 3 2" xfId="35756"/>
    <cellStyle name="Notas 5 3 2 2" xfId="35757"/>
    <cellStyle name="Notas 5 3 3" xfId="35758"/>
    <cellStyle name="Notas 5 3 3 2" xfId="35759"/>
    <cellStyle name="Notas 5 3 4" xfId="35760"/>
    <cellStyle name="Notas 5 3 4 2" xfId="35761"/>
    <cellStyle name="Notas 5 3 5" xfId="35762"/>
    <cellStyle name="Notas 5 3 5 2" xfId="35763"/>
    <cellStyle name="Notas 5 3 6" xfId="35764"/>
    <cellStyle name="Notas 5 3 6 2" xfId="35765"/>
    <cellStyle name="Notas 5 3 7" xfId="35766"/>
    <cellStyle name="Notas 5 3 7 2" xfId="35767"/>
    <cellStyle name="Notas 5 3 8" xfId="35768"/>
    <cellStyle name="Notas 5 3 8 2" xfId="35769"/>
    <cellStyle name="Notas 5 3 9" xfId="35770"/>
    <cellStyle name="Notas 5 3 9 2" xfId="35771"/>
    <cellStyle name="Notas 5 4" xfId="35772"/>
    <cellStyle name="Notas 5 4 2" xfId="35773"/>
    <cellStyle name="Notas 5 5" xfId="35774"/>
    <cellStyle name="Notas 5 5 2" xfId="35775"/>
    <cellStyle name="Notas 5 6" xfId="35776"/>
    <cellStyle name="Notas 5 6 2" xfId="35777"/>
    <cellStyle name="Notas 5 7" xfId="35778"/>
    <cellStyle name="Notas 5 7 2" xfId="35779"/>
    <cellStyle name="Notas 5 8" xfId="35780"/>
    <cellStyle name="Notas 5 8 2" xfId="35781"/>
    <cellStyle name="Notas 5 9" xfId="35782"/>
    <cellStyle name="Notas 5 9 2" xfId="35783"/>
    <cellStyle name="Notas 6" xfId="35784"/>
    <cellStyle name="Notas 6 10" xfId="35785"/>
    <cellStyle name="Notas 6 10 2" xfId="35786"/>
    <cellStyle name="Notas 6 11" xfId="35787"/>
    <cellStyle name="Notas 6 11 2" xfId="35788"/>
    <cellStyle name="Notas 6 12" xfId="35789"/>
    <cellStyle name="Notas 6 12 2" xfId="35790"/>
    <cellStyle name="Notas 6 13" xfId="35791"/>
    <cellStyle name="Notas 6 2" xfId="35792"/>
    <cellStyle name="Notas 6 2 10" xfId="35793"/>
    <cellStyle name="Notas 6 2 10 2" xfId="35794"/>
    <cellStyle name="Notas 6 2 11" xfId="35795"/>
    <cellStyle name="Notas 6 2 2" xfId="35796"/>
    <cellStyle name="Notas 6 2 2 2" xfId="35797"/>
    <cellStyle name="Notas 6 2 3" xfId="35798"/>
    <cellStyle name="Notas 6 2 3 2" xfId="35799"/>
    <cellStyle name="Notas 6 2 4" xfId="35800"/>
    <cellStyle name="Notas 6 2 4 2" xfId="35801"/>
    <cellStyle name="Notas 6 2 5" xfId="35802"/>
    <cellStyle name="Notas 6 2 5 2" xfId="35803"/>
    <cellStyle name="Notas 6 2 6" xfId="35804"/>
    <cellStyle name="Notas 6 2 6 2" xfId="35805"/>
    <cellStyle name="Notas 6 2 7" xfId="35806"/>
    <cellStyle name="Notas 6 2 7 2" xfId="35807"/>
    <cellStyle name="Notas 6 2 8" xfId="35808"/>
    <cellStyle name="Notas 6 2 8 2" xfId="35809"/>
    <cellStyle name="Notas 6 2 9" xfId="35810"/>
    <cellStyle name="Notas 6 2 9 2" xfId="35811"/>
    <cellStyle name="Notas 6 3" xfId="35812"/>
    <cellStyle name="Notas 6 3 10" xfId="35813"/>
    <cellStyle name="Notas 6 3 10 2" xfId="35814"/>
    <cellStyle name="Notas 6 3 11" xfId="35815"/>
    <cellStyle name="Notas 6 3 2" xfId="35816"/>
    <cellStyle name="Notas 6 3 2 2" xfId="35817"/>
    <cellStyle name="Notas 6 3 3" xfId="35818"/>
    <cellStyle name="Notas 6 3 3 2" xfId="35819"/>
    <cellStyle name="Notas 6 3 4" xfId="35820"/>
    <cellStyle name="Notas 6 3 4 2" xfId="35821"/>
    <cellStyle name="Notas 6 3 5" xfId="35822"/>
    <cellStyle name="Notas 6 3 5 2" xfId="35823"/>
    <cellStyle name="Notas 6 3 6" xfId="35824"/>
    <cellStyle name="Notas 6 3 6 2" xfId="35825"/>
    <cellStyle name="Notas 6 3 7" xfId="35826"/>
    <cellStyle name="Notas 6 3 7 2" xfId="35827"/>
    <cellStyle name="Notas 6 3 8" xfId="35828"/>
    <cellStyle name="Notas 6 3 8 2" xfId="35829"/>
    <cellStyle name="Notas 6 3 9" xfId="35830"/>
    <cellStyle name="Notas 6 3 9 2" xfId="35831"/>
    <cellStyle name="Notas 6 4" xfId="35832"/>
    <cellStyle name="Notas 6 4 2" xfId="35833"/>
    <cellStyle name="Notas 6 5" xfId="35834"/>
    <cellStyle name="Notas 6 5 2" xfId="35835"/>
    <cellStyle name="Notas 6 6" xfId="35836"/>
    <cellStyle name="Notas 6 6 2" xfId="35837"/>
    <cellStyle name="Notas 6 7" xfId="35838"/>
    <cellStyle name="Notas 6 7 2" xfId="35839"/>
    <cellStyle name="Notas 6 8" xfId="35840"/>
    <cellStyle name="Notas 6 8 2" xfId="35841"/>
    <cellStyle name="Notas 6 9" xfId="35842"/>
    <cellStyle name="Notas 6 9 2" xfId="35843"/>
    <cellStyle name="Notas 7" xfId="35844"/>
    <cellStyle name="Notas 7 10" xfId="35845"/>
    <cellStyle name="Notas 7 10 2" xfId="35846"/>
    <cellStyle name="Notas 7 11" xfId="35847"/>
    <cellStyle name="Notas 7 11 2" xfId="35848"/>
    <cellStyle name="Notas 7 12" xfId="35849"/>
    <cellStyle name="Notas 7 12 2" xfId="35850"/>
    <cellStyle name="Notas 7 13" xfId="35851"/>
    <cellStyle name="Notas 7 2" xfId="35852"/>
    <cellStyle name="Notas 7 2 10" xfId="35853"/>
    <cellStyle name="Notas 7 2 10 2" xfId="35854"/>
    <cellStyle name="Notas 7 2 11" xfId="35855"/>
    <cellStyle name="Notas 7 2 2" xfId="35856"/>
    <cellStyle name="Notas 7 2 2 2" xfId="35857"/>
    <cellStyle name="Notas 7 2 3" xfId="35858"/>
    <cellStyle name="Notas 7 2 3 2" xfId="35859"/>
    <cellStyle name="Notas 7 2 4" xfId="35860"/>
    <cellStyle name="Notas 7 2 4 2" xfId="35861"/>
    <cellStyle name="Notas 7 2 5" xfId="35862"/>
    <cellStyle name="Notas 7 2 5 2" xfId="35863"/>
    <cellStyle name="Notas 7 2 6" xfId="35864"/>
    <cellStyle name="Notas 7 2 6 2" xfId="35865"/>
    <cellStyle name="Notas 7 2 7" xfId="35866"/>
    <cellStyle name="Notas 7 2 7 2" xfId="35867"/>
    <cellStyle name="Notas 7 2 8" xfId="35868"/>
    <cellStyle name="Notas 7 2 8 2" xfId="35869"/>
    <cellStyle name="Notas 7 2 9" xfId="35870"/>
    <cellStyle name="Notas 7 2 9 2" xfId="35871"/>
    <cellStyle name="Notas 7 3" xfId="35872"/>
    <cellStyle name="Notas 7 3 10" xfId="35873"/>
    <cellStyle name="Notas 7 3 10 2" xfId="35874"/>
    <cellStyle name="Notas 7 3 11" xfId="35875"/>
    <cellStyle name="Notas 7 3 2" xfId="35876"/>
    <cellStyle name="Notas 7 3 2 2" xfId="35877"/>
    <cellStyle name="Notas 7 3 3" xfId="35878"/>
    <cellStyle name="Notas 7 3 3 2" xfId="35879"/>
    <cellStyle name="Notas 7 3 4" xfId="35880"/>
    <cellStyle name="Notas 7 3 4 2" xfId="35881"/>
    <cellStyle name="Notas 7 3 5" xfId="35882"/>
    <cellStyle name="Notas 7 3 5 2" xfId="35883"/>
    <cellStyle name="Notas 7 3 6" xfId="35884"/>
    <cellStyle name="Notas 7 3 6 2" xfId="35885"/>
    <cellStyle name="Notas 7 3 7" xfId="35886"/>
    <cellStyle name="Notas 7 3 7 2" xfId="35887"/>
    <cellStyle name="Notas 7 3 8" xfId="35888"/>
    <cellStyle name="Notas 7 3 8 2" xfId="35889"/>
    <cellStyle name="Notas 7 3 9" xfId="35890"/>
    <cellStyle name="Notas 7 3 9 2" xfId="35891"/>
    <cellStyle name="Notas 7 4" xfId="35892"/>
    <cellStyle name="Notas 7 4 2" xfId="35893"/>
    <cellStyle name="Notas 7 5" xfId="35894"/>
    <cellStyle name="Notas 7 5 2" xfId="35895"/>
    <cellStyle name="Notas 7 6" xfId="35896"/>
    <cellStyle name="Notas 7 6 2" xfId="35897"/>
    <cellStyle name="Notas 7 7" xfId="35898"/>
    <cellStyle name="Notas 7 7 2" xfId="35899"/>
    <cellStyle name="Notas 7 8" xfId="35900"/>
    <cellStyle name="Notas 7 8 2" xfId="35901"/>
    <cellStyle name="Notas 7 9" xfId="35902"/>
    <cellStyle name="Notas 7 9 2" xfId="35903"/>
    <cellStyle name="Notas 8" xfId="35904"/>
    <cellStyle name="Notas 9" xfId="42112"/>
    <cellStyle name="Porcentaje" xfId="1" builtinId="5" customBuiltin="1"/>
    <cellStyle name="Porcentaje 2" xfId="15"/>
    <cellStyle name="Porcentaje 3" xfId="16"/>
    <cellStyle name="Porcentaje 4" xfId="342"/>
    <cellStyle name="Porcentaje 5" xfId="343"/>
    <cellStyle name="Porcentual 10" xfId="35905"/>
    <cellStyle name="Porcentual 10 10" xfId="35906"/>
    <cellStyle name="Porcentual 10 11" xfId="35907"/>
    <cellStyle name="Porcentual 10 12" xfId="35908"/>
    <cellStyle name="Porcentual 10 2" xfId="35909"/>
    <cellStyle name="Porcentual 10 3" xfId="35910"/>
    <cellStyle name="Porcentual 10 4" xfId="35911"/>
    <cellStyle name="Porcentual 10 5" xfId="35912"/>
    <cellStyle name="Porcentual 10 6" xfId="35913"/>
    <cellStyle name="Porcentual 10 7" xfId="35914"/>
    <cellStyle name="Porcentual 10 8" xfId="35915"/>
    <cellStyle name="Porcentual 10 9" xfId="35916"/>
    <cellStyle name="Porcentual 11" xfId="35917"/>
    <cellStyle name="Porcentual 11 10" xfId="35918"/>
    <cellStyle name="Porcentual 11 11" xfId="35919"/>
    <cellStyle name="Porcentual 11 12" xfId="35920"/>
    <cellStyle name="Porcentual 11 2" xfId="35921"/>
    <cellStyle name="Porcentual 11 3" xfId="35922"/>
    <cellStyle name="Porcentual 11 4" xfId="35923"/>
    <cellStyle name="Porcentual 11 5" xfId="35924"/>
    <cellStyle name="Porcentual 11 6" xfId="35925"/>
    <cellStyle name="Porcentual 11 7" xfId="35926"/>
    <cellStyle name="Porcentual 11 8" xfId="35927"/>
    <cellStyle name="Porcentual 11 9" xfId="35928"/>
    <cellStyle name="Porcentual 12" xfId="35929"/>
    <cellStyle name="Porcentual 13" xfId="35930"/>
    <cellStyle name="Porcentual 14" xfId="5"/>
    <cellStyle name="Porcentual 2" xfId="7"/>
    <cellStyle name="Porcentual 2 2" xfId="218"/>
    <cellStyle name="Porcentual 2 2 10" xfId="35931"/>
    <cellStyle name="Porcentual 2 2 11" xfId="35932"/>
    <cellStyle name="Porcentual 2 2 12" xfId="35933"/>
    <cellStyle name="Porcentual 2 2 13" xfId="35934"/>
    <cellStyle name="Porcentual 2 2 14" xfId="35935"/>
    <cellStyle name="Porcentual 2 2 15" xfId="35936"/>
    <cellStyle name="Porcentual 2 2 16" xfId="35937"/>
    <cellStyle name="Porcentual 2 2 2" xfId="35938"/>
    <cellStyle name="Porcentual 2 2 3" xfId="35939"/>
    <cellStyle name="Porcentual 2 2 4" xfId="35940"/>
    <cellStyle name="Porcentual 2 2 5" xfId="35941"/>
    <cellStyle name="Porcentual 2 2 6" xfId="35942"/>
    <cellStyle name="Porcentual 2 2 7" xfId="35943"/>
    <cellStyle name="Porcentual 2 2 8" xfId="35944"/>
    <cellStyle name="Porcentual 2 2 9" xfId="35945"/>
    <cellStyle name="Porcentual 2 3" xfId="219"/>
    <cellStyle name="Porcentual 2 3 10" xfId="35946"/>
    <cellStyle name="Porcentual 2 3 11" xfId="35947"/>
    <cellStyle name="Porcentual 2 3 12" xfId="35948"/>
    <cellStyle name="Porcentual 2 3 13" xfId="35949"/>
    <cellStyle name="Porcentual 2 3 14" xfId="35950"/>
    <cellStyle name="Porcentual 2 3 2" xfId="35951"/>
    <cellStyle name="Porcentual 2 3 3" xfId="35952"/>
    <cellStyle name="Porcentual 2 3 4" xfId="35953"/>
    <cellStyle name="Porcentual 2 3 5" xfId="35954"/>
    <cellStyle name="Porcentual 2 3 6" xfId="35955"/>
    <cellStyle name="Porcentual 2 3 7" xfId="35956"/>
    <cellStyle name="Porcentual 2 3 8" xfId="35957"/>
    <cellStyle name="Porcentual 2 3 9" xfId="35958"/>
    <cellStyle name="Porcentual 2 4" xfId="35959"/>
    <cellStyle name="Porcentual 2 5" xfId="35960"/>
    <cellStyle name="Porcentual 2 6" xfId="35961"/>
    <cellStyle name="Porcentual 2 7" xfId="35962"/>
    <cellStyle name="Porcentual 3" xfId="11"/>
    <cellStyle name="Porcentual 3 10" xfId="35963"/>
    <cellStyle name="Porcentual 3 11" xfId="35964"/>
    <cellStyle name="Porcentual 3 12" xfId="35965"/>
    <cellStyle name="Porcentual 3 13" xfId="35966"/>
    <cellStyle name="Porcentual 3 14" xfId="35967"/>
    <cellStyle name="Porcentual 3 15" xfId="35968"/>
    <cellStyle name="Porcentual 3 16" xfId="35969"/>
    <cellStyle name="Porcentual 3 17" xfId="42113"/>
    <cellStyle name="Porcentual 3 2" xfId="220"/>
    <cellStyle name="Porcentual 3 2 2" xfId="42114"/>
    <cellStyle name="Porcentual 3 3" xfId="35970"/>
    <cellStyle name="Porcentual 3 4" xfId="35971"/>
    <cellStyle name="Porcentual 3 5" xfId="35972"/>
    <cellStyle name="Porcentual 3 6" xfId="35973"/>
    <cellStyle name="Porcentual 3 7" xfId="35974"/>
    <cellStyle name="Porcentual 3 8" xfId="35975"/>
    <cellStyle name="Porcentual 3 9" xfId="35976"/>
    <cellStyle name="Porcentual 4" xfId="221"/>
    <cellStyle name="Porcentual 4 10" xfId="35977"/>
    <cellStyle name="Porcentual 4 11" xfId="35978"/>
    <cellStyle name="Porcentual 4 12" xfId="35979"/>
    <cellStyle name="Porcentual 4 13" xfId="35980"/>
    <cellStyle name="Porcentual 4 14" xfId="35981"/>
    <cellStyle name="Porcentual 4 15" xfId="35982"/>
    <cellStyle name="Porcentual 4 16" xfId="35983"/>
    <cellStyle name="Porcentual 4 17" xfId="42115"/>
    <cellStyle name="Porcentual 4 2" xfId="35984"/>
    <cellStyle name="Porcentual 4 3" xfId="35985"/>
    <cellStyle name="Porcentual 4 4" xfId="35986"/>
    <cellStyle name="Porcentual 4 5" xfId="35987"/>
    <cellStyle name="Porcentual 4 6" xfId="35988"/>
    <cellStyle name="Porcentual 4 7" xfId="35989"/>
    <cellStyle name="Porcentual 4 8" xfId="35990"/>
    <cellStyle name="Porcentual 4 9" xfId="35991"/>
    <cellStyle name="Porcentual 5" xfId="222"/>
    <cellStyle name="Porcentual 5 10" xfId="35992"/>
    <cellStyle name="Porcentual 5 11" xfId="35993"/>
    <cellStyle name="Porcentual 5 12" xfId="35994"/>
    <cellStyle name="Porcentual 5 13" xfId="35995"/>
    <cellStyle name="Porcentual 5 14" xfId="35996"/>
    <cellStyle name="Porcentual 5 15" xfId="35997"/>
    <cellStyle name="Porcentual 5 16" xfId="35998"/>
    <cellStyle name="Porcentual 5 17" xfId="42116"/>
    <cellStyle name="Porcentual 5 2" xfId="35999"/>
    <cellStyle name="Porcentual 5 3" xfId="36000"/>
    <cellStyle name="Porcentual 5 4" xfId="36001"/>
    <cellStyle name="Porcentual 5 5" xfId="36002"/>
    <cellStyle name="Porcentual 5 6" xfId="36003"/>
    <cellStyle name="Porcentual 5 7" xfId="36004"/>
    <cellStyle name="Porcentual 5 8" xfId="36005"/>
    <cellStyle name="Porcentual 5 9" xfId="36006"/>
    <cellStyle name="Porcentual 6" xfId="223"/>
    <cellStyle name="Porcentual 6 10" xfId="36007"/>
    <cellStyle name="Porcentual 6 11" xfId="36008"/>
    <cellStyle name="Porcentual 6 12" xfId="36009"/>
    <cellStyle name="Porcentual 6 13" xfId="36010"/>
    <cellStyle name="Porcentual 6 14" xfId="36011"/>
    <cellStyle name="Porcentual 6 15" xfId="36012"/>
    <cellStyle name="Porcentual 6 16" xfId="36013"/>
    <cellStyle name="Porcentual 6 17" xfId="42117"/>
    <cellStyle name="Porcentual 6 2" xfId="36014"/>
    <cellStyle name="Porcentual 6 3" xfId="36015"/>
    <cellStyle name="Porcentual 6 4" xfId="36016"/>
    <cellStyle name="Porcentual 6 5" xfId="36017"/>
    <cellStyle name="Porcentual 6 6" xfId="36018"/>
    <cellStyle name="Porcentual 6 7" xfId="36019"/>
    <cellStyle name="Porcentual 6 8" xfId="36020"/>
    <cellStyle name="Porcentual 6 9" xfId="36021"/>
    <cellStyle name="Porcentual 7" xfId="224"/>
    <cellStyle name="Porcentual 7 2" xfId="225"/>
    <cellStyle name="Porcentual 7 2 10" xfId="36022"/>
    <cellStyle name="Porcentual 7 2 11" xfId="36023"/>
    <cellStyle name="Porcentual 7 2 12" xfId="36024"/>
    <cellStyle name="Porcentual 7 2 13" xfId="36025"/>
    <cellStyle name="Porcentual 7 2 14" xfId="36026"/>
    <cellStyle name="Porcentual 7 2 15" xfId="36027"/>
    <cellStyle name="Porcentual 7 2 2" xfId="36028"/>
    <cellStyle name="Porcentual 7 2 3" xfId="36029"/>
    <cellStyle name="Porcentual 7 2 4" xfId="36030"/>
    <cellStyle name="Porcentual 7 2 5" xfId="36031"/>
    <cellStyle name="Porcentual 7 2 6" xfId="36032"/>
    <cellStyle name="Porcentual 7 2 7" xfId="36033"/>
    <cellStyle name="Porcentual 7 2 8" xfId="36034"/>
    <cellStyle name="Porcentual 7 2 9" xfId="36035"/>
    <cellStyle name="Porcentual 7 3" xfId="226"/>
    <cellStyle name="Porcentual 7 3 10" xfId="36036"/>
    <cellStyle name="Porcentual 7 3 11" xfId="36037"/>
    <cellStyle name="Porcentual 7 3 12" xfId="36038"/>
    <cellStyle name="Porcentual 7 3 13" xfId="36039"/>
    <cellStyle name="Porcentual 7 3 14" xfId="36040"/>
    <cellStyle name="Porcentual 7 3 2" xfId="36041"/>
    <cellStyle name="Porcentual 7 3 3" xfId="36042"/>
    <cellStyle name="Porcentual 7 3 4" xfId="36043"/>
    <cellStyle name="Porcentual 7 3 5" xfId="36044"/>
    <cellStyle name="Porcentual 7 3 6" xfId="36045"/>
    <cellStyle name="Porcentual 7 3 7" xfId="36046"/>
    <cellStyle name="Porcentual 7 3 8" xfId="36047"/>
    <cellStyle name="Porcentual 7 3 9" xfId="36048"/>
    <cellStyle name="Porcentual 8" xfId="217"/>
    <cellStyle name="Porcentual 9" xfId="318"/>
    <cellStyle name="Porcentual 9 10" xfId="36049"/>
    <cellStyle name="Porcentual 9 10 2" xfId="36050"/>
    <cellStyle name="Porcentual 9 11" xfId="36051"/>
    <cellStyle name="Porcentual 9 11 2" xfId="36052"/>
    <cellStyle name="Porcentual 9 12" xfId="36053"/>
    <cellStyle name="Porcentual 9 12 2" xfId="36054"/>
    <cellStyle name="Porcentual 9 13" xfId="36055"/>
    <cellStyle name="Porcentual 9 2" xfId="36056"/>
    <cellStyle name="Porcentual 9 2 10" xfId="36057"/>
    <cellStyle name="Porcentual 9 2 10 2" xfId="36058"/>
    <cellStyle name="Porcentual 9 2 11" xfId="36059"/>
    <cellStyle name="Porcentual 9 2 11 2" xfId="36060"/>
    <cellStyle name="Porcentual 9 2 12" xfId="36061"/>
    <cellStyle name="Porcentual 9 2 2" xfId="36062"/>
    <cellStyle name="Porcentual 9 2 2 10" xfId="36063"/>
    <cellStyle name="Porcentual 9 2 2 10 2" xfId="36064"/>
    <cellStyle name="Porcentual 9 2 2 11" xfId="36065"/>
    <cellStyle name="Porcentual 9 2 2 2" xfId="36066"/>
    <cellStyle name="Porcentual 9 2 2 2 2" xfId="36067"/>
    <cellStyle name="Porcentual 9 2 2 3" xfId="36068"/>
    <cellStyle name="Porcentual 9 2 2 3 2" xfId="36069"/>
    <cellStyle name="Porcentual 9 2 2 4" xfId="36070"/>
    <cellStyle name="Porcentual 9 2 2 4 2" xfId="36071"/>
    <cellStyle name="Porcentual 9 2 2 5" xfId="36072"/>
    <cellStyle name="Porcentual 9 2 2 5 2" xfId="36073"/>
    <cellStyle name="Porcentual 9 2 2 6" xfId="36074"/>
    <cellStyle name="Porcentual 9 2 2 6 2" xfId="36075"/>
    <cellStyle name="Porcentual 9 2 2 7" xfId="36076"/>
    <cellStyle name="Porcentual 9 2 2 7 2" xfId="36077"/>
    <cellStyle name="Porcentual 9 2 2 8" xfId="36078"/>
    <cellStyle name="Porcentual 9 2 2 8 2" xfId="36079"/>
    <cellStyle name="Porcentual 9 2 2 9" xfId="36080"/>
    <cellStyle name="Porcentual 9 2 2 9 2" xfId="36081"/>
    <cellStyle name="Porcentual 9 2 3" xfId="36082"/>
    <cellStyle name="Porcentual 9 2 3 2" xfId="36083"/>
    <cellStyle name="Porcentual 9 2 4" xfId="36084"/>
    <cellStyle name="Porcentual 9 2 4 2" xfId="36085"/>
    <cellStyle name="Porcentual 9 2 5" xfId="36086"/>
    <cellStyle name="Porcentual 9 2 5 2" xfId="36087"/>
    <cellStyle name="Porcentual 9 2 6" xfId="36088"/>
    <cellStyle name="Porcentual 9 2 6 2" xfId="36089"/>
    <cellStyle name="Porcentual 9 2 7" xfId="36090"/>
    <cellStyle name="Porcentual 9 2 7 2" xfId="36091"/>
    <cellStyle name="Porcentual 9 2 8" xfId="36092"/>
    <cellStyle name="Porcentual 9 2 8 2" xfId="36093"/>
    <cellStyle name="Porcentual 9 2 9" xfId="36094"/>
    <cellStyle name="Porcentual 9 2 9 2" xfId="36095"/>
    <cellStyle name="Porcentual 9 3" xfId="36096"/>
    <cellStyle name="Porcentual 9 3 10" xfId="36097"/>
    <cellStyle name="Porcentual 9 3 10 2" xfId="36098"/>
    <cellStyle name="Porcentual 9 3 11" xfId="36099"/>
    <cellStyle name="Porcentual 9 3 2" xfId="36100"/>
    <cellStyle name="Porcentual 9 3 2 2" xfId="36101"/>
    <cellStyle name="Porcentual 9 3 3" xfId="36102"/>
    <cellStyle name="Porcentual 9 3 3 2" xfId="36103"/>
    <cellStyle name="Porcentual 9 3 4" xfId="36104"/>
    <cellStyle name="Porcentual 9 3 4 2" xfId="36105"/>
    <cellStyle name="Porcentual 9 3 5" xfId="36106"/>
    <cellStyle name="Porcentual 9 3 5 2" xfId="36107"/>
    <cellStyle name="Porcentual 9 3 6" xfId="36108"/>
    <cellStyle name="Porcentual 9 3 6 2" xfId="36109"/>
    <cellStyle name="Porcentual 9 3 7" xfId="36110"/>
    <cellStyle name="Porcentual 9 3 7 2" xfId="36111"/>
    <cellStyle name="Porcentual 9 3 8" xfId="36112"/>
    <cellStyle name="Porcentual 9 3 8 2" xfId="36113"/>
    <cellStyle name="Porcentual 9 3 9" xfId="36114"/>
    <cellStyle name="Porcentual 9 3 9 2" xfId="36115"/>
    <cellStyle name="Porcentual 9 4" xfId="36116"/>
    <cellStyle name="Porcentual 9 4 2" xfId="36117"/>
    <cellStyle name="Porcentual 9 5" xfId="36118"/>
    <cellStyle name="Porcentual 9 5 2" xfId="36119"/>
    <cellStyle name="Porcentual 9 6" xfId="36120"/>
    <cellStyle name="Porcentual 9 6 2" xfId="36121"/>
    <cellStyle name="Porcentual 9 7" xfId="36122"/>
    <cellStyle name="Porcentual 9 7 2" xfId="36123"/>
    <cellStyle name="Porcentual 9 8" xfId="36124"/>
    <cellStyle name="Porcentual 9 8 2" xfId="36125"/>
    <cellStyle name="Porcentual 9 9" xfId="36126"/>
    <cellStyle name="Porcentual 9 9 2" xfId="36127"/>
    <cellStyle name="Salida 2" xfId="228"/>
    <cellStyle name="Salida 2 10" xfId="36128"/>
    <cellStyle name="Salida 2 10 2" xfId="36129"/>
    <cellStyle name="Salida 2 11" xfId="36130"/>
    <cellStyle name="Salida 2 11 2" xfId="36131"/>
    <cellStyle name="Salida 2 12" xfId="36132"/>
    <cellStyle name="Salida 2 12 2" xfId="36133"/>
    <cellStyle name="Salida 2 13" xfId="36134"/>
    <cellStyle name="Salida 2 13 2" xfId="36135"/>
    <cellStyle name="Salida 2 14" xfId="36136"/>
    <cellStyle name="Salida 2 14 2" xfId="36137"/>
    <cellStyle name="Salida 2 15" xfId="36138"/>
    <cellStyle name="Salida 2 15 2" xfId="36139"/>
    <cellStyle name="Salida 2 16" xfId="36140"/>
    <cellStyle name="Salida 2 16 2" xfId="36141"/>
    <cellStyle name="Salida 2 17" xfId="36142"/>
    <cellStyle name="Salida 2 17 2" xfId="36143"/>
    <cellStyle name="Salida 2 18" xfId="36144"/>
    <cellStyle name="Salida 2 18 2" xfId="36145"/>
    <cellStyle name="Salida 2 19" xfId="36146"/>
    <cellStyle name="Salida 2 2" xfId="229"/>
    <cellStyle name="Salida 2 2 10" xfId="36147"/>
    <cellStyle name="Salida 2 2 10 2" xfId="36148"/>
    <cellStyle name="Salida 2 2 11" xfId="36149"/>
    <cellStyle name="Salida 2 2 11 2" xfId="36150"/>
    <cellStyle name="Salida 2 2 12" xfId="36151"/>
    <cellStyle name="Salida 2 2 12 2" xfId="36152"/>
    <cellStyle name="Salida 2 2 13" xfId="36153"/>
    <cellStyle name="Salida 2 2 13 2" xfId="36154"/>
    <cellStyle name="Salida 2 2 14" xfId="36155"/>
    <cellStyle name="Salida 2 2 14 2" xfId="36156"/>
    <cellStyle name="Salida 2 2 15" xfId="36157"/>
    <cellStyle name="Salida 2 2 15 2" xfId="36158"/>
    <cellStyle name="Salida 2 2 16" xfId="36159"/>
    <cellStyle name="Salida 2 2 17" xfId="36160"/>
    <cellStyle name="Salida 2 2 18" xfId="36161"/>
    <cellStyle name="Salida 2 2 2" xfId="305"/>
    <cellStyle name="Salida 2 2 2 10" xfId="36162"/>
    <cellStyle name="Salida 2 2 2 10 2" xfId="36163"/>
    <cellStyle name="Salida 2 2 2 11" xfId="36164"/>
    <cellStyle name="Salida 2 2 2 11 2" xfId="36165"/>
    <cellStyle name="Salida 2 2 2 12" xfId="36166"/>
    <cellStyle name="Salida 2 2 2 12 2" xfId="36167"/>
    <cellStyle name="Salida 2 2 2 13" xfId="36168"/>
    <cellStyle name="Salida 2 2 2 13 2" xfId="36169"/>
    <cellStyle name="Salida 2 2 2 14" xfId="36170"/>
    <cellStyle name="Salida 2 2 2 14 2" xfId="36171"/>
    <cellStyle name="Salida 2 2 2 15" xfId="36172"/>
    <cellStyle name="Salida 2 2 2 16" xfId="36173"/>
    <cellStyle name="Salida 2 2 2 2" xfId="36174"/>
    <cellStyle name="Salida 2 2 2 2 10" xfId="36175"/>
    <cellStyle name="Salida 2 2 2 2 10 2" xfId="36176"/>
    <cellStyle name="Salida 2 2 2 2 11" xfId="36177"/>
    <cellStyle name="Salida 2 2 2 2 11 2" xfId="36178"/>
    <cellStyle name="Salida 2 2 2 2 12" xfId="36179"/>
    <cellStyle name="Salida 2 2 2 2 12 2" xfId="36180"/>
    <cellStyle name="Salida 2 2 2 2 13" xfId="36181"/>
    <cellStyle name="Salida 2 2 2 2 2" xfId="36182"/>
    <cellStyle name="Salida 2 2 2 2 2 10" xfId="36183"/>
    <cellStyle name="Salida 2 2 2 2 2 10 2" xfId="36184"/>
    <cellStyle name="Salida 2 2 2 2 2 11" xfId="36185"/>
    <cellStyle name="Salida 2 2 2 2 2 2" xfId="36186"/>
    <cellStyle name="Salida 2 2 2 2 2 2 2" xfId="36187"/>
    <cellStyle name="Salida 2 2 2 2 2 3" xfId="36188"/>
    <cellStyle name="Salida 2 2 2 2 2 3 2" xfId="36189"/>
    <cellStyle name="Salida 2 2 2 2 2 4" xfId="36190"/>
    <cellStyle name="Salida 2 2 2 2 2 4 2" xfId="36191"/>
    <cellStyle name="Salida 2 2 2 2 2 5" xfId="36192"/>
    <cellStyle name="Salida 2 2 2 2 2 5 2" xfId="36193"/>
    <cellStyle name="Salida 2 2 2 2 2 6" xfId="36194"/>
    <cellStyle name="Salida 2 2 2 2 2 6 2" xfId="36195"/>
    <cellStyle name="Salida 2 2 2 2 2 7" xfId="36196"/>
    <cellStyle name="Salida 2 2 2 2 2 7 2" xfId="36197"/>
    <cellStyle name="Salida 2 2 2 2 2 8" xfId="36198"/>
    <cellStyle name="Salida 2 2 2 2 2 8 2" xfId="36199"/>
    <cellStyle name="Salida 2 2 2 2 2 9" xfId="36200"/>
    <cellStyle name="Salida 2 2 2 2 2 9 2" xfId="36201"/>
    <cellStyle name="Salida 2 2 2 2 3" xfId="36202"/>
    <cellStyle name="Salida 2 2 2 2 3 10" xfId="36203"/>
    <cellStyle name="Salida 2 2 2 2 3 10 2" xfId="36204"/>
    <cellStyle name="Salida 2 2 2 2 3 11" xfId="36205"/>
    <cellStyle name="Salida 2 2 2 2 3 2" xfId="36206"/>
    <cellStyle name="Salida 2 2 2 2 3 2 2" xfId="36207"/>
    <cellStyle name="Salida 2 2 2 2 3 3" xfId="36208"/>
    <cellStyle name="Salida 2 2 2 2 3 3 2" xfId="36209"/>
    <cellStyle name="Salida 2 2 2 2 3 4" xfId="36210"/>
    <cellStyle name="Salida 2 2 2 2 3 4 2" xfId="36211"/>
    <cellStyle name="Salida 2 2 2 2 3 5" xfId="36212"/>
    <cellStyle name="Salida 2 2 2 2 3 5 2" xfId="36213"/>
    <cellStyle name="Salida 2 2 2 2 3 6" xfId="36214"/>
    <cellStyle name="Salida 2 2 2 2 3 6 2" xfId="36215"/>
    <cellStyle name="Salida 2 2 2 2 3 7" xfId="36216"/>
    <cellStyle name="Salida 2 2 2 2 3 7 2" xfId="36217"/>
    <cellStyle name="Salida 2 2 2 2 3 8" xfId="36218"/>
    <cellStyle name="Salida 2 2 2 2 3 8 2" xfId="36219"/>
    <cellStyle name="Salida 2 2 2 2 3 9" xfId="36220"/>
    <cellStyle name="Salida 2 2 2 2 3 9 2" xfId="36221"/>
    <cellStyle name="Salida 2 2 2 2 4" xfId="36222"/>
    <cellStyle name="Salida 2 2 2 2 4 2" xfId="36223"/>
    <cellStyle name="Salida 2 2 2 2 5" xfId="36224"/>
    <cellStyle name="Salida 2 2 2 2 5 2" xfId="36225"/>
    <cellStyle name="Salida 2 2 2 2 6" xfId="36226"/>
    <cellStyle name="Salida 2 2 2 2 6 2" xfId="36227"/>
    <cellStyle name="Salida 2 2 2 2 7" xfId="36228"/>
    <cellStyle name="Salida 2 2 2 2 7 2" xfId="36229"/>
    <cellStyle name="Salida 2 2 2 2 8" xfId="36230"/>
    <cellStyle name="Salida 2 2 2 2 8 2" xfId="36231"/>
    <cellStyle name="Salida 2 2 2 2 9" xfId="36232"/>
    <cellStyle name="Salida 2 2 2 2 9 2" xfId="36233"/>
    <cellStyle name="Salida 2 2 2 3" xfId="36234"/>
    <cellStyle name="Salida 2 2 2 3 10" xfId="36235"/>
    <cellStyle name="Salida 2 2 2 3 10 2" xfId="36236"/>
    <cellStyle name="Salida 2 2 2 3 11" xfId="36237"/>
    <cellStyle name="Salida 2 2 2 3 11 2" xfId="36238"/>
    <cellStyle name="Salida 2 2 2 3 12" xfId="36239"/>
    <cellStyle name="Salida 2 2 2 3 12 2" xfId="36240"/>
    <cellStyle name="Salida 2 2 2 3 13" xfId="36241"/>
    <cellStyle name="Salida 2 2 2 3 2" xfId="36242"/>
    <cellStyle name="Salida 2 2 2 3 2 10" xfId="36243"/>
    <cellStyle name="Salida 2 2 2 3 2 10 2" xfId="36244"/>
    <cellStyle name="Salida 2 2 2 3 2 11" xfId="36245"/>
    <cellStyle name="Salida 2 2 2 3 2 2" xfId="36246"/>
    <cellStyle name="Salida 2 2 2 3 2 2 2" xfId="36247"/>
    <cellStyle name="Salida 2 2 2 3 2 3" xfId="36248"/>
    <cellStyle name="Salida 2 2 2 3 2 3 2" xfId="36249"/>
    <cellStyle name="Salida 2 2 2 3 2 4" xfId="36250"/>
    <cellStyle name="Salida 2 2 2 3 2 4 2" xfId="36251"/>
    <cellStyle name="Salida 2 2 2 3 2 5" xfId="36252"/>
    <cellStyle name="Salida 2 2 2 3 2 5 2" xfId="36253"/>
    <cellStyle name="Salida 2 2 2 3 2 6" xfId="36254"/>
    <cellStyle name="Salida 2 2 2 3 2 6 2" xfId="36255"/>
    <cellStyle name="Salida 2 2 2 3 2 7" xfId="36256"/>
    <cellStyle name="Salida 2 2 2 3 2 7 2" xfId="36257"/>
    <cellStyle name="Salida 2 2 2 3 2 8" xfId="36258"/>
    <cellStyle name="Salida 2 2 2 3 2 8 2" xfId="36259"/>
    <cellStyle name="Salida 2 2 2 3 2 9" xfId="36260"/>
    <cellStyle name="Salida 2 2 2 3 2 9 2" xfId="36261"/>
    <cellStyle name="Salida 2 2 2 3 3" xfId="36262"/>
    <cellStyle name="Salida 2 2 2 3 3 10" xfId="36263"/>
    <cellStyle name="Salida 2 2 2 3 3 10 2" xfId="36264"/>
    <cellStyle name="Salida 2 2 2 3 3 11" xfId="36265"/>
    <cellStyle name="Salida 2 2 2 3 3 2" xfId="36266"/>
    <cellStyle name="Salida 2 2 2 3 3 2 2" xfId="36267"/>
    <cellStyle name="Salida 2 2 2 3 3 3" xfId="36268"/>
    <cellStyle name="Salida 2 2 2 3 3 3 2" xfId="36269"/>
    <cellStyle name="Salida 2 2 2 3 3 4" xfId="36270"/>
    <cellStyle name="Salida 2 2 2 3 3 4 2" xfId="36271"/>
    <cellStyle name="Salida 2 2 2 3 3 5" xfId="36272"/>
    <cellStyle name="Salida 2 2 2 3 3 5 2" xfId="36273"/>
    <cellStyle name="Salida 2 2 2 3 3 6" xfId="36274"/>
    <cellStyle name="Salida 2 2 2 3 3 6 2" xfId="36275"/>
    <cellStyle name="Salida 2 2 2 3 3 7" xfId="36276"/>
    <cellStyle name="Salida 2 2 2 3 3 7 2" xfId="36277"/>
    <cellStyle name="Salida 2 2 2 3 3 8" xfId="36278"/>
    <cellStyle name="Salida 2 2 2 3 3 8 2" xfId="36279"/>
    <cellStyle name="Salida 2 2 2 3 3 9" xfId="36280"/>
    <cellStyle name="Salida 2 2 2 3 3 9 2" xfId="36281"/>
    <cellStyle name="Salida 2 2 2 3 4" xfId="36282"/>
    <cellStyle name="Salida 2 2 2 3 4 2" xfId="36283"/>
    <cellStyle name="Salida 2 2 2 3 5" xfId="36284"/>
    <cellStyle name="Salida 2 2 2 3 5 2" xfId="36285"/>
    <cellStyle name="Salida 2 2 2 3 6" xfId="36286"/>
    <cellStyle name="Salida 2 2 2 3 6 2" xfId="36287"/>
    <cellStyle name="Salida 2 2 2 3 7" xfId="36288"/>
    <cellStyle name="Salida 2 2 2 3 7 2" xfId="36289"/>
    <cellStyle name="Salida 2 2 2 3 8" xfId="36290"/>
    <cellStyle name="Salida 2 2 2 3 8 2" xfId="36291"/>
    <cellStyle name="Salida 2 2 2 3 9" xfId="36292"/>
    <cellStyle name="Salida 2 2 2 3 9 2" xfId="36293"/>
    <cellStyle name="Salida 2 2 2 4" xfId="36294"/>
    <cellStyle name="Salida 2 2 2 4 10" xfId="36295"/>
    <cellStyle name="Salida 2 2 2 4 10 2" xfId="36296"/>
    <cellStyle name="Salida 2 2 2 4 11" xfId="36297"/>
    <cellStyle name="Salida 2 2 2 4 2" xfId="36298"/>
    <cellStyle name="Salida 2 2 2 4 2 2" xfId="36299"/>
    <cellStyle name="Salida 2 2 2 4 3" xfId="36300"/>
    <cellStyle name="Salida 2 2 2 4 3 2" xfId="36301"/>
    <cellStyle name="Salida 2 2 2 4 4" xfId="36302"/>
    <cellStyle name="Salida 2 2 2 4 4 2" xfId="36303"/>
    <cellStyle name="Salida 2 2 2 4 5" xfId="36304"/>
    <cellStyle name="Salida 2 2 2 4 5 2" xfId="36305"/>
    <cellStyle name="Salida 2 2 2 4 6" xfId="36306"/>
    <cellStyle name="Salida 2 2 2 4 6 2" xfId="36307"/>
    <cellStyle name="Salida 2 2 2 4 7" xfId="36308"/>
    <cellStyle name="Salida 2 2 2 4 7 2" xfId="36309"/>
    <cellStyle name="Salida 2 2 2 4 8" xfId="36310"/>
    <cellStyle name="Salida 2 2 2 4 8 2" xfId="36311"/>
    <cellStyle name="Salida 2 2 2 4 9" xfId="36312"/>
    <cellStyle name="Salida 2 2 2 4 9 2" xfId="36313"/>
    <cellStyle name="Salida 2 2 2 5" xfId="36314"/>
    <cellStyle name="Salida 2 2 2 5 10" xfId="36315"/>
    <cellStyle name="Salida 2 2 2 5 10 2" xfId="36316"/>
    <cellStyle name="Salida 2 2 2 5 11" xfId="36317"/>
    <cellStyle name="Salida 2 2 2 5 2" xfId="36318"/>
    <cellStyle name="Salida 2 2 2 5 2 2" xfId="36319"/>
    <cellStyle name="Salida 2 2 2 5 3" xfId="36320"/>
    <cellStyle name="Salida 2 2 2 5 3 2" xfId="36321"/>
    <cellStyle name="Salida 2 2 2 5 4" xfId="36322"/>
    <cellStyle name="Salida 2 2 2 5 4 2" xfId="36323"/>
    <cellStyle name="Salida 2 2 2 5 5" xfId="36324"/>
    <cellStyle name="Salida 2 2 2 5 5 2" xfId="36325"/>
    <cellStyle name="Salida 2 2 2 5 6" xfId="36326"/>
    <cellStyle name="Salida 2 2 2 5 6 2" xfId="36327"/>
    <cellStyle name="Salida 2 2 2 5 7" xfId="36328"/>
    <cellStyle name="Salida 2 2 2 5 7 2" xfId="36329"/>
    <cellStyle name="Salida 2 2 2 5 8" xfId="36330"/>
    <cellStyle name="Salida 2 2 2 5 8 2" xfId="36331"/>
    <cellStyle name="Salida 2 2 2 5 9" xfId="36332"/>
    <cellStyle name="Salida 2 2 2 5 9 2" xfId="36333"/>
    <cellStyle name="Salida 2 2 2 6" xfId="36334"/>
    <cellStyle name="Salida 2 2 2 6 2" xfId="36335"/>
    <cellStyle name="Salida 2 2 2 7" xfId="36336"/>
    <cellStyle name="Salida 2 2 2 7 2" xfId="36337"/>
    <cellStyle name="Salida 2 2 2 8" xfId="36338"/>
    <cellStyle name="Salida 2 2 2 8 2" xfId="36339"/>
    <cellStyle name="Salida 2 2 2 9" xfId="36340"/>
    <cellStyle name="Salida 2 2 2 9 2" xfId="36341"/>
    <cellStyle name="Salida 2 2 3" xfId="268"/>
    <cellStyle name="Salida 2 2 3 10" xfId="36342"/>
    <cellStyle name="Salida 2 2 3 10 2" xfId="36343"/>
    <cellStyle name="Salida 2 2 3 11" xfId="36344"/>
    <cellStyle name="Salida 2 2 3 11 2" xfId="36345"/>
    <cellStyle name="Salida 2 2 3 12" xfId="36346"/>
    <cellStyle name="Salida 2 2 3 12 2" xfId="36347"/>
    <cellStyle name="Salida 2 2 3 13" xfId="36348"/>
    <cellStyle name="Salida 2 2 3 13 2" xfId="36349"/>
    <cellStyle name="Salida 2 2 3 14" xfId="36350"/>
    <cellStyle name="Salida 2 2 3 14 2" xfId="36351"/>
    <cellStyle name="Salida 2 2 3 15" xfId="36352"/>
    <cellStyle name="Salida 2 2 3 2" xfId="36353"/>
    <cellStyle name="Salida 2 2 3 2 10" xfId="36354"/>
    <cellStyle name="Salida 2 2 3 2 10 2" xfId="36355"/>
    <cellStyle name="Salida 2 2 3 2 11" xfId="36356"/>
    <cellStyle name="Salida 2 2 3 2 11 2" xfId="36357"/>
    <cellStyle name="Salida 2 2 3 2 12" xfId="36358"/>
    <cellStyle name="Salida 2 2 3 2 12 2" xfId="36359"/>
    <cellStyle name="Salida 2 2 3 2 13" xfId="36360"/>
    <cellStyle name="Salida 2 2 3 2 2" xfId="36361"/>
    <cellStyle name="Salida 2 2 3 2 2 10" xfId="36362"/>
    <cellStyle name="Salida 2 2 3 2 2 10 2" xfId="36363"/>
    <cellStyle name="Salida 2 2 3 2 2 11" xfId="36364"/>
    <cellStyle name="Salida 2 2 3 2 2 2" xfId="36365"/>
    <cellStyle name="Salida 2 2 3 2 2 2 2" xfId="36366"/>
    <cellStyle name="Salida 2 2 3 2 2 3" xfId="36367"/>
    <cellStyle name="Salida 2 2 3 2 2 3 2" xfId="36368"/>
    <cellStyle name="Salida 2 2 3 2 2 4" xfId="36369"/>
    <cellStyle name="Salida 2 2 3 2 2 4 2" xfId="36370"/>
    <cellStyle name="Salida 2 2 3 2 2 5" xfId="36371"/>
    <cellStyle name="Salida 2 2 3 2 2 5 2" xfId="36372"/>
    <cellStyle name="Salida 2 2 3 2 2 6" xfId="36373"/>
    <cellStyle name="Salida 2 2 3 2 2 6 2" xfId="36374"/>
    <cellStyle name="Salida 2 2 3 2 2 7" xfId="36375"/>
    <cellStyle name="Salida 2 2 3 2 2 7 2" xfId="36376"/>
    <cellStyle name="Salida 2 2 3 2 2 8" xfId="36377"/>
    <cellStyle name="Salida 2 2 3 2 2 8 2" xfId="36378"/>
    <cellStyle name="Salida 2 2 3 2 2 9" xfId="36379"/>
    <cellStyle name="Salida 2 2 3 2 2 9 2" xfId="36380"/>
    <cellStyle name="Salida 2 2 3 2 3" xfId="36381"/>
    <cellStyle name="Salida 2 2 3 2 3 10" xfId="36382"/>
    <cellStyle name="Salida 2 2 3 2 3 10 2" xfId="36383"/>
    <cellStyle name="Salida 2 2 3 2 3 11" xfId="36384"/>
    <cellStyle name="Salida 2 2 3 2 3 2" xfId="36385"/>
    <cellStyle name="Salida 2 2 3 2 3 2 2" xfId="36386"/>
    <cellStyle name="Salida 2 2 3 2 3 3" xfId="36387"/>
    <cellStyle name="Salida 2 2 3 2 3 3 2" xfId="36388"/>
    <cellStyle name="Salida 2 2 3 2 3 4" xfId="36389"/>
    <cellStyle name="Salida 2 2 3 2 3 4 2" xfId="36390"/>
    <cellStyle name="Salida 2 2 3 2 3 5" xfId="36391"/>
    <cellStyle name="Salida 2 2 3 2 3 5 2" xfId="36392"/>
    <cellStyle name="Salida 2 2 3 2 3 6" xfId="36393"/>
    <cellStyle name="Salida 2 2 3 2 3 6 2" xfId="36394"/>
    <cellStyle name="Salida 2 2 3 2 3 7" xfId="36395"/>
    <cellStyle name="Salida 2 2 3 2 3 7 2" xfId="36396"/>
    <cellStyle name="Salida 2 2 3 2 3 8" xfId="36397"/>
    <cellStyle name="Salida 2 2 3 2 3 8 2" xfId="36398"/>
    <cellStyle name="Salida 2 2 3 2 3 9" xfId="36399"/>
    <cellStyle name="Salida 2 2 3 2 3 9 2" xfId="36400"/>
    <cellStyle name="Salida 2 2 3 2 4" xfId="36401"/>
    <cellStyle name="Salida 2 2 3 2 4 2" xfId="36402"/>
    <cellStyle name="Salida 2 2 3 2 5" xfId="36403"/>
    <cellStyle name="Salida 2 2 3 2 5 2" xfId="36404"/>
    <cellStyle name="Salida 2 2 3 2 6" xfId="36405"/>
    <cellStyle name="Salida 2 2 3 2 6 2" xfId="36406"/>
    <cellStyle name="Salida 2 2 3 2 7" xfId="36407"/>
    <cellStyle name="Salida 2 2 3 2 7 2" xfId="36408"/>
    <cellStyle name="Salida 2 2 3 2 8" xfId="36409"/>
    <cellStyle name="Salida 2 2 3 2 8 2" xfId="36410"/>
    <cellStyle name="Salida 2 2 3 2 9" xfId="36411"/>
    <cellStyle name="Salida 2 2 3 2 9 2" xfId="36412"/>
    <cellStyle name="Salida 2 2 3 3" xfId="36413"/>
    <cellStyle name="Salida 2 2 3 3 10" xfId="36414"/>
    <cellStyle name="Salida 2 2 3 3 10 2" xfId="36415"/>
    <cellStyle name="Salida 2 2 3 3 11" xfId="36416"/>
    <cellStyle name="Salida 2 2 3 3 11 2" xfId="36417"/>
    <cellStyle name="Salida 2 2 3 3 12" xfId="36418"/>
    <cellStyle name="Salida 2 2 3 3 12 2" xfId="36419"/>
    <cellStyle name="Salida 2 2 3 3 13" xfId="36420"/>
    <cellStyle name="Salida 2 2 3 3 2" xfId="36421"/>
    <cellStyle name="Salida 2 2 3 3 2 10" xfId="36422"/>
    <cellStyle name="Salida 2 2 3 3 2 10 2" xfId="36423"/>
    <cellStyle name="Salida 2 2 3 3 2 11" xfId="36424"/>
    <cellStyle name="Salida 2 2 3 3 2 2" xfId="36425"/>
    <cellStyle name="Salida 2 2 3 3 2 2 2" xfId="36426"/>
    <cellStyle name="Salida 2 2 3 3 2 3" xfId="36427"/>
    <cellStyle name="Salida 2 2 3 3 2 3 2" xfId="36428"/>
    <cellStyle name="Salida 2 2 3 3 2 4" xfId="36429"/>
    <cellStyle name="Salida 2 2 3 3 2 4 2" xfId="36430"/>
    <cellStyle name="Salida 2 2 3 3 2 5" xfId="36431"/>
    <cellStyle name="Salida 2 2 3 3 2 5 2" xfId="36432"/>
    <cellStyle name="Salida 2 2 3 3 2 6" xfId="36433"/>
    <cellStyle name="Salida 2 2 3 3 2 6 2" xfId="36434"/>
    <cellStyle name="Salida 2 2 3 3 2 7" xfId="36435"/>
    <cellStyle name="Salida 2 2 3 3 2 7 2" xfId="36436"/>
    <cellStyle name="Salida 2 2 3 3 2 8" xfId="36437"/>
    <cellStyle name="Salida 2 2 3 3 2 8 2" xfId="36438"/>
    <cellStyle name="Salida 2 2 3 3 2 9" xfId="36439"/>
    <cellStyle name="Salida 2 2 3 3 2 9 2" xfId="36440"/>
    <cellStyle name="Salida 2 2 3 3 3" xfId="36441"/>
    <cellStyle name="Salida 2 2 3 3 3 10" xfId="36442"/>
    <cellStyle name="Salida 2 2 3 3 3 10 2" xfId="36443"/>
    <cellStyle name="Salida 2 2 3 3 3 11" xfId="36444"/>
    <cellStyle name="Salida 2 2 3 3 3 2" xfId="36445"/>
    <cellStyle name="Salida 2 2 3 3 3 2 2" xfId="36446"/>
    <cellStyle name="Salida 2 2 3 3 3 3" xfId="36447"/>
    <cellStyle name="Salida 2 2 3 3 3 3 2" xfId="36448"/>
    <cellStyle name="Salida 2 2 3 3 3 4" xfId="36449"/>
    <cellStyle name="Salida 2 2 3 3 3 4 2" xfId="36450"/>
    <cellStyle name="Salida 2 2 3 3 3 5" xfId="36451"/>
    <cellStyle name="Salida 2 2 3 3 3 5 2" xfId="36452"/>
    <cellStyle name="Salida 2 2 3 3 3 6" xfId="36453"/>
    <cellStyle name="Salida 2 2 3 3 3 6 2" xfId="36454"/>
    <cellStyle name="Salida 2 2 3 3 3 7" xfId="36455"/>
    <cellStyle name="Salida 2 2 3 3 3 7 2" xfId="36456"/>
    <cellStyle name="Salida 2 2 3 3 3 8" xfId="36457"/>
    <cellStyle name="Salida 2 2 3 3 3 8 2" xfId="36458"/>
    <cellStyle name="Salida 2 2 3 3 3 9" xfId="36459"/>
    <cellStyle name="Salida 2 2 3 3 3 9 2" xfId="36460"/>
    <cellStyle name="Salida 2 2 3 3 4" xfId="36461"/>
    <cellStyle name="Salida 2 2 3 3 4 2" xfId="36462"/>
    <cellStyle name="Salida 2 2 3 3 5" xfId="36463"/>
    <cellStyle name="Salida 2 2 3 3 5 2" xfId="36464"/>
    <cellStyle name="Salida 2 2 3 3 6" xfId="36465"/>
    <cellStyle name="Salida 2 2 3 3 6 2" xfId="36466"/>
    <cellStyle name="Salida 2 2 3 3 7" xfId="36467"/>
    <cellStyle name="Salida 2 2 3 3 7 2" xfId="36468"/>
    <cellStyle name="Salida 2 2 3 3 8" xfId="36469"/>
    <cellStyle name="Salida 2 2 3 3 8 2" xfId="36470"/>
    <cellStyle name="Salida 2 2 3 3 9" xfId="36471"/>
    <cellStyle name="Salida 2 2 3 3 9 2" xfId="36472"/>
    <cellStyle name="Salida 2 2 3 4" xfId="36473"/>
    <cellStyle name="Salida 2 2 3 4 10" xfId="36474"/>
    <cellStyle name="Salida 2 2 3 4 10 2" xfId="36475"/>
    <cellStyle name="Salida 2 2 3 4 11" xfId="36476"/>
    <cellStyle name="Salida 2 2 3 4 2" xfId="36477"/>
    <cellStyle name="Salida 2 2 3 4 2 2" xfId="36478"/>
    <cellStyle name="Salida 2 2 3 4 3" xfId="36479"/>
    <cellStyle name="Salida 2 2 3 4 3 2" xfId="36480"/>
    <cellStyle name="Salida 2 2 3 4 4" xfId="36481"/>
    <cellStyle name="Salida 2 2 3 4 4 2" xfId="36482"/>
    <cellStyle name="Salida 2 2 3 4 5" xfId="36483"/>
    <cellStyle name="Salida 2 2 3 4 5 2" xfId="36484"/>
    <cellStyle name="Salida 2 2 3 4 6" xfId="36485"/>
    <cellStyle name="Salida 2 2 3 4 6 2" xfId="36486"/>
    <cellStyle name="Salida 2 2 3 4 7" xfId="36487"/>
    <cellStyle name="Salida 2 2 3 4 7 2" xfId="36488"/>
    <cellStyle name="Salida 2 2 3 4 8" xfId="36489"/>
    <cellStyle name="Salida 2 2 3 4 8 2" xfId="36490"/>
    <cellStyle name="Salida 2 2 3 4 9" xfId="36491"/>
    <cellStyle name="Salida 2 2 3 4 9 2" xfId="36492"/>
    <cellStyle name="Salida 2 2 3 5" xfId="36493"/>
    <cellStyle name="Salida 2 2 3 5 10" xfId="36494"/>
    <cellStyle name="Salida 2 2 3 5 10 2" xfId="36495"/>
    <cellStyle name="Salida 2 2 3 5 11" xfId="36496"/>
    <cellStyle name="Salida 2 2 3 5 2" xfId="36497"/>
    <cellStyle name="Salida 2 2 3 5 2 2" xfId="36498"/>
    <cellStyle name="Salida 2 2 3 5 3" xfId="36499"/>
    <cellStyle name="Salida 2 2 3 5 3 2" xfId="36500"/>
    <cellStyle name="Salida 2 2 3 5 4" xfId="36501"/>
    <cellStyle name="Salida 2 2 3 5 4 2" xfId="36502"/>
    <cellStyle name="Salida 2 2 3 5 5" xfId="36503"/>
    <cellStyle name="Salida 2 2 3 5 5 2" xfId="36504"/>
    <cellStyle name="Salida 2 2 3 5 6" xfId="36505"/>
    <cellStyle name="Salida 2 2 3 5 6 2" xfId="36506"/>
    <cellStyle name="Salida 2 2 3 5 7" xfId="36507"/>
    <cellStyle name="Salida 2 2 3 5 7 2" xfId="36508"/>
    <cellStyle name="Salida 2 2 3 5 8" xfId="36509"/>
    <cellStyle name="Salida 2 2 3 5 8 2" xfId="36510"/>
    <cellStyle name="Salida 2 2 3 5 9" xfId="36511"/>
    <cellStyle name="Salida 2 2 3 5 9 2" xfId="36512"/>
    <cellStyle name="Salida 2 2 3 6" xfId="36513"/>
    <cellStyle name="Salida 2 2 3 6 2" xfId="36514"/>
    <cellStyle name="Salida 2 2 3 7" xfId="36515"/>
    <cellStyle name="Salida 2 2 3 7 2" xfId="36516"/>
    <cellStyle name="Salida 2 2 3 8" xfId="36517"/>
    <cellStyle name="Salida 2 2 3 8 2" xfId="36518"/>
    <cellStyle name="Salida 2 2 3 9" xfId="36519"/>
    <cellStyle name="Salida 2 2 3 9 2" xfId="36520"/>
    <cellStyle name="Salida 2 2 4" xfId="36521"/>
    <cellStyle name="Salida 2 2 4 10" xfId="36522"/>
    <cellStyle name="Salida 2 2 4 10 2" xfId="36523"/>
    <cellStyle name="Salida 2 2 4 11" xfId="36524"/>
    <cellStyle name="Salida 2 2 4 11 2" xfId="36525"/>
    <cellStyle name="Salida 2 2 4 12" xfId="36526"/>
    <cellStyle name="Salida 2 2 4 12 2" xfId="36527"/>
    <cellStyle name="Salida 2 2 4 13" xfId="36528"/>
    <cellStyle name="Salida 2 2 4 2" xfId="36529"/>
    <cellStyle name="Salida 2 2 4 2 10" xfId="36530"/>
    <cellStyle name="Salida 2 2 4 2 10 2" xfId="36531"/>
    <cellStyle name="Salida 2 2 4 2 11" xfId="36532"/>
    <cellStyle name="Salida 2 2 4 2 2" xfId="36533"/>
    <cellStyle name="Salida 2 2 4 2 2 2" xfId="36534"/>
    <cellStyle name="Salida 2 2 4 2 3" xfId="36535"/>
    <cellStyle name="Salida 2 2 4 2 3 2" xfId="36536"/>
    <cellStyle name="Salida 2 2 4 2 4" xfId="36537"/>
    <cellStyle name="Salida 2 2 4 2 4 2" xfId="36538"/>
    <cellStyle name="Salida 2 2 4 2 5" xfId="36539"/>
    <cellStyle name="Salida 2 2 4 2 5 2" xfId="36540"/>
    <cellStyle name="Salida 2 2 4 2 6" xfId="36541"/>
    <cellStyle name="Salida 2 2 4 2 6 2" xfId="36542"/>
    <cellStyle name="Salida 2 2 4 2 7" xfId="36543"/>
    <cellStyle name="Salida 2 2 4 2 7 2" xfId="36544"/>
    <cellStyle name="Salida 2 2 4 2 8" xfId="36545"/>
    <cellStyle name="Salida 2 2 4 2 8 2" xfId="36546"/>
    <cellStyle name="Salida 2 2 4 2 9" xfId="36547"/>
    <cellStyle name="Salida 2 2 4 2 9 2" xfId="36548"/>
    <cellStyle name="Salida 2 2 4 3" xfId="36549"/>
    <cellStyle name="Salida 2 2 4 3 10" xfId="36550"/>
    <cellStyle name="Salida 2 2 4 3 10 2" xfId="36551"/>
    <cellStyle name="Salida 2 2 4 3 11" xfId="36552"/>
    <cellStyle name="Salida 2 2 4 3 2" xfId="36553"/>
    <cellStyle name="Salida 2 2 4 3 2 2" xfId="36554"/>
    <cellStyle name="Salida 2 2 4 3 3" xfId="36555"/>
    <cellStyle name="Salida 2 2 4 3 3 2" xfId="36556"/>
    <cellStyle name="Salida 2 2 4 3 4" xfId="36557"/>
    <cellStyle name="Salida 2 2 4 3 4 2" xfId="36558"/>
    <cellStyle name="Salida 2 2 4 3 5" xfId="36559"/>
    <cellStyle name="Salida 2 2 4 3 5 2" xfId="36560"/>
    <cellStyle name="Salida 2 2 4 3 6" xfId="36561"/>
    <cellStyle name="Salida 2 2 4 3 6 2" xfId="36562"/>
    <cellStyle name="Salida 2 2 4 3 7" xfId="36563"/>
    <cellStyle name="Salida 2 2 4 3 7 2" xfId="36564"/>
    <cellStyle name="Salida 2 2 4 3 8" xfId="36565"/>
    <cellStyle name="Salida 2 2 4 3 8 2" xfId="36566"/>
    <cellStyle name="Salida 2 2 4 3 9" xfId="36567"/>
    <cellStyle name="Salida 2 2 4 3 9 2" xfId="36568"/>
    <cellStyle name="Salida 2 2 4 4" xfId="36569"/>
    <cellStyle name="Salida 2 2 4 4 2" xfId="36570"/>
    <cellStyle name="Salida 2 2 4 5" xfId="36571"/>
    <cellStyle name="Salida 2 2 4 5 2" xfId="36572"/>
    <cellStyle name="Salida 2 2 4 6" xfId="36573"/>
    <cellStyle name="Salida 2 2 4 6 2" xfId="36574"/>
    <cellStyle name="Salida 2 2 4 7" xfId="36575"/>
    <cellStyle name="Salida 2 2 4 7 2" xfId="36576"/>
    <cellStyle name="Salida 2 2 4 8" xfId="36577"/>
    <cellStyle name="Salida 2 2 4 8 2" xfId="36578"/>
    <cellStyle name="Salida 2 2 4 9" xfId="36579"/>
    <cellStyle name="Salida 2 2 4 9 2" xfId="36580"/>
    <cellStyle name="Salida 2 2 5" xfId="36581"/>
    <cellStyle name="Salida 2 2 5 10" xfId="36582"/>
    <cellStyle name="Salida 2 2 5 10 2" xfId="36583"/>
    <cellStyle name="Salida 2 2 5 11" xfId="36584"/>
    <cellStyle name="Salida 2 2 5 11 2" xfId="36585"/>
    <cellStyle name="Salida 2 2 5 12" xfId="36586"/>
    <cellStyle name="Salida 2 2 5 12 2" xfId="36587"/>
    <cellStyle name="Salida 2 2 5 13" xfId="36588"/>
    <cellStyle name="Salida 2 2 5 2" xfId="36589"/>
    <cellStyle name="Salida 2 2 5 2 10" xfId="36590"/>
    <cellStyle name="Salida 2 2 5 2 10 2" xfId="36591"/>
    <cellStyle name="Salida 2 2 5 2 11" xfId="36592"/>
    <cellStyle name="Salida 2 2 5 2 2" xfId="36593"/>
    <cellStyle name="Salida 2 2 5 2 2 2" xfId="36594"/>
    <cellStyle name="Salida 2 2 5 2 3" xfId="36595"/>
    <cellStyle name="Salida 2 2 5 2 3 2" xfId="36596"/>
    <cellStyle name="Salida 2 2 5 2 4" xfId="36597"/>
    <cellStyle name="Salida 2 2 5 2 4 2" xfId="36598"/>
    <cellStyle name="Salida 2 2 5 2 5" xfId="36599"/>
    <cellStyle name="Salida 2 2 5 2 5 2" xfId="36600"/>
    <cellStyle name="Salida 2 2 5 2 6" xfId="36601"/>
    <cellStyle name="Salida 2 2 5 2 6 2" xfId="36602"/>
    <cellStyle name="Salida 2 2 5 2 7" xfId="36603"/>
    <cellStyle name="Salida 2 2 5 2 7 2" xfId="36604"/>
    <cellStyle name="Salida 2 2 5 2 8" xfId="36605"/>
    <cellStyle name="Salida 2 2 5 2 8 2" xfId="36606"/>
    <cellStyle name="Salida 2 2 5 2 9" xfId="36607"/>
    <cellStyle name="Salida 2 2 5 2 9 2" xfId="36608"/>
    <cellStyle name="Salida 2 2 5 3" xfId="36609"/>
    <cellStyle name="Salida 2 2 5 3 10" xfId="36610"/>
    <cellStyle name="Salida 2 2 5 3 10 2" xfId="36611"/>
    <cellStyle name="Salida 2 2 5 3 11" xfId="36612"/>
    <cellStyle name="Salida 2 2 5 3 2" xfId="36613"/>
    <cellStyle name="Salida 2 2 5 3 2 2" xfId="36614"/>
    <cellStyle name="Salida 2 2 5 3 3" xfId="36615"/>
    <cellStyle name="Salida 2 2 5 3 3 2" xfId="36616"/>
    <cellStyle name="Salida 2 2 5 3 4" xfId="36617"/>
    <cellStyle name="Salida 2 2 5 3 4 2" xfId="36618"/>
    <cellStyle name="Salida 2 2 5 3 5" xfId="36619"/>
    <cellStyle name="Salida 2 2 5 3 5 2" xfId="36620"/>
    <cellStyle name="Salida 2 2 5 3 6" xfId="36621"/>
    <cellStyle name="Salida 2 2 5 3 6 2" xfId="36622"/>
    <cellStyle name="Salida 2 2 5 3 7" xfId="36623"/>
    <cellStyle name="Salida 2 2 5 3 7 2" xfId="36624"/>
    <cellStyle name="Salida 2 2 5 3 8" xfId="36625"/>
    <cellStyle name="Salida 2 2 5 3 8 2" xfId="36626"/>
    <cellStyle name="Salida 2 2 5 3 9" xfId="36627"/>
    <cellStyle name="Salida 2 2 5 3 9 2" xfId="36628"/>
    <cellStyle name="Salida 2 2 5 4" xfId="36629"/>
    <cellStyle name="Salida 2 2 5 4 2" xfId="36630"/>
    <cellStyle name="Salida 2 2 5 5" xfId="36631"/>
    <cellStyle name="Salida 2 2 5 5 2" xfId="36632"/>
    <cellStyle name="Salida 2 2 5 6" xfId="36633"/>
    <cellStyle name="Salida 2 2 5 6 2" xfId="36634"/>
    <cellStyle name="Salida 2 2 5 7" xfId="36635"/>
    <cellStyle name="Salida 2 2 5 7 2" xfId="36636"/>
    <cellStyle name="Salida 2 2 5 8" xfId="36637"/>
    <cellStyle name="Salida 2 2 5 8 2" xfId="36638"/>
    <cellStyle name="Salida 2 2 5 9" xfId="36639"/>
    <cellStyle name="Salida 2 2 5 9 2" xfId="36640"/>
    <cellStyle name="Salida 2 2 6" xfId="36641"/>
    <cellStyle name="Salida 2 2 6 2" xfId="36642"/>
    <cellStyle name="Salida 2 2 7" xfId="36643"/>
    <cellStyle name="Salida 2 2 7 2" xfId="36644"/>
    <cellStyle name="Salida 2 2 8" xfId="36645"/>
    <cellStyle name="Salida 2 2 8 2" xfId="36646"/>
    <cellStyle name="Salida 2 2 9" xfId="36647"/>
    <cellStyle name="Salida 2 2 9 2" xfId="36648"/>
    <cellStyle name="Salida 2 20" xfId="36649"/>
    <cellStyle name="Salida 2 21" xfId="36650"/>
    <cellStyle name="Salida 2 3" xfId="230"/>
    <cellStyle name="Salida 2 3 10" xfId="36651"/>
    <cellStyle name="Salida 2 3 10 2" xfId="36652"/>
    <cellStyle name="Salida 2 3 11" xfId="36653"/>
    <cellStyle name="Salida 2 3 11 2" xfId="36654"/>
    <cellStyle name="Salida 2 3 12" xfId="36655"/>
    <cellStyle name="Salida 2 3 12 2" xfId="36656"/>
    <cellStyle name="Salida 2 3 13" xfId="36657"/>
    <cellStyle name="Salida 2 3 13 2" xfId="36658"/>
    <cellStyle name="Salida 2 3 14" xfId="36659"/>
    <cellStyle name="Salida 2 3 14 2" xfId="36660"/>
    <cellStyle name="Salida 2 3 15" xfId="36661"/>
    <cellStyle name="Salida 2 3 16" xfId="36662"/>
    <cellStyle name="Salida 2 3 17" xfId="36663"/>
    <cellStyle name="Salida 2 3 2" xfId="306"/>
    <cellStyle name="Salida 2 3 2 10" xfId="36664"/>
    <cellStyle name="Salida 2 3 2 10 2" xfId="36665"/>
    <cellStyle name="Salida 2 3 2 11" xfId="36666"/>
    <cellStyle name="Salida 2 3 2 11 2" xfId="36667"/>
    <cellStyle name="Salida 2 3 2 12" xfId="36668"/>
    <cellStyle name="Salida 2 3 2 12 2" xfId="36669"/>
    <cellStyle name="Salida 2 3 2 13" xfId="36670"/>
    <cellStyle name="Salida 2 3 2 13 2" xfId="36671"/>
    <cellStyle name="Salida 2 3 2 14" xfId="36672"/>
    <cellStyle name="Salida 2 3 2 14 2" xfId="36673"/>
    <cellStyle name="Salida 2 3 2 15" xfId="36674"/>
    <cellStyle name="Salida 2 3 2 16" xfId="36675"/>
    <cellStyle name="Salida 2 3 2 2" xfId="36676"/>
    <cellStyle name="Salida 2 3 2 2 10" xfId="36677"/>
    <cellStyle name="Salida 2 3 2 2 10 2" xfId="36678"/>
    <cellStyle name="Salida 2 3 2 2 11" xfId="36679"/>
    <cellStyle name="Salida 2 3 2 2 11 2" xfId="36680"/>
    <cellStyle name="Salida 2 3 2 2 12" xfId="36681"/>
    <cellStyle name="Salida 2 3 2 2 12 2" xfId="36682"/>
    <cellStyle name="Salida 2 3 2 2 13" xfId="36683"/>
    <cellStyle name="Salida 2 3 2 2 2" xfId="36684"/>
    <cellStyle name="Salida 2 3 2 2 2 10" xfId="36685"/>
    <cellStyle name="Salida 2 3 2 2 2 10 2" xfId="36686"/>
    <cellStyle name="Salida 2 3 2 2 2 11" xfId="36687"/>
    <cellStyle name="Salida 2 3 2 2 2 2" xfId="36688"/>
    <cellStyle name="Salida 2 3 2 2 2 2 2" xfId="36689"/>
    <cellStyle name="Salida 2 3 2 2 2 3" xfId="36690"/>
    <cellStyle name="Salida 2 3 2 2 2 3 2" xfId="36691"/>
    <cellStyle name="Salida 2 3 2 2 2 4" xfId="36692"/>
    <cellStyle name="Salida 2 3 2 2 2 4 2" xfId="36693"/>
    <cellStyle name="Salida 2 3 2 2 2 5" xfId="36694"/>
    <cellStyle name="Salida 2 3 2 2 2 5 2" xfId="36695"/>
    <cellStyle name="Salida 2 3 2 2 2 6" xfId="36696"/>
    <cellStyle name="Salida 2 3 2 2 2 6 2" xfId="36697"/>
    <cellStyle name="Salida 2 3 2 2 2 7" xfId="36698"/>
    <cellStyle name="Salida 2 3 2 2 2 7 2" xfId="36699"/>
    <cellStyle name="Salida 2 3 2 2 2 8" xfId="36700"/>
    <cellStyle name="Salida 2 3 2 2 2 8 2" xfId="36701"/>
    <cellStyle name="Salida 2 3 2 2 2 9" xfId="36702"/>
    <cellStyle name="Salida 2 3 2 2 2 9 2" xfId="36703"/>
    <cellStyle name="Salida 2 3 2 2 3" xfId="36704"/>
    <cellStyle name="Salida 2 3 2 2 3 10" xfId="36705"/>
    <cellStyle name="Salida 2 3 2 2 3 10 2" xfId="36706"/>
    <cellStyle name="Salida 2 3 2 2 3 11" xfId="36707"/>
    <cellStyle name="Salida 2 3 2 2 3 2" xfId="36708"/>
    <cellStyle name="Salida 2 3 2 2 3 2 2" xfId="36709"/>
    <cellStyle name="Salida 2 3 2 2 3 3" xfId="36710"/>
    <cellStyle name="Salida 2 3 2 2 3 3 2" xfId="36711"/>
    <cellStyle name="Salida 2 3 2 2 3 4" xfId="36712"/>
    <cellStyle name="Salida 2 3 2 2 3 4 2" xfId="36713"/>
    <cellStyle name="Salida 2 3 2 2 3 5" xfId="36714"/>
    <cellStyle name="Salida 2 3 2 2 3 5 2" xfId="36715"/>
    <cellStyle name="Salida 2 3 2 2 3 6" xfId="36716"/>
    <cellStyle name="Salida 2 3 2 2 3 6 2" xfId="36717"/>
    <cellStyle name="Salida 2 3 2 2 3 7" xfId="36718"/>
    <cellStyle name="Salida 2 3 2 2 3 7 2" xfId="36719"/>
    <cellStyle name="Salida 2 3 2 2 3 8" xfId="36720"/>
    <cellStyle name="Salida 2 3 2 2 3 8 2" xfId="36721"/>
    <cellStyle name="Salida 2 3 2 2 3 9" xfId="36722"/>
    <cellStyle name="Salida 2 3 2 2 3 9 2" xfId="36723"/>
    <cellStyle name="Salida 2 3 2 2 4" xfId="36724"/>
    <cellStyle name="Salida 2 3 2 2 4 2" xfId="36725"/>
    <cellStyle name="Salida 2 3 2 2 5" xfId="36726"/>
    <cellStyle name="Salida 2 3 2 2 5 2" xfId="36727"/>
    <cellStyle name="Salida 2 3 2 2 6" xfId="36728"/>
    <cellStyle name="Salida 2 3 2 2 6 2" xfId="36729"/>
    <cellStyle name="Salida 2 3 2 2 7" xfId="36730"/>
    <cellStyle name="Salida 2 3 2 2 7 2" xfId="36731"/>
    <cellStyle name="Salida 2 3 2 2 8" xfId="36732"/>
    <cellStyle name="Salida 2 3 2 2 8 2" xfId="36733"/>
    <cellStyle name="Salida 2 3 2 2 9" xfId="36734"/>
    <cellStyle name="Salida 2 3 2 2 9 2" xfId="36735"/>
    <cellStyle name="Salida 2 3 2 3" xfId="36736"/>
    <cellStyle name="Salida 2 3 2 3 10" xfId="36737"/>
    <cellStyle name="Salida 2 3 2 3 10 2" xfId="36738"/>
    <cellStyle name="Salida 2 3 2 3 11" xfId="36739"/>
    <cellStyle name="Salida 2 3 2 3 11 2" xfId="36740"/>
    <cellStyle name="Salida 2 3 2 3 12" xfId="36741"/>
    <cellStyle name="Salida 2 3 2 3 12 2" xfId="36742"/>
    <cellStyle name="Salida 2 3 2 3 13" xfId="36743"/>
    <cellStyle name="Salida 2 3 2 3 2" xfId="36744"/>
    <cellStyle name="Salida 2 3 2 3 2 10" xfId="36745"/>
    <cellStyle name="Salida 2 3 2 3 2 10 2" xfId="36746"/>
    <cellStyle name="Salida 2 3 2 3 2 11" xfId="36747"/>
    <cellStyle name="Salida 2 3 2 3 2 2" xfId="36748"/>
    <cellStyle name="Salida 2 3 2 3 2 2 2" xfId="36749"/>
    <cellStyle name="Salida 2 3 2 3 2 3" xfId="36750"/>
    <cellStyle name="Salida 2 3 2 3 2 3 2" xfId="36751"/>
    <cellStyle name="Salida 2 3 2 3 2 4" xfId="36752"/>
    <cellStyle name="Salida 2 3 2 3 2 4 2" xfId="36753"/>
    <cellStyle name="Salida 2 3 2 3 2 5" xfId="36754"/>
    <cellStyle name="Salida 2 3 2 3 2 5 2" xfId="36755"/>
    <cellStyle name="Salida 2 3 2 3 2 6" xfId="36756"/>
    <cellStyle name="Salida 2 3 2 3 2 6 2" xfId="36757"/>
    <cellStyle name="Salida 2 3 2 3 2 7" xfId="36758"/>
    <cellStyle name="Salida 2 3 2 3 2 7 2" xfId="36759"/>
    <cellStyle name="Salida 2 3 2 3 2 8" xfId="36760"/>
    <cellStyle name="Salida 2 3 2 3 2 8 2" xfId="36761"/>
    <cellStyle name="Salida 2 3 2 3 2 9" xfId="36762"/>
    <cellStyle name="Salida 2 3 2 3 2 9 2" xfId="36763"/>
    <cellStyle name="Salida 2 3 2 3 3" xfId="36764"/>
    <cellStyle name="Salida 2 3 2 3 3 10" xfId="36765"/>
    <cellStyle name="Salida 2 3 2 3 3 10 2" xfId="36766"/>
    <cellStyle name="Salida 2 3 2 3 3 11" xfId="36767"/>
    <cellStyle name="Salida 2 3 2 3 3 2" xfId="36768"/>
    <cellStyle name="Salida 2 3 2 3 3 2 2" xfId="36769"/>
    <cellStyle name="Salida 2 3 2 3 3 3" xfId="36770"/>
    <cellStyle name="Salida 2 3 2 3 3 3 2" xfId="36771"/>
    <cellStyle name="Salida 2 3 2 3 3 4" xfId="36772"/>
    <cellStyle name="Salida 2 3 2 3 3 4 2" xfId="36773"/>
    <cellStyle name="Salida 2 3 2 3 3 5" xfId="36774"/>
    <cellStyle name="Salida 2 3 2 3 3 5 2" xfId="36775"/>
    <cellStyle name="Salida 2 3 2 3 3 6" xfId="36776"/>
    <cellStyle name="Salida 2 3 2 3 3 6 2" xfId="36777"/>
    <cellStyle name="Salida 2 3 2 3 3 7" xfId="36778"/>
    <cellStyle name="Salida 2 3 2 3 3 7 2" xfId="36779"/>
    <cellStyle name="Salida 2 3 2 3 3 8" xfId="36780"/>
    <cellStyle name="Salida 2 3 2 3 3 8 2" xfId="36781"/>
    <cellStyle name="Salida 2 3 2 3 3 9" xfId="36782"/>
    <cellStyle name="Salida 2 3 2 3 3 9 2" xfId="36783"/>
    <cellStyle name="Salida 2 3 2 3 4" xfId="36784"/>
    <cellStyle name="Salida 2 3 2 3 4 2" xfId="36785"/>
    <cellStyle name="Salida 2 3 2 3 5" xfId="36786"/>
    <cellStyle name="Salida 2 3 2 3 5 2" xfId="36787"/>
    <cellStyle name="Salida 2 3 2 3 6" xfId="36788"/>
    <cellStyle name="Salida 2 3 2 3 6 2" xfId="36789"/>
    <cellStyle name="Salida 2 3 2 3 7" xfId="36790"/>
    <cellStyle name="Salida 2 3 2 3 7 2" xfId="36791"/>
    <cellStyle name="Salida 2 3 2 3 8" xfId="36792"/>
    <cellStyle name="Salida 2 3 2 3 8 2" xfId="36793"/>
    <cellStyle name="Salida 2 3 2 3 9" xfId="36794"/>
    <cellStyle name="Salida 2 3 2 3 9 2" xfId="36795"/>
    <cellStyle name="Salida 2 3 2 4" xfId="36796"/>
    <cellStyle name="Salida 2 3 2 4 10" xfId="36797"/>
    <cellStyle name="Salida 2 3 2 4 10 2" xfId="36798"/>
    <cellStyle name="Salida 2 3 2 4 11" xfId="36799"/>
    <cellStyle name="Salida 2 3 2 4 2" xfId="36800"/>
    <cellStyle name="Salida 2 3 2 4 2 2" xfId="36801"/>
    <cellStyle name="Salida 2 3 2 4 3" xfId="36802"/>
    <cellStyle name="Salida 2 3 2 4 3 2" xfId="36803"/>
    <cellStyle name="Salida 2 3 2 4 4" xfId="36804"/>
    <cellStyle name="Salida 2 3 2 4 4 2" xfId="36805"/>
    <cellStyle name="Salida 2 3 2 4 5" xfId="36806"/>
    <cellStyle name="Salida 2 3 2 4 5 2" xfId="36807"/>
    <cellStyle name="Salida 2 3 2 4 6" xfId="36808"/>
    <cellStyle name="Salida 2 3 2 4 6 2" xfId="36809"/>
    <cellStyle name="Salida 2 3 2 4 7" xfId="36810"/>
    <cellStyle name="Salida 2 3 2 4 7 2" xfId="36811"/>
    <cellStyle name="Salida 2 3 2 4 8" xfId="36812"/>
    <cellStyle name="Salida 2 3 2 4 8 2" xfId="36813"/>
    <cellStyle name="Salida 2 3 2 4 9" xfId="36814"/>
    <cellStyle name="Salida 2 3 2 4 9 2" xfId="36815"/>
    <cellStyle name="Salida 2 3 2 5" xfId="36816"/>
    <cellStyle name="Salida 2 3 2 5 10" xfId="36817"/>
    <cellStyle name="Salida 2 3 2 5 10 2" xfId="36818"/>
    <cellStyle name="Salida 2 3 2 5 11" xfId="36819"/>
    <cellStyle name="Salida 2 3 2 5 2" xfId="36820"/>
    <cellStyle name="Salida 2 3 2 5 2 2" xfId="36821"/>
    <cellStyle name="Salida 2 3 2 5 3" xfId="36822"/>
    <cellStyle name="Salida 2 3 2 5 3 2" xfId="36823"/>
    <cellStyle name="Salida 2 3 2 5 4" xfId="36824"/>
    <cellStyle name="Salida 2 3 2 5 4 2" xfId="36825"/>
    <cellStyle name="Salida 2 3 2 5 5" xfId="36826"/>
    <cellStyle name="Salida 2 3 2 5 5 2" xfId="36827"/>
    <cellStyle name="Salida 2 3 2 5 6" xfId="36828"/>
    <cellStyle name="Salida 2 3 2 5 6 2" xfId="36829"/>
    <cellStyle name="Salida 2 3 2 5 7" xfId="36830"/>
    <cellStyle name="Salida 2 3 2 5 7 2" xfId="36831"/>
    <cellStyle name="Salida 2 3 2 5 8" xfId="36832"/>
    <cellStyle name="Salida 2 3 2 5 8 2" xfId="36833"/>
    <cellStyle name="Salida 2 3 2 5 9" xfId="36834"/>
    <cellStyle name="Salida 2 3 2 5 9 2" xfId="36835"/>
    <cellStyle name="Salida 2 3 2 6" xfId="36836"/>
    <cellStyle name="Salida 2 3 2 6 2" xfId="36837"/>
    <cellStyle name="Salida 2 3 2 7" xfId="36838"/>
    <cellStyle name="Salida 2 3 2 7 2" xfId="36839"/>
    <cellStyle name="Salida 2 3 2 8" xfId="36840"/>
    <cellStyle name="Salida 2 3 2 8 2" xfId="36841"/>
    <cellStyle name="Salida 2 3 2 9" xfId="36842"/>
    <cellStyle name="Salida 2 3 2 9 2" xfId="36843"/>
    <cellStyle name="Salida 2 3 3" xfId="270"/>
    <cellStyle name="Salida 2 3 3 10" xfId="36844"/>
    <cellStyle name="Salida 2 3 3 10 2" xfId="36845"/>
    <cellStyle name="Salida 2 3 3 11" xfId="36846"/>
    <cellStyle name="Salida 2 3 3 11 2" xfId="36847"/>
    <cellStyle name="Salida 2 3 3 12" xfId="36848"/>
    <cellStyle name="Salida 2 3 3 12 2" xfId="36849"/>
    <cellStyle name="Salida 2 3 3 13" xfId="36850"/>
    <cellStyle name="Salida 2 3 3 13 2" xfId="36851"/>
    <cellStyle name="Salida 2 3 3 14" xfId="36852"/>
    <cellStyle name="Salida 2 3 3 14 2" xfId="36853"/>
    <cellStyle name="Salida 2 3 3 15" xfId="36854"/>
    <cellStyle name="Salida 2 3 3 2" xfId="36855"/>
    <cellStyle name="Salida 2 3 3 2 10" xfId="36856"/>
    <cellStyle name="Salida 2 3 3 2 10 2" xfId="36857"/>
    <cellStyle name="Salida 2 3 3 2 11" xfId="36858"/>
    <cellStyle name="Salida 2 3 3 2 11 2" xfId="36859"/>
    <cellStyle name="Salida 2 3 3 2 12" xfId="36860"/>
    <cellStyle name="Salida 2 3 3 2 12 2" xfId="36861"/>
    <cellStyle name="Salida 2 3 3 2 13" xfId="36862"/>
    <cellStyle name="Salida 2 3 3 2 2" xfId="36863"/>
    <cellStyle name="Salida 2 3 3 2 2 10" xfId="36864"/>
    <cellStyle name="Salida 2 3 3 2 2 10 2" xfId="36865"/>
    <cellStyle name="Salida 2 3 3 2 2 11" xfId="36866"/>
    <cellStyle name="Salida 2 3 3 2 2 2" xfId="36867"/>
    <cellStyle name="Salida 2 3 3 2 2 2 2" xfId="36868"/>
    <cellStyle name="Salida 2 3 3 2 2 3" xfId="36869"/>
    <cellStyle name="Salida 2 3 3 2 2 3 2" xfId="36870"/>
    <cellStyle name="Salida 2 3 3 2 2 4" xfId="36871"/>
    <cellStyle name="Salida 2 3 3 2 2 4 2" xfId="36872"/>
    <cellStyle name="Salida 2 3 3 2 2 5" xfId="36873"/>
    <cellStyle name="Salida 2 3 3 2 2 5 2" xfId="36874"/>
    <cellStyle name="Salida 2 3 3 2 2 6" xfId="36875"/>
    <cellStyle name="Salida 2 3 3 2 2 6 2" xfId="36876"/>
    <cellStyle name="Salida 2 3 3 2 2 7" xfId="36877"/>
    <cellStyle name="Salida 2 3 3 2 2 7 2" xfId="36878"/>
    <cellStyle name="Salida 2 3 3 2 2 8" xfId="36879"/>
    <cellStyle name="Salida 2 3 3 2 2 8 2" xfId="36880"/>
    <cellStyle name="Salida 2 3 3 2 2 9" xfId="36881"/>
    <cellStyle name="Salida 2 3 3 2 2 9 2" xfId="36882"/>
    <cellStyle name="Salida 2 3 3 2 3" xfId="36883"/>
    <cellStyle name="Salida 2 3 3 2 3 10" xfId="36884"/>
    <cellStyle name="Salida 2 3 3 2 3 10 2" xfId="36885"/>
    <cellStyle name="Salida 2 3 3 2 3 11" xfId="36886"/>
    <cellStyle name="Salida 2 3 3 2 3 2" xfId="36887"/>
    <cellStyle name="Salida 2 3 3 2 3 2 2" xfId="36888"/>
    <cellStyle name="Salida 2 3 3 2 3 3" xfId="36889"/>
    <cellStyle name="Salida 2 3 3 2 3 3 2" xfId="36890"/>
    <cellStyle name="Salida 2 3 3 2 3 4" xfId="36891"/>
    <cellStyle name="Salida 2 3 3 2 3 4 2" xfId="36892"/>
    <cellStyle name="Salida 2 3 3 2 3 5" xfId="36893"/>
    <cellStyle name="Salida 2 3 3 2 3 5 2" xfId="36894"/>
    <cellStyle name="Salida 2 3 3 2 3 6" xfId="36895"/>
    <cellStyle name="Salida 2 3 3 2 3 6 2" xfId="36896"/>
    <cellStyle name="Salida 2 3 3 2 3 7" xfId="36897"/>
    <cellStyle name="Salida 2 3 3 2 3 7 2" xfId="36898"/>
    <cellStyle name="Salida 2 3 3 2 3 8" xfId="36899"/>
    <cellStyle name="Salida 2 3 3 2 3 8 2" xfId="36900"/>
    <cellStyle name="Salida 2 3 3 2 3 9" xfId="36901"/>
    <cellStyle name="Salida 2 3 3 2 3 9 2" xfId="36902"/>
    <cellStyle name="Salida 2 3 3 2 4" xfId="36903"/>
    <cellStyle name="Salida 2 3 3 2 4 2" xfId="36904"/>
    <cellStyle name="Salida 2 3 3 2 5" xfId="36905"/>
    <cellStyle name="Salida 2 3 3 2 5 2" xfId="36906"/>
    <cellStyle name="Salida 2 3 3 2 6" xfId="36907"/>
    <cellStyle name="Salida 2 3 3 2 6 2" xfId="36908"/>
    <cellStyle name="Salida 2 3 3 2 7" xfId="36909"/>
    <cellStyle name="Salida 2 3 3 2 7 2" xfId="36910"/>
    <cellStyle name="Salida 2 3 3 2 8" xfId="36911"/>
    <cellStyle name="Salida 2 3 3 2 8 2" xfId="36912"/>
    <cellStyle name="Salida 2 3 3 2 9" xfId="36913"/>
    <cellStyle name="Salida 2 3 3 2 9 2" xfId="36914"/>
    <cellStyle name="Salida 2 3 3 3" xfId="36915"/>
    <cellStyle name="Salida 2 3 3 3 10" xfId="36916"/>
    <cellStyle name="Salida 2 3 3 3 10 2" xfId="36917"/>
    <cellStyle name="Salida 2 3 3 3 11" xfId="36918"/>
    <cellStyle name="Salida 2 3 3 3 11 2" xfId="36919"/>
    <cellStyle name="Salida 2 3 3 3 12" xfId="36920"/>
    <cellStyle name="Salida 2 3 3 3 12 2" xfId="36921"/>
    <cellStyle name="Salida 2 3 3 3 13" xfId="36922"/>
    <cellStyle name="Salida 2 3 3 3 2" xfId="36923"/>
    <cellStyle name="Salida 2 3 3 3 2 10" xfId="36924"/>
    <cellStyle name="Salida 2 3 3 3 2 10 2" xfId="36925"/>
    <cellStyle name="Salida 2 3 3 3 2 11" xfId="36926"/>
    <cellStyle name="Salida 2 3 3 3 2 2" xfId="36927"/>
    <cellStyle name="Salida 2 3 3 3 2 2 2" xfId="36928"/>
    <cellStyle name="Salida 2 3 3 3 2 3" xfId="36929"/>
    <cellStyle name="Salida 2 3 3 3 2 3 2" xfId="36930"/>
    <cellStyle name="Salida 2 3 3 3 2 4" xfId="36931"/>
    <cellStyle name="Salida 2 3 3 3 2 4 2" xfId="36932"/>
    <cellStyle name="Salida 2 3 3 3 2 5" xfId="36933"/>
    <cellStyle name="Salida 2 3 3 3 2 5 2" xfId="36934"/>
    <cellStyle name="Salida 2 3 3 3 2 6" xfId="36935"/>
    <cellStyle name="Salida 2 3 3 3 2 6 2" xfId="36936"/>
    <cellStyle name="Salida 2 3 3 3 2 7" xfId="36937"/>
    <cellStyle name="Salida 2 3 3 3 2 7 2" xfId="36938"/>
    <cellStyle name="Salida 2 3 3 3 2 8" xfId="36939"/>
    <cellStyle name="Salida 2 3 3 3 2 8 2" xfId="36940"/>
    <cellStyle name="Salida 2 3 3 3 2 9" xfId="36941"/>
    <cellStyle name="Salida 2 3 3 3 2 9 2" xfId="36942"/>
    <cellStyle name="Salida 2 3 3 3 3" xfId="36943"/>
    <cellStyle name="Salida 2 3 3 3 3 10" xfId="36944"/>
    <cellStyle name="Salida 2 3 3 3 3 10 2" xfId="36945"/>
    <cellStyle name="Salida 2 3 3 3 3 11" xfId="36946"/>
    <cellStyle name="Salida 2 3 3 3 3 2" xfId="36947"/>
    <cellStyle name="Salida 2 3 3 3 3 2 2" xfId="36948"/>
    <cellStyle name="Salida 2 3 3 3 3 3" xfId="36949"/>
    <cellStyle name="Salida 2 3 3 3 3 3 2" xfId="36950"/>
    <cellStyle name="Salida 2 3 3 3 3 4" xfId="36951"/>
    <cellStyle name="Salida 2 3 3 3 3 4 2" xfId="36952"/>
    <cellStyle name="Salida 2 3 3 3 3 5" xfId="36953"/>
    <cellStyle name="Salida 2 3 3 3 3 5 2" xfId="36954"/>
    <cellStyle name="Salida 2 3 3 3 3 6" xfId="36955"/>
    <cellStyle name="Salida 2 3 3 3 3 6 2" xfId="36956"/>
    <cellStyle name="Salida 2 3 3 3 3 7" xfId="36957"/>
    <cellStyle name="Salida 2 3 3 3 3 7 2" xfId="36958"/>
    <cellStyle name="Salida 2 3 3 3 3 8" xfId="36959"/>
    <cellStyle name="Salida 2 3 3 3 3 8 2" xfId="36960"/>
    <cellStyle name="Salida 2 3 3 3 3 9" xfId="36961"/>
    <cellStyle name="Salida 2 3 3 3 3 9 2" xfId="36962"/>
    <cellStyle name="Salida 2 3 3 3 4" xfId="36963"/>
    <cellStyle name="Salida 2 3 3 3 4 2" xfId="36964"/>
    <cellStyle name="Salida 2 3 3 3 5" xfId="36965"/>
    <cellStyle name="Salida 2 3 3 3 5 2" xfId="36966"/>
    <cellStyle name="Salida 2 3 3 3 6" xfId="36967"/>
    <cellStyle name="Salida 2 3 3 3 6 2" xfId="36968"/>
    <cellStyle name="Salida 2 3 3 3 7" xfId="36969"/>
    <cellStyle name="Salida 2 3 3 3 7 2" xfId="36970"/>
    <cellStyle name="Salida 2 3 3 3 8" xfId="36971"/>
    <cellStyle name="Salida 2 3 3 3 8 2" xfId="36972"/>
    <cellStyle name="Salida 2 3 3 3 9" xfId="36973"/>
    <cellStyle name="Salida 2 3 3 3 9 2" xfId="36974"/>
    <cellStyle name="Salida 2 3 3 4" xfId="36975"/>
    <cellStyle name="Salida 2 3 3 4 10" xfId="36976"/>
    <cellStyle name="Salida 2 3 3 4 10 2" xfId="36977"/>
    <cellStyle name="Salida 2 3 3 4 11" xfId="36978"/>
    <cellStyle name="Salida 2 3 3 4 2" xfId="36979"/>
    <cellStyle name="Salida 2 3 3 4 2 2" xfId="36980"/>
    <cellStyle name="Salida 2 3 3 4 3" xfId="36981"/>
    <cellStyle name="Salida 2 3 3 4 3 2" xfId="36982"/>
    <cellStyle name="Salida 2 3 3 4 4" xfId="36983"/>
    <cellStyle name="Salida 2 3 3 4 4 2" xfId="36984"/>
    <cellStyle name="Salida 2 3 3 4 5" xfId="36985"/>
    <cellStyle name="Salida 2 3 3 4 5 2" xfId="36986"/>
    <cellStyle name="Salida 2 3 3 4 6" xfId="36987"/>
    <cellStyle name="Salida 2 3 3 4 6 2" xfId="36988"/>
    <cellStyle name="Salida 2 3 3 4 7" xfId="36989"/>
    <cellStyle name="Salida 2 3 3 4 7 2" xfId="36990"/>
    <cellStyle name="Salida 2 3 3 4 8" xfId="36991"/>
    <cellStyle name="Salida 2 3 3 4 8 2" xfId="36992"/>
    <cellStyle name="Salida 2 3 3 4 9" xfId="36993"/>
    <cellStyle name="Salida 2 3 3 4 9 2" xfId="36994"/>
    <cellStyle name="Salida 2 3 3 5" xfId="36995"/>
    <cellStyle name="Salida 2 3 3 5 10" xfId="36996"/>
    <cellStyle name="Salida 2 3 3 5 10 2" xfId="36997"/>
    <cellStyle name="Salida 2 3 3 5 11" xfId="36998"/>
    <cellStyle name="Salida 2 3 3 5 2" xfId="36999"/>
    <cellStyle name="Salida 2 3 3 5 2 2" xfId="37000"/>
    <cellStyle name="Salida 2 3 3 5 3" xfId="37001"/>
    <cellStyle name="Salida 2 3 3 5 3 2" xfId="37002"/>
    <cellStyle name="Salida 2 3 3 5 4" xfId="37003"/>
    <cellStyle name="Salida 2 3 3 5 4 2" xfId="37004"/>
    <cellStyle name="Salida 2 3 3 5 5" xfId="37005"/>
    <cellStyle name="Salida 2 3 3 5 5 2" xfId="37006"/>
    <cellStyle name="Salida 2 3 3 5 6" xfId="37007"/>
    <cellStyle name="Salida 2 3 3 5 6 2" xfId="37008"/>
    <cellStyle name="Salida 2 3 3 5 7" xfId="37009"/>
    <cellStyle name="Salida 2 3 3 5 7 2" xfId="37010"/>
    <cellStyle name="Salida 2 3 3 5 8" xfId="37011"/>
    <cellStyle name="Salida 2 3 3 5 8 2" xfId="37012"/>
    <cellStyle name="Salida 2 3 3 5 9" xfId="37013"/>
    <cellStyle name="Salida 2 3 3 5 9 2" xfId="37014"/>
    <cellStyle name="Salida 2 3 3 6" xfId="37015"/>
    <cellStyle name="Salida 2 3 3 6 2" xfId="37016"/>
    <cellStyle name="Salida 2 3 3 7" xfId="37017"/>
    <cellStyle name="Salida 2 3 3 7 2" xfId="37018"/>
    <cellStyle name="Salida 2 3 3 8" xfId="37019"/>
    <cellStyle name="Salida 2 3 3 8 2" xfId="37020"/>
    <cellStyle name="Salida 2 3 3 9" xfId="37021"/>
    <cellStyle name="Salida 2 3 3 9 2" xfId="37022"/>
    <cellStyle name="Salida 2 3 4" xfId="37023"/>
    <cellStyle name="Salida 2 3 4 10" xfId="37024"/>
    <cellStyle name="Salida 2 3 4 10 2" xfId="37025"/>
    <cellStyle name="Salida 2 3 4 11" xfId="37026"/>
    <cellStyle name="Salida 2 3 4 11 2" xfId="37027"/>
    <cellStyle name="Salida 2 3 4 12" xfId="37028"/>
    <cellStyle name="Salida 2 3 4 12 2" xfId="37029"/>
    <cellStyle name="Salida 2 3 4 13" xfId="37030"/>
    <cellStyle name="Salida 2 3 4 2" xfId="37031"/>
    <cellStyle name="Salida 2 3 4 2 10" xfId="37032"/>
    <cellStyle name="Salida 2 3 4 2 10 2" xfId="37033"/>
    <cellStyle name="Salida 2 3 4 2 11" xfId="37034"/>
    <cellStyle name="Salida 2 3 4 2 2" xfId="37035"/>
    <cellStyle name="Salida 2 3 4 2 2 2" xfId="37036"/>
    <cellStyle name="Salida 2 3 4 2 3" xfId="37037"/>
    <cellStyle name="Salida 2 3 4 2 3 2" xfId="37038"/>
    <cellStyle name="Salida 2 3 4 2 4" xfId="37039"/>
    <cellStyle name="Salida 2 3 4 2 4 2" xfId="37040"/>
    <cellStyle name="Salida 2 3 4 2 5" xfId="37041"/>
    <cellStyle name="Salida 2 3 4 2 5 2" xfId="37042"/>
    <cellStyle name="Salida 2 3 4 2 6" xfId="37043"/>
    <cellStyle name="Salida 2 3 4 2 6 2" xfId="37044"/>
    <cellStyle name="Salida 2 3 4 2 7" xfId="37045"/>
    <cellStyle name="Salida 2 3 4 2 7 2" xfId="37046"/>
    <cellStyle name="Salida 2 3 4 2 8" xfId="37047"/>
    <cellStyle name="Salida 2 3 4 2 8 2" xfId="37048"/>
    <cellStyle name="Salida 2 3 4 2 9" xfId="37049"/>
    <cellStyle name="Salida 2 3 4 2 9 2" xfId="37050"/>
    <cellStyle name="Salida 2 3 4 3" xfId="37051"/>
    <cellStyle name="Salida 2 3 4 3 10" xfId="37052"/>
    <cellStyle name="Salida 2 3 4 3 10 2" xfId="37053"/>
    <cellStyle name="Salida 2 3 4 3 11" xfId="37054"/>
    <cellStyle name="Salida 2 3 4 3 2" xfId="37055"/>
    <cellStyle name="Salida 2 3 4 3 2 2" xfId="37056"/>
    <cellStyle name="Salida 2 3 4 3 3" xfId="37057"/>
    <cellStyle name="Salida 2 3 4 3 3 2" xfId="37058"/>
    <cellStyle name="Salida 2 3 4 3 4" xfId="37059"/>
    <cellStyle name="Salida 2 3 4 3 4 2" xfId="37060"/>
    <cellStyle name="Salida 2 3 4 3 5" xfId="37061"/>
    <cellStyle name="Salida 2 3 4 3 5 2" xfId="37062"/>
    <cellStyle name="Salida 2 3 4 3 6" xfId="37063"/>
    <cellStyle name="Salida 2 3 4 3 6 2" xfId="37064"/>
    <cellStyle name="Salida 2 3 4 3 7" xfId="37065"/>
    <cellStyle name="Salida 2 3 4 3 7 2" xfId="37066"/>
    <cellStyle name="Salida 2 3 4 3 8" xfId="37067"/>
    <cellStyle name="Salida 2 3 4 3 8 2" xfId="37068"/>
    <cellStyle name="Salida 2 3 4 3 9" xfId="37069"/>
    <cellStyle name="Salida 2 3 4 3 9 2" xfId="37070"/>
    <cellStyle name="Salida 2 3 4 4" xfId="37071"/>
    <cellStyle name="Salida 2 3 4 4 2" xfId="37072"/>
    <cellStyle name="Salida 2 3 4 5" xfId="37073"/>
    <cellStyle name="Salida 2 3 4 5 2" xfId="37074"/>
    <cellStyle name="Salida 2 3 4 6" xfId="37075"/>
    <cellStyle name="Salida 2 3 4 6 2" xfId="37076"/>
    <cellStyle name="Salida 2 3 4 7" xfId="37077"/>
    <cellStyle name="Salida 2 3 4 7 2" xfId="37078"/>
    <cellStyle name="Salida 2 3 4 8" xfId="37079"/>
    <cellStyle name="Salida 2 3 4 8 2" xfId="37080"/>
    <cellStyle name="Salida 2 3 4 9" xfId="37081"/>
    <cellStyle name="Salida 2 3 4 9 2" xfId="37082"/>
    <cellStyle name="Salida 2 3 5" xfId="37083"/>
    <cellStyle name="Salida 2 3 5 10" xfId="37084"/>
    <cellStyle name="Salida 2 3 5 10 2" xfId="37085"/>
    <cellStyle name="Salida 2 3 5 11" xfId="37086"/>
    <cellStyle name="Salida 2 3 5 11 2" xfId="37087"/>
    <cellStyle name="Salida 2 3 5 12" xfId="37088"/>
    <cellStyle name="Salida 2 3 5 12 2" xfId="37089"/>
    <cellStyle name="Salida 2 3 5 13" xfId="37090"/>
    <cellStyle name="Salida 2 3 5 2" xfId="37091"/>
    <cellStyle name="Salida 2 3 5 2 10" xfId="37092"/>
    <cellStyle name="Salida 2 3 5 2 10 2" xfId="37093"/>
    <cellStyle name="Salida 2 3 5 2 11" xfId="37094"/>
    <cellStyle name="Salida 2 3 5 2 2" xfId="37095"/>
    <cellStyle name="Salida 2 3 5 2 2 2" xfId="37096"/>
    <cellStyle name="Salida 2 3 5 2 3" xfId="37097"/>
    <cellStyle name="Salida 2 3 5 2 3 2" xfId="37098"/>
    <cellStyle name="Salida 2 3 5 2 4" xfId="37099"/>
    <cellStyle name="Salida 2 3 5 2 4 2" xfId="37100"/>
    <cellStyle name="Salida 2 3 5 2 5" xfId="37101"/>
    <cellStyle name="Salida 2 3 5 2 5 2" xfId="37102"/>
    <cellStyle name="Salida 2 3 5 2 6" xfId="37103"/>
    <cellStyle name="Salida 2 3 5 2 6 2" xfId="37104"/>
    <cellStyle name="Salida 2 3 5 2 7" xfId="37105"/>
    <cellStyle name="Salida 2 3 5 2 7 2" xfId="37106"/>
    <cellStyle name="Salida 2 3 5 2 8" xfId="37107"/>
    <cellStyle name="Salida 2 3 5 2 8 2" xfId="37108"/>
    <cellStyle name="Salida 2 3 5 2 9" xfId="37109"/>
    <cellStyle name="Salida 2 3 5 2 9 2" xfId="37110"/>
    <cellStyle name="Salida 2 3 5 3" xfId="37111"/>
    <cellStyle name="Salida 2 3 5 3 10" xfId="37112"/>
    <cellStyle name="Salida 2 3 5 3 10 2" xfId="37113"/>
    <cellStyle name="Salida 2 3 5 3 11" xfId="37114"/>
    <cellStyle name="Salida 2 3 5 3 2" xfId="37115"/>
    <cellStyle name="Salida 2 3 5 3 2 2" xfId="37116"/>
    <cellStyle name="Salida 2 3 5 3 3" xfId="37117"/>
    <cellStyle name="Salida 2 3 5 3 3 2" xfId="37118"/>
    <cellStyle name="Salida 2 3 5 3 4" xfId="37119"/>
    <cellStyle name="Salida 2 3 5 3 4 2" xfId="37120"/>
    <cellStyle name="Salida 2 3 5 3 5" xfId="37121"/>
    <cellStyle name="Salida 2 3 5 3 5 2" xfId="37122"/>
    <cellStyle name="Salida 2 3 5 3 6" xfId="37123"/>
    <cellStyle name="Salida 2 3 5 3 6 2" xfId="37124"/>
    <cellStyle name="Salida 2 3 5 3 7" xfId="37125"/>
    <cellStyle name="Salida 2 3 5 3 7 2" xfId="37126"/>
    <cellStyle name="Salida 2 3 5 3 8" xfId="37127"/>
    <cellStyle name="Salida 2 3 5 3 8 2" xfId="37128"/>
    <cellStyle name="Salida 2 3 5 3 9" xfId="37129"/>
    <cellStyle name="Salida 2 3 5 3 9 2" xfId="37130"/>
    <cellStyle name="Salida 2 3 5 4" xfId="37131"/>
    <cellStyle name="Salida 2 3 5 4 2" xfId="37132"/>
    <cellStyle name="Salida 2 3 5 5" xfId="37133"/>
    <cellStyle name="Salida 2 3 5 5 2" xfId="37134"/>
    <cellStyle name="Salida 2 3 5 6" xfId="37135"/>
    <cellStyle name="Salida 2 3 5 6 2" xfId="37136"/>
    <cellStyle name="Salida 2 3 5 7" xfId="37137"/>
    <cellStyle name="Salida 2 3 5 7 2" xfId="37138"/>
    <cellStyle name="Salida 2 3 5 8" xfId="37139"/>
    <cellStyle name="Salida 2 3 5 8 2" xfId="37140"/>
    <cellStyle name="Salida 2 3 5 9" xfId="37141"/>
    <cellStyle name="Salida 2 3 5 9 2" xfId="37142"/>
    <cellStyle name="Salida 2 3 6" xfId="37143"/>
    <cellStyle name="Salida 2 3 6 2" xfId="37144"/>
    <cellStyle name="Salida 2 3 7" xfId="37145"/>
    <cellStyle name="Salida 2 3 7 2" xfId="37146"/>
    <cellStyle name="Salida 2 3 8" xfId="37147"/>
    <cellStyle name="Salida 2 3 8 2" xfId="37148"/>
    <cellStyle name="Salida 2 3 9" xfId="37149"/>
    <cellStyle name="Salida 2 3 9 2" xfId="37150"/>
    <cellStyle name="Salida 2 4" xfId="304"/>
    <cellStyle name="Salida 2 4 10" xfId="37151"/>
    <cellStyle name="Salida 2 4 10 2" xfId="37152"/>
    <cellStyle name="Salida 2 4 11" xfId="37153"/>
    <cellStyle name="Salida 2 4 11 2" xfId="37154"/>
    <cellStyle name="Salida 2 4 12" xfId="37155"/>
    <cellStyle name="Salida 2 4 12 2" xfId="37156"/>
    <cellStyle name="Salida 2 4 13" xfId="37157"/>
    <cellStyle name="Salida 2 4 13 2" xfId="37158"/>
    <cellStyle name="Salida 2 4 14" xfId="37159"/>
    <cellStyle name="Salida 2 4 14 2" xfId="37160"/>
    <cellStyle name="Salida 2 4 15" xfId="37161"/>
    <cellStyle name="Salida 2 4 16" xfId="37162"/>
    <cellStyle name="Salida 2 4 2" xfId="37163"/>
    <cellStyle name="Salida 2 4 2 10" xfId="37164"/>
    <cellStyle name="Salida 2 4 2 10 2" xfId="37165"/>
    <cellStyle name="Salida 2 4 2 11" xfId="37166"/>
    <cellStyle name="Salida 2 4 2 11 2" xfId="37167"/>
    <cellStyle name="Salida 2 4 2 12" xfId="37168"/>
    <cellStyle name="Salida 2 4 2 12 2" xfId="37169"/>
    <cellStyle name="Salida 2 4 2 13" xfId="37170"/>
    <cellStyle name="Salida 2 4 2 2" xfId="37171"/>
    <cellStyle name="Salida 2 4 2 2 10" xfId="37172"/>
    <cellStyle name="Salida 2 4 2 2 10 2" xfId="37173"/>
    <cellStyle name="Salida 2 4 2 2 11" xfId="37174"/>
    <cellStyle name="Salida 2 4 2 2 2" xfId="37175"/>
    <cellStyle name="Salida 2 4 2 2 2 2" xfId="37176"/>
    <cellStyle name="Salida 2 4 2 2 3" xfId="37177"/>
    <cellStyle name="Salida 2 4 2 2 3 2" xfId="37178"/>
    <cellStyle name="Salida 2 4 2 2 4" xfId="37179"/>
    <cellStyle name="Salida 2 4 2 2 4 2" xfId="37180"/>
    <cellStyle name="Salida 2 4 2 2 5" xfId="37181"/>
    <cellStyle name="Salida 2 4 2 2 5 2" xfId="37182"/>
    <cellStyle name="Salida 2 4 2 2 6" xfId="37183"/>
    <cellStyle name="Salida 2 4 2 2 6 2" xfId="37184"/>
    <cellStyle name="Salida 2 4 2 2 7" xfId="37185"/>
    <cellStyle name="Salida 2 4 2 2 7 2" xfId="37186"/>
    <cellStyle name="Salida 2 4 2 2 8" xfId="37187"/>
    <cellStyle name="Salida 2 4 2 2 8 2" xfId="37188"/>
    <cellStyle name="Salida 2 4 2 2 9" xfId="37189"/>
    <cellStyle name="Salida 2 4 2 2 9 2" xfId="37190"/>
    <cellStyle name="Salida 2 4 2 3" xfId="37191"/>
    <cellStyle name="Salida 2 4 2 3 10" xfId="37192"/>
    <cellStyle name="Salida 2 4 2 3 10 2" xfId="37193"/>
    <cellStyle name="Salida 2 4 2 3 11" xfId="37194"/>
    <cellStyle name="Salida 2 4 2 3 2" xfId="37195"/>
    <cellStyle name="Salida 2 4 2 3 2 2" xfId="37196"/>
    <cellStyle name="Salida 2 4 2 3 3" xfId="37197"/>
    <cellStyle name="Salida 2 4 2 3 3 2" xfId="37198"/>
    <cellStyle name="Salida 2 4 2 3 4" xfId="37199"/>
    <cellStyle name="Salida 2 4 2 3 4 2" xfId="37200"/>
    <cellStyle name="Salida 2 4 2 3 5" xfId="37201"/>
    <cellStyle name="Salida 2 4 2 3 5 2" xfId="37202"/>
    <cellStyle name="Salida 2 4 2 3 6" xfId="37203"/>
    <cellStyle name="Salida 2 4 2 3 6 2" xfId="37204"/>
    <cellStyle name="Salida 2 4 2 3 7" xfId="37205"/>
    <cellStyle name="Salida 2 4 2 3 7 2" xfId="37206"/>
    <cellStyle name="Salida 2 4 2 3 8" xfId="37207"/>
    <cellStyle name="Salida 2 4 2 3 8 2" xfId="37208"/>
    <cellStyle name="Salida 2 4 2 3 9" xfId="37209"/>
    <cellStyle name="Salida 2 4 2 3 9 2" xfId="37210"/>
    <cellStyle name="Salida 2 4 2 4" xfId="37211"/>
    <cellStyle name="Salida 2 4 2 4 2" xfId="37212"/>
    <cellStyle name="Salida 2 4 2 5" xfId="37213"/>
    <cellStyle name="Salida 2 4 2 5 2" xfId="37214"/>
    <cellStyle name="Salida 2 4 2 6" xfId="37215"/>
    <cellStyle name="Salida 2 4 2 6 2" xfId="37216"/>
    <cellStyle name="Salida 2 4 2 7" xfId="37217"/>
    <cellStyle name="Salida 2 4 2 7 2" xfId="37218"/>
    <cellStyle name="Salida 2 4 2 8" xfId="37219"/>
    <cellStyle name="Salida 2 4 2 8 2" xfId="37220"/>
    <cellStyle name="Salida 2 4 2 9" xfId="37221"/>
    <cellStyle name="Salida 2 4 2 9 2" xfId="37222"/>
    <cellStyle name="Salida 2 4 3" xfId="37223"/>
    <cellStyle name="Salida 2 4 3 10" xfId="37224"/>
    <cellStyle name="Salida 2 4 3 10 2" xfId="37225"/>
    <cellStyle name="Salida 2 4 3 11" xfId="37226"/>
    <cellStyle name="Salida 2 4 3 11 2" xfId="37227"/>
    <cellStyle name="Salida 2 4 3 12" xfId="37228"/>
    <cellStyle name="Salida 2 4 3 12 2" xfId="37229"/>
    <cellStyle name="Salida 2 4 3 13" xfId="37230"/>
    <cellStyle name="Salida 2 4 3 2" xfId="37231"/>
    <cellStyle name="Salida 2 4 3 2 10" xfId="37232"/>
    <cellStyle name="Salida 2 4 3 2 10 2" xfId="37233"/>
    <cellStyle name="Salida 2 4 3 2 11" xfId="37234"/>
    <cellStyle name="Salida 2 4 3 2 2" xfId="37235"/>
    <cellStyle name="Salida 2 4 3 2 2 2" xfId="37236"/>
    <cellStyle name="Salida 2 4 3 2 3" xfId="37237"/>
    <cellStyle name="Salida 2 4 3 2 3 2" xfId="37238"/>
    <cellStyle name="Salida 2 4 3 2 4" xfId="37239"/>
    <cellStyle name="Salida 2 4 3 2 4 2" xfId="37240"/>
    <cellStyle name="Salida 2 4 3 2 5" xfId="37241"/>
    <cellStyle name="Salida 2 4 3 2 5 2" xfId="37242"/>
    <cellStyle name="Salida 2 4 3 2 6" xfId="37243"/>
    <cellStyle name="Salida 2 4 3 2 6 2" xfId="37244"/>
    <cellStyle name="Salida 2 4 3 2 7" xfId="37245"/>
    <cellStyle name="Salida 2 4 3 2 7 2" xfId="37246"/>
    <cellStyle name="Salida 2 4 3 2 8" xfId="37247"/>
    <cellStyle name="Salida 2 4 3 2 8 2" xfId="37248"/>
    <cellStyle name="Salida 2 4 3 2 9" xfId="37249"/>
    <cellStyle name="Salida 2 4 3 2 9 2" xfId="37250"/>
    <cellStyle name="Salida 2 4 3 3" xfId="37251"/>
    <cellStyle name="Salida 2 4 3 3 10" xfId="37252"/>
    <cellStyle name="Salida 2 4 3 3 10 2" xfId="37253"/>
    <cellStyle name="Salida 2 4 3 3 11" xfId="37254"/>
    <cellStyle name="Salida 2 4 3 3 2" xfId="37255"/>
    <cellStyle name="Salida 2 4 3 3 2 2" xfId="37256"/>
    <cellStyle name="Salida 2 4 3 3 3" xfId="37257"/>
    <cellStyle name="Salida 2 4 3 3 3 2" xfId="37258"/>
    <cellStyle name="Salida 2 4 3 3 4" xfId="37259"/>
    <cellStyle name="Salida 2 4 3 3 4 2" xfId="37260"/>
    <cellStyle name="Salida 2 4 3 3 5" xfId="37261"/>
    <cellStyle name="Salida 2 4 3 3 5 2" xfId="37262"/>
    <cellStyle name="Salida 2 4 3 3 6" xfId="37263"/>
    <cellStyle name="Salida 2 4 3 3 6 2" xfId="37264"/>
    <cellStyle name="Salida 2 4 3 3 7" xfId="37265"/>
    <cellStyle name="Salida 2 4 3 3 7 2" xfId="37266"/>
    <cellStyle name="Salida 2 4 3 3 8" xfId="37267"/>
    <cellStyle name="Salida 2 4 3 3 8 2" xfId="37268"/>
    <cellStyle name="Salida 2 4 3 3 9" xfId="37269"/>
    <cellStyle name="Salida 2 4 3 3 9 2" xfId="37270"/>
    <cellStyle name="Salida 2 4 3 4" xfId="37271"/>
    <cellStyle name="Salida 2 4 3 4 2" xfId="37272"/>
    <cellStyle name="Salida 2 4 3 5" xfId="37273"/>
    <cellStyle name="Salida 2 4 3 5 2" xfId="37274"/>
    <cellStyle name="Salida 2 4 3 6" xfId="37275"/>
    <cellStyle name="Salida 2 4 3 6 2" xfId="37276"/>
    <cellStyle name="Salida 2 4 3 7" xfId="37277"/>
    <cellStyle name="Salida 2 4 3 7 2" xfId="37278"/>
    <cellStyle name="Salida 2 4 3 8" xfId="37279"/>
    <cellStyle name="Salida 2 4 3 8 2" xfId="37280"/>
    <cellStyle name="Salida 2 4 3 9" xfId="37281"/>
    <cellStyle name="Salida 2 4 3 9 2" xfId="37282"/>
    <cellStyle name="Salida 2 4 4" xfId="37283"/>
    <cellStyle name="Salida 2 4 4 10" xfId="37284"/>
    <cellStyle name="Salida 2 4 4 10 2" xfId="37285"/>
    <cellStyle name="Salida 2 4 4 11" xfId="37286"/>
    <cellStyle name="Salida 2 4 4 2" xfId="37287"/>
    <cellStyle name="Salida 2 4 4 2 2" xfId="37288"/>
    <cellStyle name="Salida 2 4 4 3" xfId="37289"/>
    <cellStyle name="Salida 2 4 4 3 2" xfId="37290"/>
    <cellStyle name="Salida 2 4 4 4" xfId="37291"/>
    <cellStyle name="Salida 2 4 4 4 2" xfId="37292"/>
    <cellStyle name="Salida 2 4 4 5" xfId="37293"/>
    <cellStyle name="Salida 2 4 4 5 2" xfId="37294"/>
    <cellStyle name="Salida 2 4 4 6" xfId="37295"/>
    <cellStyle name="Salida 2 4 4 6 2" xfId="37296"/>
    <cellStyle name="Salida 2 4 4 7" xfId="37297"/>
    <cellStyle name="Salida 2 4 4 7 2" xfId="37298"/>
    <cellStyle name="Salida 2 4 4 8" xfId="37299"/>
    <cellStyle name="Salida 2 4 4 8 2" xfId="37300"/>
    <cellStyle name="Salida 2 4 4 9" xfId="37301"/>
    <cellStyle name="Salida 2 4 4 9 2" xfId="37302"/>
    <cellStyle name="Salida 2 4 5" xfId="37303"/>
    <cellStyle name="Salida 2 4 5 10" xfId="37304"/>
    <cellStyle name="Salida 2 4 5 10 2" xfId="37305"/>
    <cellStyle name="Salida 2 4 5 11" xfId="37306"/>
    <cellStyle name="Salida 2 4 5 2" xfId="37307"/>
    <cellStyle name="Salida 2 4 5 2 2" xfId="37308"/>
    <cellStyle name="Salida 2 4 5 3" xfId="37309"/>
    <cellStyle name="Salida 2 4 5 3 2" xfId="37310"/>
    <cellStyle name="Salida 2 4 5 4" xfId="37311"/>
    <cellStyle name="Salida 2 4 5 4 2" xfId="37312"/>
    <cellStyle name="Salida 2 4 5 5" xfId="37313"/>
    <cellStyle name="Salida 2 4 5 5 2" xfId="37314"/>
    <cellStyle name="Salida 2 4 5 6" xfId="37315"/>
    <cellStyle name="Salida 2 4 5 6 2" xfId="37316"/>
    <cellStyle name="Salida 2 4 5 7" xfId="37317"/>
    <cellStyle name="Salida 2 4 5 7 2" xfId="37318"/>
    <cellStyle name="Salida 2 4 5 8" xfId="37319"/>
    <cellStyle name="Salida 2 4 5 8 2" xfId="37320"/>
    <cellStyle name="Salida 2 4 5 9" xfId="37321"/>
    <cellStyle name="Salida 2 4 5 9 2" xfId="37322"/>
    <cellStyle name="Salida 2 4 6" xfId="37323"/>
    <cellStyle name="Salida 2 4 6 2" xfId="37324"/>
    <cellStyle name="Salida 2 4 7" xfId="37325"/>
    <cellStyle name="Salida 2 4 7 2" xfId="37326"/>
    <cellStyle name="Salida 2 4 8" xfId="37327"/>
    <cellStyle name="Salida 2 4 8 2" xfId="37328"/>
    <cellStyle name="Salida 2 4 9" xfId="37329"/>
    <cellStyle name="Salida 2 4 9 2" xfId="37330"/>
    <cellStyle name="Salida 2 5" xfId="271"/>
    <cellStyle name="Salida 2 5 10" xfId="37331"/>
    <cellStyle name="Salida 2 5 10 2" xfId="37332"/>
    <cellStyle name="Salida 2 5 11" xfId="37333"/>
    <cellStyle name="Salida 2 5 11 2" xfId="37334"/>
    <cellStyle name="Salida 2 5 12" xfId="37335"/>
    <cellStyle name="Salida 2 5 12 2" xfId="37336"/>
    <cellStyle name="Salida 2 5 13" xfId="37337"/>
    <cellStyle name="Salida 2 5 13 2" xfId="37338"/>
    <cellStyle name="Salida 2 5 14" xfId="37339"/>
    <cellStyle name="Salida 2 5 14 2" xfId="37340"/>
    <cellStyle name="Salida 2 5 15" xfId="37341"/>
    <cellStyle name="Salida 2 5 2" xfId="37342"/>
    <cellStyle name="Salida 2 5 2 10" xfId="37343"/>
    <cellStyle name="Salida 2 5 2 10 2" xfId="37344"/>
    <cellStyle name="Salida 2 5 2 11" xfId="37345"/>
    <cellStyle name="Salida 2 5 2 11 2" xfId="37346"/>
    <cellStyle name="Salida 2 5 2 12" xfId="37347"/>
    <cellStyle name="Salida 2 5 2 12 2" xfId="37348"/>
    <cellStyle name="Salida 2 5 2 13" xfId="37349"/>
    <cellStyle name="Salida 2 5 2 2" xfId="37350"/>
    <cellStyle name="Salida 2 5 2 2 10" xfId="37351"/>
    <cellStyle name="Salida 2 5 2 2 10 2" xfId="37352"/>
    <cellStyle name="Salida 2 5 2 2 11" xfId="37353"/>
    <cellStyle name="Salida 2 5 2 2 2" xfId="37354"/>
    <cellStyle name="Salida 2 5 2 2 2 2" xfId="37355"/>
    <cellStyle name="Salida 2 5 2 2 3" xfId="37356"/>
    <cellStyle name="Salida 2 5 2 2 3 2" xfId="37357"/>
    <cellStyle name="Salida 2 5 2 2 4" xfId="37358"/>
    <cellStyle name="Salida 2 5 2 2 4 2" xfId="37359"/>
    <cellStyle name="Salida 2 5 2 2 5" xfId="37360"/>
    <cellStyle name="Salida 2 5 2 2 5 2" xfId="37361"/>
    <cellStyle name="Salida 2 5 2 2 6" xfId="37362"/>
    <cellStyle name="Salida 2 5 2 2 6 2" xfId="37363"/>
    <cellStyle name="Salida 2 5 2 2 7" xfId="37364"/>
    <cellStyle name="Salida 2 5 2 2 7 2" xfId="37365"/>
    <cellStyle name="Salida 2 5 2 2 8" xfId="37366"/>
    <cellStyle name="Salida 2 5 2 2 8 2" xfId="37367"/>
    <cellStyle name="Salida 2 5 2 2 9" xfId="37368"/>
    <cellStyle name="Salida 2 5 2 2 9 2" xfId="37369"/>
    <cellStyle name="Salida 2 5 2 3" xfId="37370"/>
    <cellStyle name="Salida 2 5 2 3 10" xfId="37371"/>
    <cellStyle name="Salida 2 5 2 3 10 2" xfId="37372"/>
    <cellStyle name="Salida 2 5 2 3 11" xfId="37373"/>
    <cellStyle name="Salida 2 5 2 3 2" xfId="37374"/>
    <cellStyle name="Salida 2 5 2 3 2 2" xfId="37375"/>
    <cellStyle name="Salida 2 5 2 3 3" xfId="37376"/>
    <cellStyle name="Salida 2 5 2 3 3 2" xfId="37377"/>
    <cellStyle name="Salida 2 5 2 3 4" xfId="37378"/>
    <cellStyle name="Salida 2 5 2 3 4 2" xfId="37379"/>
    <cellStyle name="Salida 2 5 2 3 5" xfId="37380"/>
    <cellStyle name="Salida 2 5 2 3 5 2" xfId="37381"/>
    <cellStyle name="Salida 2 5 2 3 6" xfId="37382"/>
    <cellStyle name="Salida 2 5 2 3 6 2" xfId="37383"/>
    <cellStyle name="Salida 2 5 2 3 7" xfId="37384"/>
    <cellStyle name="Salida 2 5 2 3 7 2" xfId="37385"/>
    <cellStyle name="Salida 2 5 2 3 8" xfId="37386"/>
    <cellStyle name="Salida 2 5 2 3 8 2" xfId="37387"/>
    <cellStyle name="Salida 2 5 2 3 9" xfId="37388"/>
    <cellStyle name="Salida 2 5 2 3 9 2" xfId="37389"/>
    <cellStyle name="Salida 2 5 2 4" xfId="37390"/>
    <cellStyle name="Salida 2 5 2 4 2" xfId="37391"/>
    <cellStyle name="Salida 2 5 2 5" xfId="37392"/>
    <cellStyle name="Salida 2 5 2 5 2" xfId="37393"/>
    <cellStyle name="Salida 2 5 2 6" xfId="37394"/>
    <cellStyle name="Salida 2 5 2 6 2" xfId="37395"/>
    <cellStyle name="Salida 2 5 2 7" xfId="37396"/>
    <cellStyle name="Salida 2 5 2 7 2" xfId="37397"/>
    <cellStyle name="Salida 2 5 2 8" xfId="37398"/>
    <cellStyle name="Salida 2 5 2 8 2" xfId="37399"/>
    <cellStyle name="Salida 2 5 2 9" xfId="37400"/>
    <cellStyle name="Salida 2 5 2 9 2" xfId="37401"/>
    <cellStyle name="Salida 2 5 3" xfId="37402"/>
    <cellStyle name="Salida 2 5 3 10" xfId="37403"/>
    <cellStyle name="Salida 2 5 3 10 2" xfId="37404"/>
    <cellStyle name="Salida 2 5 3 11" xfId="37405"/>
    <cellStyle name="Salida 2 5 3 11 2" xfId="37406"/>
    <cellStyle name="Salida 2 5 3 12" xfId="37407"/>
    <cellStyle name="Salida 2 5 3 12 2" xfId="37408"/>
    <cellStyle name="Salida 2 5 3 13" xfId="37409"/>
    <cellStyle name="Salida 2 5 3 2" xfId="37410"/>
    <cellStyle name="Salida 2 5 3 2 10" xfId="37411"/>
    <cellStyle name="Salida 2 5 3 2 10 2" xfId="37412"/>
    <cellStyle name="Salida 2 5 3 2 11" xfId="37413"/>
    <cellStyle name="Salida 2 5 3 2 2" xfId="37414"/>
    <cellStyle name="Salida 2 5 3 2 2 2" xfId="37415"/>
    <cellStyle name="Salida 2 5 3 2 3" xfId="37416"/>
    <cellStyle name="Salida 2 5 3 2 3 2" xfId="37417"/>
    <cellStyle name="Salida 2 5 3 2 4" xfId="37418"/>
    <cellStyle name="Salida 2 5 3 2 4 2" xfId="37419"/>
    <cellStyle name="Salida 2 5 3 2 5" xfId="37420"/>
    <cellStyle name="Salida 2 5 3 2 5 2" xfId="37421"/>
    <cellStyle name="Salida 2 5 3 2 6" xfId="37422"/>
    <cellStyle name="Salida 2 5 3 2 6 2" xfId="37423"/>
    <cellStyle name="Salida 2 5 3 2 7" xfId="37424"/>
    <cellStyle name="Salida 2 5 3 2 7 2" xfId="37425"/>
    <cellStyle name="Salida 2 5 3 2 8" xfId="37426"/>
    <cellStyle name="Salida 2 5 3 2 8 2" xfId="37427"/>
    <cellStyle name="Salida 2 5 3 2 9" xfId="37428"/>
    <cellStyle name="Salida 2 5 3 2 9 2" xfId="37429"/>
    <cellStyle name="Salida 2 5 3 3" xfId="37430"/>
    <cellStyle name="Salida 2 5 3 3 10" xfId="37431"/>
    <cellStyle name="Salida 2 5 3 3 10 2" xfId="37432"/>
    <cellStyle name="Salida 2 5 3 3 11" xfId="37433"/>
    <cellStyle name="Salida 2 5 3 3 2" xfId="37434"/>
    <cellStyle name="Salida 2 5 3 3 2 2" xfId="37435"/>
    <cellStyle name="Salida 2 5 3 3 3" xfId="37436"/>
    <cellStyle name="Salida 2 5 3 3 3 2" xfId="37437"/>
    <cellStyle name="Salida 2 5 3 3 4" xfId="37438"/>
    <cellStyle name="Salida 2 5 3 3 4 2" xfId="37439"/>
    <cellStyle name="Salida 2 5 3 3 5" xfId="37440"/>
    <cellStyle name="Salida 2 5 3 3 5 2" xfId="37441"/>
    <cellStyle name="Salida 2 5 3 3 6" xfId="37442"/>
    <cellStyle name="Salida 2 5 3 3 6 2" xfId="37443"/>
    <cellStyle name="Salida 2 5 3 3 7" xfId="37444"/>
    <cellStyle name="Salida 2 5 3 3 7 2" xfId="37445"/>
    <cellStyle name="Salida 2 5 3 3 8" xfId="37446"/>
    <cellStyle name="Salida 2 5 3 3 8 2" xfId="37447"/>
    <cellStyle name="Salida 2 5 3 3 9" xfId="37448"/>
    <cellStyle name="Salida 2 5 3 3 9 2" xfId="37449"/>
    <cellStyle name="Salida 2 5 3 4" xfId="37450"/>
    <cellStyle name="Salida 2 5 3 4 2" xfId="37451"/>
    <cellStyle name="Salida 2 5 3 5" xfId="37452"/>
    <cellStyle name="Salida 2 5 3 5 2" xfId="37453"/>
    <cellStyle name="Salida 2 5 3 6" xfId="37454"/>
    <cellStyle name="Salida 2 5 3 6 2" xfId="37455"/>
    <cellStyle name="Salida 2 5 3 7" xfId="37456"/>
    <cellStyle name="Salida 2 5 3 7 2" xfId="37457"/>
    <cellStyle name="Salida 2 5 3 8" xfId="37458"/>
    <cellStyle name="Salida 2 5 3 8 2" xfId="37459"/>
    <cellStyle name="Salida 2 5 3 9" xfId="37460"/>
    <cellStyle name="Salida 2 5 3 9 2" xfId="37461"/>
    <cellStyle name="Salida 2 5 4" xfId="37462"/>
    <cellStyle name="Salida 2 5 4 10" xfId="37463"/>
    <cellStyle name="Salida 2 5 4 10 2" xfId="37464"/>
    <cellStyle name="Salida 2 5 4 11" xfId="37465"/>
    <cellStyle name="Salida 2 5 4 2" xfId="37466"/>
    <cellStyle name="Salida 2 5 4 2 2" xfId="37467"/>
    <cellStyle name="Salida 2 5 4 3" xfId="37468"/>
    <cellStyle name="Salida 2 5 4 3 2" xfId="37469"/>
    <cellStyle name="Salida 2 5 4 4" xfId="37470"/>
    <cellStyle name="Salida 2 5 4 4 2" xfId="37471"/>
    <cellStyle name="Salida 2 5 4 5" xfId="37472"/>
    <cellStyle name="Salida 2 5 4 5 2" xfId="37473"/>
    <cellStyle name="Salida 2 5 4 6" xfId="37474"/>
    <cellStyle name="Salida 2 5 4 6 2" xfId="37475"/>
    <cellStyle name="Salida 2 5 4 7" xfId="37476"/>
    <cellStyle name="Salida 2 5 4 7 2" xfId="37477"/>
    <cellStyle name="Salida 2 5 4 8" xfId="37478"/>
    <cellStyle name="Salida 2 5 4 8 2" xfId="37479"/>
    <cellStyle name="Salida 2 5 4 9" xfId="37480"/>
    <cellStyle name="Salida 2 5 4 9 2" xfId="37481"/>
    <cellStyle name="Salida 2 5 5" xfId="37482"/>
    <cellStyle name="Salida 2 5 5 10" xfId="37483"/>
    <cellStyle name="Salida 2 5 5 10 2" xfId="37484"/>
    <cellStyle name="Salida 2 5 5 11" xfId="37485"/>
    <cellStyle name="Salida 2 5 5 2" xfId="37486"/>
    <cellStyle name="Salida 2 5 5 2 2" xfId="37487"/>
    <cellStyle name="Salida 2 5 5 3" xfId="37488"/>
    <cellStyle name="Salida 2 5 5 3 2" xfId="37489"/>
    <cellStyle name="Salida 2 5 5 4" xfId="37490"/>
    <cellStyle name="Salida 2 5 5 4 2" xfId="37491"/>
    <cellStyle name="Salida 2 5 5 5" xfId="37492"/>
    <cellStyle name="Salida 2 5 5 5 2" xfId="37493"/>
    <cellStyle name="Salida 2 5 5 6" xfId="37494"/>
    <cellStyle name="Salida 2 5 5 6 2" xfId="37495"/>
    <cellStyle name="Salida 2 5 5 7" xfId="37496"/>
    <cellStyle name="Salida 2 5 5 7 2" xfId="37497"/>
    <cellStyle name="Salida 2 5 5 8" xfId="37498"/>
    <cellStyle name="Salida 2 5 5 8 2" xfId="37499"/>
    <cellStyle name="Salida 2 5 5 9" xfId="37500"/>
    <cellStyle name="Salida 2 5 5 9 2" xfId="37501"/>
    <cellStyle name="Salida 2 5 6" xfId="37502"/>
    <cellStyle name="Salida 2 5 6 2" xfId="37503"/>
    <cellStyle name="Salida 2 5 7" xfId="37504"/>
    <cellStyle name="Salida 2 5 7 2" xfId="37505"/>
    <cellStyle name="Salida 2 5 8" xfId="37506"/>
    <cellStyle name="Salida 2 5 8 2" xfId="37507"/>
    <cellStyle name="Salida 2 5 9" xfId="37508"/>
    <cellStyle name="Salida 2 5 9 2" xfId="37509"/>
    <cellStyle name="Salida 2 6" xfId="37510"/>
    <cellStyle name="Salida 2 6 10" xfId="37511"/>
    <cellStyle name="Salida 2 6 10 2" xfId="37512"/>
    <cellStyle name="Salida 2 6 11" xfId="37513"/>
    <cellStyle name="Salida 2 6 11 2" xfId="37514"/>
    <cellStyle name="Salida 2 6 12" xfId="37515"/>
    <cellStyle name="Salida 2 6 12 2" xfId="37516"/>
    <cellStyle name="Salida 2 6 13" xfId="37517"/>
    <cellStyle name="Salida 2 6 13 2" xfId="37518"/>
    <cellStyle name="Salida 2 6 14" xfId="37519"/>
    <cellStyle name="Salida 2 6 14 2" xfId="37520"/>
    <cellStyle name="Salida 2 6 15" xfId="37521"/>
    <cellStyle name="Salida 2 6 2" xfId="37522"/>
    <cellStyle name="Salida 2 6 2 10" xfId="37523"/>
    <cellStyle name="Salida 2 6 2 10 2" xfId="37524"/>
    <cellStyle name="Salida 2 6 2 11" xfId="37525"/>
    <cellStyle name="Salida 2 6 2 11 2" xfId="37526"/>
    <cellStyle name="Salida 2 6 2 12" xfId="37527"/>
    <cellStyle name="Salida 2 6 2 12 2" xfId="37528"/>
    <cellStyle name="Salida 2 6 2 13" xfId="37529"/>
    <cellStyle name="Salida 2 6 2 2" xfId="37530"/>
    <cellStyle name="Salida 2 6 2 2 10" xfId="37531"/>
    <cellStyle name="Salida 2 6 2 2 10 2" xfId="37532"/>
    <cellStyle name="Salida 2 6 2 2 11" xfId="37533"/>
    <cellStyle name="Salida 2 6 2 2 2" xfId="37534"/>
    <cellStyle name="Salida 2 6 2 2 2 2" xfId="37535"/>
    <cellStyle name="Salida 2 6 2 2 3" xfId="37536"/>
    <cellStyle name="Salida 2 6 2 2 3 2" xfId="37537"/>
    <cellStyle name="Salida 2 6 2 2 4" xfId="37538"/>
    <cellStyle name="Salida 2 6 2 2 4 2" xfId="37539"/>
    <cellStyle name="Salida 2 6 2 2 5" xfId="37540"/>
    <cellStyle name="Salida 2 6 2 2 5 2" xfId="37541"/>
    <cellStyle name="Salida 2 6 2 2 6" xfId="37542"/>
    <cellStyle name="Salida 2 6 2 2 6 2" xfId="37543"/>
    <cellStyle name="Salida 2 6 2 2 7" xfId="37544"/>
    <cellStyle name="Salida 2 6 2 2 7 2" xfId="37545"/>
    <cellStyle name="Salida 2 6 2 2 8" xfId="37546"/>
    <cellStyle name="Salida 2 6 2 2 8 2" xfId="37547"/>
    <cellStyle name="Salida 2 6 2 2 9" xfId="37548"/>
    <cellStyle name="Salida 2 6 2 2 9 2" xfId="37549"/>
    <cellStyle name="Salida 2 6 2 3" xfId="37550"/>
    <cellStyle name="Salida 2 6 2 3 10" xfId="37551"/>
    <cellStyle name="Salida 2 6 2 3 10 2" xfId="37552"/>
    <cellStyle name="Salida 2 6 2 3 11" xfId="37553"/>
    <cellStyle name="Salida 2 6 2 3 2" xfId="37554"/>
    <cellStyle name="Salida 2 6 2 3 2 2" xfId="37555"/>
    <cellStyle name="Salida 2 6 2 3 3" xfId="37556"/>
    <cellStyle name="Salida 2 6 2 3 3 2" xfId="37557"/>
    <cellStyle name="Salida 2 6 2 3 4" xfId="37558"/>
    <cellStyle name="Salida 2 6 2 3 4 2" xfId="37559"/>
    <cellStyle name="Salida 2 6 2 3 5" xfId="37560"/>
    <cellStyle name="Salida 2 6 2 3 5 2" xfId="37561"/>
    <cellStyle name="Salida 2 6 2 3 6" xfId="37562"/>
    <cellStyle name="Salida 2 6 2 3 6 2" xfId="37563"/>
    <cellStyle name="Salida 2 6 2 3 7" xfId="37564"/>
    <cellStyle name="Salida 2 6 2 3 7 2" xfId="37565"/>
    <cellStyle name="Salida 2 6 2 3 8" xfId="37566"/>
    <cellStyle name="Salida 2 6 2 3 8 2" xfId="37567"/>
    <cellStyle name="Salida 2 6 2 3 9" xfId="37568"/>
    <cellStyle name="Salida 2 6 2 3 9 2" xfId="37569"/>
    <cellStyle name="Salida 2 6 2 4" xfId="37570"/>
    <cellStyle name="Salida 2 6 2 4 2" xfId="37571"/>
    <cellStyle name="Salida 2 6 2 5" xfId="37572"/>
    <cellStyle name="Salida 2 6 2 5 2" xfId="37573"/>
    <cellStyle name="Salida 2 6 2 6" xfId="37574"/>
    <cellStyle name="Salida 2 6 2 6 2" xfId="37575"/>
    <cellStyle name="Salida 2 6 2 7" xfId="37576"/>
    <cellStyle name="Salida 2 6 2 7 2" xfId="37577"/>
    <cellStyle name="Salida 2 6 2 8" xfId="37578"/>
    <cellStyle name="Salida 2 6 2 8 2" xfId="37579"/>
    <cellStyle name="Salida 2 6 2 9" xfId="37580"/>
    <cellStyle name="Salida 2 6 2 9 2" xfId="37581"/>
    <cellStyle name="Salida 2 6 3" xfId="37582"/>
    <cellStyle name="Salida 2 6 3 10" xfId="37583"/>
    <cellStyle name="Salida 2 6 3 10 2" xfId="37584"/>
    <cellStyle name="Salida 2 6 3 11" xfId="37585"/>
    <cellStyle name="Salida 2 6 3 11 2" xfId="37586"/>
    <cellStyle name="Salida 2 6 3 12" xfId="37587"/>
    <cellStyle name="Salida 2 6 3 12 2" xfId="37588"/>
    <cellStyle name="Salida 2 6 3 13" xfId="37589"/>
    <cellStyle name="Salida 2 6 3 2" xfId="37590"/>
    <cellStyle name="Salida 2 6 3 2 10" xfId="37591"/>
    <cellStyle name="Salida 2 6 3 2 10 2" xfId="37592"/>
    <cellStyle name="Salida 2 6 3 2 11" xfId="37593"/>
    <cellStyle name="Salida 2 6 3 2 2" xfId="37594"/>
    <cellStyle name="Salida 2 6 3 2 2 2" xfId="37595"/>
    <cellStyle name="Salida 2 6 3 2 3" xfId="37596"/>
    <cellStyle name="Salida 2 6 3 2 3 2" xfId="37597"/>
    <cellStyle name="Salida 2 6 3 2 4" xfId="37598"/>
    <cellStyle name="Salida 2 6 3 2 4 2" xfId="37599"/>
    <cellStyle name="Salida 2 6 3 2 5" xfId="37600"/>
    <cellStyle name="Salida 2 6 3 2 5 2" xfId="37601"/>
    <cellStyle name="Salida 2 6 3 2 6" xfId="37602"/>
    <cellStyle name="Salida 2 6 3 2 6 2" xfId="37603"/>
    <cellStyle name="Salida 2 6 3 2 7" xfId="37604"/>
    <cellStyle name="Salida 2 6 3 2 7 2" xfId="37605"/>
    <cellStyle name="Salida 2 6 3 2 8" xfId="37606"/>
    <cellStyle name="Salida 2 6 3 2 8 2" xfId="37607"/>
    <cellStyle name="Salida 2 6 3 2 9" xfId="37608"/>
    <cellStyle name="Salida 2 6 3 2 9 2" xfId="37609"/>
    <cellStyle name="Salida 2 6 3 3" xfId="37610"/>
    <cellStyle name="Salida 2 6 3 3 10" xfId="37611"/>
    <cellStyle name="Salida 2 6 3 3 10 2" xfId="37612"/>
    <cellStyle name="Salida 2 6 3 3 11" xfId="37613"/>
    <cellStyle name="Salida 2 6 3 3 2" xfId="37614"/>
    <cellStyle name="Salida 2 6 3 3 2 2" xfId="37615"/>
    <cellStyle name="Salida 2 6 3 3 3" xfId="37616"/>
    <cellStyle name="Salida 2 6 3 3 3 2" xfId="37617"/>
    <cellStyle name="Salida 2 6 3 3 4" xfId="37618"/>
    <cellStyle name="Salida 2 6 3 3 4 2" xfId="37619"/>
    <cellStyle name="Salida 2 6 3 3 5" xfId="37620"/>
    <cellStyle name="Salida 2 6 3 3 5 2" xfId="37621"/>
    <cellStyle name="Salida 2 6 3 3 6" xfId="37622"/>
    <cellStyle name="Salida 2 6 3 3 6 2" xfId="37623"/>
    <cellStyle name="Salida 2 6 3 3 7" xfId="37624"/>
    <cellStyle name="Salida 2 6 3 3 7 2" xfId="37625"/>
    <cellStyle name="Salida 2 6 3 3 8" xfId="37626"/>
    <cellStyle name="Salida 2 6 3 3 8 2" xfId="37627"/>
    <cellStyle name="Salida 2 6 3 3 9" xfId="37628"/>
    <cellStyle name="Salida 2 6 3 3 9 2" xfId="37629"/>
    <cellStyle name="Salida 2 6 3 4" xfId="37630"/>
    <cellStyle name="Salida 2 6 3 4 2" xfId="37631"/>
    <cellStyle name="Salida 2 6 3 5" xfId="37632"/>
    <cellStyle name="Salida 2 6 3 5 2" xfId="37633"/>
    <cellStyle name="Salida 2 6 3 6" xfId="37634"/>
    <cellStyle name="Salida 2 6 3 6 2" xfId="37635"/>
    <cellStyle name="Salida 2 6 3 7" xfId="37636"/>
    <cellStyle name="Salida 2 6 3 7 2" xfId="37637"/>
    <cellStyle name="Salida 2 6 3 8" xfId="37638"/>
    <cellStyle name="Salida 2 6 3 8 2" xfId="37639"/>
    <cellStyle name="Salida 2 6 3 9" xfId="37640"/>
    <cellStyle name="Salida 2 6 3 9 2" xfId="37641"/>
    <cellStyle name="Salida 2 6 4" xfId="37642"/>
    <cellStyle name="Salida 2 6 4 10" xfId="37643"/>
    <cellStyle name="Salida 2 6 4 10 2" xfId="37644"/>
    <cellStyle name="Salida 2 6 4 11" xfId="37645"/>
    <cellStyle name="Salida 2 6 4 2" xfId="37646"/>
    <cellStyle name="Salida 2 6 4 2 2" xfId="37647"/>
    <cellStyle name="Salida 2 6 4 3" xfId="37648"/>
    <cellStyle name="Salida 2 6 4 3 2" xfId="37649"/>
    <cellStyle name="Salida 2 6 4 4" xfId="37650"/>
    <cellStyle name="Salida 2 6 4 4 2" xfId="37651"/>
    <cellStyle name="Salida 2 6 4 5" xfId="37652"/>
    <cellStyle name="Salida 2 6 4 5 2" xfId="37653"/>
    <cellStyle name="Salida 2 6 4 6" xfId="37654"/>
    <cellStyle name="Salida 2 6 4 6 2" xfId="37655"/>
    <cellStyle name="Salida 2 6 4 7" xfId="37656"/>
    <cellStyle name="Salida 2 6 4 7 2" xfId="37657"/>
    <cellStyle name="Salida 2 6 4 8" xfId="37658"/>
    <cellStyle name="Salida 2 6 4 8 2" xfId="37659"/>
    <cellStyle name="Salida 2 6 4 9" xfId="37660"/>
    <cellStyle name="Salida 2 6 4 9 2" xfId="37661"/>
    <cellStyle name="Salida 2 6 5" xfId="37662"/>
    <cellStyle name="Salida 2 6 5 10" xfId="37663"/>
    <cellStyle name="Salida 2 6 5 10 2" xfId="37664"/>
    <cellStyle name="Salida 2 6 5 11" xfId="37665"/>
    <cellStyle name="Salida 2 6 5 2" xfId="37666"/>
    <cellStyle name="Salida 2 6 5 2 2" xfId="37667"/>
    <cellStyle name="Salida 2 6 5 3" xfId="37668"/>
    <cellStyle name="Salida 2 6 5 3 2" xfId="37669"/>
    <cellStyle name="Salida 2 6 5 4" xfId="37670"/>
    <cellStyle name="Salida 2 6 5 4 2" xfId="37671"/>
    <cellStyle name="Salida 2 6 5 5" xfId="37672"/>
    <cellStyle name="Salida 2 6 5 5 2" xfId="37673"/>
    <cellStyle name="Salida 2 6 5 6" xfId="37674"/>
    <cellStyle name="Salida 2 6 5 6 2" xfId="37675"/>
    <cellStyle name="Salida 2 6 5 7" xfId="37676"/>
    <cellStyle name="Salida 2 6 5 7 2" xfId="37677"/>
    <cellStyle name="Salida 2 6 5 8" xfId="37678"/>
    <cellStyle name="Salida 2 6 5 8 2" xfId="37679"/>
    <cellStyle name="Salida 2 6 5 9" xfId="37680"/>
    <cellStyle name="Salida 2 6 5 9 2" xfId="37681"/>
    <cellStyle name="Salida 2 6 6" xfId="37682"/>
    <cellStyle name="Salida 2 6 6 2" xfId="37683"/>
    <cellStyle name="Salida 2 6 7" xfId="37684"/>
    <cellStyle name="Salida 2 6 7 2" xfId="37685"/>
    <cellStyle name="Salida 2 6 8" xfId="37686"/>
    <cellStyle name="Salida 2 6 8 2" xfId="37687"/>
    <cellStyle name="Salida 2 6 9" xfId="37688"/>
    <cellStyle name="Salida 2 6 9 2" xfId="37689"/>
    <cellStyle name="Salida 2 7" xfId="37690"/>
    <cellStyle name="Salida 2 7 10" xfId="37691"/>
    <cellStyle name="Salida 2 7 10 2" xfId="37692"/>
    <cellStyle name="Salida 2 7 11" xfId="37693"/>
    <cellStyle name="Salida 2 7 11 2" xfId="37694"/>
    <cellStyle name="Salida 2 7 12" xfId="37695"/>
    <cellStyle name="Salida 2 7 12 2" xfId="37696"/>
    <cellStyle name="Salida 2 7 13" xfId="37697"/>
    <cellStyle name="Salida 2 7 2" xfId="37698"/>
    <cellStyle name="Salida 2 7 2 10" xfId="37699"/>
    <cellStyle name="Salida 2 7 2 10 2" xfId="37700"/>
    <cellStyle name="Salida 2 7 2 11" xfId="37701"/>
    <cellStyle name="Salida 2 7 2 2" xfId="37702"/>
    <cellStyle name="Salida 2 7 2 2 2" xfId="37703"/>
    <cellStyle name="Salida 2 7 2 3" xfId="37704"/>
    <cellStyle name="Salida 2 7 2 3 2" xfId="37705"/>
    <cellStyle name="Salida 2 7 2 4" xfId="37706"/>
    <cellStyle name="Salida 2 7 2 4 2" xfId="37707"/>
    <cellStyle name="Salida 2 7 2 5" xfId="37708"/>
    <cellStyle name="Salida 2 7 2 5 2" xfId="37709"/>
    <cellStyle name="Salida 2 7 2 6" xfId="37710"/>
    <cellStyle name="Salida 2 7 2 6 2" xfId="37711"/>
    <cellStyle name="Salida 2 7 2 7" xfId="37712"/>
    <cellStyle name="Salida 2 7 2 7 2" xfId="37713"/>
    <cellStyle name="Salida 2 7 2 8" xfId="37714"/>
    <cellStyle name="Salida 2 7 2 8 2" xfId="37715"/>
    <cellStyle name="Salida 2 7 2 9" xfId="37716"/>
    <cellStyle name="Salida 2 7 2 9 2" xfId="37717"/>
    <cellStyle name="Salida 2 7 3" xfId="37718"/>
    <cellStyle name="Salida 2 7 3 10" xfId="37719"/>
    <cellStyle name="Salida 2 7 3 10 2" xfId="37720"/>
    <cellStyle name="Salida 2 7 3 11" xfId="37721"/>
    <cellStyle name="Salida 2 7 3 2" xfId="37722"/>
    <cellStyle name="Salida 2 7 3 2 2" xfId="37723"/>
    <cellStyle name="Salida 2 7 3 3" xfId="37724"/>
    <cellStyle name="Salida 2 7 3 3 2" xfId="37725"/>
    <cellStyle name="Salida 2 7 3 4" xfId="37726"/>
    <cellStyle name="Salida 2 7 3 4 2" xfId="37727"/>
    <cellStyle name="Salida 2 7 3 5" xfId="37728"/>
    <cellStyle name="Salida 2 7 3 5 2" xfId="37729"/>
    <cellStyle name="Salida 2 7 3 6" xfId="37730"/>
    <cellStyle name="Salida 2 7 3 6 2" xfId="37731"/>
    <cellStyle name="Salida 2 7 3 7" xfId="37732"/>
    <cellStyle name="Salida 2 7 3 7 2" xfId="37733"/>
    <cellStyle name="Salida 2 7 3 8" xfId="37734"/>
    <cellStyle name="Salida 2 7 3 8 2" xfId="37735"/>
    <cellStyle name="Salida 2 7 3 9" xfId="37736"/>
    <cellStyle name="Salida 2 7 3 9 2" xfId="37737"/>
    <cellStyle name="Salida 2 7 4" xfId="37738"/>
    <cellStyle name="Salida 2 7 4 2" xfId="37739"/>
    <cellStyle name="Salida 2 7 5" xfId="37740"/>
    <cellStyle name="Salida 2 7 5 2" xfId="37741"/>
    <cellStyle name="Salida 2 7 6" xfId="37742"/>
    <cellStyle name="Salida 2 7 6 2" xfId="37743"/>
    <cellStyle name="Salida 2 7 7" xfId="37744"/>
    <cellStyle name="Salida 2 7 7 2" xfId="37745"/>
    <cellStyle name="Salida 2 7 8" xfId="37746"/>
    <cellStyle name="Salida 2 7 8 2" xfId="37747"/>
    <cellStyle name="Salida 2 7 9" xfId="37748"/>
    <cellStyle name="Salida 2 7 9 2" xfId="37749"/>
    <cellStyle name="Salida 2 8" xfId="37750"/>
    <cellStyle name="Salida 2 8 10" xfId="37751"/>
    <cellStyle name="Salida 2 8 10 2" xfId="37752"/>
    <cellStyle name="Salida 2 8 11" xfId="37753"/>
    <cellStyle name="Salida 2 8 11 2" xfId="37754"/>
    <cellStyle name="Salida 2 8 12" xfId="37755"/>
    <cellStyle name="Salida 2 8 12 2" xfId="37756"/>
    <cellStyle name="Salida 2 8 13" xfId="37757"/>
    <cellStyle name="Salida 2 8 2" xfId="37758"/>
    <cellStyle name="Salida 2 8 2 10" xfId="37759"/>
    <cellStyle name="Salida 2 8 2 10 2" xfId="37760"/>
    <cellStyle name="Salida 2 8 2 11" xfId="37761"/>
    <cellStyle name="Salida 2 8 2 2" xfId="37762"/>
    <cellStyle name="Salida 2 8 2 2 2" xfId="37763"/>
    <cellStyle name="Salida 2 8 2 3" xfId="37764"/>
    <cellStyle name="Salida 2 8 2 3 2" xfId="37765"/>
    <cellStyle name="Salida 2 8 2 4" xfId="37766"/>
    <cellStyle name="Salida 2 8 2 4 2" xfId="37767"/>
    <cellStyle name="Salida 2 8 2 5" xfId="37768"/>
    <cellStyle name="Salida 2 8 2 5 2" xfId="37769"/>
    <cellStyle name="Salida 2 8 2 6" xfId="37770"/>
    <cellStyle name="Salida 2 8 2 6 2" xfId="37771"/>
    <cellStyle name="Salida 2 8 2 7" xfId="37772"/>
    <cellStyle name="Salida 2 8 2 7 2" xfId="37773"/>
    <cellStyle name="Salida 2 8 2 8" xfId="37774"/>
    <cellStyle name="Salida 2 8 2 8 2" xfId="37775"/>
    <cellStyle name="Salida 2 8 2 9" xfId="37776"/>
    <cellStyle name="Salida 2 8 2 9 2" xfId="37777"/>
    <cellStyle name="Salida 2 8 3" xfId="37778"/>
    <cellStyle name="Salida 2 8 3 10" xfId="37779"/>
    <cellStyle name="Salida 2 8 3 10 2" xfId="37780"/>
    <cellStyle name="Salida 2 8 3 11" xfId="37781"/>
    <cellStyle name="Salida 2 8 3 2" xfId="37782"/>
    <cellStyle name="Salida 2 8 3 2 2" xfId="37783"/>
    <cellStyle name="Salida 2 8 3 3" xfId="37784"/>
    <cellStyle name="Salida 2 8 3 3 2" xfId="37785"/>
    <cellStyle name="Salida 2 8 3 4" xfId="37786"/>
    <cellStyle name="Salida 2 8 3 4 2" xfId="37787"/>
    <cellStyle name="Salida 2 8 3 5" xfId="37788"/>
    <cellStyle name="Salida 2 8 3 5 2" xfId="37789"/>
    <cellStyle name="Salida 2 8 3 6" xfId="37790"/>
    <cellStyle name="Salida 2 8 3 6 2" xfId="37791"/>
    <cellStyle name="Salida 2 8 3 7" xfId="37792"/>
    <cellStyle name="Salida 2 8 3 7 2" xfId="37793"/>
    <cellStyle name="Salida 2 8 3 8" xfId="37794"/>
    <cellStyle name="Salida 2 8 3 8 2" xfId="37795"/>
    <cellStyle name="Salida 2 8 3 9" xfId="37796"/>
    <cellStyle name="Salida 2 8 3 9 2" xfId="37797"/>
    <cellStyle name="Salida 2 8 4" xfId="37798"/>
    <cellStyle name="Salida 2 8 4 2" xfId="37799"/>
    <cellStyle name="Salida 2 8 5" xfId="37800"/>
    <cellStyle name="Salida 2 8 5 2" xfId="37801"/>
    <cellStyle name="Salida 2 8 6" xfId="37802"/>
    <cellStyle name="Salida 2 8 6 2" xfId="37803"/>
    <cellStyle name="Salida 2 8 7" xfId="37804"/>
    <cellStyle name="Salida 2 8 7 2" xfId="37805"/>
    <cellStyle name="Salida 2 8 8" xfId="37806"/>
    <cellStyle name="Salida 2 8 8 2" xfId="37807"/>
    <cellStyle name="Salida 2 8 9" xfId="37808"/>
    <cellStyle name="Salida 2 8 9 2" xfId="37809"/>
    <cellStyle name="Salida 2 9" xfId="37810"/>
    <cellStyle name="Salida 2 9 2" xfId="37811"/>
    <cellStyle name="Salida 3" xfId="231"/>
    <cellStyle name="Salida 3 10" xfId="37812"/>
    <cellStyle name="Salida 3 10 2" xfId="37813"/>
    <cellStyle name="Salida 3 11" xfId="37814"/>
    <cellStyle name="Salida 3 11 2" xfId="37815"/>
    <cellStyle name="Salida 3 12" xfId="37816"/>
    <cellStyle name="Salida 3 12 2" xfId="37817"/>
    <cellStyle name="Salida 3 13" xfId="37818"/>
    <cellStyle name="Salida 3 13 2" xfId="37819"/>
    <cellStyle name="Salida 3 14" xfId="37820"/>
    <cellStyle name="Salida 3 14 2" xfId="37821"/>
    <cellStyle name="Salida 3 15" xfId="37822"/>
    <cellStyle name="Salida 3 16" xfId="37823"/>
    <cellStyle name="Salida 3 17" xfId="37824"/>
    <cellStyle name="Salida 3 2" xfId="307"/>
    <cellStyle name="Salida 3 2 10" xfId="37825"/>
    <cellStyle name="Salida 3 2 10 2" xfId="37826"/>
    <cellStyle name="Salida 3 2 11" xfId="37827"/>
    <cellStyle name="Salida 3 2 11 2" xfId="37828"/>
    <cellStyle name="Salida 3 2 12" xfId="37829"/>
    <cellStyle name="Salida 3 2 12 2" xfId="37830"/>
    <cellStyle name="Salida 3 2 13" xfId="37831"/>
    <cellStyle name="Salida 3 2 13 2" xfId="37832"/>
    <cellStyle name="Salida 3 2 14" xfId="37833"/>
    <cellStyle name="Salida 3 2 14 2" xfId="37834"/>
    <cellStyle name="Salida 3 2 15" xfId="37835"/>
    <cellStyle name="Salida 3 2 16" xfId="37836"/>
    <cellStyle name="Salida 3 2 2" xfId="37837"/>
    <cellStyle name="Salida 3 2 2 10" xfId="37838"/>
    <cellStyle name="Salida 3 2 2 10 2" xfId="37839"/>
    <cellStyle name="Salida 3 2 2 11" xfId="37840"/>
    <cellStyle name="Salida 3 2 2 11 2" xfId="37841"/>
    <cellStyle name="Salida 3 2 2 12" xfId="37842"/>
    <cellStyle name="Salida 3 2 2 12 2" xfId="37843"/>
    <cellStyle name="Salida 3 2 2 13" xfId="37844"/>
    <cellStyle name="Salida 3 2 2 2" xfId="37845"/>
    <cellStyle name="Salida 3 2 2 2 10" xfId="37846"/>
    <cellStyle name="Salida 3 2 2 2 10 2" xfId="37847"/>
    <cellStyle name="Salida 3 2 2 2 11" xfId="37848"/>
    <cellStyle name="Salida 3 2 2 2 2" xfId="37849"/>
    <cellStyle name="Salida 3 2 2 2 2 2" xfId="37850"/>
    <cellStyle name="Salida 3 2 2 2 3" xfId="37851"/>
    <cellStyle name="Salida 3 2 2 2 3 2" xfId="37852"/>
    <cellStyle name="Salida 3 2 2 2 4" xfId="37853"/>
    <cellStyle name="Salida 3 2 2 2 4 2" xfId="37854"/>
    <cellStyle name="Salida 3 2 2 2 5" xfId="37855"/>
    <cellStyle name="Salida 3 2 2 2 5 2" xfId="37856"/>
    <cellStyle name="Salida 3 2 2 2 6" xfId="37857"/>
    <cellStyle name="Salida 3 2 2 2 6 2" xfId="37858"/>
    <cellStyle name="Salida 3 2 2 2 7" xfId="37859"/>
    <cellStyle name="Salida 3 2 2 2 7 2" xfId="37860"/>
    <cellStyle name="Salida 3 2 2 2 8" xfId="37861"/>
    <cellStyle name="Salida 3 2 2 2 8 2" xfId="37862"/>
    <cellStyle name="Salida 3 2 2 2 9" xfId="37863"/>
    <cellStyle name="Salida 3 2 2 2 9 2" xfId="37864"/>
    <cellStyle name="Salida 3 2 2 3" xfId="37865"/>
    <cellStyle name="Salida 3 2 2 3 10" xfId="37866"/>
    <cellStyle name="Salida 3 2 2 3 10 2" xfId="37867"/>
    <cellStyle name="Salida 3 2 2 3 11" xfId="37868"/>
    <cellStyle name="Salida 3 2 2 3 2" xfId="37869"/>
    <cellStyle name="Salida 3 2 2 3 2 2" xfId="37870"/>
    <cellStyle name="Salida 3 2 2 3 3" xfId="37871"/>
    <cellStyle name="Salida 3 2 2 3 3 2" xfId="37872"/>
    <cellStyle name="Salida 3 2 2 3 4" xfId="37873"/>
    <cellStyle name="Salida 3 2 2 3 4 2" xfId="37874"/>
    <cellStyle name="Salida 3 2 2 3 5" xfId="37875"/>
    <cellStyle name="Salida 3 2 2 3 5 2" xfId="37876"/>
    <cellStyle name="Salida 3 2 2 3 6" xfId="37877"/>
    <cellStyle name="Salida 3 2 2 3 6 2" xfId="37878"/>
    <cellStyle name="Salida 3 2 2 3 7" xfId="37879"/>
    <cellStyle name="Salida 3 2 2 3 7 2" xfId="37880"/>
    <cellStyle name="Salida 3 2 2 3 8" xfId="37881"/>
    <cellStyle name="Salida 3 2 2 3 8 2" xfId="37882"/>
    <cellStyle name="Salida 3 2 2 3 9" xfId="37883"/>
    <cellStyle name="Salida 3 2 2 3 9 2" xfId="37884"/>
    <cellStyle name="Salida 3 2 2 4" xfId="37885"/>
    <cellStyle name="Salida 3 2 2 4 2" xfId="37886"/>
    <cellStyle name="Salida 3 2 2 5" xfId="37887"/>
    <cellStyle name="Salida 3 2 2 5 2" xfId="37888"/>
    <cellStyle name="Salida 3 2 2 6" xfId="37889"/>
    <cellStyle name="Salida 3 2 2 6 2" xfId="37890"/>
    <cellStyle name="Salida 3 2 2 7" xfId="37891"/>
    <cellStyle name="Salida 3 2 2 7 2" xfId="37892"/>
    <cellStyle name="Salida 3 2 2 8" xfId="37893"/>
    <cellStyle name="Salida 3 2 2 8 2" xfId="37894"/>
    <cellStyle name="Salida 3 2 2 9" xfId="37895"/>
    <cellStyle name="Salida 3 2 2 9 2" xfId="37896"/>
    <cellStyle name="Salida 3 2 3" xfId="37897"/>
    <cellStyle name="Salida 3 2 3 10" xfId="37898"/>
    <cellStyle name="Salida 3 2 3 10 2" xfId="37899"/>
    <cellStyle name="Salida 3 2 3 11" xfId="37900"/>
    <cellStyle name="Salida 3 2 3 11 2" xfId="37901"/>
    <cellStyle name="Salida 3 2 3 12" xfId="37902"/>
    <cellStyle name="Salida 3 2 3 12 2" xfId="37903"/>
    <cellStyle name="Salida 3 2 3 13" xfId="37904"/>
    <cellStyle name="Salida 3 2 3 2" xfId="37905"/>
    <cellStyle name="Salida 3 2 3 2 10" xfId="37906"/>
    <cellStyle name="Salida 3 2 3 2 10 2" xfId="37907"/>
    <cellStyle name="Salida 3 2 3 2 11" xfId="37908"/>
    <cellStyle name="Salida 3 2 3 2 2" xfId="37909"/>
    <cellStyle name="Salida 3 2 3 2 2 2" xfId="37910"/>
    <cellStyle name="Salida 3 2 3 2 3" xfId="37911"/>
    <cellStyle name="Salida 3 2 3 2 3 2" xfId="37912"/>
    <cellStyle name="Salida 3 2 3 2 4" xfId="37913"/>
    <cellStyle name="Salida 3 2 3 2 4 2" xfId="37914"/>
    <cellStyle name="Salida 3 2 3 2 5" xfId="37915"/>
    <cellStyle name="Salida 3 2 3 2 5 2" xfId="37916"/>
    <cellStyle name="Salida 3 2 3 2 6" xfId="37917"/>
    <cellStyle name="Salida 3 2 3 2 6 2" xfId="37918"/>
    <cellStyle name="Salida 3 2 3 2 7" xfId="37919"/>
    <cellStyle name="Salida 3 2 3 2 7 2" xfId="37920"/>
    <cellStyle name="Salida 3 2 3 2 8" xfId="37921"/>
    <cellStyle name="Salida 3 2 3 2 8 2" xfId="37922"/>
    <cellStyle name="Salida 3 2 3 2 9" xfId="37923"/>
    <cellStyle name="Salida 3 2 3 2 9 2" xfId="37924"/>
    <cellStyle name="Salida 3 2 3 3" xfId="37925"/>
    <cellStyle name="Salida 3 2 3 3 10" xfId="37926"/>
    <cellStyle name="Salida 3 2 3 3 10 2" xfId="37927"/>
    <cellStyle name="Salida 3 2 3 3 11" xfId="37928"/>
    <cellStyle name="Salida 3 2 3 3 2" xfId="37929"/>
    <cellStyle name="Salida 3 2 3 3 2 2" xfId="37930"/>
    <cellStyle name="Salida 3 2 3 3 3" xfId="37931"/>
    <cellStyle name="Salida 3 2 3 3 3 2" xfId="37932"/>
    <cellStyle name="Salida 3 2 3 3 4" xfId="37933"/>
    <cellStyle name="Salida 3 2 3 3 4 2" xfId="37934"/>
    <cellStyle name="Salida 3 2 3 3 5" xfId="37935"/>
    <cellStyle name="Salida 3 2 3 3 5 2" xfId="37936"/>
    <cellStyle name="Salida 3 2 3 3 6" xfId="37937"/>
    <cellStyle name="Salida 3 2 3 3 6 2" xfId="37938"/>
    <cellStyle name="Salida 3 2 3 3 7" xfId="37939"/>
    <cellStyle name="Salida 3 2 3 3 7 2" xfId="37940"/>
    <cellStyle name="Salida 3 2 3 3 8" xfId="37941"/>
    <cellStyle name="Salida 3 2 3 3 8 2" xfId="37942"/>
    <cellStyle name="Salida 3 2 3 3 9" xfId="37943"/>
    <cellStyle name="Salida 3 2 3 3 9 2" xfId="37944"/>
    <cellStyle name="Salida 3 2 3 4" xfId="37945"/>
    <cellStyle name="Salida 3 2 3 4 2" xfId="37946"/>
    <cellStyle name="Salida 3 2 3 5" xfId="37947"/>
    <cellStyle name="Salida 3 2 3 5 2" xfId="37948"/>
    <cellStyle name="Salida 3 2 3 6" xfId="37949"/>
    <cellStyle name="Salida 3 2 3 6 2" xfId="37950"/>
    <cellStyle name="Salida 3 2 3 7" xfId="37951"/>
    <cellStyle name="Salida 3 2 3 7 2" xfId="37952"/>
    <cellStyle name="Salida 3 2 3 8" xfId="37953"/>
    <cellStyle name="Salida 3 2 3 8 2" xfId="37954"/>
    <cellStyle name="Salida 3 2 3 9" xfId="37955"/>
    <cellStyle name="Salida 3 2 3 9 2" xfId="37956"/>
    <cellStyle name="Salida 3 2 4" xfId="37957"/>
    <cellStyle name="Salida 3 2 4 10" xfId="37958"/>
    <cellStyle name="Salida 3 2 4 10 2" xfId="37959"/>
    <cellStyle name="Salida 3 2 4 11" xfId="37960"/>
    <cellStyle name="Salida 3 2 4 2" xfId="37961"/>
    <cellStyle name="Salida 3 2 4 2 2" xfId="37962"/>
    <cellStyle name="Salida 3 2 4 3" xfId="37963"/>
    <cellStyle name="Salida 3 2 4 3 2" xfId="37964"/>
    <cellStyle name="Salida 3 2 4 4" xfId="37965"/>
    <cellStyle name="Salida 3 2 4 4 2" xfId="37966"/>
    <cellStyle name="Salida 3 2 4 5" xfId="37967"/>
    <cellStyle name="Salida 3 2 4 5 2" xfId="37968"/>
    <cellStyle name="Salida 3 2 4 6" xfId="37969"/>
    <cellStyle name="Salida 3 2 4 6 2" xfId="37970"/>
    <cellStyle name="Salida 3 2 4 7" xfId="37971"/>
    <cellStyle name="Salida 3 2 4 7 2" xfId="37972"/>
    <cellStyle name="Salida 3 2 4 8" xfId="37973"/>
    <cellStyle name="Salida 3 2 4 8 2" xfId="37974"/>
    <cellStyle name="Salida 3 2 4 9" xfId="37975"/>
    <cellStyle name="Salida 3 2 4 9 2" xfId="37976"/>
    <cellStyle name="Salida 3 2 5" xfId="37977"/>
    <cellStyle name="Salida 3 2 5 10" xfId="37978"/>
    <cellStyle name="Salida 3 2 5 10 2" xfId="37979"/>
    <cellStyle name="Salida 3 2 5 11" xfId="37980"/>
    <cellStyle name="Salida 3 2 5 2" xfId="37981"/>
    <cellStyle name="Salida 3 2 5 2 2" xfId="37982"/>
    <cellStyle name="Salida 3 2 5 3" xfId="37983"/>
    <cellStyle name="Salida 3 2 5 3 2" xfId="37984"/>
    <cellStyle name="Salida 3 2 5 4" xfId="37985"/>
    <cellStyle name="Salida 3 2 5 4 2" xfId="37986"/>
    <cellStyle name="Salida 3 2 5 5" xfId="37987"/>
    <cellStyle name="Salida 3 2 5 5 2" xfId="37988"/>
    <cellStyle name="Salida 3 2 5 6" xfId="37989"/>
    <cellStyle name="Salida 3 2 5 6 2" xfId="37990"/>
    <cellStyle name="Salida 3 2 5 7" xfId="37991"/>
    <cellStyle name="Salida 3 2 5 7 2" xfId="37992"/>
    <cellStyle name="Salida 3 2 5 8" xfId="37993"/>
    <cellStyle name="Salida 3 2 5 8 2" xfId="37994"/>
    <cellStyle name="Salida 3 2 5 9" xfId="37995"/>
    <cellStyle name="Salida 3 2 5 9 2" xfId="37996"/>
    <cellStyle name="Salida 3 2 6" xfId="37997"/>
    <cellStyle name="Salida 3 2 6 2" xfId="37998"/>
    <cellStyle name="Salida 3 2 7" xfId="37999"/>
    <cellStyle name="Salida 3 2 7 2" xfId="38000"/>
    <cellStyle name="Salida 3 2 8" xfId="38001"/>
    <cellStyle name="Salida 3 2 8 2" xfId="38002"/>
    <cellStyle name="Salida 3 2 9" xfId="38003"/>
    <cellStyle name="Salida 3 2 9 2" xfId="38004"/>
    <cellStyle name="Salida 3 3" xfId="269"/>
    <cellStyle name="Salida 3 3 10" xfId="38005"/>
    <cellStyle name="Salida 3 3 10 2" xfId="38006"/>
    <cellStyle name="Salida 3 3 11" xfId="38007"/>
    <cellStyle name="Salida 3 3 11 2" xfId="38008"/>
    <cellStyle name="Salida 3 3 12" xfId="38009"/>
    <cellStyle name="Salida 3 3 12 2" xfId="38010"/>
    <cellStyle name="Salida 3 3 13" xfId="38011"/>
    <cellStyle name="Salida 3 3 13 2" xfId="38012"/>
    <cellStyle name="Salida 3 3 14" xfId="38013"/>
    <cellStyle name="Salida 3 3 14 2" xfId="38014"/>
    <cellStyle name="Salida 3 3 15" xfId="38015"/>
    <cellStyle name="Salida 3 3 2" xfId="38016"/>
    <cellStyle name="Salida 3 3 2 10" xfId="38017"/>
    <cellStyle name="Salida 3 3 2 10 2" xfId="38018"/>
    <cellStyle name="Salida 3 3 2 11" xfId="38019"/>
    <cellStyle name="Salida 3 3 2 11 2" xfId="38020"/>
    <cellStyle name="Salida 3 3 2 12" xfId="38021"/>
    <cellStyle name="Salida 3 3 2 12 2" xfId="38022"/>
    <cellStyle name="Salida 3 3 2 13" xfId="38023"/>
    <cellStyle name="Salida 3 3 2 2" xfId="38024"/>
    <cellStyle name="Salida 3 3 2 2 10" xfId="38025"/>
    <cellStyle name="Salida 3 3 2 2 10 2" xfId="38026"/>
    <cellStyle name="Salida 3 3 2 2 11" xfId="38027"/>
    <cellStyle name="Salida 3 3 2 2 2" xfId="38028"/>
    <cellStyle name="Salida 3 3 2 2 2 2" xfId="38029"/>
    <cellStyle name="Salida 3 3 2 2 3" xfId="38030"/>
    <cellStyle name="Salida 3 3 2 2 3 2" xfId="38031"/>
    <cellStyle name="Salida 3 3 2 2 4" xfId="38032"/>
    <cellStyle name="Salida 3 3 2 2 4 2" xfId="38033"/>
    <cellStyle name="Salida 3 3 2 2 5" xfId="38034"/>
    <cellStyle name="Salida 3 3 2 2 5 2" xfId="38035"/>
    <cellStyle name="Salida 3 3 2 2 6" xfId="38036"/>
    <cellStyle name="Salida 3 3 2 2 6 2" xfId="38037"/>
    <cellStyle name="Salida 3 3 2 2 7" xfId="38038"/>
    <cellStyle name="Salida 3 3 2 2 7 2" xfId="38039"/>
    <cellStyle name="Salida 3 3 2 2 8" xfId="38040"/>
    <cellStyle name="Salida 3 3 2 2 8 2" xfId="38041"/>
    <cellStyle name="Salida 3 3 2 2 9" xfId="38042"/>
    <cellStyle name="Salida 3 3 2 2 9 2" xfId="38043"/>
    <cellStyle name="Salida 3 3 2 3" xfId="38044"/>
    <cellStyle name="Salida 3 3 2 3 10" xfId="38045"/>
    <cellStyle name="Salida 3 3 2 3 10 2" xfId="38046"/>
    <cellStyle name="Salida 3 3 2 3 11" xfId="38047"/>
    <cellStyle name="Salida 3 3 2 3 2" xfId="38048"/>
    <cellStyle name="Salida 3 3 2 3 2 2" xfId="38049"/>
    <cellStyle name="Salida 3 3 2 3 3" xfId="38050"/>
    <cellStyle name="Salida 3 3 2 3 3 2" xfId="38051"/>
    <cellStyle name="Salida 3 3 2 3 4" xfId="38052"/>
    <cellStyle name="Salida 3 3 2 3 4 2" xfId="38053"/>
    <cellStyle name="Salida 3 3 2 3 5" xfId="38054"/>
    <cellStyle name="Salida 3 3 2 3 5 2" xfId="38055"/>
    <cellStyle name="Salida 3 3 2 3 6" xfId="38056"/>
    <cellStyle name="Salida 3 3 2 3 6 2" xfId="38057"/>
    <cellStyle name="Salida 3 3 2 3 7" xfId="38058"/>
    <cellStyle name="Salida 3 3 2 3 7 2" xfId="38059"/>
    <cellStyle name="Salida 3 3 2 3 8" xfId="38060"/>
    <cellStyle name="Salida 3 3 2 3 8 2" xfId="38061"/>
    <cellStyle name="Salida 3 3 2 3 9" xfId="38062"/>
    <cellStyle name="Salida 3 3 2 3 9 2" xfId="38063"/>
    <cellStyle name="Salida 3 3 2 4" xfId="38064"/>
    <cellStyle name="Salida 3 3 2 4 2" xfId="38065"/>
    <cellStyle name="Salida 3 3 2 5" xfId="38066"/>
    <cellStyle name="Salida 3 3 2 5 2" xfId="38067"/>
    <cellStyle name="Salida 3 3 2 6" xfId="38068"/>
    <cellStyle name="Salida 3 3 2 6 2" xfId="38069"/>
    <cellStyle name="Salida 3 3 2 7" xfId="38070"/>
    <cellStyle name="Salida 3 3 2 7 2" xfId="38071"/>
    <cellStyle name="Salida 3 3 2 8" xfId="38072"/>
    <cellStyle name="Salida 3 3 2 8 2" xfId="38073"/>
    <cellStyle name="Salida 3 3 2 9" xfId="38074"/>
    <cellStyle name="Salida 3 3 2 9 2" xfId="38075"/>
    <cellStyle name="Salida 3 3 3" xfId="38076"/>
    <cellStyle name="Salida 3 3 3 10" xfId="38077"/>
    <cellStyle name="Salida 3 3 3 10 2" xfId="38078"/>
    <cellStyle name="Salida 3 3 3 11" xfId="38079"/>
    <cellStyle name="Salida 3 3 3 11 2" xfId="38080"/>
    <cellStyle name="Salida 3 3 3 12" xfId="38081"/>
    <cellStyle name="Salida 3 3 3 12 2" xfId="38082"/>
    <cellStyle name="Salida 3 3 3 13" xfId="38083"/>
    <cellStyle name="Salida 3 3 3 2" xfId="38084"/>
    <cellStyle name="Salida 3 3 3 2 10" xfId="38085"/>
    <cellStyle name="Salida 3 3 3 2 10 2" xfId="38086"/>
    <cellStyle name="Salida 3 3 3 2 11" xfId="38087"/>
    <cellStyle name="Salida 3 3 3 2 2" xfId="38088"/>
    <cellStyle name="Salida 3 3 3 2 2 2" xfId="38089"/>
    <cellStyle name="Salida 3 3 3 2 3" xfId="38090"/>
    <cellStyle name="Salida 3 3 3 2 3 2" xfId="38091"/>
    <cellStyle name="Salida 3 3 3 2 4" xfId="38092"/>
    <cellStyle name="Salida 3 3 3 2 4 2" xfId="38093"/>
    <cellStyle name="Salida 3 3 3 2 5" xfId="38094"/>
    <cellStyle name="Salida 3 3 3 2 5 2" xfId="38095"/>
    <cellStyle name="Salida 3 3 3 2 6" xfId="38096"/>
    <cellStyle name="Salida 3 3 3 2 6 2" xfId="38097"/>
    <cellStyle name="Salida 3 3 3 2 7" xfId="38098"/>
    <cellStyle name="Salida 3 3 3 2 7 2" xfId="38099"/>
    <cellStyle name="Salida 3 3 3 2 8" xfId="38100"/>
    <cellStyle name="Salida 3 3 3 2 8 2" xfId="38101"/>
    <cellStyle name="Salida 3 3 3 2 9" xfId="38102"/>
    <cellStyle name="Salida 3 3 3 2 9 2" xfId="38103"/>
    <cellStyle name="Salida 3 3 3 3" xfId="38104"/>
    <cellStyle name="Salida 3 3 3 3 10" xfId="38105"/>
    <cellStyle name="Salida 3 3 3 3 10 2" xfId="38106"/>
    <cellStyle name="Salida 3 3 3 3 11" xfId="38107"/>
    <cellStyle name="Salida 3 3 3 3 2" xfId="38108"/>
    <cellStyle name="Salida 3 3 3 3 2 2" xfId="38109"/>
    <cellStyle name="Salida 3 3 3 3 3" xfId="38110"/>
    <cellStyle name="Salida 3 3 3 3 3 2" xfId="38111"/>
    <cellStyle name="Salida 3 3 3 3 4" xfId="38112"/>
    <cellStyle name="Salida 3 3 3 3 4 2" xfId="38113"/>
    <cellStyle name="Salida 3 3 3 3 5" xfId="38114"/>
    <cellStyle name="Salida 3 3 3 3 5 2" xfId="38115"/>
    <cellStyle name="Salida 3 3 3 3 6" xfId="38116"/>
    <cellStyle name="Salida 3 3 3 3 6 2" xfId="38117"/>
    <cellStyle name="Salida 3 3 3 3 7" xfId="38118"/>
    <cellStyle name="Salida 3 3 3 3 7 2" xfId="38119"/>
    <cellStyle name="Salida 3 3 3 3 8" xfId="38120"/>
    <cellStyle name="Salida 3 3 3 3 8 2" xfId="38121"/>
    <cellStyle name="Salida 3 3 3 3 9" xfId="38122"/>
    <cellStyle name="Salida 3 3 3 3 9 2" xfId="38123"/>
    <cellStyle name="Salida 3 3 3 4" xfId="38124"/>
    <cellStyle name="Salida 3 3 3 4 2" xfId="38125"/>
    <cellStyle name="Salida 3 3 3 5" xfId="38126"/>
    <cellStyle name="Salida 3 3 3 5 2" xfId="38127"/>
    <cellStyle name="Salida 3 3 3 6" xfId="38128"/>
    <cellStyle name="Salida 3 3 3 6 2" xfId="38129"/>
    <cellStyle name="Salida 3 3 3 7" xfId="38130"/>
    <cellStyle name="Salida 3 3 3 7 2" xfId="38131"/>
    <cellStyle name="Salida 3 3 3 8" xfId="38132"/>
    <cellStyle name="Salida 3 3 3 8 2" xfId="38133"/>
    <cellStyle name="Salida 3 3 3 9" xfId="38134"/>
    <cellStyle name="Salida 3 3 3 9 2" xfId="38135"/>
    <cellStyle name="Salida 3 3 4" xfId="38136"/>
    <cellStyle name="Salida 3 3 4 10" xfId="38137"/>
    <cellStyle name="Salida 3 3 4 10 2" xfId="38138"/>
    <cellStyle name="Salida 3 3 4 11" xfId="38139"/>
    <cellStyle name="Salida 3 3 4 2" xfId="38140"/>
    <cellStyle name="Salida 3 3 4 2 2" xfId="38141"/>
    <cellStyle name="Salida 3 3 4 3" xfId="38142"/>
    <cellStyle name="Salida 3 3 4 3 2" xfId="38143"/>
    <cellStyle name="Salida 3 3 4 4" xfId="38144"/>
    <cellStyle name="Salida 3 3 4 4 2" xfId="38145"/>
    <cellStyle name="Salida 3 3 4 5" xfId="38146"/>
    <cellStyle name="Salida 3 3 4 5 2" xfId="38147"/>
    <cellStyle name="Salida 3 3 4 6" xfId="38148"/>
    <cellStyle name="Salida 3 3 4 6 2" xfId="38149"/>
    <cellStyle name="Salida 3 3 4 7" xfId="38150"/>
    <cellStyle name="Salida 3 3 4 7 2" xfId="38151"/>
    <cellStyle name="Salida 3 3 4 8" xfId="38152"/>
    <cellStyle name="Salida 3 3 4 8 2" xfId="38153"/>
    <cellStyle name="Salida 3 3 4 9" xfId="38154"/>
    <cellStyle name="Salida 3 3 4 9 2" xfId="38155"/>
    <cellStyle name="Salida 3 3 5" xfId="38156"/>
    <cellStyle name="Salida 3 3 5 10" xfId="38157"/>
    <cellStyle name="Salida 3 3 5 10 2" xfId="38158"/>
    <cellStyle name="Salida 3 3 5 11" xfId="38159"/>
    <cellStyle name="Salida 3 3 5 2" xfId="38160"/>
    <cellStyle name="Salida 3 3 5 2 2" xfId="38161"/>
    <cellStyle name="Salida 3 3 5 3" xfId="38162"/>
    <cellStyle name="Salida 3 3 5 3 2" xfId="38163"/>
    <cellStyle name="Salida 3 3 5 4" xfId="38164"/>
    <cellStyle name="Salida 3 3 5 4 2" xfId="38165"/>
    <cellStyle name="Salida 3 3 5 5" xfId="38166"/>
    <cellStyle name="Salida 3 3 5 5 2" xfId="38167"/>
    <cellStyle name="Salida 3 3 5 6" xfId="38168"/>
    <cellStyle name="Salida 3 3 5 6 2" xfId="38169"/>
    <cellStyle name="Salida 3 3 5 7" xfId="38170"/>
    <cellStyle name="Salida 3 3 5 7 2" xfId="38171"/>
    <cellStyle name="Salida 3 3 5 8" xfId="38172"/>
    <cellStyle name="Salida 3 3 5 8 2" xfId="38173"/>
    <cellStyle name="Salida 3 3 5 9" xfId="38174"/>
    <cellStyle name="Salida 3 3 5 9 2" xfId="38175"/>
    <cellStyle name="Salida 3 3 6" xfId="38176"/>
    <cellStyle name="Salida 3 3 6 2" xfId="38177"/>
    <cellStyle name="Salida 3 3 7" xfId="38178"/>
    <cellStyle name="Salida 3 3 7 2" xfId="38179"/>
    <cellStyle name="Salida 3 3 8" xfId="38180"/>
    <cellStyle name="Salida 3 3 8 2" xfId="38181"/>
    <cellStyle name="Salida 3 3 9" xfId="38182"/>
    <cellStyle name="Salida 3 3 9 2" xfId="38183"/>
    <cellStyle name="Salida 3 4" xfId="38184"/>
    <cellStyle name="Salida 3 4 10" xfId="38185"/>
    <cellStyle name="Salida 3 4 10 2" xfId="38186"/>
    <cellStyle name="Salida 3 4 11" xfId="38187"/>
    <cellStyle name="Salida 3 4 11 2" xfId="38188"/>
    <cellStyle name="Salida 3 4 12" xfId="38189"/>
    <cellStyle name="Salida 3 4 12 2" xfId="38190"/>
    <cellStyle name="Salida 3 4 13" xfId="38191"/>
    <cellStyle name="Salida 3 4 2" xfId="38192"/>
    <cellStyle name="Salida 3 4 2 10" xfId="38193"/>
    <cellStyle name="Salida 3 4 2 10 2" xfId="38194"/>
    <cellStyle name="Salida 3 4 2 11" xfId="38195"/>
    <cellStyle name="Salida 3 4 2 2" xfId="38196"/>
    <cellStyle name="Salida 3 4 2 2 2" xfId="38197"/>
    <cellStyle name="Salida 3 4 2 3" xfId="38198"/>
    <cellStyle name="Salida 3 4 2 3 2" xfId="38199"/>
    <cellStyle name="Salida 3 4 2 4" xfId="38200"/>
    <cellStyle name="Salida 3 4 2 4 2" xfId="38201"/>
    <cellStyle name="Salida 3 4 2 5" xfId="38202"/>
    <cellStyle name="Salida 3 4 2 5 2" xfId="38203"/>
    <cellStyle name="Salida 3 4 2 6" xfId="38204"/>
    <cellStyle name="Salida 3 4 2 6 2" xfId="38205"/>
    <cellStyle name="Salida 3 4 2 7" xfId="38206"/>
    <cellStyle name="Salida 3 4 2 7 2" xfId="38207"/>
    <cellStyle name="Salida 3 4 2 8" xfId="38208"/>
    <cellStyle name="Salida 3 4 2 8 2" xfId="38209"/>
    <cellStyle name="Salida 3 4 2 9" xfId="38210"/>
    <cellStyle name="Salida 3 4 2 9 2" xfId="38211"/>
    <cellStyle name="Salida 3 4 3" xfId="38212"/>
    <cellStyle name="Salida 3 4 3 10" xfId="38213"/>
    <cellStyle name="Salida 3 4 3 10 2" xfId="38214"/>
    <cellStyle name="Salida 3 4 3 11" xfId="38215"/>
    <cellStyle name="Salida 3 4 3 2" xfId="38216"/>
    <cellStyle name="Salida 3 4 3 2 2" xfId="38217"/>
    <cellStyle name="Salida 3 4 3 3" xfId="38218"/>
    <cellStyle name="Salida 3 4 3 3 2" xfId="38219"/>
    <cellStyle name="Salida 3 4 3 4" xfId="38220"/>
    <cellStyle name="Salida 3 4 3 4 2" xfId="38221"/>
    <cellStyle name="Salida 3 4 3 5" xfId="38222"/>
    <cellStyle name="Salida 3 4 3 5 2" xfId="38223"/>
    <cellStyle name="Salida 3 4 3 6" xfId="38224"/>
    <cellStyle name="Salida 3 4 3 6 2" xfId="38225"/>
    <cellStyle name="Salida 3 4 3 7" xfId="38226"/>
    <cellStyle name="Salida 3 4 3 7 2" xfId="38227"/>
    <cellStyle name="Salida 3 4 3 8" xfId="38228"/>
    <cellStyle name="Salida 3 4 3 8 2" xfId="38229"/>
    <cellStyle name="Salida 3 4 3 9" xfId="38230"/>
    <cellStyle name="Salida 3 4 3 9 2" xfId="38231"/>
    <cellStyle name="Salida 3 4 4" xfId="38232"/>
    <cellStyle name="Salida 3 4 4 2" xfId="38233"/>
    <cellStyle name="Salida 3 4 5" xfId="38234"/>
    <cellStyle name="Salida 3 4 5 2" xfId="38235"/>
    <cellStyle name="Salida 3 4 6" xfId="38236"/>
    <cellStyle name="Salida 3 4 6 2" xfId="38237"/>
    <cellStyle name="Salida 3 4 7" xfId="38238"/>
    <cellStyle name="Salida 3 4 7 2" xfId="38239"/>
    <cellStyle name="Salida 3 4 8" xfId="38240"/>
    <cellStyle name="Salida 3 4 8 2" xfId="38241"/>
    <cellStyle name="Salida 3 4 9" xfId="38242"/>
    <cellStyle name="Salida 3 4 9 2" xfId="38243"/>
    <cellStyle name="Salida 3 5" xfId="38244"/>
    <cellStyle name="Salida 3 5 10" xfId="38245"/>
    <cellStyle name="Salida 3 5 10 2" xfId="38246"/>
    <cellStyle name="Salida 3 5 11" xfId="38247"/>
    <cellStyle name="Salida 3 5 11 2" xfId="38248"/>
    <cellStyle name="Salida 3 5 12" xfId="38249"/>
    <cellStyle name="Salida 3 5 12 2" xfId="38250"/>
    <cellStyle name="Salida 3 5 13" xfId="38251"/>
    <cellStyle name="Salida 3 5 2" xfId="38252"/>
    <cellStyle name="Salida 3 5 2 10" xfId="38253"/>
    <cellStyle name="Salida 3 5 2 10 2" xfId="38254"/>
    <cellStyle name="Salida 3 5 2 11" xfId="38255"/>
    <cellStyle name="Salida 3 5 2 2" xfId="38256"/>
    <cellStyle name="Salida 3 5 2 2 2" xfId="38257"/>
    <cellStyle name="Salida 3 5 2 3" xfId="38258"/>
    <cellStyle name="Salida 3 5 2 3 2" xfId="38259"/>
    <cellStyle name="Salida 3 5 2 4" xfId="38260"/>
    <cellStyle name="Salida 3 5 2 4 2" xfId="38261"/>
    <cellStyle name="Salida 3 5 2 5" xfId="38262"/>
    <cellStyle name="Salida 3 5 2 5 2" xfId="38263"/>
    <cellStyle name="Salida 3 5 2 6" xfId="38264"/>
    <cellStyle name="Salida 3 5 2 6 2" xfId="38265"/>
    <cellStyle name="Salida 3 5 2 7" xfId="38266"/>
    <cellStyle name="Salida 3 5 2 7 2" xfId="38267"/>
    <cellStyle name="Salida 3 5 2 8" xfId="38268"/>
    <cellStyle name="Salida 3 5 2 8 2" xfId="38269"/>
    <cellStyle name="Salida 3 5 2 9" xfId="38270"/>
    <cellStyle name="Salida 3 5 2 9 2" xfId="38271"/>
    <cellStyle name="Salida 3 5 3" xfId="38272"/>
    <cellStyle name="Salida 3 5 3 10" xfId="38273"/>
    <cellStyle name="Salida 3 5 3 10 2" xfId="38274"/>
    <cellStyle name="Salida 3 5 3 11" xfId="38275"/>
    <cellStyle name="Salida 3 5 3 2" xfId="38276"/>
    <cellStyle name="Salida 3 5 3 2 2" xfId="38277"/>
    <cellStyle name="Salida 3 5 3 3" xfId="38278"/>
    <cellStyle name="Salida 3 5 3 3 2" xfId="38279"/>
    <cellStyle name="Salida 3 5 3 4" xfId="38280"/>
    <cellStyle name="Salida 3 5 3 4 2" xfId="38281"/>
    <cellStyle name="Salida 3 5 3 5" xfId="38282"/>
    <cellStyle name="Salida 3 5 3 5 2" xfId="38283"/>
    <cellStyle name="Salida 3 5 3 6" xfId="38284"/>
    <cellStyle name="Salida 3 5 3 6 2" xfId="38285"/>
    <cellStyle name="Salida 3 5 3 7" xfId="38286"/>
    <cellStyle name="Salida 3 5 3 7 2" xfId="38287"/>
    <cellStyle name="Salida 3 5 3 8" xfId="38288"/>
    <cellStyle name="Salida 3 5 3 8 2" xfId="38289"/>
    <cellStyle name="Salida 3 5 3 9" xfId="38290"/>
    <cellStyle name="Salida 3 5 3 9 2" xfId="38291"/>
    <cellStyle name="Salida 3 5 4" xfId="38292"/>
    <cellStyle name="Salida 3 5 4 2" xfId="38293"/>
    <cellStyle name="Salida 3 5 5" xfId="38294"/>
    <cellStyle name="Salida 3 5 5 2" xfId="38295"/>
    <cellStyle name="Salida 3 5 6" xfId="38296"/>
    <cellStyle name="Salida 3 5 6 2" xfId="38297"/>
    <cellStyle name="Salida 3 5 7" xfId="38298"/>
    <cellStyle name="Salida 3 5 7 2" xfId="38299"/>
    <cellStyle name="Salida 3 5 8" xfId="38300"/>
    <cellStyle name="Salida 3 5 8 2" xfId="38301"/>
    <cellStyle name="Salida 3 5 9" xfId="38302"/>
    <cellStyle name="Salida 3 5 9 2" xfId="38303"/>
    <cellStyle name="Salida 3 6" xfId="38304"/>
    <cellStyle name="Salida 3 6 2" xfId="38305"/>
    <cellStyle name="Salida 3 7" xfId="38306"/>
    <cellStyle name="Salida 3 7 2" xfId="38307"/>
    <cellStyle name="Salida 3 8" xfId="38308"/>
    <cellStyle name="Salida 3 8 2" xfId="38309"/>
    <cellStyle name="Salida 3 9" xfId="38310"/>
    <cellStyle name="Salida 3 9 2" xfId="38311"/>
    <cellStyle name="Salida 4" xfId="227"/>
    <cellStyle name="Salida 4 10" xfId="38312"/>
    <cellStyle name="Salida 4 10 2" xfId="38313"/>
    <cellStyle name="Salida 4 11" xfId="38314"/>
    <cellStyle name="Salida 4 11 2" xfId="38315"/>
    <cellStyle name="Salida 4 12" xfId="38316"/>
    <cellStyle name="Salida 4 12 2" xfId="38317"/>
    <cellStyle name="Salida 4 13" xfId="38318"/>
    <cellStyle name="Salida 4 13 2" xfId="38319"/>
    <cellStyle name="Salida 4 14" xfId="38320"/>
    <cellStyle name="Salida 4 14 2" xfId="38321"/>
    <cellStyle name="Salida 4 15" xfId="38322"/>
    <cellStyle name="Salida 4 15 2" xfId="38323"/>
    <cellStyle name="Salida 4 16" xfId="38324"/>
    <cellStyle name="Salida 4 17" xfId="38325"/>
    <cellStyle name="Salida 4 18" xfId="38326"/>
    <cellStyle name="Salida 4 2" xfId="303"/>
    <cellStyle name="Salida 4 2 10" xfId="38327"/>
    <cellStyle name="Salida 4 2 10 2" xfId="38328"/>
    <cellStyle name="Salida 4 2 11" xfId="38329"/>
    <cellStyle name="Salida 4 2 11 2" xfId="38330"/>
    <cellStyle name="Salida 4 2 12" xfId="38331"/>
    <cellStyle name="Salida 4 2 12 2" xfId="38332"/>
    <cellStyle name="Salida 4 2 13" xfId="38333"/>
    <cellStyle name="Salida 4 2 13 2" xfId="38334"/>
    <cellStyle name="Salida 4 2 14" xfId="38335"/>
    <cellStyle name="Salida 4 2 14 2" xfId="38336"/>
    <cellStyle name="Salida 4 2 15" xfId="38337"/>
    <cellStyle name="Salida 4 2 16" xfId="38338"/>
    <cellStyle name="Salida 4 2 2" xfId="38339"/>
    <cellStyle name="Salida 4 2 2 10" xfId="38340"/>
    <cellStyle name="Salida 4 2 2 10 2" xfId="38341"/>
    <cellStyle name="Salida 4 2 2 11" xfId="38342"/>
    <cellStyle name="Salida 4 2 2 11 2" xfId="38343"/>
    <cellStyle name="Salida 4 2 2 12" xfId="38344"/>
    <cellStyle name="Salida 4 2 2 12 2" xfId="38345"/>
    <cellStyle name="Salida 4 2 2 13" xfId="38346"/>
    <cellStyle name="Salida 4 2 2 2" xfId="38347"/>
    <cellStyle name="Salida 4 2 2 2 10" xfId="38348"/>
    <cellStyle name="Salida 4 2 2 2 10 2" xfId="38349"/>
    <cellStyle name="Salida 4 2 2 2 11" xfId="38350"/>
    <cellStyle name="Salida 4 2 2 2 2" xfId="38351"/>
    <cellStyle name="Salida 4 2 2 2 2 2" xfId="38352"/>
    <cellStyle name="Salida 4 2 2 2 3" xfId="38353"/>
    <cellStyle name="Salida 4 2 2 2 3 2" xfId="38354"/>
    <cellStyle name="Salida 4 2 2 2 4" xfId="38355"/>
    <cellStyle name="Salida 4 2 2 2 4 2" xfId="38356"/>
    <cellStyle name="Salida 4 2 2 2 5" xfId="38357"/>
    <cellStyle name="Salida 4 2 2 2 5 2" xfId="38358"/>
    <cellStyle name="Salida 4 2 2 2 6" xfId="38359"/>
    <cellStyle name="Salida 4 2 2 2 6 2" xfId="38360"/>
    <cellStyle name="Salida 4 2 2 2 7" xfId="38361"/>
    <cellStyle name="Salida 4 2 2 2 7 2" xfId="38362"/>
    <cellStyle name="Salida 4 2 2 2 8" xfId="38363"/>
    <cellStyle name="Salida 4 2 2 2 8 2" xfId="38364"/>
    <cellStyle name="Salida 4 2 2 2 9" xfId="38365"/>
    <cellStyle name="Salida 4 2 2 2 9 2" xfId="38366"/>
    <cellStyle name="Salida 4 2 2 3" xfId="38367"/>
    <cellStyle name="Salida 4 2 2 3 10" xfId="38368"/>
    <cellStyle name="Salida 4 2 2 3 10 2" xfId="38369"/>
    <cellStyle name="Salida 4 2 2 3 11" xfId="38370"/>
    <cellStyle name="Salida 4 2 2 3 2" xfId="38371"/>
    <cellStyle name="Salida 4 2 2 3 2 2" xfId="38372"/>
    <cellStyle name="Salida 4 2 2 3 3" xfId="38373"/>
    <cellStyle name="Salida 4 2 2 3 3 2" xfId="38374"/>
    <cellStyle name="Salida 4 2 2 3 4" xfId="38375"/>
    <cellStyle name="Salida 4 2 2 3 4 2" xfId="38376"/>
    <cellStyle name="Salida 4 2 2 3 5" xfId="38377"/>
    <cellStyle name="Salida 4 2 2 3 5 2" xfId="38378"/>
    <cellStyle name="Salida 4 2 2 3 6" xfId="38379"/>
    <cellStyle name="Salida 4 2 2 3 6 2" xfId="38380"/>
    <cellStyle name="Salida 4 2 2 3 7" xfId="38381"/>
    <cellStyle name="Salida 4 2 2 3 7 2" xfId="38382"/>
    <cellStyle name="Salida 4 2 2 3 8" xfId="38383"/>
    <cellStyle name="Salida 4 2 2 3 8 2" xfId="38384"/>
    <cellStyle name="Salida 4 2 2 3 9" xfId="38385"/>
    <cellStyle name="Salida 4 2 2 3 9 2" xfId="38386"/>
    <cellStyle name="Salida 4 2 2 4" xfId="38387"/>
    <cellStyle name="Salida 4 2 2 4 2" xfId="38388"/>
    <cellStyle name="Salida 4 2 2 5" xfId="38389"/>
    <cellStyle name="Salida 4 2 2 5 2" xfId="38390"/>
    <cellStyle name="Salida 4 2 2 6" xfId="38391"/>
    <cellStyle name="Salida 4 2 2 6 2" xfId="38392"/>
    <cellStyle name="Salida 4 2 2 7" xfId="38393"/>
    <cellStyle name="Salida 4 2 2 7 2" xfId="38394"/>
    <cellStyle name="Salida 4 2 2 8" xfId="38395"/>
    <cellStyle name="Salida 4 2 2 8 2" xfId="38396"/>
    <cellStyle name="Salida 4 2 2 9" xfId="38397"/>
    <cellStyle name="Salida 4 2 2 9 2" xfId="38398"/>
    <cellStyle name="Salida 4 2 3" xfId="38399"/>
    <cellStyle name="Salida 4 2 3 10" xfId="38400"/>
    <cellStyle name="Salida 4 2 3 10 2" xfId="38401"/>
    <cellStyle name="Salida 4 2 3 11" xfId="38402"/>
    <cellStyle name="Salida 4 2 3 11 2" xfId="38403"/>
    <cellStyle name="Salida 4 2 3 12" xfId="38404"/>
    <cellStyle name="Salida 4 2 3 12 2" xfId="38405"/>
    <cellStyle name="Salida 4 2 3 13" xfId="38406"/>
    <cellStyle name="Salida 4 2 3 2" xfId="38407"/>
    <cellStyle name="Salida 4 2 3 2 10" xfId="38408"/>
    <cellStyle name="Salida 4 2 3 2 10 2" xfId="38409"/>
    <cellStyle name="Salida 4 2 3 2 11" xfId="38410"/>
    <cellStyle name="Salida 4 2 3 2 2" xfId="38411"/>
    <cellStyle name="Salida 4 2 3 2 2 2" xfId="38412"/>
    <cellStyle name="Salida 4 2 3 2 3" xfId="38413"/>
    <cellStyle name="Salida 4 2 3 2 3 2" xfId="38414"/>
    <cellStyle name="Salida 4 2 3 2 4" xfId="38415"/>
    <cellStyle name="Salida 4 2 3 2 4 2" xfId="38416"/>
    <cellStyle name="Salida 4 2 3 2 5" xfId="38417"/>
    <cellStyle name="Salida 4 2 3 2 5 2" xfId="38418"/>
    <cellStyle name="Salida 4 2 3 2 6" xfId="38419"/>
    <cellStyle name="Salida 4 2 3 2 6 2" xfId="38420"/>
    <cellStyle name="Salida 4 2 3 2 7" xfId="38421"/>
    <cellStyle name="Salida 4 2 3 2 7 2" xfId="38422"/>
    <cellStyle name="Salida 4 2 3 2 8" xfId="38423"/>
    <cellStyle name="Salida 4 2 3 2 8 2" xfId="38424"/>
    <cellStyle name="Salida 4 2 3 2 9" xfId="38425"/>
    <cellStyle name="Salida 4 2 3 2 9 2" xfId="38426"/>
    <cellStyle name="Salida 4 2 3 3" xfId="38427"/>
    <cellStyle name="Salida 4 2 3 3 10" xfId="38428"/>
    <cellStyle name="Salida 4 2 3 3 10 2" xfId="38429"/>
    <cellStyle name="Salida 4 2 3 3 11" xfId="38430"/>
    <cellStyle name="Salida 4 2 3 3 2" xfId="38431"/>
    <cellStyle name="Salida 4 2 3 3 2 2" xfId="38432"/>
    <cellStyle name="Salida 4 2 3 3 3" xfId="38433"/>
    <cellStyle name="Salida 4 2 3 3 3 2" xfId="38434"/>
    <cellStyle name="Salida 4 2 3 3 4" xfId="38435"/>
    <cellStyle name="Salida 4 2 3 3 4 2" xfId="38436"/>
    <cellStyle name="Salida 4 2 3 3 5" xfId="38437"/>
    <cellStyle name="Salida 4 2 3 3 5 2" xfId="38438"/>
    <cellStyle name="Salida 4 2 3 3 6" xfId="38439"/>
    <cellStyle name="Salida 4 2 3 3 6 2" xfId="38440"/>
    <cellStyle name="Salida 4 2 3 3 7" xfId="38441"/>
    <cellStyle name="Salida 4 2 3 3 7 2" xfId="38442"/>
    <cellStyle name="Salida 4 2 3 3 8" xfId="38443"/>
    <cellStyle name="Salida 4 2 3 3 8 2" xfId="38444"/>
    <cellStyle name="Salida 4 2 3 3 9" xfId="38445"/>
    <cellStyle name="Salida 4 2 3 3 9 2" xfId="38446"/>
    <cellStyle name="Salida 4 2 3 4" xfId="38447"/>
    <cellStyle name="Salida 4 2 3 4 2" xfId="38448"/>
    <cellStyle name="Salida 4 2 3 5" xfId="38449"/>
    <cellStyle name="Salida 4 2 3 5 2" xfId="38450"/>
    <cellStyle name="Salida 4 2 3 6" xfId="38451"/>
    <cellStyle name="Salida 4 2 3 6 2" xfId="38452"/>
    <cellStyle name="Salida 4 2 3 7" xfId="38453"/>
    <cellStyle name="Salida 4 2 3 7 2" xfId="38454"/>
    <cellStyle name="Salida 4 2 3 8" xfId="38455"/>
    <cellStyle name="Salida 4 2 3 8 2" xfId="38456"/>
    <cellStyle name="Salida 4 2 3 9" xfId="38457"/>
    <cellStyle name="Salida 4 2 3 9 2" xfId="38458"/>
    <cellStyle name="Salida 4 2 4" xfId="38459"/>
    <cellStyle name="Salida 4 2 4 10" xfId="38460"/>
    <cellStyle name="Salida 4 2 4 10 2" xfId="38461"/>
    <cellStyle name="Salida 4 2 4 11" xfId="38462"/>
    <cellStyle name="Salida 4 2 4 2" xfId="38463"/>
    <cellStyle name="Salida 4 2 4 2 2" xfId="38464"/>
    <cellStyle name="Salida 4 2 4 3" xfId="38465"/>
    <cellStyle name="Salida 4 2 4 3 2" xfId="38466"/>
    <cellStyle name="Salida 4 2 4 4" xfId="38467"/>
    <cellStyle name="Salida 4 2 4 4 2" xfId="38468"/>
    <cellStyle name="Salida 4 2 4 5" xfId="38469"/>
    <cellStyle name="Salida 4 2 4 5 2" xfId="38470"/>
    <cellStyle name="Salida 4 2 4 6" xfId="38471"/>
    <cellStyle name="Salida 4 2 4 6 2" xfId="38472"/>
    <cellStyle name="Salida 4 2 4 7" xfId="38473"/>
    <cellStyle name="Salida 4 2 4 7 2" xfId="38474"/>
    <cellStyle name="Salida 4 2 4 8" xfId="38475"/>
    <cellStyle name="Salida 4 2 4 8 2" xfId="38476"/>
    <cellStyle name="Salida 4 2 4 9" xfId="38477"/>
    <cellStyle name="Salida 4 2 4 9 2" xfId="38478"/>
    <cellStyle name="Salida 4 2 5" xfId="38479"/>
    <cellStyle name="Salida 4 2 5 10" xfId="38480"/>
    <cellStyle name="Salida 4 2 5 10 2" xfId="38481"/>
    <cellStyle name="Salida 4 2 5 11" xfId="38482"/>
    <cellStyle name="Salida 4 2 5 2" xfId="38483"/>
    <cellStyle name="Salida 4 2 5 2 2" xfId="38484"/>
    <cellStyle name="Salida 4 2 5 3" xfId="38485"/>
    <cellStyle name="Salida 4 2 5 3 2" xfId="38486"/>
    <cellStyle name="Salida 4 2 5 4" xfId="38487"/>
    <cellStyle name="Salida 4 2 5 4 2" xfId="38488"/>
    <cellStyle name="Salida 4 2 5 5" xfId="38489"/>
    <cellStyle name="Salida 4 2 5 5 2" xfId="38490"/>
    <cellStyle name="Salida 4 2 5 6" xfId="38491"/>
    <cellStyle name="Salida 4 2 5 6 2" xfId="38492"/>
    <cellStyle name="Salida 4 2 5 7" xfId="38493"/>
    <cellStyle name="Salida 4 2 5 7 2" xfId="38494"/>
    <cellStyle name="Salida 4 2 5 8" xfId="38495"/>
    <cellStyle name="Salida 4 2 5 8 2" xfId="38496"/>
    <cellStyle name="Salida 4 2 5 9" xfId="38497"/>
    <cellStyle name="Salida 4 2 5 9 2" xfId="38498"/>
    <cellStyle name="Salida 4 2 6" xfId="38499"/>
    <cellStyle name="Salida 4 2 6 2" xfId="38500"/>
    <cellStyle name="Salida 4 2 7" xfId="38501"/>
    <cellStyle name="Salida 4 2 7 2" xfId="38502"/>
    <cellStyle name="Salida 4 2 8" xfId="38503"/>
    <cellStyle name="Salida 4 2 8 2" xfId="38504"/>
    <cellStyle name="Salida 4 2 9" xfId="38505"/>
    <cellStyle name="Salida 4 2 9 2" xfId="38506"/>
    <cellStyle name="Salida 4 3" xfId="272"/>
    <cellStyle name="Salida 4 3 10" xfId="38507"/>
    <cellStyle name="Salida 4 3 10 2" xfId="38508"/>
    <cellStyle name="Salida 4 3 11" xfId="38509"/>
    <cellStyle name="Salida 4 3 11 2" xfId="38510"/>
    <cellStyle name="Salida 4 3 12" xfId="38511"/>
    <cellStyle name="Salida 4 3 12 2" xfId="38512"/>
    <cellStyle name="Salida 4 3 13" xfId="38513"/>
    <cellStyle name="Salida 4 3 2" xfId="38514"/>
    <cellStyle name="Salida 4 3 2 10" xfId="38515"/>
    <cellStyle name="Salida 4 3 2 10 2" xfId="38516"/>
    <cellStyle name="Salida 4 3 2 11" xfId="38517"/>
    <cellStyle name="Salida 4 3 2 2" xfId="38518"/>
    <cellStyle name="Salida 4 3 2 2 2" xfId="38519"/>
    <cellStyle name="Salida 4 3 2 3" xfId="38520"/>
    <cellStyle name="Salida 4 3 2 3 2" xfId="38521"/>
    <cellStyle name="Salida 4 3 2 4" xfId="38522"/>
    <cellStyle name="Salida 4 3 2 4 2" xfId="38523"/>
    <cellStyle name="Salida 4 3 2 5" xfId="38524"/>
    <cellStyle name="Salida 4 3 2 5 2" xfId="38525"/>
    <cellStyle name="Salida 4 3 2 6" xfId="38526"/>
    <cellStyle name="Salida 4 3 2 6 2" xfId="38527"/>
    <cellStyle name="Salida 4 3 2 7" xfId="38528"/>
    <cellStyle name="Salida 4 3 2 7 2" xfId="38529"/>
    <cellStyle name="Salida 4 3 2 8" xfId="38530"/>
    <cellStyle name="Salida 4 3 2 8 2" xfId="38531"/>
    <cellStyle name="Salida 4 3 2 9" xfId="38532"/>
    <cellStyle name="Salida 4 3 2 9 2" xfId="38533"/>
    <cellStyle name="Salida 4 3 3" xfId="38534"/>
    <cellStyle name="Salida 4 3 3 10" xfId="38535"/>
    <cellStyle name="Salida 4 3 3 10 2" xfId="38536"/>
    <cellStyle name="Salida 4 3 3 11" xfId="38537"/>
    <cellStyle name="Salida 4 3 3 2" xfId="38538"/>
    <cellStyle name="Salida 4 3 3 2 2" xfId="38539"/>
    <cellStyle name="Salida 4 3 3 3" xfId="38540"/>
    <cellStyle name="Salida 4 3 3 3 2" xfId="38541"/>
    <cellStyle name="Salida 4 3 3 4" xfId="38542"/>
    <cellStyle name="Salida 4 3 3 4 2" xfId="38543"/>
    <cellStyle name="Salida 4 3 3 5" xfId="38544"/>
    <cellStyle name="Salida 4 3 3 5 2" xfId="38545"/>
    <cellStyle name="Salida 4 3 3 6" xfId="38546"/>
    <cellStyle name="Salida 4 3 3 6 2" xfId="38547"/>
    <cellStyle name="Salida 4 3 3 7" xfId="38548"/>
    <cellStyle name="Salida 4 3 3 7 2" xfId="38549"/>
    <cellStyle name="Salida 4 3 3 8" xfId="38550"/>
    <cellStyle name="Salida 4 3 3 8 2" xfId="38551"/>
    <cellStyle name="Salida 4 3 3 9" xfId="38552"/>
    <cellStyle name="Salida 4 3 3 9 2" xfId="38553"/>
    <cellStyle name="Salida 4 3 4" xfId="38554"/>
    <cellStyle name="Salida 4 3 4 2" xfId="38555"/>
    <cellStyle name="Salida 4 3 5" xfId="38556"/>
    <cellStyle name="Salida 4 3 5 2" xfId="38557"/>
    <cellStyle name="Salida 4 3 6" xfId="38558"/>
    <cellStyle name="Salida 4 3 6 2" xfId="38559"/>
    <cellStyle name="Salida 4 3 7" xfId="38560"/>
    <cellStyle name="Salida 4 3 7 2" xfId="38561"/>
    <cellStyle name="Salida 4 3 8" xfId="38562"/>
    <cellStyle name="Salida 4 3 8 2" xfId="38563"/>
    <cellStyle name="Salida 4 3 9" xfId="38564"/>
    <cellStyle name="Salida 4 3 9 2" xfId="38565"/>
    <cellStyle name="Salida 4 4" xfId="38566"/>
    <cellStyle name="Salida 4 4 10" xfId="38567"/>
    <cellStyle name="Salida 4 4 10 2" xfId="38568"/>
    <cellStyle name="Salida 4 4 11" xfId="38569"/>
    <cellStyle name="Salida 4 4 11 2" xfId="38570"/>
    <cellStyle name="Salida 4 4 12" xfId="38571"/>
    <cellStyle name="Salida 4 4 12 2" xfId="38572"/>
    <cellStyle name="Salida 4 4 13" xfId="38573"/>
    <cellStyle name="Salida 4 4 2" xfId="38574"/>
    <cellStyle name="Salida 4 4 2 10" xfId="38575"/>
    <cellStyle name="Salida 4 4 2 10 2" xfId="38576"/>
    <cellStyle name="Salida 4 4 2 11" xfId="38577"/>
    <cellStyle name="Salida 4 4 2 2" xfId="38578"/>
    <cellStyle name="Salida 4 4 2 2 2" xfId="38579"/>
    <cellStyle name="Salida 4 4 2 3" xfId="38580"/>
    <cellStyle name="Salida 4 4 2 3 2" xfId="38581"/>
    <cellStyle name="Salida 4 4 2 4" xfId="38582"/>
    <cellStyle name="Salida 4 4 2 4 2" xfId="38583"/>
    <cellStyle name="Salida 4 4 2 5" xfId="38584"/>
    <cellStyle name="Salida 4 4 2 5 2" xfId="38585"/>
    <cellStyle name="Salida 4 4 2 6" xfId="38586"/>
    <cellStyle name="Salida 4 4 2 6 2" xfId="38587"/>
    <cellStyle name="Salida 4 4 2 7" xfId="38588"/>
    <cellStyle name="Salida 4 4 2 7 2" xfId="38589"/>
    <cellStyle name="Salida 4 4 2 8" xfId="38590"/>
    <cellStyle name="Salida 4 4 2 8 2" xfId="38591"/>
    <cellStyle name="Salida 4 4 2 9" xfId="38592"/>
    <cellStyle name="Salida 4 4 2 9 2" xfId="38593"/>
    <cellStyle name="Salida 4 4 3" xfId="38594"/>
    <cellStyle name="Salida 4 4 3 10" xfId="38595"/>
    <cellStyle name="Salida 4 4 3 10 2" xfId="38596"/>
    <cellStyle name="Salida 4 4 3 11" xfId="38597"/>
    <cellStyle name="Salida 4 4 3 2" xfId="38598"/>
    <cellStyle name="Salida 4 4 3 2 2" xfId="38599"/>
    <cellStyle name="Salida 4 4 3 3" xfId="38600"/>
    <cellStyle name="Salida 4 4 3 3 2" xfId="38601"/>
    <cellStyle name="Salida 4 4 3 4" xfId="38602"/>
    <cellStyle name="Salida 4 4 3 4 2" xfId="38603"/>
    <cellStyle name="Salida 4 4 3 5" xfId="38604"/>
    <cellStyle name="Salida 4 4 3 5 2" xfId="38605"/>
    <cellStyle name="Salida 4 4 3 6" xfId="38606"/>
    <cellStyle name="Salida 4 4 3 6 2" xfId="38607"/>
    <cellStyle name="Salida 4 4 3 7" xfId="38608"/>
    <cellStyle name="Salida 4 4 3 7 2" xfId="38609"/>
    <cellStyle name="Salida 4 4 3 8" xfId="38610"/>
    <cellStyle name="Salida 4 4 3 8 2" xfId="38611"/>
    <cellStyle name="Salida 4 4 3 9" xfId="38612"/>
    <cellStyle name="Salida 4 4 3 9 2" xfId="38613"/>
    <cellStyle name="Salida 4 4 4" xfId="38614"/>
    <cellStyle name="Salida 4 4 4 2" xfId="38615"/>
    <cellStyle name="Salida 4 4 5" xfId="38616"/>
    <cellStyle name="Salida 4 4 5 2" xfId="38617"/>
    <cellStyle name="Salida 4 4 6" xfId="38618"/>
    <cellStyle name="Salida 4 4 6 2" xfId="38619"/>
    <cellStyle name="Salida 4 4 7" xfId="38620"/>
    <cellStyle name="Salida 4 4 7 2" xfId="38621"/>
    <cellStyle name="Salida 4 4 8" xfId="38622"/>
    <cellStyle name="Salida 4 4 8 2" xfId="38623"/>
    <cellStyle name="Salida 4 4 9" xfId="38624"/>
    <cellStyle name="Salida 4 4 9 2" xfId="38625"/>
    <cellStyle name="Salida 4 5" xfId="38626"/>
    <cellStyle name="Salida 4 5 10" xfId="38627"/>
    <cellStyle name="Salida 4 5 10 2" xfId="38628"/>
    <cellStyle name="Salida 4 5 11" xfId="38629"/>
    <cellStyle name="Salida 4 5 2" xfId="38630"/>
    <cellStyle name="Salida 4 5 2 2" xfId="38631"/>
    <cellStyle name="Salida 4 5 3" xfId="38632"/>
    <cellStyle name="Salida 4 5 3 2" xfId="38633"/>
    <cellStyle name="Salida 4 5 4" xfId="38634"/>
    <cellStyle name="Salida 4 5 4 2" xfId="38635"/>
    <cellStyle name="Salida 4 5 5" xfId="38636"/>
    <cellStyle name="Salida 4 5 5 2" xfId="38637"/>
    <cellStyle name="Salida 4 5 6" xfId="38638"/>
    <cellStyle name="Salida 4 5 6 2" xfId="38639"/>
    <cellStyle name="Salida 4 5 7" xfId="38640"/>
    <cellStyle name="Salida 4 5 7 2" xfId="38641"/>
    <cellStyle name="Salida 4 5 8" xfId="38642"/>
    <cellStyle name="Salida 4 5 8 2" xfId="38643"/>
    <cellStyle name="Salida 4 5 9" xfId="38644"/>
    <cellStyle name="Salida 4 5 9 2" xfId="38645"/>
    <cellStyle name="Salida 4 6" xfId="38646"/>
    <cellStyle name="Salida 4 6 10" xfId="38647"/>
    <cellStyle name="Salida 4 6 10 2" xfId="38648"/>
    <cellStyle name="Salida 4 6 11" xfId="38649"/>
    <cellStyle name="Salida 4 6 2" xfId="38650"/>
    <cellStyle name="Salida 4 6 2 2" xfId="38651"/>
    <cellStyle name="Salida 4 6 3" xfId="38652"/>
    <cellStyle name="Salida 4 6 3 2" xfId="38653"/>
    <cellStyle name="Salida 4 6 4" xfId="38654"/>
    <cellStyle name="Salida 4 6 4 2" xfId="38655"/>
    <cellStyle name="Salida 4 6 5" xfId="38656"/>
    <cellStyle name="Salida 4 6 5 2" xfId="38657"/>
    <cellStyle name="Salida 4 6 6" xfId="38658"/>
    <cellStyle name="Salida 4 6 6 2" xfId="38659"/>
    <cellStyle name="Salida 4 6 7" xfId="38660"/>
    <cellStyle name="Salida 4 6 7 2" xfId="38661"/>
    <cellStyle name="Salida 4 6 8" xfId="38662"/>
    <cellStyle name="Salida 4 6 8 2" xfId="38663"/>
    <cellStyle name="Salida 4 6 9" xfId="38664"/>
    <cellStyle name="Salida 4 6 9 2" xfId="38665"/>
    <cellStyle name="Salida 4 7" xfId="38666"/>
    <cellStyle name="Salida 4 7 2" xfId="38667"/>
    <cellStyle name="Salida 4 8" xfId="38668"/>
    <cellStyle name="Salida 4 8 2" xfId="38669"/>
    <cellStyle name="Salida 4 9" xfId="38670"/>
    <cellStyle name="Salida 4 9 2" xfId="38671"/>
    <cellStyle name="Salida 5" xfId="38672"/>
    <cellStyle name="Salida 5 10" xfId="38673"/>
    <cellStyle name="Salida 5 10 2" xfId="38674"/>
    <cellStyle name="Salida 5 11" xfId="38675"/>
    <cellStyle name="Salida 5 11 2" xfId="38676"/>
    <cellStyle name="Salida 5 12" xfId="38677"/>
    <cellStyle name="Salida 5 12 2" xfId="38678"/>
    <cellStyle name="Salida 5 13" xfId="38679"/>
    <cellStyle name="Salida 5 2" xfId="38680"/>
    <cellStyle name="Salida 5 2 10" xfId="38681"/>
    <cellStyle name="Salida 5 2 10 2" xfId="38682"/>
    <cellStyle name="Salida 5 2 11" xfId="38683"/>
    <cellStyle name="Salida 5 2 2" xfId="38684"/>
    <cellStyle name="Salida 5 2 2 2" xfId="38685"/>
    <cellStyle name="Salida 5 2 3" xfId="38686"/>
    <cellStyle name="Salida 5 2 3 2" xfId="38687"/>
    <cellStyle name="Salida 5 2 4" xfId="38688"/>
    <cellStyle name="Salida 5 2 4 2" xfId="38689"/>
    <cellStyle name="Salida 5 2 5" xfId="38690"/>
    <cellStyle name="Salida 5 2 5 2" xfId="38691"/>
    <cellStyle name="Salida 5 2 6" xfId="38692"/>
    <cellStyle name="Salida 5 2 6 2" xfId="38693"/>
    <cellStyle name="Salida 5 2 7" xfId="38694"/>
    <cellStyle name="Salida 5 2 7 2" xfId="38695"/>
    <cellStyle name="Salida 5 2 8" xfId="38696"/>
    <cellStyle name="Salida 5 2 8 2" xfId="38697"/>
    <cellStyle name="Salida 5 2 9" xfId="38698"/>
    <cellStyle name="Salida 5 2 9 2" xfId="38699"/>
    <cellStyle name="Salida 5 3" xfId="38700"/>
    <cellStyle name="Salida 5 3 10" xfId="38701"/>
    <cellStyle name="Salida 5 3 10 2" xfId="38702"/>
    <cellStyle name="Salida 5 3 11" xfId="38703"/>
    <cellStyle name="Salida 5 3 2" xfId="38704"/>
    <cellStyle name="Salida 5 3 2 2" xfId="38705"/>
    <cellStyle name="Salida 5 3 3" xfId="38706"/>
    <cellStyle name="Salida 5 3 3 2" xfId="38707"/>
    <cellStyle name="Salida 5 3 4" xfId="38708"/>
    <cellStyle name="Salida 5 3 4 2" xfId="38709"/>
    <cellStyle name="Salida 5 3 5" xfId="38710"/>
    <cellStyle name="Salida 5 3 5 2" xfId="38711"/>
    <cellStyle name="Salida 5 3 6" xfId="38712"/>
    <cellStyle name="Salida 5 3 6 2" xfId="38713"/>
    <cellStyle name="Salida 5 3 7" xfId="38714"/>
    <cellStyle name="Salida 5 3 7 2" xfId="38715"/>
    <cellStyle name="Salida 5 3 8" xfId="38716"/>
    <cellStyle name="Salida 5 3 8 2" xfId="38717"/>
    <cellStyle name="Salida 5 3 9" xfId="38718"/>
    <cellStyle name="Salida 5 3 9 2" xfId="38719"/>
    <cellStyle name="Salida 5 4" xfId="38720"/>
    <cellStyle name="Salida 5 4 2" xfId="38721"/>
    <cellStyle name="Salida 5 5" xfId="38722"/>
    <cellStyle name="Salida 5 5 2" xfId="38723"/>
    <cellStyle name="Salida 5 6" xfId="38724"/>
    <cellStyle name="Salida 5 6 2" xfId="38725"/>
    <cellStyle name="Salida 5 7" xfId="38726"/>
    <cellStyle name="Salida 5 7 2" xfId="38727"/>
    <cellStyle name="Salida 5 8" xfId="38728"/>
    <cellStyle name="Salida 5 8 2" xfId="38729"/>
    <cellStyle name="Salida 5 9" xfId="38730"/>
    <cellStyle name="Salida 5 9 2" xfId="38731"/>
    <cellStyle name="Salida 6" xfId="38732"/>
    <cellStyle name="Salida 6 10" xfId="38733"/>
    <cellStyle name="Salida 6 10 2" xfId="38734"/>
    <cellStyle name="Salida 6 11" xfId="38735"/>
    <cellStyle name="Salida 6 11 2" xfId="38736"/>
    <cellStyle name="Salida 6 12" xfId="38737"/>
    <cellStyle name="Salida 6 12 2" xfId="38738"/>
    <cellStyle name="Salida 6 13" xfId="38739"/>
    <cellStyle name="Salida 6 2" xfId="38740"/>
    <cellStyle name="Salida 6 2 10" xfId="38741"/>
    <cellStyle name="Salida 6 2 10 2" xfId="38742"/>
    <cellStyle name="Salida 6 2 11" xfId="38743"/>
    <cellStyle name="Salida 6 2 2" xfId="38744"/>
    <cellStyle name="Salida 6 2 2 2" xfId="38745"/>
    <cellStyle name="Salida 6 2 3" xfId="38746"/>
    <cellStyle name="Salida 6 2 3 2" xfId="38747"/>
    <cellStyle name="Salida 6 2 4" xfId="38748"/>
    <cellStyle name="Salida 6 2 4 2" xfId="38749"/>
    <cellStyle name="Salida 6 2 5" xfId="38750"/>
    <cellStyle name="Salida 6 2 5 2" xfId="38751"/>
    <cellStyle name="Salida 6 2 6" xfId="38752"/>
    <cellStyle name="Salida 6 2 6 2" xfId="38753"/>
    <cellStyle name="Salida 6 2 7" xfId="38754"/>
    <cellStyle name="Salida 6 2 7 2" xfId="38755"/>
    <cellStyle name="Salida 6 2 8" xfId="38756"/>
    <cellStyle name="Salida 6 2 8 2" xfId="38757"/>
    <cellStyle name="Salida 6 2 9" xfId="38758"/>
    <cellStyle name="Salida 6 2 9 2" xfId="38759"/>
    <cellStyle name="Salida 6 3" xfId="38760"/>
    <cellStyle name="Salida 6 3 10" xfId="38761"/>
    <cellStyle name="Salida 6 3 10 2" xfId="38762"/>
    <cellStyle name="Salida 6 3 11" xfId="38763"/>
    <cellStyle name="Salida 6 3 2" xfId="38764"/>
    <cellStyle name="Salida 6 3 2 2" xfId="38765"/>
    <cellStyle name="Salida 6 3 3" xfId="38766"/>
    <cellStyle name="Salida 6 3 3 2" xfId="38767"/>
    <cellStyle name="Salida 6 3 4" xfId="38768"/>
    <cellStyle name="Salida 6 3 4 2" xfId="38769"/>
    <cellStyle name="Salida 6 3 5" xfId="38770"/>
    <cellStyle name="Salida 6 3 5 2" xfId="38771"/>
    <cellStyle name="Salida 6 3 6" xfId="38772"/>
    <cellStyle name="Salida 6 3 6 2" xfId="38773"/>
    <cellStyle name="Salida 6 3 7" xfId="38774"/>
    <cellStyle name="Salida 6 3 7 2" xfId="38775"/>
    <cellStyle name="Salida 6 3 8" xfId="38776"/>
    <cellStyle name="Salida 6 3 8 2" xfId="38777"/>
    <cellStyle name="Salida 6 3 9" xfId="38778"/>
    <cellStyle name="Salida 6 3 9 2" xfId="38779"/>
    <cellStyle name="Salida 6 4" xfId="38780"/>
    <cellStyle name="Salida 6 4 2" xfId="38781"/>
    <cellStyle name="Salida 6 5" xfId="38782"/>
    <cellStyle name="Salida 6 5 2" xfId="38783"/>
    <cellStyle name="Salida 6 6" xfId="38784"/>
    <cellStyle name="Salida 6 6 2" xfId="38785"/>
    <cellStyle name="Salida 6 7" xfId="38786"/>
    <cellStyle name="Salida 6 7 2" xfId="38787"/>
    <cellStyle name="Salida 6 8" xfId="38788"/>
    <cellStyle name="Salida 6 8 2" xfId="38789"/>
    <cellStyle name="Salida 6 9" xfId="38790"/>
    <cellStyle name="Salida 6 9 2" xfId="38791"/>
    <cellStyle name="Salida 7" xfId="38792"/>
    <cellStyle name="Salida 7 10" xfId="38793"/>
    <cellStyle name="Salida 7 10 2" xfId="38794"/>
    <cellStyle name="Salida 7 11" xfId="38795"/>
    <cellStyle name="Salida 7 11 2" xfId="38796"/>
    <cellStyle name="Salida 7 12" xfId="38797"/>
    <cellStyle name="Salida 7 12 2" xfId="38798"/>
    <cellStyle name="Salida 7 13" xfId="38799"/>
    <cellStyle name="Salida 7 2" xfId="38800"/>
    <cellStyle name="Salida 7 2 10" xfId="38801"/>
    <cellStyle name="Salida 7 2 10 2" xfId="38802"/>
    <cellStyle name="Salida 7 2 11" xfId="38803"/>
    <cellStyle name="Salida 7 2 2" xfId="38804"/>
    <cellStyle name="Salida 7 2 2 2" xfId="38805"/>
    <cellStyle name="Salida 7 2 3" xfId="38806"/>
    <cellStyle name="Salida 7 2 3 2" xfId="38807"/>
    <cellStyle name="Salida 7 2 4" xfId="38808"/>
    <cellStyle name="Salida 7 2 4 2" xfId="38809"/>
    <cellStyle name="Salida 7 2 5" xfId="38810"/>
    <cellStyle name="Salida 7 2 5 2" xfId="38811"/>
    <cellStyle name="Salida 7 2 6" xfId="38812"/>
    <cellStyle name="Salida 7 2 6 2" xfId="38813"/>
    <cellStyle name="Salida 7 2 7" xfId="38814"/>
    <cellStyle name="Salida 7 2 7 2" xfId="38815"/>
    <cellStyle name="Salida 7 2 8" xfId="38816"/>
    <cellStyle name="Salida 7 2 8 2" xfId="38817"/>
    <cellStyle name="Salida 7 2 9" xfId="38818"/>
    <cellStyle name="Salida 7 2 9 2" xfId="38819"/>
    <cellStyle name="Salida 7 3" xfId="38820"/>
    <cellStyle name="Salida 7 3 10" xfId="38821"/>
    <cellStyle name="Salida 7 3 10 2" xfId="38822"/>
    <cellStyle name="Salida 7 3 11" xfId="38823"/>
    <cellStyle name="Salida 7 3 2" xfId="38824"/>
    <cellStyle name="Salida 7 3 2 2" xfId="38825"/>
    <cellStyle name="Salida 7 3 3" xfId="38826"/>
    <cellStyle name="Salida 7 3 3 2" xfId="38827"/>
    <cellStyle name="Salida 7 3 4" xfId="38828"/>
    <cellStyle name="Salida 7 3 4 2" xfId="38829"/>
    <cellStyle name="Salida 7 3 5" xfId="38830"/>
    <cellStyle name="Salida 7 3 5 2" xfId="38831"/>
    <cellStyle name="Salida 7 3 6" xfId="38832"/>
    <cellStyle name="Salida 7 3 6 2" xfId="38833"/>
    <cellStyle name="Salida 7 3 7" xfId="38834"/>
    <cellStyle name="Salida 7 3 7 2" xfId="38835"/>
    <cellStyle name="Salida 7 3 8" xfId="38836"/>
    <cellStyle name="Salida 7 3 8 2" xfId="38837"/>
    <cellStyle name="Salida 7 3 9" xfId="38838"/>
    <cellStyle name="Salida 7 3 9 2" xfId="38839"/>
    <cellStyle name="Salida 7 4" xfId="38840"/>
    <cellStyle name="Salida 7 4 2" xfId="38841"/>
    <cellStyle name="Salida 7 5" xfId="38842"/>
    <cellStyle name="Salida 7 5 2" xfId="38843"/>
    <cellStyle name="Salida 7 6" xfId="38844"/>
    <cellStyle name="Salida 7 6 2" xfId="38845"/>
    <cellStyle name="Salida 7 7" xfId="38846"/>
    <cellStyle name="Salida 7 7 2" xfId="38847"/>
    <cellStyle name="Salida 7 8" xfId="38848"/>
    <cellStyle name="Salida 7 8 2" xfId="38849"/>
    <cellStyle name="Salida 7 9" xfId="38850"/>
    <cellStyle name="Salida 7 9 2" xfId="38851"/>
    <cellStyle name="Salida 8" xfId="38852"/>
    <cellStyle name="Salida 9" xfId="42118"/>
    <cellStyle name="Texto de advertencia 2" xfId="233"/>
    <cellStyle name="Texto de advertencia 2 2" xfId="234"/>
    <cellStyle name="Texto de advertencia 2 3" xfId="235"/>
    <cellStyle name="Texto de advertencia 2 4" xfId="38853"/>
    <cellStyle name="Texto de advertencia 3" xfId="236"/>
    <cellStyle name="Texto de advertencia 4" xfId="232"/>
    <cellStyle name="Texto de advertencia 5" xfId="38854"/>
    <cellStyle name="Texto de advertencia 6" xfId="38855"/>
    <cellStyle name="Texto de advertencia 7" xfId="38856"/>
    <cellStyle name="Texto de advertencia 8" xfId="42119"/>
    <cellStyle name="Texto explicativo 2" xfId="238"/>
    <cellStyle name="Texto explicativo 2 2" xfId="239"/>
    <cellStyle name="Texto explicativo 2 3" xfId="240"/>
    <cellStyle name="Texto explicativo 2 4" xfId="38857"/>
    <cellStyle name="Texto explicativo 3" xfId="241"/>
    <cellStyle name="Texto explicativo 4" xfId="237"/>
    <cellStyle name="Texto explicativo 5" xfId="38858"/>
    <cellStyle name="Texto explicativo 6" xfId="38859"/>
    <cellStyle name="Texto explicativo 7" xfId="38860"/>
    <cellStyle name="Texto explicativo 8" xfId="42120"/>
    <cellStyle name="Título 1 2" xfId="244"/>
    <cellStyle name="Título 1 2 2" xfId="245"/>
    <cellStyle name="Título 1 2 3" xfId="246"/>
    <cellStyle name="Título 1 2 4" xfId="38861"/>
    <cellStyle name="Título 1 3" xfId="247"/>
    <cellStyle name="Título 1 4" xfId="243"/>
    <cellStyle name="Título 1 5" xfId="38862"/>
    <cellStyle name="Título 1 6" xfId="38863"/>
    <cellStyle name="Título 1 7" xfId="38864"/>
    <cellStyle name="Título 1 8" xfId="42121"/>
    <cellStyle name="Título 10" xfId="42122"/>
    <cellStyle name="Título 2 2" xfId="249"/>
    <cellStyle name="Título 2 2 2" xfId="250"/>
    <cellStyle name="Título 2 2 3" xfId="251"/>
    <cellStyle name="Título 2 2 4" xfId="38865"/>
    <cellStyle name="Título 2 3" xfId="252"/>
    <cellStyle name="Título 2 4" xfId="248"/>
    <cellStyle name="Título 2 5" xfId="38866"/>
    <cellStyle name="Título 2 6" xfId="38867"/>
    <cellStyle name="Título 2 7" xfId="38868"/>
    <cellStyle name="Título 2 8" xfId="42123"/>
    <cellStyle name="Título 3 2" xfId="254"/>
    <cellStyle name="Título 3 2 10" xfId="38869"/>
    <cellStyle name="Título 3 2 10 2" xfId="38870"/>
    <cellStyle name="Título 3 2 11" xfId="38871"/>
    <cellStyle name="Título 3 2 11 2" xfId="38872"/>
    <cellStyle name="Título 3 2 12" xfId="38873"/>
    <cellStyle name="Título 3 2 12 2" xfId="38874"/>
    <cellStyle name="Título 3 2 13" xfId="38875"/>
    <cellStyle name="Título 3 2 13 2" xfId="38876"/>
    <cellStyle name="Título 3 2 14" xfId="38877"/>
    <cellStyle name="Título 3 2 14 2" xfId="38878"/>
    <cellStyle name="Título 3 2 15" xfId="38879"/>
    <cellStyle name="Título 3 2 15 2" xfId="38880"/>
    <cellStyle name="Título 3 2 16" xfId="38881"/>
    <cellStyle name="Título 3 2 17" xfId="38882"/>
    <cellStyle name="Título 3 2 18" xfId="38883"/>
    <cellStyle name="Título 3 2 2" xfId="255"/>
    <cellStyle name="Título 3 2 2 10" xfId="38884"/>
    <cellStyle name="Título 3 2 2 10 2" xfId="38885"/>
    <cellStyle name="Título 3 2 2 11" xfId="38886"/>
    <cellStyle name="Título 3 2 2 11 2" xfId="38887"/>
    <cellStyle name="Título 3 2 2 12" xfId="38888"/>
    <cellStyle name="Título 3 2 2 12 2" xfId="38889"/>
    <cellStyle name="Título 3 2 2 13" xfId="38890"/>
    <cellStyle name="Título 3 2 2 14" xfId="38891"/>
    <cellStyle name="Título 3 2 2 15" xfId="38892"/>
    <cellStyle name="Título 3 2 2 2" xfId="38893"/>
    <cellStyle name="Título 3 2 2 2 2" xfId="38894"/>
    <cellStyle name="Título 3 2 2 2 2 2" xfId="38895"/>
    <cellStyle name="Título 3 2 2 2 2 2 2" xfId="38896"/>
    <cellStyle name="Título 3 2 2 2 2 3" xfId="38897"/>
    <cellStyle name="Título 3 2 2 2 3" xfId="38898"/>
    <cellStyle name="Título 3 2 2 2 3 2" xfId="38899"/>
    <cellStyle name="Título 3 2 2 2 4" xfId="38900"/>
    <cellStyle name="Título 3 2 2 3" xfId="38901"/>
    <cellStyle name="Título 3 2 2 3 2" xfId="38902"/>
    <cellStyle name="Título 3 2 2 4" xfId="38903"/>
    <cellStyle name="Título 3 2 2 4 2" xfId="38904"/>
    <cellStyle name="Título 3 2 2 5" xfId="38905"/>
    <cellStyle name="Título 3 2 2 5 2" xfId="38906"/>
    <cellStyle name="Título 3 2 2 6" xfId="38907"/>
    <cellStyle name="Título 3 2 2 6 2" xfId="38908"/>
    <cellStyle name="Título 3 2 2 7" xfId="38909"/>
    <cellStyle name="Título 3 2 2 7 2" xfId="38910"/>
    <cellStyle name="Título 3 2 2 8" xfId="38911"/>
    <cellStyle name="Título 3 2 2 8 2" xfId="38912"/>
    <cellStyle name="Título 3 2 2 9" xfId="38913"/>
    <cellStyle name="Título 3 2 2 9 2" xfId="38914"/>
    <cellStyle name="Título 3 2 3" xfId="256"/>
    <cellStyle name="Título 3 2 3 10" xfId="38915"/>
    <cellStyle name="Título 3 2 3 10 2" xfId="38916"/>
    <cellStyle name="Título 3 2 3 11" xfId="38917"/>
    <cellStyle name="Título 3 2 3 11 2" xfId="38918"/>
    <cellStyle name="Título 3 2 3 12" xfId="38919"/>
    <cellStyle name="Título 3 2 3 13" xfId="38920"/>
    <cellStyle name="Título 3 2 3 14" xfId="38921"/>
    <cellStyle name="Título 3 2 3 2" xfId="38922"/>
    <cellStyle name="Título 3 2 3 2 2" xfId="38923"/>
    <cellStyle name="Título 3 2 3 2 2 2" xfId="38924"/>
    <cellStyle name="Título 3 2 3 2 2 2 2" xfId="38925"/>
    <cellStyle name="Título 3 2 3 2 2 3" xfId="38926"/>
    <cellStyle name="Título 3 2 3 2 3" xfId="38927"/>
    <cellStyle name="Título 3 2 3 2 3 2" xfId="38928"/>
    <cellStyle name="Título 3 2 3 2 4" xfId="38929"/>
    <cellStyle name="Título 3 2 3 3" xfId="38930"/>
    <cellStyle name="Título 3 2 3 3 2" xfId="38931"/>
    <cellStyle name="Título 3 2 3 4" xfId="38932"/>
    <cellStyle name="Título 3 2 3 4 2" xfId="38933"/>
    <cellStyle name="Título 3 2 3 5" xfId="38934"/>
    <cellStyle name="Título 3 2 3 5 2" xfId="38935"/>
    <cellStyle name="Título 3 2 3 6" xfId="38936"/>
    <cellStyle name="Título 3 2 3 6 2" xfId="38937"/>
    <cellStyle name="Título 3 2 3 7" xfId="38938"/>
    <cellStyle name="Título 3 2 3 7 2" xfId="38939"/>
    <cellStyle name="Título 3 2 3 8" xfId="38940"/>
    <cellStyle name="Título 3 2 3 8 2" xfId="38941"/>
    <cellStyle name="Título 3 2 3 9" xfId="38942"/>
    <cellStyle name="Título 3 2 3 9 2" xfId="38943"/>
    <cellStyle name="Título 3 2 4" xfId="38944"/>
    <cellStyle name="Título 3 2 4 2" xfId="38945"/>
    <cellStyle name="Título 3 2 4 2 2" xfId="38946"/>
    <cellStyle name="Título 3 2 4 2 2 2" xfId="38947"/>
    <cellStyle name="Título 3 2 4 2 3" xfId="38948"/>
    <cellStyle name="Título 3 2 4 3" xfId="38949"/>
    <cellStyle name="Título 3 2 4 3 2" xfId="38950"/>
    <cellStyle name="Título 3 2 4 4" xfId="38951"/>
    <cellStyle name="Título 3 2 5" xfId="38952"/>
    <cellStyle name="Título 3 2 5 2" xfId="38953"/>
    <cellStyle name="Título 3 2 5 2 2" xfId="38954"/>
    <cellStyle name="Título 3 2 5 2 2 2" xfId="38955"/>
    <cellStyle name="Título 3 2 5 2 3" xfId="38956"/>
    <cellStyle name="Título 3 2 5 3" xfId="38957"/>
    <cellStyle name="Título 3 2 5 3 2" xfId="38958"/>
    <cellStyle name="Título 3 2 5 4" xfId="38959"/>
    <cellStyle name="Título 3 2 6" xfId="38960"/>
    <cellStyle name="Título 3 2 6 2" xfId="38961"/>
    <cellStyle name="Título 3 2 7" xfId="38962"/>
    <cellStyle name="Título 3 2 7 2" xfId="38963"/>
    <cellStyle name="Título 3 2 8" xfId="38964"/>
    <cellStyle name="Título 3 2 8 2" xfId="38965"/>
    <cellStyle name="Título 3 2 9" xfId="38966"/>
    <cellStyle name="Título 3 2 9 2" xfId="38967"/>
    <cellStyle name="Título 3 3" xfId="257"/>
    <cellStyle name="Título 3 3 10" xfId="38968"/>
    <cellStyle name="Título 3 3 10 2" xfId="38969"/>
    <cellStyle name="Título 3 3 11" xfId="38970"/>
    <cellStyle name="Título 3 3 11 2" xfId="38971"/>
    <cellStyle name="Título 3 3 12" xfId="38972"/>
    <cellStyle name="Título 3 3 13" xfId="38973"/>
    <cellStyle name="Título 3 3 14" xfId="38974"/>
    <cellStyle name="Título 3 3 2" xfId="38975"/>
    <cellStyle name="Título 3 3 2 2" xfId="38976"/>
    <cellStyle name="Título 3 3 2 2 2" xfId="38977"/>
    <cellStyle name="Título 3 3 2 2 2 2" xfId="38978"/>
    <cellStyle name="Título 3 3 2 2 3" xfId="38979"/>
    <cellStyle name="Título 3 3 2 3" xfId="38980"/>
    <cellStyle name="Título 3 3 2 3 2" xfId="38981"/>
    <cellStyle name="Título 3 3 2 4" xfId="38982"/>
    <cellStyle name="Título 3 3 3" xfId="38983"/>
    <cellStyle name="Título 3 3 3 2" xfId="38984"/>
    <cellStyle name="Título 3 3 4" xfId="38985"/>
    <cellStyle name="Título 3 3 4 2" xfId="38986"/>
    <cellStyle name="Título 3 3 5" xfId="38987"/>
    <cellStyle name="Título 3 3 5 2" xfId="38988"/>
    <cellStyle name="Título 3 3 6" xfId="38989"/>
    <cellStyle name="Título 3 3 6 2" xfId="38990"/>
    <cellStyle name="Título 3 3 7" xfId="38991"/>
    <cellStyle name="Título 3 3 7 2" xfId="38992"/>
    <cellStyle name="Título 3 3 8" xfId="38993"/>
    <cellStyle name="Título 3 3 8 2" xfId="38994"/>
    <cellStyle name="Título 3 3 9" xfId="38995"/>
    <cellStyle name="Título 3 3 9 2" xfId="38996"/>
    <cellStyle name="Título 3 4" xfId="253"/>
    <cellStyle name="Título 3 4 2" xfId="38997"/>
    <cellStyle name="Título 3 4 2 2" xfId="38998"/>
    <cellStyle name="Título 3 4 2 2 2" xfId="38999"/>
    <cellStyle name="Título 3 4 2 3" xfId="39000"/>
    <cellStyle name="Título 3 4 3" xfId="39001"/>
    <cellStyle name="Título 3 4 3 2" xfId="39002"/>
    <cellStyle name="Título 3 4 4" xfId="39003"/>
    <cellStyle name="Título 3 5" xfId="39004"/>
    <cellStyle name="Título 3 5 2" xfId="39005"/>
    <cellStyle name="Título 3 5 2 2" xfId="39006"/>
    <cellStyle name="Título 3 5 3" xfId="39007"/>
    <cellStyle name="Título 3 6" xfId="39008"/>
    <cellStyle name="Título 3 6 2" xfId="39009"/>
    <cellStyle name="Título 3 7" xfId="39010"/>
    <cellStyle name="Título 3 8" xfId="42124"/>
    <cellStyle name="Título 4" xfId="258"/>
    <cellStyle name="Título 4 2" xfId="259"/>
    <cellStyle name="Título 4 3" xfId="260"/>
    <cellStyle name="Título 4 4" xfId="39011"/>
    <cellStyle name="Título 5" xfId="261"/>
    <cellStyle name="Título 6" xfId="242"/>
    <cellStyle name="Título 7" xfId="39012"/>
    <cellStyle name="Título 8" xfId="39013"/>
    <cellStyle name="Título 9" xfId="39014"/>
    <cellStyle name="Total 2" xfId="263"/>
    <cellStyle name="Total 2 10" xfId="39015"/>
    <cellStyle name="Total 2 10 2" xfId="39016"/>
    <cellStyle name="Total 2 11" xfId="39017"/>
    <cellStyle name="Total 2 11 2" xfId="39018"/>
    <cellStyle name="Total 2 12" xfId="39019"/>
    <cellStyle name="Total 2 12 2" xfId="39020"/>
    <cellStyle name="Total 2 13" xfId="39021"/>
    <cellStyle name="Total 2 13 2" xfId="39022"/>
    <cellStyle name="Total 2 14" xfId="39023"/>
    <cellStyle name="Total 2 14 2" xfId="39024"/>
    <cellStyle name="Total 2 15" xfId="39025"/>
    <cellStyle name="Total 2 15 2" xfId="39026"/>
    <cellStyle name="Total 2 16" xfId="39027"/>
    <cellStyle name="Total 2 16 2" xfId="39028"/>
    <cellStyle name="Total 2 17" xfId="39029"/>
    <cellStyle name="Total 2 17 2" xfId="39030"/>
    <cellStyle name="Total 2 18" xfId="39031"/>
    <cellStyle name="Total 2 18 2" xfId="39032"/>
    <cellStyle name="Total 2 19" xfId="39033"/>
    <cellStyle name="Total 2 2" xfId="264"/>
    <cellStyle name="Total 2 2 10" xfId="39034"/>
    <cellStyle name="Total 2 2 10 2" xfId="39035"/>
    <cellStyle name="Total 2 2 11" xfId="39036"/>
    <cellStyle name="Total 2 2 11 2" xfId="39037"/>
    <cellStyle name="Total 2 2 12" xfId="39038"/>
    <cellStyle name="Total 2 2 12 2" xfId="39039"/>
    <cellStyle name="Total 2 2 13" xfId="39040"/>
    <cellStyle name="Total 2 2 13 2" xfId="39041"/>
    <cellStyle name="Total 2 2 14" xfId="39042"/>
    <cellStyle name="Total 2 2 14 2" xfId="39043"/>
    <cellStyle name="Total 2 2 15" xfId="39044"/>
    <cellStyle name="Total 2 2 15 2" xfId="39045"/>
    <cellStyle name="Total 2 2 16" xfId="39046"/>
    <cellStyle name="Total 2 2 17" xfId="39047"/>
    <cellStyle name="Total 2 2 18" xfId="39048"/>
    <cellStyle name="Total 2 2 2" xfId="310"/>
    <cellStyle name="Total 2 2 2 10" xfId="39049"/>
    <cellStyle name="Total 2 2 2 10 2" xfId="39050"/>
    <cellStyle name="Total 2 2 2 11" xfId="39051"/>
    <cellStyle name="Total 2 2 2 11 2" xfId="39052"/>
    <cellStyle name="Total 2 2 2 12" xfId="39053"/>
    <cellStyle name="Total 2 2 2 12 2" xfId="39054"/>
    <cellStyle name="Total 2 2 2 13" xfId="39055"/>
    <cellStyle name="Total 2 2 2 13 2" xfId="39056"/>
    <cellStyle name="Total 2 2 2 14" xfId="39057"/>
    <cellStyle name="Total 2 2 2 14 2" xfId="39058"/>
    <cellStyle name="Total 2 2 2 15" xfId="39059"/>
    <cellStyle name="Total 2 2 2 16" xfId="39060"/>
    <cellStyle name="Total 2 2 2 2" xfId="39061"/>
    <cellStyle name="Total 2 2 2 2 10" xfId="39062"/>
    <cellStyle name="Total 2 2 2 2 10 2" xfId="39063"/>
    <cellStyle name="Total 2 2 2 2 11" xfId="39064"/>
    <cellStyle name="Total 2 2 2 2 11 2" xfId="39065"/>
    <cellStyle name="Total 2 2 2 2 12" xfId="39066"/>
    <cellStyle name="Total 2 2 2 2 12 2" xfId="39067"/>
    <cellStyle name="Total 2 2 2 2 13" xfId="39068"/>
    <cellStyle name="Total 2 2 2 2 2" xfId="39069"/>
    <cellStyle name="Total 2 2 2 2 2 10" xfId="39070"/>
    <cellStyle name="Total 2 2 2 2 2 10 2" xfId="39071"/>
    <cellStyle name="Total 2 2 2 2 2 11" xfId="39072"/>
    <cellStyle name="Total 2 2 2 2 2 2" xfId="39073"/>
    <cellStyle name="Total 2 2 2 2 2 2 2" xfId="39074"/>
    <cellStyle name="Total 2 2 2 2 2 3" xfId="39075"/>
    <cellStyle name="Total 2 2 2 2 2 3 2" xfId="39076"/>
    <cellStyle name="Total 2 2 2 2 2 4" xfId="39077"/>
    <cellStyle name="Total 2 2 2 2 2 4 2" xfId="39078"/>
    <cellStyle name="Total 2 2 2 2 2 5" xfId="39079"/>
    <cellStyle name="Total 2 2 2 2 2 5 2" xfId="39080"/>
    <cellStyle name="Total 2 2 2 2 2 6" xfId="39081"/>
    <cellStyle name="Total 2 2 2 2 2 6 2" xfId="39082"/>
    <cellStyle name="Total 2 2 2 2 2 7" xfId="39083"/>
    <cellStyle name="Total 2 2 2 2 2 7 2" xfId="39084"/>
    <cellStyle name="Total 2 2 2 2 2 8" xfId="39085"/>
    <cellStyle name="Total 2 2 2 2 2 8 2" xfId="39086"/>
    <cellStyle name="Total 2 2 2 2 2 9" xfId="39087"/>
    <cellStyle name="Total 2 2 2 2 2 9 2" xfId="39088"/>
    <cellStyle name="Total 2 2 2 2 3" xfId="39089"/>
    <cellStyle name="Total 2 2 2 2 3 10" xfId="39090"/>
    <cellStyle name="Total 2 2 2 2 3 10 2" xfId="39091"/>
    <cellStyle name="Total 2 2 2 2 3 11" xfId="39092"/>
    <cellStyle name="Total 2 2 2 2 3 2" xfId="39093"/>
    <cellStyle name="Total 2 2 2 2 3 2 2" xfId="39094"/>
    <cellStyle name="Total 2 2 2 2 3 3" xfId="39095"/>
    <cellStyle name="Total 2 2 2 2 3 3 2" xfId="39096"/>
    <cellStyle name="Total 2 2 2 2 3 4" xfId="39097"/>
    <cellStyle name="Total 2 2 2 2 3 4 2" xfId="39098"/>
    <cellStyle name="Total 2 2 2 2 3 5" xfId="39099"/>
    <cellStyle name="Total 2 2 2 2 3 5 2" xfId="39100"/>
    <cellStyle name="Total 2 2 2 2 3 6" xfId="39101"/>
    <cellStyle name="Total 2 2 2 2 3 6 2" xfId="39102"/>
    <cellStyle name="Total 2 2 2 2 3 7" xfId="39103"/>
    <cellStyle name="Total 2 2 2 2 3 7 2" xfId="39104"/>
    <cellStyle name="Total 2 2 2 2 3 8" xfId="39105"/>
    <cellStyle name="Total 2 2 2 2 3 8 2" xfId="39106"/>
    <cellStyle name="Total 2 2 2 2 3 9" xfId="39107"/>
    <cellStyle name="Total 2 2 2 2 3 9 2" xfId="39108"/>
    <cellStyle name="Total 2 2 2 2 4" xfId="39109"/>
    <cellStyle name="Total 2 2 2 2 4 2" xfId="39110"/>
    <cellStyle name="Total 2 2 2 2 5" xfId="39111"/>
    <cellStyle name="Total 2 2 2 2 5 2" xfId="39112"/>
    <cellStyle name="Total 2 2 2 2 6" xfId="39113"/>
    <cellStyle name="Total 2 2 2 2 6 2" xfId="39114"/>
    <cellStyle name="Total 2 2 2 2 7" xfId="39115"/>
    <cellStyle name="Total 2 2 2 2 7 2" xfId="39116"/>
    <cellStyle name="Total 2 2 2 2 8" xfId="39117"/>
    <cellStyle name="Total 2 2 2 2 8 2" xfId="39118"/>
    <cellStyle name="Total 2 2 2 2 9" xfId="39119"/>
    <cellStyle name="Total 2 2 2 2 9 2" xfId="39120"/>
    <cellStyle name="Total 2 2 2 3" xfId="39121"/>
    <cellStyle name="Total 2 2 2 3 10" xfId="39122"/>
    <cellStyle name="Total 2 2 2 3 10 2" xfId="39123"/>
    <cellStyle name="Total 2 2 2 3 11" xfId="39124"/>
    <cellStyle name="Total 2 2 2 3 11 2" xfId="39125"/>
    <cellStyle name="Total 2 2 2 3 12" xfId="39126"/>
    <cellStyle name="Total 2 2 2 3 12 2" xfId="39127"/>
    <cellStyle name="Total 2 2 2 3 13" xfId="39128"/>
    <cellStyle name="Total 2 2 2 3 2" xfId="39129"/>
    <cellStyle name="Total 2 2 2 3 2 10" xfId="39130"/>
    <cellStyle name="Total 2 2 2 3 2 10 2" xfId="39131"/>
    <cellStyle name="Total 2 2 2 3 2 11" xfId="39132"/>
    <cellStyle name="Total 2 2 2 3 2 2" xfId="39133"/>
    <cellStyle name="Total 2 2 2 3 2 2 2" xfId="39134"/>
    <cellStyle name="Total 2 2 2 3 2 3" xfId="39135"/>
    <cellStyle name="Total 2 2 2 3 2 3 2" xfId="39136"/>
    <cellStyle name="Total 2 2 2 3 2 4" xfId="39137"/>
    <cellStyle name="Total 2 2 2 3 2 4 2" xfId="39138"/>
    <cellStyle name="Total 2 2 2 3 2 5" xfId="39139"/>
    <cellStyle name="Total 2 2 2 3 2 5 2" xfId="39140"/>
    <cellStyle name="Total 2 2 2 3 2 6" xfId="39141"/>
    <cellStyle name="Total 2 2 2 3 2 6 2" xfId="39142"/>
    <cellStyle name="Total 2 2 2 3 2 7" xfId="39143"/>
    <cellStyle name="Total 2 2 2 3 2 7 2" xfId="39144"/>
    <cellStyle name="Total 2 2 2 3 2 8" xfId="39145"/>
    <cellStyle name="Total 2 2 2 3 2 8 2" xfId="39146"/>
    <cellStyle name="Total 2 2 2 3 2 9" xfId="39147"/>
    <cellStyle name="Total 2 2 2 3 2 9 2" xfId="39148"/>
    <cellStyle name="Total 2 2 2 3 3" xfId="39149"/>
    <cellStyle name="Total 2 2 2 3 3 10" xfId="39150"/>
    <cellStyle name="Total 2 2 2 3 3 10 2" xfId="39151"/>
    <cellStyle name="Total 2 2 2 3 3 11" xfId="39152"/>
    <cellStyle name="Total 2 2 2 3 3 2" xfId="39153"/>
    <cellStyle name="Total 2 2 2 3 3 2 2" xfId="39154"/>
    <cellStyle name="Total 2 2 2 3 3 3" xfId="39155"/>
    <cellStyle name="Total 2 2 2 3 3 3 2" xfId="39156"/>
    <cellStyle name="Total 2 2 2 3 3 4" xfId="39157"/>
    <cellStyle name="Total 2 2 2 3 3 4 2" xfId="39158"/>
    <cellStyle name="Total 2 2 2 3 3 5" xfId="39159"/>
    <cellStyle name="Total 2 2 2 3 3 5 2" xfId="39160"/>
    <cellStyle name="Total 2 2 2 3 3 6" xfId="39161"/>
    <cellStyle name="Total 2 2 2 3 3 6 2" xfId="39162"/>
    <cellStyle name="Total 2 2 2 3 3 7" xfId="39163"/>
    <cellStyle name="Total 2 2 2 3 3 7 2" xfId="39164"/>
    <cellStyle name="Total 2 2 2 3 3 8" xfId="39165"/>
    <cellStyle name="Total 2 2 2 3 3 8 2" xfId="39166"/>
    <cellStyle name="Total 2 2 2 3 3 9" xfId="39167"/>
    <cellStyle name="Total 2 2 2 3 3 9 2" xfId="39168"/>
    <cellStyle name="Total 2 2 2 3 4" xfId="39169"/>
    <cellStyle name="Total 2 2 2 3 4 2" xfId="39170"/>
    <cellStyle name="Total 2 2 2 3 5" xfId="39171"/>
    <cellStyle name="Total 2 2 2 3 5 2" xfId="39172"/>
    <cellStyle name="Total 2 2 2 3 6" xfId="39173"/>
    <cellStyle name="Total 2 2 2 3 6 2" xfId="39174"/>
    <cellStyle name="Total 2 2 2 3 7" xfId="39175"/>
    <cellStyle name="Total 2 2 2 3 7 2" xfId="39176"/>
    <cellStyle name="Total 2 2 2 3 8" xfId="39177"/>
    <cellStyle name="Total 2 2 2 3 8 2" xfId="39178"/>
    <cellStyle name="Total 2 2 2 3 9" xfId="39179"/>
    <cellStyle name="Total 2 2 2 3 9 2" xfId="39180"/>
    <cellStyle name="Total 2 2 2 4" xfId="39181"/>
    <cellStyle name="Total 2 2 2 4 10" xfId="39182"/>
    <cellStyle name="Total 2 2 2 4 10 2" xfId="39183"/>
    <cellStyle name="Total 2 2 2 4 11" xfId="39184"/>
    <cellStyle name="Total 2 2 2 4 2" xfId="39185"/>
    <cellStyle name="Total 2 2 2 4 2 2" xfId="39186"/>
    <cellStyle name="Total 2 2 2 4 3" xfId="39187"/>
    <cellStyle name="Total 2 2 2 4 3 2" xfId="39188"/>
    <cellStyle name="Total 2 2 2 4 4" xfId="39189"/>
    <cellStyle name="Total 2 2 2 4 4 2" xfId="39190"/>
    <cellStyle name="Total 2 2 2 4 5" xfId="39191"/>
    <cellStyle name="Total 2 2 2 4 5 2" xfId="39192"/>
    <cellStyle name="Total 2 2 2 4 6" xfId="39193"/>
    <cellStyle name="Total 2 2 2 4 6 2" xfId="39194"/>
    <cellStyle name="Total 2 2 2 4 7" xfId="39195"/>
    <cellStyle name="Total 2 2 2 4 7 2" xfId="39196"/>
    <cellStyle name="Total 2 2 2 4 8" xfId="39197"/>
    <cellStyle name="Total 2 2 2 4 8 2" xfId="39198"/>
    <cellStyle name="Total 2 2 2 4 9" xfId="39199"/>
    <cellStyle name="Total 2 2 2 4 9 2" xfId="39200"/>
    <cellStyle name="Total 2 2 2 5" xfId="39201"/>
    <cellStyle name="Total 2 2 2 5 10" xfId="39202"/>
    <cellStyle name="Total 2 2 2 5 10 2" xfId="39203"/>
    <cellStyle name="Total 2 2 2 5 11" xfId="39204"/>
    <cellStyle name="Total 2 2 2 5 2" xfId="39205"/>
    <cellStyle name="Total 2 2 2 5 2 2" xfId="39206"/>
    <cellStyle name="Total 2 2 2 5 3" xfId="39207"/>
    <cellStyle name="Total 2 2 2 5 3 2" xfId="39208"/>
    <cellStyle name="Total 2 2 2 5 4" xfId="39209"/>
    <cellStyle name="Total 2 2 2 5 4 2" xfId="39210"/>
    <cellStyle name="Total 2 2 2 5 5" xfId="39211"/>
    <cellStyle name="Total 2 2 2 5 5 2" xfId="39212"/>
    <cellStyle name="Total 2 2 2 5 6" xfId="39213"/>
    <cellStyle name="Total 2 2 2 5 6 2" xfId="39214"/>
    <cellStyle name="Total 2 2 2 5 7" xfId="39215"/>
    <cellStyle name="Total 2 2 2 5 7 2" xfId="39216"/>
    <cellStyle name="Total 2 2 2 5 8" xfId="39217"/>
    <cellStyle name="Total 2 2 2 5 8 2" xfId="39218"/>
    <cellStyle name="Total 2 2 2 5 9" xfId="39219"/>
    <cellStyle name="Total 2 2 2 5 9 2" xfId="39220"/>
    <cellStyle name="Total 2 2 2 6" xfId="39221"/>
    <cellStyle name="Total 2 2 2 6 2" xfId="39222"/>
    <cellStyle name="Total 2 2 2 7" xfId="39223"/>
    <cellStyle name="Total 2 2 2 7 2" xfId="39224"/>
    <cellStyle name="Total 2 2 2 8" xfId="39225"/>
    <cellStyle name="Total 2 2 2 8 2" xfId="39226"/>
    <cellStyle name="Total 2 2 2 9" xfId="39227"/>
    <cellStyle name="Total 2 2 2 9 2" xfId="39228"/>
    <cellStyle name="Total 2 2 3" xfId="315"/>
    <cellStyle name="Total 2 2 3 10" xfId="39229"/>
    <cellStyle name="Total 2 2 3 10 2" xfId="39230"/>
    <cellStyle name="Total 2 2 3 11" xfId="39231"/>
    <cellStyle name="Total 2 2 3 11 2" xfId="39232"/>
    <cellStyle name="Total 2 2 3 12" xfId="39233"/>
    <cellStyle name="Total 2 2 3 12 2" xfId="39234"/>
    <cellStyle name="Total 2 2 3 13" xfId="39235"/>
    <cellStyle name="Total 2 2 3 13 2" xfId="39236"/>
    <cellStyle name="Total 2 2 3 14" xfId="39237"/>
    <cellStyle name="Total 2 2 3 14 2" xfId="39238"/>
    <cellStyle name="Total 2 2 3 15" xfId="39239"/>
    <cellStyle name="Total 2 2 3 2" xfId="39240"/>
    <cellStyle name="Total 2 2 3 2 10" xfId="39241"/>
    <cellStyle name="Total 2 2 3 2 10 2" xfId="39242"/>
    <cellStyle name="Total 2 2 3 2 11" xfId="39243"/>
    <cellStyle name="Total 2 2 3 2 11 2" xfId="39244"/>
    <cellStyle name="Total 2 2 3 2 12" xfId="39245"/>
    <cellStyle name="Total 2 2 3 2 12 2" xfId="39246"/>
    <cellStyle name="Total 2 2 3 2 13" xfId="39247"/>
    <cellStyle name="Total 2 2 3 2 2" xfId="39248"/>
    <cellStyle name="Total 2 2 3 2 2 10" xfId="39249"/>
    <cellStyle name="Total 2 2 3 2 2 10 2" xfId="39250"/>
    <cellStyle name="Total 2 2 3 2 2 11" xfId="39251"/>
    <cellStyle name="Total 2 2 3 2 2 2" xfId="39252"/>
    <cellStyle name="Total 2 2 3 2 2 2 2" xfId="39253"/>
    <cellStyle name="Total 2 2 3 2 2 3" xfId="39254"/>
    <cellStyle name="Total 2 2 3 2 2 3 2" xfId="39255"/>
    <cellStyle name="Total 2 2 3 2 2 4" xfId="39256"/>
    <cellStyle name="Total 2 2 3 2 2 4 2" xfId="39257"/>
    <cellStyle name="Total 2 2 3 2 2 5" xfId="39258"/>
    <cellStyle name="Total 2 2 3 2 2 5 2" xfId="39259"/>
    <cellStyle name="Total 2 2 3 2 2 6" xfId="39260"/>
    <cellStyle name="Total 2 2 3 2 2 6 2" xfId="39261"/>
    <cellStyle name="Total 2 2 3 2 2 7" xfId="39262"/>
    <cellStyle name="Total 2 2 3 2 2 7 2" xfId="39263"/>
    <cellStyle name="Total 2 2 3 2 2 8" xfId="39264"/>
    <cellStyle name="Total 2 2 3 2 2 8 2" xfId="39265"/>
    <cellStyle name="Total 2 2 3 2 2 9" xfId="39266"/>
    <cellStyle name="Total 2 2 3 2 2 9 2" xfId="39267"/>
    <cellStyle name="Total 2 2 3 2 3" xfId="39268"/>
    <cellStyle name="Total 2 2 3 2 3 10" xfId="39269"/>
    <cellStyle name="Total 2 2 3 2 3 10 2" xfId="39270"/>
    <cellStyle name="Total 2 2 3 2 3 11" xfId="39271"/>
    <cellStyle name="Total 2 2 3 2 3 2" xfId="39272"/>
    <cellStyle name="Total 2 2 3 2 3 2 2" xfId="39273"/>
    <cellStyle name="Total 2 2 3 2 3 3" xfId="39274"/>
    <cellStyle name="Total 2 2 3 2 3 3 2" xfId="39275"/>
    <cellStyle name="Total 2 2 3 2 3 4" xfId="39276"/>
    <cellStyle name="Total 2 2 3 2 3 4 2" xfId="39277"/>
    <cellStyle name="Total 2 2 3 2 3 5" xfId="39278"/>
    <cellStyle name="Total 2 2 3 2 3 5 2" xfId="39279"/>
    <cellStyle name="Total 2 2 3 2 3 6" xfId="39280"/>
    <cellStyle name="Total 2 2 3 2 3 6 2" xfId="39281"/>
    <cellStyle name="Total 2 2 3 2 3 7" xfId="39282"/>
    <cellStyle name="Total 2 2 3 2 3 7 2" xfId="39283"/>
    <cellStyle name="Total 2 2 3 2 3 8" xfId="39284"/>
    <cellStyle name="Total 2 2 3 2 3 8 2" xfId="39285"/>
    <cellStyle name="Total 2 2 3 2 3 9" xfId="39286"/>
    <cellStyle name="Total 2 2 3 2 3 9 2" xfId="39287"/>
    <cellStyle name="Total 2 2 3 2 4" xfId="39288"/>
    <cellStyle name="Total 2 2 3 2 4 2" xfId="39289"/>
    <cellStyle name="Total 2 2 3 2 5" xfId="39290"/>
    <cellStyle name="Total 2 2 3 2 5 2" xfId="39291"/>
    <cellStyle name="Total 2 2 3 2 6" xfId="39292"/>
    <cellStyle name="Total 2 2 3 2 6 2" xfId="39293"/>
    <cellStyle name="Total 2 2 3 2 7" xfId="39294"/>
    <cellStyle name="Total 2 2 3 2 7 2" xfId="39295"/>
    <cellStyle name="Total 2 2 3 2 8" xfId="39296"/>
    <cellStyle name="Total 2 2 3 2 8 2" xfId="39297"/>
    <cellStyle name="Total 2 2 3 2 9" xfId="39298"/>
    <cellStyle name="Total 2 2 3 2 9 2" xfId="39299"/>
    <cellStyle name="Total 2 2 3 3" xfId="39300"/>
    <cellStyle name="Total 2 2 3 3 10" xfId="39301"/>
    <cellStyle name="Total 2 2 3 3 10 2" xfId="39302"/>
    <cellStyle name="Total 2 2 3 3 11" xfId="39303"/>
    <cellStyle name="Total 2 2 3 3 11 2" xfId="39304"/>
    <cellStyle name="Total 2 2 3 3 12" xfId="39305"/>
    <cellStyle name="Total 2 2 3 3 12 2" xfId="39306"/>
    <cellStyle name="Total 2 2 3 3 13" xfId="39307"/>
    <cellStyle name="Total 2 2 3 3 2" xfId="39308"/>
    <cellStyle name="Total 2 2 3 3 2 10" xfId="39309"/>
    <cellStyle name="Total 2 2 3 3 2 10 2" xfId="39310"/>
    <cellStyle name="Total 2 2 3 3 2 11" xfId="39311"/>
    <cellStyle name="Total 2 2 3 3 2 2" xfId="39312"/>
    <cellStyle name="Total 2 2 3 3 2 2 2" xfId="39313"/>
    <cellStyle name="Total 2 2 3 3 2 3" xfId="39314"/>
    <cellStyle name="Total 2 2 3 3 2 3 2" xfId="39315"/>
    <cellStyle name="Total 2 2 3 3 2 4" xfId="39316"/>
    <cellStyle name="Total 2 2 3 3 2 4 2" xfId="39317"/>
    <cellStyle name="Total 2 2 3 3 2 5" xfId="39318"/>
    <cellStyle name="Total 2 2 3 3 2 5 2" xfId="39319"/>
    <cellStyle name="Total 2 2 3 3 2 6" xfId="39320"/>
    <cellStyle name="Total 2 2 3 3 2 6 2" xfId="39321"/>
    <cellStyle name="Total 2 2 3 3 2 7" xfId="39322"/>
    <cellStyle name="Total 2 2 3 3 2 7 2" xfId="39323"/>
    <cellStyle name="Total 2 2 3 3 2 8" xfId="39324"/>
    <cellStyle name="Total 2 2 3 3 2 8 2" xfId="39325"/>
    <cellStyle name="Total 2 2 3 3 2 9" xfId="39326"/>
    <cellStyle name="Total 2 2 3 3 2 9 2" xfId="39327"/>
    <cellStyle name="Total 2 2 3 3 3" xfId="39328"/>
    <cellStyle name="Total 2 2 3 3 3 10" xfId="39329"/>
    <cellStyle name="Total 2 2 3 3 3 10 2" xfId="39330"/>
    <cellStyle name="Total 2 2 3 3 3 11" xfId="39331"/>
    <cellStyle name="Total 2 2 3 3 3 2" xfId="39332"/>
    <cellStyle name="Total 2 2 3 3 3 2 2" xfId="39333"/>
    <cellStyle name="Total 2 2 3 3 3 3" xfId="39334"/>
    <cellStyle name="Total 2 2 3 3 3 3 2" xfId="39335"/>
    <cellStyle name="Total 2 2 3 3 3 4" xfId="39336"/>
    <cellStyle name="Total 2 2 3 3 3 4 2" xfId="39337"/>
    <cellStyle name="Total 2 2 3 3 3 5" xfId="39338"/>
    <cellStyle name="Total 2 2 3 3 3 5 2" xfId="39339"/>
    <cellStyle name="Total 2 2 3 3 3 6" xfId="39340"/>
    <cellStyle name="Total 2 2 3 3 3 6 2" xfId="39341"/>
    <cellStyle name="Total 2 2 3 3 3 7" xfId="39342"/>
    <cellStyle name="Total 2 2 3 3 3 7 2" xfId="39343"/>
    <cellStyle name="Total 2 2 3 3 3 8" xfId="39344"/>
    <cellStyle name="Total 2 2 3 3 3 8 2" xfId="39345"/>
    <cellStyle name="Total 2 2 3 3 3 9" xfId="39346"/>
    <cellStyle name="Total 2 2 3 3 3 9 2" xfId="39347"/>
    <cellStyle name="Total 2 2 3 3 4" xfId="39348"/>
    <cellStyle name="Total 2 2 3 3 4 2" xfId="39349"/>
    <cellStyle name="Total 2 2 3 3 5" xfId="39350"/>
    <cellStyle name="Total 2 2 3 3 5 2" xfId="39351"/>
    <cellStyle name="Total 2 2 3 3 6" xfId="39352"/>
    <cellStyle name="Total 2 2 3 3 6 2" xfId="39353"/>
    <cellStyle name="Total 2 2 3 3 7" xfId="39354"/>
    <cellStyle name="Total 2 2 3 3 7 2" xfId="39355"/>
    <cellStyle name="Total 2 2 3 3 8" xfId="39356"/>
    <cellStyle name="Total 2 2 3 3 8 2" xfId="39357"/>
    <cellStyle name="Total 2 2 3 3 9" xfId="39358"/>
    <cellStyle name="Total 2 2 3 3 9 2" xfId="39359"/>
    <cellStyle name="Total 2 2 3 4" xfId="39360"/>
    <cellStyle name="Total 2 2 3 4 10" xfId="39361"/>
    <cellStyle name="Total 2 2 3 4 10 2" xfId="39362"/>
    <cellStyle name="Total 2 2 3 4 11" xfId="39363"/>
    <cellStyle name="Total 2 2 3 4 2" xfId="39364"/>
    <cellStyle name="Total 2 2 3 4 2 2" xfId="39365"/>
    <cellStyle name="Total 2 2 3 4 3" xfId="39366"/>
    <cellStyle name="Total 2 2 3 4 3 2" xfId="39367"/>
    <cellStyle name="Total 2 2 3 4 4" xfId="39368"/>
    <cellStyle name="Total 2 2 3 4 4 2" xfId="39369"/>
    <cellStyle name="Total 2 2 3 4 5" xfId="39370"/>
    <cellStyle name="Total 2 2 3 4 5 2" xfId="39371"/>
    <cellStyle name="Total 2 2 3 4 6" xfId="39372"/>
    <cellStyle name="Total 2 2 3 4 6 2" xfId="39373"/>
    <cellStyle name="Total 2 2 3 4 7" xfId="39374"/>
    <cellStyle name="Total 2 2 3 4 7 2" xfId="39375"/>
    <cellStyle name="Total 2 2 3 4 8" xfId="39376"/>
    <cellStyle name="Total 2 2 3 4 8 2" xfId="39377"/>
    <cellStyle name="Total 2 2 3 4 9" xfId="39378"/>
    <cellStyle name="Total 2 2 3 4 9 2" xfId="39379"/>
    <cellStyle name="Total 2 2 3 5" xfId="39380"/>
    <cellStyle name="Total 2 2 3 5 10" xfId="39381"/>
    <cellStyle name="Total 2 2 3 5 10 2" xfId="39382"/>
    <cellStyle name="Total 2 2 3 5 11" xfId="39383"/>
    <cellStyle name="Total 2 2 3 5 2" xfId="39384"/>
    <cellStyle name="Total 2 2 3 5 2 2" xfId="39385"/>
    <cellStyle name="Total 2 2 3 5 3" xfId="39386"/>
    <cellStyle name="Total 2 2 3 5 3 2" xfId="39387"/>
    <cellStyle name="Total 2 2 3 5 4" xfId="39388"/>
    <cellStyle name="Total 2 2 3 5 4 2" xfId="39389"/>
    <cellStyle name="Total 2 2 3 5 5" xfId="39390"/>
    <cellStyle name="Total 2 2 3 5 5 2" xfId="39391"/>
    <cellStyle name="Total 2 2 3 5 6" xfId="39392"/>
    <cellStyle name="Total 2 2 3 5 6 2" xfId="39393"/>
    <cellStyle name="Total 2 2 3 5 7" xfId="39394"/>
    <cellStyle name="Total 2 2 3 5 7 2" xfId="39395"/>
    <cellStyle name="Total 2 2 3 5 8" xfId="39396"/>
    <cellStyle name="Total 2 2 3 5 8 2" xfId="39397"/>
    <cellStyle name="Total 2 2 3 5 9" xfId="39398"/>
    <cellStyle name="Total 2 2 3 5 9 2" xfId="39399"/>
    <cellStyle name="Total 2 2 3 6" xfId="39400"/>
    <cellStyle name="Total 2 2 3 6 2" xfId="39401"/>
    <cellStyle name="Total 2 2 3 7" xfId="39402"/>
    <cellStyle name="Total 2 2 3 7 2" xfId="39403"/>
    <cellStyle name="Total 2 2 3 8" xfId="39404"/>
    <cellStyle name="Total 2 2 3 8 2" xfId="39405"/>
    <cellStyle name="Total 2 2 3 9" xfId="39406"/>
    <cellStyle name="Total 2 2 3 9 2" xfId="39407"/>
    <cellStyle name="Total 2 2 4" xfId="39408"/>
    <cellStyle name="Total 2 2 4 10" xfId="39409"/>
    <cellStyle name="Total 2 2 4 10 2" xfId="39410"/>
    <cellStyle name="Total 2 2 4 11" xfId="39411"/>
    <cellStyle name="Total 2 2 4 11 2" xfId="39412"/>
    <cellStyle name="Total 2 2 4 12" xfId="39413"/>
    <cellStyle name="Total 2 2 4 12 2" xfId="39414"/>
    <cellStyle name="Total 2 2 4 13" xfId="39415"/>
    <cellStyle name="Total 2 2 4 2" xfId="39416"/>
    <cellStyle name="Total 2 2 4 2 10" xfId="39417"/>
    <cellStyle name="Total 2 2 4 2 10 2" xfId="39418"/>
    <cellStyle name="Total 2 2 4 2 11" xfId="39419"/>
    <cellStyle name="Total 2 2 4 2 2" xfId="39420"/>
    <cellStyle name="Total 2 2 4 2 2 2" xfId="39421"/>
    <cellStyle name="Total 2 2 4 2 3" xfId="39422"/>
    <cellStyle name="Total 2 2 4 2 3 2" xfId="39423"/>
    <cellStyle name="Total 2 2 4 2 4" xfId="39424"/>
    <cellStyle name="Total 2 2 4 2 4 2" xfId="39425"/>
    <cellStyle name="Total 2 2 4 2 5" xfId="39426"/>
    <cellStyle name="Total 2 2 4 2 5 2" xfId="39427"/>
    <cellStyle name="Total 2 2 4 2 6" xfId="39428"/>
    <cellStyle name="Total 2 2 4 2 6 2" xfId="39429"/>
    <cellStyle name="Total 2 2 4 2 7" xfId="39430"/>
    <cellStyle name="Total 2 2 4 2 7 2" xfId="39431"/>
    <cellStyle name="Total 2 2 4 2 8" xfId="39432"/>
    <cellStyle name="Total 2 2 4 2 8 2" xfId="39433"/>
    <cellStyle name="Total 2 2 4 2 9" xfId="39434"/>
    <cellStyle name="Total 2 2 4 2 9 2" xfId="39435"/>
    <cellStyle name="Total 2 2 4 3" xfId="39436"/>
    <cellStyle name="Total 2 2 4 3 10" xfId="39437"/>
    <cellStyle name="Total 2 2 4 3 10 2" xfId="39438"/>
    <cellStyle name="Total 2 2 4 3 11" xfId="39439"/>
    <cellStyle name="Total 2 2 4 3 2" xfId="39440"/>
    <cellStyle name="Total 2 2 4 3 2 2" xfId="39441"/>
    <cellStyle name="Total 2 2 4 3 3" xfId="39442"/>
    <cellStyle name="Total 2 2 4 3 3 2" xfId="39443"/>
    <cellStyle name="Total 2 2 4 3 4" xfId="39444"/>
    <cellStyle name="Total 2 2 4 3 4 2" xfId="39445"/>
    <cellStyle name="Total 2 2 4 3 5" xfId="39446"/>
    <cellStyle name="Total 2 2 4 3 5 2" xfId="39447"/>
    <cellStyle name="Total 2 2 4 3 6" xfId="39448"/>
    <cellStyle name="Total 2 2 4 3 6 2" xfId="39449"/>
    <cellStyle name="Total 2 2 4 3 7" xfId="39450"/>
    <cellStyle name="Total 2 2 4 3 7 2" xfId="39451"/>
    <cellStyle name="Total 2 2 4 3 8" xfId="39452"/>
    <cellStyle name="Total 2 2 4 3 8 2" xfId="39453"/>
    <cellStyle name="Total 2 2 4 3 9" xfId="39454"/>
    <cellStyle name="Total 2 2 4 3 9 2" xfId="39455"/>
    <cellStyle name="Total 2 2 4 4" xfId="39456"/>
    <cellStyle name="Total 2 2 4 4 2" xfId="39457"/>
    <cellStyle name="Total 2 2 4 5" xfId="39458"/>
    <cellStyle name="Total 2 2 4 5 2" xfId="39459"/>
    <cellStyle name="Total 2 2 4 6" xfId="39460"/>
    <cellStyle name="Total 2 2 4 6 2" xfId="39461"/>
    <cellStyle name="Total 2 2 4 7" xfId="39462"/>
    <cellStyle name="Total 2 2 4 7 2" xfId="39463"/>
    <cellStyle name="Total 2 2 4 8" xfId="39464"/>
    <cellStyle name="Total 2 2 4 8 2" xfId="39465"/>
    <cellStyle name="Total 2 2 4 9" xfId="39466"/>
    <cellStyle name="Total 2 2 4 9 2" xfId="39467"/>
    <cellStyle name="Total 2 2 5" xfId="39468"/>
    <cellStyle name="Total 2 2 5 10" xfId="39469"/>
    <cellStyle name="Total 2 2 5 10 2" xfId="39470"/>
    <cellStyle name="Total 2 2 5 11" xfId="39471"/>
    <cellStyle name="Total 2 2 5 11 2" xfId="39472"/>
    <cellStyle name="Total 2 2 5 12" xfId="39473"/>
    <cellStyle name="Total 2 2 5 12 2" xfId="39474"/>
    <cellStyle name="Total 2 2 5 13" xfId="39475"/>
    <cellStyle name="Total 2 2 5 2" xfId="39476"/>
    <cellStyle name="Total 2 2 5 2 10" xfId="39477"/>
    <cellStyle name="Total 2 2 5 2 10 2" xfId="39478"/>
    <cellStyle name="Total 2 2 5 2 11" xfId="39479"/>
    <cellStyle name="Total 2 2 5 2 2" xfId="39480"/>
    <cellStyle name="Total 2 2 5 2 2 2" xfId="39481"/>
    <cellStyle name="Total 2 2 5 2 3" xfId="39482"/>
    <cellStyle name="Total 2 2 5 2 3 2" xfId="39483"/>
    <cellStyle name="Total 2 2 5 2 4" xfId="39484"/>
    <cellStyle name="Total 2 2 5 2 4 2" xfId="39485"/>
    <cellStyle name="Total 2 2 5 2 5" xfId="39486"/>
    <cellStyle name="Total 2 2 5 2 5 2" xfId="39487"/>
    <cellStyle name="Total 2 2 5 2 6" xfId="39488"/>
    <cellStyle name="Total 2 2 5 2 6 2" xfId="39489"/>
    <cellStyle name="Total 2 2 5 2 7" xfId="39490"/>
    <cellStyle name="Total 2 2 5 2 7 2" xfId="39491"/>
    <cellStyle name="Total 2 2 5 2 8" xfId="39492"/>
    <cellStyle name="Total 2 2 5 2 8 2" xfId="39493"/>
    <cellStyle name="Total 2 2 5 2 9" xfId="39494"/>
    <cellStyle name="Total 2 2 5 2 9 2" xfId="39495"/>
    <cellStyle name="Total 2 2 5 3" xfId="39496"/>
    <cellStyle name="Total 2 2 5 3 10" xfId="39497"/>
    <cellStyle name="Total 2 2 5 3 10 2" xfId="39498"/>
    <cellStyle name="Total 2 2 5 3 11" xfId="39499"/>
    <cellStyle name="Total 2 2 5 3 2" xfId="39500"/>
    <cellStyle name="Total 2 2 5 3 2 2" xfId="39501"/>
    <cellStyle name="Total 2 2 5 3 3" xfId="39502"/>
    <cellStyle name="Total 2 2 5 3 3 2" xfId="39503"/>
    <cellStyle name="Total 2 2 5 3 4" xfId="39504"/>
    <cellStyle name="Total 2 2 5 3 4 2" xfId="39505"/>
    <cellStyle name="Total 2 2 5 3 5" xfId="39506"/>
    <cellStyle name="Total 2 2 5 3 5 2" xfId="39507"/>
    <cellStyle name="Total 2 2 5 3 6" xfId="39508"/>
    <cellStyle name="Total 2 2 5 3 6 2" xfId="39509"/>
    <cellStyle name="Total 2 2 5 3 7" xfId="39510"/>
    <cellStyle name="Total 2 2 5 3 7 2" xfId="39511"/>
    <cellStyle name="Total 2 2 5 3 8" xfId="39512"/>
    <cellStyle name="Total 2 2 5 3 8 2" xfId="39513"/>
    <cellStyle name="Total 2 2 5 3 9" xfId="39514"/>
    <cellStyle name="Total 2 2 5 3 9 2" xfId="39515"/>
    <cellStyle name="Total 2 2 5 4" xfId="39516"/>
    <cellStyle name="Total 2 2 5 4 2" xfId="39517"/>
    <cellStyle name="Total 2 2 5 5" xfId="39518"/>
    <cellStyle name="Total 2 2 5 5 2" xfId="39519"/>
    <cellStyle name="Total 2 2 5 6" xfId="39520"/>
    <cellStyle name="Total 2 2 5 6 2" xfId="39521"/>
    <cellStyle name="Total 2 2 5 7" xfId="39522"/>
    <cellStyle name="Total 2 2 5 7 2" xfId="39523"/>
    <cellStyle name="Total 2 2 5 8" xfId="39524"/>
    <cellStyle name="Total 2 2 5 8 2" xfId="39525"/>
    <cellStyle name="Total 2 2 5 9" xfId="39526"/>
    <cellStyle name="Total 2 2 5 9 2" xfId="39527"/>
    <cellStyle name="Total 2 2 6" xfId="39528"/>
    <cellStyle name="Total 2 2 6 2" xfId="39529"/>
    <cellStyle name="Total 2 2 7" xfId="39530"/>
    <cellStyle name="Total 2 2 7 2" xfId="39531"/>
    <cellStyle name="Total 2 2 8" xfId="39532"/>
    <cellStyle name="Total 2 2 8 2" xfId="39533"/>
    <cellStyle name="Total 2 2 9" xfId="39534"/>
    <cellStyle name="Total 2 2 9 2" xfId="39535"/>
    <cellStyle name="Total 2 20" xfId="39536"/>
    <cellStyle name="Total 2 21" xfId="39537"/>
    <cellStyle name="Total 2 3" xfId="265"/>
    <cellStyle name="Total 2 3 10" xfId="39538"/>
    <cellStyle name="Total 2 3 10 2" xfId="39539"/>
    <cellStyle name="Total 2 3 11" xfId="39540"/>
    <cellStyle name="Total 2 3 11 2" xfId="39541"/>
    <cellStyle name="Total 2 3 12" xfId="39542"/>
    <cellStyle name="Total 2 3 12 2" xfId="39543"/>
    <cellStyle name="Total 2 3 13" xfId="39544"/>
    <cellStyle name="Total 2 3 13 2" xfId="39545"/>
    <cellStyle name="Total 2 3 14" xfId="39546"/>
    <cellStyle name="Total 2 3 14 2" xfId="39547"/>
    <cellStyle name="Total 2 3 15" xfId="39548"/>
    <cellStyle name="Total 2 3 16" xfId="39549"/>
    <cellStyle name="Total 2 3 17" xfId="39550"/>
    <cellStyle name="Total 2 3 2" xfId="311"/>
    <cellStyle name="Total 2 3 2 10" xfId="39551"/>
    <cellStyle name="Total 2 3 2 10 2" xfId="39552"/>
    <cellStyle name="Total 2 3 2 11" xfId="39553"/>
    <cellStyle name="Total 2 3 2 11 2" xfId="39554"/>
    <cellStyle name="Total 2 3 2 12" xfId="39555"/>
    <cellStyle name="Total 2 3 2 12 2" xfId="39556"/>
    <cellStyle name="Total 2 3 2 13" xfId="39557"/>
    <cellStyle name="Total 2 3 2 13 2" xfId="39558"/>
    <cellStyle name="Total 2 3 2 14" xfId="39559"/>
    <cellStyle name="Total 2 3 2 14 2" xfId="39560"/>
    <cellStyle name="Total 2 3 2 15" xfId="39561"/>
    <cellStyle name="Total 2 3 2 16" xfId="39562"/>
    <cellStyle name="Total 2 3 2 2" xfId="39563"/>
    <cellStyle name="Total 2 3 2 2 10" xfId="39564"/>
    <cellStyle name="Total 2 3 2 2 10 2" xfId="39565"/>
    <cellStyle name="Total 2 3 2 2 11" xfId="39566"/>
    <cellStyle name="Total 2 3 2 2 11 2" xfId="39567"/>
    <cellStyle name="Total 2 3 2 2 12" xfId="39568"/>
    <cellStyle name="Total 2 3 2 2 12 2" xfId="39569"/>
    <cellStyle name="Total 2 3 2 2 13" xfId="39570"/>
    <cellStyle name="Total 2 3 2 2 2" xfId="39571"/>
    <cellStyle name="Total 2 3 2 2 2 10" xfId="39572"/>
    <cellStyle name="Total 2 3 2 2 2 10 2" xfId="39573"/>
    <cellStyle name="Total 2 3 2 2 2 11" xfId="39574"/>
    <cellStyle name="Total 2 3 2 2 2 2" xfId="39575"/>
    <cellStyle name="Total 2 3 2 2 2 2 2" xfId="39576"/>
    <cellStyle name="Total 2 3 2 2 2 3" xfId="39577"/>
    <cellStyle name="Total 2 3 2 2 2 3 2" xfId="39578"/>
    <cellStyle name="Total 2 3 2 2 2 4" xfId="39579"/>
    <cellStyle name="Total 2 3 2 2 2 4 2" xfId="39580"/>
    <cellStyle name="Total 2 3 2 2 2 5" xfId="39581"/>
    <cellStyle name="Total 2 3 2 2 2 5 2" xfId="39582"/>
    <cellStyle name="Total 2 3 2 2 2 6" xfId="39583"/>
    <cellStyle name="Total 2 3 2 2 2 6 2" xfId="39584"/>
    <cellStyle name="Total 2 3 2 2 2 7" xfId="39585"/>
    <cellStyle name="Total 2 3 2 2 2 7 2" xfId="39586"/>
    <cellStyle name="Total 2 3 2 2 2 8" xfId="39587"/>
    <cellStyle name="Total 2 3 2 2 2 8 2" xfId="39588"/>
    <cellStyle name="Total 2 3 2 2 2 9" xfId="39589"/>
    <cellStyle name="Total 2 3 2 2 2 9 2" xfId="39590"/>
    <cellStyle name="Total 2 3 2 2 3" xfId="39591"/>
    <cellStyle name="Total 2 3 2 2 3 10" xfId="39592"/>
    <cellStyle name="Total 2 3 2 2 3 10 2" xfId="39593"/>
    <cellStyle name="Total 2 3 2 2 3 11" xfId="39594"/>
    <cellStyle name="Total 2 3 2 2 3 2" xfId="39595"/>
    <cellStyle name="Total 2 3 2 2 3 2 2" xfId="39596"/>
    <cellStyle name="Total 2 3 2 2 3 3" xfId="39597"/>
    <cellStyle name="Total 2 3 2 2 3 3 2" xfId="39598"/>
    <cellStyle name="Total 2 3 2 2 3 4" xfId="39599"/>
    <cellStyle name="Total 2 3 2 2 3 4 2" xfId="39600"/>
    <cellStyle name="Total 2 3 2 2 3 5" xfId="39601"/>
    <cellStyle name="Total 2 3 2 2 3 5 2" xfId="39602"/>
    <cellStyle name="Total 2 3 2 2 3 6" xfId="39603"/>
    <cellStyle name="Total 2 3 2 2 3 6 2" xfId="39604"/>
    <cellStyle name="Total 2 3 2 2 3 7" xfId="39605"/>
    <cellStyle name="Total 2 3 2 2 3 7 2" xfId="39606"/>
    <cellStyle name="Total 2 3 2 2 3 8" xfId="39607"/>
    <cellStyle name="Total 2 3 2 2 3 8 2" xfId="39608"/>
    <cellStyle name="Total 2 3 2 2 3 9" xfId="39609"/>
    <cellStyle name="Total 2 3 2 2 3 9 2" xfId="39610"/>
    <cellStyle name="Total 2 3 2 2 4" xfId="39611"/>
    <cellStyle name="Total 2 3 2 2 4 2" xfId="39612"/>
    <cellStyle name="Total 2 3 2 2 5" xfId="39613"/>
    <cellStyle name="Total 2 3 2 2 5 2" xfId="39614"/>
    <cellStyle name="Total 2 3 2 2 6" xfId="39615"/>
    <cellStyle name="Total 2 3 2 2 6 2" xfId="39616"/>
    <cellStyle name="Total 2 3 2 2 7" xfId="39617"/>
    <cellStyle name="Total 2 3 2 2 7 2" xfId="39618"/>
    <cellStyle name="Total 2 3 2 2 8" xfId="39619"/>
    <cellStyle name="Total 2 3 2 2 8 2" xfId="39620"/>
    <cellStyle name="Total 2 3 2 2 9" xfId="39621"/>
    <cellStyle name="Total 2 3 2 2 9 2" xfId="39622"/>
    <cellStyle name="Total 2 3 2 3" xfId="39623"/>
    <cellStyle name="Total 2 3 2 3 10" xfId="39624"/>
    <cellStyle name="Total 2 3 2 3 10 2" xfId="39625"/>
    <cellStyle name="Total 2 3 2 3 11" xfId="39626"/>
    <cellStyle name="Total 2 3 2 3 11 2" xfId="39627"/>
    <cellStyle name="Total 2 3 2 3 12" xfId="39628"/>
    <cellStyle name="Total 2 3 2 3 12 2" xfId="39629"/>
    <cellStyle name="Total 2 3 2 3 13" xfId="39630"/>
    <cellStyle name="Total 2 3 2 3 2" xfId="39631"/>
    <cellStyle name="Total 2 3 2 3 2 10" xfId="39632"/>
    <cellStyle name="Total 2 3 2 3 2 10 2" xfId="39633"/>
    <cellStyle name="Total 2 3 2 3 2 11" xfId="39634"/>
    <cellStyle name="Total 2 3 2 3 2 2" xfId="39635"/>
    <cellStyle name="Total 2 3 2 3 2 2 2" xfId="39636"/>
    <cellStyle name="Total 2 3 2 3 2 3" xfId="39637"/>
    <cellStyle name="Total 2 3 2 3 2 3 2" xfId="39638"/>
    <cellStyle name="Total 2 3 2 3 2 4" xfId="39639"/>
    <cellStyle name="Total 2 3 2 3 2 4 2" xfId="39640"/>
    <cellStyle name="Total 2 3 2 3 2 5" xfId="39641"/>
    <cellStyle name="Total 2 3 2 3 2 5 2" xfId="39642"/>
    <cellStyle name="Total 2 3 2 3 2 6" xfId="39643"/>
    <cellStyle name="Total 2 3 2 3 2 6 2" xfId="39644"/>
    <cellStyle name="Total 2 3 2 3 2 7" xfId="39645"/>
    <cellStyle name="Total 2 3 2 3 2 7 2" xfId="39646"/>
    <cellStyle name="Total 2 3 2 3 2 8" xfId="39647"/>
    <cellStyle name="Total 2 3 2 3 2 8 2" xfId="39648"/>
    <cellStyle name="Total 2 3 2 3 2 9" xfId="39649"/>
    <cellStyle name="Total 2 3 2 3 2 9 2" xfId="39650"/>
    <cellStyle name="Total 2 3 2 3 3" xfId="39651"/>
    <cellStyle name="Total 2 3 2 3 3 10" xfId="39652"/>
    <cellStyle name="Total 2 3 2 3 3 10 2" xfId="39653"/>
    <cellStyle name="Total 2 3 2 3 3 11" xfId="39654"/>
    <cellStyle name="Total 2 3 2 3 3 2" xfId="39655"/>
    <cellStyle name="Total 2 3 2 3 3 2 2" xfId="39656"/>
    <cellStyle name="Total 2 3 2 3 3 3" xfId="39657"/>
    <cellStyle name="Total 2 3 2 3 3 3 2" xfId="39658"/>
    <cellStyle name="Total 2 3 2 3 3 4" xfId="39659"/>
    <cellStyle name="Total 2 3 2 3 3 4 2" xfId="39660"/>
    <cellStyle name="Total 2 3 2 3 3 5" xfId="39661"/>
    <cellStyle name="Total 2 3 2 3 3 5 2" xfId="39662"/>
    <cellStyle name="Total 2 3 2 3 3 6" xfId="39663"/>
    <cellStyle name="Total 2 3 2 3 3 6 2" xfId="39664"/>
    <cellStyle name="Total 2 3 2 3 3 7" xfId="39665"/>
    <cellStyle name="Total 2 3 2 3 3 7 2" xfId="39666"/>
    <cellStyle name="Total 2 3 2 3 3 8" xfId="39667"/>
    <cellStyle name="Total 2 3 2 3 3 8 2" xfId="39668"/>
    <cellStyle name="Total 2 3 2 3 3 9" xfId="39669"/>
    <cellStyle name="Total 2 3 2 3 3 9 2" xfId="39670"/>
    <cellStyle name="Total 2 3 2 3 4" xfId="39671"/>
    <cellStyle name="Total 2 3 2 3 4 2" xfId="39672"/>
    <cellStyle name="Total 2 3 2 3 5" xfId="39673"/>
    <cellStyle name="Total 2 3 2 3 5 2" xfId="39674"/>
    <cellStyle name="Total 2 3 2 3 6" xfId="39675"/>
    <cellStyle name="Total 2 3 2 3 6 2" xfId="39676"/>
    <cellStyle name="Total 2 3 2 3 7" xfId="39677"/>
    <cellStyle name="Total 2 3 2 3 7 2" xfId="39678"/>
    <cellStyle name="Total 2 3 2 3 8" xfId="39679"/>
    <cellStyle name="Total 2 3 2 3 8 2" xfId="39680"/>
    <cellStyle name="Total 2 3 2 3 9" xfId="39681"/>
    <cellStyle name="Total 2 3 2 3 9 2" xfId="39682"/>
    <cellStyle name="Total 2 3 2 4" xfId="39683"/>
    <cellStyle name="Total 2 3 2 4 10" xfId="39684"/>
    <cellStyle name="Total 2 3 2 4 10 2" xfId="39685"/>
    <cellStyle name="Total 2 3 2 4 11" xfId="39686"/>
    <cellStyle name="Total 2 3 2 4 2" xfId="39687"/>
    <cellStyle name="Total 2 3 2 4 2 2" xfId="39688"/>
    <cellStyle name="Total 2 3 2 4 3" xfId="39689"/>
    <cellStyle name="Total 2 3 2 4 3 2" xfId="39690"/>
    <cellStyle name="Total 2 3 2 4 4" xfId="39691"/>
    <cellStyle name="Total 2 3 2 4 4 2" xfId="39692"/>
    <cellStyle name="Total 2 3 2 4 5" xfId="39693"/>
    <cellStyle name="Total 2 3 2 4 5 2" xfId="39694"/>
    <cellStyle name="Total 2 3 2 4 6" xfId="39695"/>
    <cellStyle name="Total 2 3 2 4 6 2" xfId="39696"/>
    <cellStyle name="Total 2 3 2 4 7" xfId="39697"/>
    <cellStyle name="Total 2 3 2 4 7 2" xfId="39698"/>
    <cellStyle name="Total 2 3 2 4 8" xfId="39699"/>
    <cellStyle name="Total 2 3 2 4 8 2" xfId="39700"/>
    <cellStyle name="Total 2 3 2 4 9" xfId="39701"/>
    <cellStyle name="Total 2 3 2 4 9 2" xfId="39702"/>
    <cellStyle name="Total 2 3 2 5" xfId="39703"/>
    <cellStyle name="Total 2 3 2 5 10" xfId="39704"/>
    <cellStyle name="Total 2 3 2 5 10 2" xfId="39705"/>
    <cellStyle name="Total 2 3 2 5 11" xfId="39706"/>
    <cellStyle name="Total 2 3 2 5 2" xfId="39707"/>
    <cellStyle name="Total 2 3 2 5 2 2" xfId="39708"/>
    <cellStyle name="Total 2 3 2 5 3" xfId="39709"/>
    <cellStyle name="Total 2 3 2 5 3 2" xfId="39710"/>
    <cellStyle name="Total 2 3 2 5 4" xfId="39711"/>
    <cellStyle name="Total 2 3 2 5 4 2" xfId="39712"/>
    <cellStyle name="Total 2 3 2 5 5" xfId="39713"/>
    <cellStyle name="Total 2 3 2 5 5 2" xfId="39714"/>
    <cellStyle name="Total 2 3 2 5 6" xfId="39715"/>
    <cellStyle name="Total 2 3 2 5 6 2" xfId="39716"/>
    <cellStyle name="Total 2 3 2 5 7" xfId="39717"/>
    <cellStyle name="Total 2 3 2 5 7 2" xfId="39718"/>
    <cellStyle name="Total 2 3 2 5 8" xfId="39719"/>
    <cellStyle name="Total 2 3 2 5 8 2" xfId="39720"/>
    <cellStyle name="Total 2 3 2 5 9" xfId="39721"/>
    <cellStyle name="Total 2 3 2 5 9 2" xfId="39722"/>
    <cellStyle name="Total 2 3 2 6" xfId="39723"/>
    <cellStyle name="Total 2 3 2 6 2" xfId="39724"/>
    <cellStyle name="Total 2 3 2 7" xfId="39725"/>
    <cellStyle name="Total 2 3 2 7 2" xfId="39726"/>
    <cellStyle name="Total 2 3 2 8" xfId="39727"/>
    <cellStyle name="Total 2 3 2 8 2" xfId="39728"/>
    <cellStyle name="Total 2 3 2 9" xfId="39729"/>
    <cellStyle name="Total 2 3 2 9 2" xfId="39730"/>
    <cellStyle name="Total 2 3 3" xfId="316"/>
    <cellStyle name="Total 2 3 3 10" xfId="39731"/>
    <cellStyle name="Total 2 3 3 10 2" xfId="39732"/>
    <cellStyle name="Total 2 3 3 11" xfId="39733"/>
    <cellStyle name="Total 2 3 3 11 2" xfId="39734"/>
    <cellStyle name="Total 2 3 3 12" xfId="39735"/>
    <cellStyle name="Total 2 3 3 12 2" xfId="39736"/>
    <cellStyle name="Total 2 3 3 13" xfId="39737"/>
    <cellStyle name="Total 2 3 3 13 2" xfId="39738"/>
    <cellStyle name="Total 2 3 3 14" xfId="39739"/>
    <cellStyle name="Total 2 3 3 14 2" xfId="39740"/>
    <cellStyle name="Total 2 3 3 15" xfId="39741"/>
    <cellStyle name="Total 2 3 3 2" xfId="39742"/>
    <cellStyle name="Total 2 3 3 2 10" xfId="39743"/>
    <cellStyle name="Total 2 3 3 2 10 2" xfId="39744"/>
    <cellStyle name="Total 2 3 3 2 11" xfId="39745"/>
    <cellStyle name="Total 2 3 3 2 11 2" xfId="39746"/>
    <cellStyle name="Total 2 3 3 2 12" xfId="39747"/>
    <cellStyle name="Total 2 3 3 2 12 2" xfId="39748"/>
    <cellStyle name="Total 2 3 3 2 13" xfId="39749"/>
    <cellStyle name="Total 2 3 3 2 2" xfId="39750"/>
    <cellStyle name="Total 2 3 3 2 2 10" xfId="39751"/>
    <cellStyle name="Total 2 3 3 2 2 10 2" xfId="39752"/>
    <cellStyle name="Total 2 3 3 2 2 11" xfId="39753"/>
    <cellStyle name="Total 2 3 3 2 2 2" xfId="39754"/>
    <cellStyle name="Total 2 3 3 2 2 2 2" xfId="39755"/>
    <cellStyle name="Total 2 3 3 2 2 3" xfId="39756"/>
    <cellStyle name="Total 2 3 3 2 2 3 2" xfId="39757"/>
    <cellStyle name="Total 2 3 3 2 2 4" xfId="39758"/>
    <cellStyle name="Total 2 3 3 2 2 4 2" xfId="39759"/>
    <cellStyle name="Total 2 3 3 2 2 5" xfId="39760"/>
    <cellStyle name="Total 2 3 3 2 2 5 2" xfId="39761"/>
    <cellStyle name="Total 2 3 3 2 2 6" xfId="39762"/>
    <cellStyle name="Total 2 3 3 2 2 6 2" xfId="39763"/>
    <cellStyle name="Total 2 3 3 2 2 7" xfId="39764"/>
    <cellStyle name="Total 2 3 3 2 2 7 2" xfId="39765"/>
    <cellStyle name="Total 2 3 3 2 2 8" xfId="39766"/>
    <cellStyle name="Total 2 3 3 2 2 8 2" xfId="39767"/>
    <cellStyle name="Total 2 3 3 2 2 9" xfId="39768"/>
    <cellStyle name="Total 2 3 3 2 2 9 2" xfId="39769"/>
    <cellStyle name="Total 2 3 3 2 3" xfId="39770"/>
    <cellStyle name="Total 2 3 3 2 3 10" xfId="39771"/>
    <cellStyle name="Total 2 3 3 2 3 10 2" xfId="39772"/>
    <cellStyle name="Total 2 3 3 2 3 11" xfId="39773"/>
    <cellStyle name="Total 2 3 3 2 3 2" xfId="39774"/>
    <cellStyle name="Total 2 3 3 2 3 2 2" xfId="39775"/>
    <cellStyle name="Total 2 3 3 2 3 3" xfId="39776"/>
    <cellStyle name="Total 2 3 3 2 3 3 2" xfId="39777"/>
    <cellStyle name="Total 2 3 3 2 3 4" xfId="39778"/>
    <cellStyle name="Total 2 3 3 2 3 4 2" xfId="39779"/>
    <cellStyle name="Total 2 3 3 2 3 5" xfId="39780"/>
    <cellStyle name="Total 2 3 3 2 3 5 2" xfId="39781"/>
    <cellStyle name="Total 2 3 3 2 3 6" xfId="39782"/>
    <cellStyle name="Total 2 3 3 2 3 6 2" xfId="39783"/>
    <cellStyle name="Total 2 3 3 2 3 7" xfId="39784"/>
    <cellStyle name="Total 2 3 3 2 3 7 2" xfId="39785"/>
    <cellStyle name="Total 2 3 3 2 3 8" xfId="39786"/>
    <cellStyle name="Total 2 3 3 2 3 8 2" xfId="39787"/>
    <cellStyle name="Total 2 3 3 2 3 9" xfId="39788"/>
    <cellStyle name="Total 2 3 3 2 3 9 2" xfId="39789"/>
    <cellStyle name="Total 2 3 3 2 4" xfId="39790"/>
    <cellStyle name="Total 2 3 3 2 4 2" xfId="39791"/>
    <cellStyle name="Total 2 3 3 2 5" xfId="39792"/>
    <cellStyle name="Total 2 3 3 2 5 2" xfId="39793"/>
    <cellStyle name="Total 2 3 3 2 6" xfId="39794"/>
    <cellStyle name="Total 2 3 3 2 6 2" xfId="39795"/>
    <cellStyle name="Total 2 3 3 2 7" xfId="39796"/>
    <cellStyle name="Total 2 3 3 2 7 2" xfId="39797"/>
    <cellStyle name="Total 2 3 3 2 8" xfId="39798"/>
    <cellStyle name="Total 2 3 3 2 8 2" xfId="39799"/>
    <cellStyle name="Total 2 3 3 2 9" xfId="39800"/>
    <cellStyle name="Total 2 3 3 2 9 2" xfId="39801"/>
    <cellStyle name="Total 2 3 3 3" xfId="39802"/>
    <cellStyle name="Total 2 3 3 3 10" xfId="39803"/>
    <cellStyle name="Total 2 3 3 3 10 2" xfId="39804"/>
    <cellStyle name="Total 2 3 3 3 11" xfId="39805"/>
    <cellStyle name="Total 2 3 3 3 11 2" xfId="39806"/>
    <cellStyle name="Total 2 3 3 3 12" xfId="39807"/>
    <cellStyle name="Total 2 3 3 3 12 2" xfId="39808"/>
    <cellStyle name="Total 2 3 3 3 13" xfId="39809"/>
    <cellStyle name="Total 2 3 3 3 2" xfId="39810"/>
    <cellStyle name="Total 2 3 3 3 2 10" xfId="39811"/>
    <cellStyle name="Total 2 3 3 3 2 10 2" xfId="39812"/>
    <cellStyle name="Total 2 3 3 3 2 11" xfId="39813"/>
    <cellStyle name="Total 2 3 3 3 2 2" xfId="39814"/>
    <cellStyle name="Total 2 3 3 3 2 2 2" xfId="39815"/>
    <cellStyle name="Total 2 3 3 3 2 3" xfId="39816"/>
    <cellStyle name="Total 2 3 3 3 2 3 2" xfId="39817"/>
    <cellStyle name="Total 2 3 3 3 2 4" xfId="39818"/>
    <cellStyle name="Total 2 3 3 3 2 4 2" xfId="39819"/>
    <cellStyle name="Total 2 3 3 3 2 5" xfId="39820"/>
    <cellStyle name="Total 2 3 3 3 2 5 2" xfId="39821"/>
    <cellStyle name="Total 2 3 3 3 2 6" xfId="39822"/>
    <cellStyle name="Total 2 3 3 3 2 6 2" xfId="39823"/>
    <cellStyle name="Total 2 3 3 3 2 7" xfId="39824"/>
    <cellStyle name="Total 2 3 3 3 2 7 2" xfId="39825"/>
    <cellStyle name="Total 2 3 3 3 2 8" xfId="39826"/>
    <cellStyle name="Total 2 3 3 3 2 8 2" xfId="39827"/>
    <cellStyle name="Total 2 3 3 3 2 9" xfId="39828"/>
    <cellStyle name="Total 2 3 3 3 2 9 2" xfId="39829"/>
    <cellStyle name="Total 2 3 3 3 3" xfId="39830"/>
    <cellStyle name="Total 2 3 3 3 3 10" xfId="39831"/>
    <cellStyle name="Total 2 3 3 3 3 10 2" xfId="39832"/>
    <cellStyle name="Total 2 3 3 3 3 11" xfId="39833"/>
    <cellStyle name="Total 2 3 3 3 3 2" xfId="39834"/>
    <cellStyle name="Total 2 3 3 3 3 2 2" xfId="39835"/>
    <cellStyle name="Total 2 3 3 3 3 3" xfId="39836"/>
    <cellStyle name="Total 2 3 3 3 3 3 2" xfId="39837"/>
    <cellStyle name="Total 2 3 3 3 3 4" xfId="39838"/>
    <cellStyle name="Total 2 3 3 3 3 4 2" xfId="39839"/>
    <cellStyle name="Total 2 3 3 3 3 5" xfId="39840"/>
    <cellStyle name="Total 2 3 3 3 3 5 2" xfId="39841"/>
    <cellStyle name="Total 2 3 3 3 3 6" xfId="39842"/>
    <cellStyle name="Total 2 3 3 3 3 6 2" xfId="39843"/>
    <cellStyle name="Total 2 3 3 3 3 7" xfId="39844"/>
    <cellStyle name="Total 2 3 3 3 3 7 2" xfId="39845"/>
    <cellStyle name="Total 2 3 3 3 3 8" xfId="39846"/>
    <cellStyle name="Total 2 3 3 3 3 8 2" xfId="39847"/>
    <cellStyle name="Total 2 3 3 3 3 9" xfId="39848"/>
    <cellStyle name="Total 2 3 3 3 3 9 2" xfId="39849"/>
    <cellStyle name="Total 2 3 3 3 4" xfId="39850"/>
    <cellStyle name="Total 2 3 3 3 4 2" xfId="39851"/>
    <cellStyle name="Total 2 3 3 3 5" xfId="39852"/>
    <cellStyle name="Total 2 3 3 3 5 2" xfId="39853"/>
    <cellStyle name="Total 2 3 3 3 6" xfId="39854"/>
    <cellStyle name="Total 2 3 3 3 6 2" xfId="39855"/>
    <cellStyle name="Total 2 3 3 3 7" xfId="39856"/>
    <cellStyle name="Total 2 3 3 3 7 2" xfId="39857"/>
    <cellStyle name="Total 2 3 3 3 8" xfId="39858"/>
    <cellStyle name="Total 2 3 3 3 8 2" xfId="39859"/>
    <cellStyle name="Total 2 3 3 3 9" xfId="39860"/>
    <cellStyle name="Total 2 3 3 3 9 2" xfId="39861"/>
    <cellStyle name="Total 2 3 3 4" xfId="39862"/>
    <cellStyle name="Total 2 3 3 4 10" xfId="39863"/>
    <cellStyle name="Total 2 3 3 4 10 2" xfId="39864"/>
    <cellStyle name="Total 2 3 3 4 11" xfId="39865"/>
    <cellStyle name="Total 2 3 3 4 2" xfId="39866"/>
    <cellStyle name="Total 2 3 3 4 2 2" xfId="39867"/>
    <cellStyle name="Total 2 3 3 4 3" xfId="39868"/>
    <cellStyle name="Total 2 3 3 4 3 2" xfId="39869"/>
    <cellStyle name="Total 2 3 3 4 4" xfId="39870"/>
    <cellStyle name="Total 2 3 3 4 4 2" xfId="39871"/>
    <cellStyle name="Total 2 3 3 4 5" xfId="39872"/>
    <cellStyle name="Total 2 3 3 4 5 2" xfId="39873"/>
    <cellStyle name="Total 2 3 3 4 6" xfId="39874"/>
    <cellStyle name="Total 2 3 3 4 6 2" xfId="39875"/>
    <cellStyle name="Total 2 3 3 4 7" xfId="39876"/>
    <cellStyle name="Total 2 3 3 4 7 2" xfId="39877"/>
    <cellStyle name="Total 2 3 3 4 8" xfId="39878"/>
    <cellStyle name="Total 2 3 3 4 8 2" xfId="39879"/>
    <cellStyle name="Total 2 3 3 4 9" xfId="39880"/>
    <cellStyle name="Total 2 3 3 4 9 2" xfId="39881"/>
    <cellStyle name="Total 2 3 3 5" xfId="39882"/>
    <cellStyle name="Total 2 3 3 5 10" xfId="39883"/>
    <cellStyle name="Total 2 3 3 5 10 2" xfId="39884"/>
    <cellStyle name="Total 2 3 3 5 11" xfId="39885"/>
    <cellStyle name="Total 2 3 3 5 2" xfId="39886"/>
    <cellStyle name="Total 2 3 3 5 2 2" xfId="39887"/>
    <cellStyle name="Total 2 3 3 5 3" xfId="39888"/>
    <cellStyle name="Total 2 3 3 5 3 2" xfId="39889"/>
    <cellStyle name="Total 2 3 3 5 4" xfId="39890"/>
    <cellStyle name="Total 2 3 3 5 4 2" xfId="39891"/>
    <cellStyle name="Total 2 3 3 5 5" xfId="39892"/>
    <cellStyle name="Total 2 3 3 5 5 2" xfId="39893"/>
    <cellStyle name="Total 2 3 3 5 6" xfId="39894"/>
    <cellStyle name="Total 2 3 3 5 6 2" xfId="39895"/>
    <cellStyle name="Total 2 3 3 5 7" xfId="39896"/>
    <cellStyle name="Total 2 3 3 5 7 2" xfId="39897"/>
    <cellStyle name="Total 2 3 3 5 8" xfId="39898"/>
    <cellStyle name="Total 2 3 3 5 8 2" xfId="39899"/>
    <cellStyle name="Total 2 3 3 5 9" xfId="39900"/>
    <cellStyle name="Total 2 3 3 5 9 2" xfId="39901"/>
    <cellStyle name="Total 2 3 3 6" xfId="39902"/>
    <cellStyle name="Total 2 3 3 6 2" xfId="39903"/>
    <cellStyle name="Total 2 3 3 7" xfId="39904"/>
    <cellStyle name="Total 2 3 3 7 2" xfId="39905"/>
    <cellStyle name="Total 2 3 3 8" xfId="39906"/>
    <cellStyle name="Total 2 3 3 8 2" xfId="39907"/>
    <cellStyle name="Total 2 3 3 9" xfId="39908"/>
    <cellStyle name="Total 2 3 3 9 2" xfId="39909"/>
    <cellStyle name="Total 2 3 4" xfId="39910"/>
    <cellStyle name="Total 2 3 4 10" xfId="39911"/>
    <cellStyle name="Total 2 3 4 10 2" xfId="39912"/>
    <cellStyle name="Total 2 3 4 11" xfId="39913"/>
    <cellStyle name="Total 2 3 4 11 2" xfId="39914"/>
    <cellStyle name="Total 2 3 4 12" xfId="39915"/>
    <cellStyle name="Total 2 3 4 12 2" xfId="39916"/>
    <cellStyle name="Total 2 3 4 13" xfId="39917"/>
    <cellStyle name="Total 2 3 4 2" xfId="39918"/>
    <cellStyle name="Total 2 3 4 2 10" xfId="39919"/>
    <cellStyle name="Total 2 3 4 2 10 2" xfId="39920"/>
    <cellStyle name="Total 2 3 4 2 11" xfId="39921"/>
    <cellStyle name="Total 2 3 4 2 2" xfId="39922"/>
    <cellStyle name="Total 2 3 4 2 2 2" xfId="39923"/>
    <cellStyle name="Total 2 3 4 2 3" xfId="39924"/>
    <cellStyle name="Total 2 3 4 2 3 2" xfId="39925"/>
    <cellStyle name="Total 2 3 4 2 4" xfId="39926"/>
    <cellStyle name="Total 2 3 4 2 4 2" xfId="39927"/>
    <cellStyle name="Total 2 3 4 2 5" xfId="39928"/>
    <cellStyle name="Total 2 3 4 2 5 2" xfId="39929"/>
    <cellStyle name="Total 2 3 4 2 6" xfId="39930"/>
    <cellStyle name="Total 2 3 4 2 6 2" xfId="39931"/>
    <cellStyle name="Total 2 3 4 2 7" xfId="39932"/>
    <cellStyle name="Total 2 3 4 2 7 2" xfId="39933"/>
    <cellStyle name="Total 2 3 4 2 8" xfId="39934"/>
    <cellStyle name="Total 2 3 4 2 8 2" xfId="39935"/>
    <cellStyle name="Total 2 3 4 2 9" xfId="39936"/>
    <cellStyle name="Total 2 3 4 2 9 2" xfId="39937"/>
    <cellStyle name="Total 2 3 4 3" xfId="39938"/>
    <cellStyle name="Total 2 3 4 3 10" xfId="39939"/>
    <cellStyle name="Total 2 3 4 3 10 2" xfId="39940"/>
    <cellStyle name="Total 2 3 4 3 11" xfId="39941"/>
    <cellStyle name="Total 2 3 4 3 2" xfId="39942"/>
    <cellStyle name="Total 2 3 4 3 2 2" xfId="39943"/>
    <cellStyle name="Total 2 3 4 3 3" xfId="39944"/>
    <cellStyle name="Total 2 3 4 3 3 2" xfId="39945"/>
    <cellStyle name="Total 2 3 4 3 4" xfId="39946"/>
    <cellStyle name="Total 2 3 4 3 4 2" xfId="39947"/>
    <cellStyle name="Total 2 3 4 3 5" xfId="39948"/>
    <cellStyle name="Total 2 3 4 3 5 2" xfId="39949"/>
    <cellStyle name="Total 2 3 4 3 6" xfId="39950"/>
    <cellStyle name="Total 2 3 4 3 6 2" xfId="39951"/>
    <cellStyle name="Total 2 3 4 3 7" xfId="39952"/>
    <cellStyle name="Total 2 3 4 3 7 2" xfId="39953"/>
    <cellStyle name="Total 2 3 4 3 8" xfId="39954"/>
    <cellStyle name="Total 2 3 4 3 8 2" xfId="39955"/>
    <cellStyle name="Total 2 3 4 3 9" xfId="39956"/>
    <cellStyle name="Total 2 3 4 3 9 2" xfId="39957"/>
    <cellStyle name="Total 2 3 4 4" xfId="39958"/>
    <cellStyle name="Total 2 3 4 4 2" xfId="39959"/>
    <cellStyle name="Total 2 3 4 5" xfId="39960"/>
    <cellStyle name="Total 2 3 4 5 2" xfId="39961"/>
    <cellStyle name="Total 2 3 4 6" xfId="39962"/>
    <cellStyle name="Total 2 3 4 6 2" xfId="39963"/>
    <cellStyle name="Total 2 3 4 7" xfId="39964"/>
    <cellStyle name="Total 2 3 4 7 2" xfId="39965"/>
    <cellStyle name="Total 2 3 4 8" xfId="39966"/>
    <cellStyle name="Total 2 3 4 8 2" xfId="39967"/>
    <cellStyle name="Total 2 3 4 9" xfId="39968"/>
    <cellStyle name="Total 2 3 4 9 2" xfId="39969"/>
    <cellStyle name="Total 2 3 5" xfId="39970"/>
    <cellStyle name="Total 2 3 5 10" xfId="39971"/>
    <cellStyle name="Total 2 3 5 10 2" xfId="39972"/>
    <cellStyle name="Total 2 3 5 11" xfId="39973"/>
    <cellStyle name="Total 2 3 5 11 2" xfId="39974"/>
    <cellStyle name="Total 2 3 5 12" xfId="39975"/>
    <cellStyle name="Total 2 3 5 12 2" xfId="39976"/>
    <cellStyle name="Total 2 3 5 13" xfId="39977"/>
    <cellStyle name="Total 2 3 5 2" xfId="39978"/>
    <cellStyle name="Total 2 3 5 2 10" xfId="39979"/>
    <cellStyle name="Total 2 3 5 2 10 2" xfId="39980"/>
    <cellStyle name="Total 2 3 5 2 11" xfId="39981"/>
    <cellStyle name="Total 2 3 5 2 2" xfId="39982"/>
    <cellStyle name="Total 2 3 5 2 2 2" xfId="39983"/>
    <cellStyle name="Total 2 3 5 2 3" xfId="39984"/>
    <cellStyle name="Total 2 3 5 2 3 2" xfId="39985"/>
    <cellStyle name="Total 2 3 5 2 4" xfId="39986"/>
    <cellStyle name="Total 2 3 5 2 4 2" xfId="39987"/>
    <cellStyle name="Total 2 3 5 2 5" xfId="39988"/>
    <cellStyle name="Total 2 3 5 2 5 2" xfId="39989"/>
    <cellStyle name="Total 2 3 5 2 6" xfId="39990"/>
    <cellStyle name="Total 2 3 5 2 6 2" xfId="39991"/>
    <cellStyle name="Total 2 3 5 2 7" xfId="39992"/>
    <cellStyle name="Total 2 3 5 2 7 2" xfId="39993"/>
    <cellStyle name="Total 2 3 5 2 8" xfId="39994"/>
    <cellStyle name="Total 2 3 5 2 8 2" xfId="39995"/>
    <cellStyle name="Total 2 3 5 2 9" xfId="39996"/>
    <cellStyle name="Total 2 3 5 2 9 2" xfId="39997"/>
    <cellStyle name="Total 2 3 5 3" xfId="39998"/>
    <cellStyle name="Total 2 3 5 3 10" xfId="39999"/>
    <cellStyle name="Total 2 3 5 3 10 2" xfId="40000"/>
    <cellStyle name="Total 2 3 5 3 11" xfId="40001"/>
    <cellStyle name="Total 2 3 5 3 2" xfId="40002"/>
    <cellStyle name="Total 2 3 5 3 2 2" xfId="40003"/>
    <cellStyle name="Total 2 3 5 3 3" xfId="40004"/>
    <cellStyle name="Total 2 3 5 3 3 2" xfId="40005"/>
    <cellStyle name="Total 2 3 5 3 4" xfId="40006"/>
    <cellStyle name="Total 2 3 5 3 4 2" xfId="40007"/>
    <cellStyle name="Total 2 3 5 3 5" xfId="40008"/>
    <cellStyle name="Total 2 3 5 3 5 2" xfId="40009"/>
    <cellStyle name="Total 2 3 5 3 6" xfId="40010"/>
    <cellStyle name="Total 2 3 5 3 6 2" xfId="40011"/>
    <cellStyle name="Total 2 3 5 3 7" xfId="40012"/>
    <cellStyle name="Total 2 3 5 3 7 2" xfId="40013"/>
    <cellStyle name="Total 2 3 5 3 8" xfId="40014"/>
    <cellStyle name="Total 2 3 5 3 8 2" xfId="40015"/>
    <cellStyle name="Total 2 3 5 3 9" xfId="40016"/>
    <cellStyle name="Total 2 3 5 3 9 2" xfId="40017"/>
    <cellStyle name="Total 2 3 5 4" xfId="40018"/>
    <cellStyle name="Total 2 3 5 4 2" xfId="40019"/>
    <cellStyle name="Total 2 3 5 5" xfId="40020"/>
    <cellStyle name="Total 2 3 5 5 2" xfId="40021"/>
    <cellStyle name="Total 2 3 5 6" xfId="40022"/>
    <cellStyle name="Total 2 3 5 6 2" xfId="40023"/>
    <cellStyle name="Total 2 3 5 7" xfId="40024"/>
    <cellStyle name="Total 2 3 5 7 2" xfId="40025"/>
    <cellStyle name="Total 2 3 5 8" xfId="40026"/>
    <cellStyle name="Total 2 3 5 8 2" xfId="40027"/>
    <cellStyle name="Total 2 3 5 9" xfId="40028"/>
    <cellStyle name="Total 2 3 5 9 2" xfId="40029"/>
    <cellStyle name="Total 2 3 6" xfId="40030"/>
    <cellStyle name="Total 2 3 6 2" xfId="40031"/>
    <cellStyle name="Total 2 3 7" xfId="40032"/>
    <cellStyle name="Total 2 3 7 2" xfId="40033"/>
    <cellStyle name="Total 2 3 8" xfId="40034"/>
    <cellStyle name="Total 2 3 8 2" xfId="40035"/>
    <cellStyle name="Total 2 3 9" xfId="40036"/>
    <cellStyle name="Total 2 3 9 2" xfId="40037"/>
    <cellStyle name="Total 2 4" xfId="309"/>
    <cellStyle name="Total 2 4 10" xfId="40038"/>
    <cellStyle name="Total 2 4 10 2" xfId="40039"/>
    <cellStyle name="Total 2 4 11" xfId="40040"/>
    <cellStyle name="Total 2 4 11 2" xfId="40041"/>
    <cellStyle name="Total 2 4 12" xfId="40042"/>
    <cellStyle name="Total 2 4 12 2" xfId="40043"/>
    <cellStyle name="Total 2 4 13" xfId="40044"/>
    <cellStyle name="Total 2 4 13 2" xfId="40045"/>
    <cellStyle name="Total 2 4 14" xfId="40046"/>
    <cellStyle name="Total 2 4 14 2" xfId="40047"/>
    <cellStyle name="Total 2 4 15" xfId="40048"/>
    <cellStyle name="Total 2 4 16" xfId="40049"/>
    <cellStyle name="Total 2 4 2" xfId="40050"/>
    <cellStyle name="Total 2 4 2 10" xfId="40051"/>
    <cellStyle name="Total 2 4 2 10 2" xfId="40052"/>
    <cellStyle name="Total 2 4 2 11" xfId="40053"/>
    <cellStyle name="Total 2 4 2 11 2" xfId="40054"/>
    <cellStyle name="Total 2 4 2 12" xfId="40055"/>
    <cellStyle name="Total 2 4 2 12 2" xfId="40056"/>
    <cellStyle name="Total 2 4 2 13" xfId="40057"/>
    <cellStyle name="Total 2 4 2 2" xfId="40058"/>
    <cellStyle name="Total 2 4 2 2 10" xfId="40059"/>
    <cellStyle name="Total 2 4 2 2 10 2" xfId="40060"/>
    <cellStyle name="Total 2 4 2 2 11" xfId="40061"/>
    <cellStyle name="Total 2 4 2 2 2" xfId="40062"/>
    <cellStyle name="Total 2 4 2 2 2 2" xfId="40063"/>
    <cellStyle name="Total 2 4 2 2 3" xfId="40064"/>
    <cellStyle name="Total 2 4 2 2 3 2" xfId="40065"/>
    <cellStyle name="Total 2 4 2 2 4" xfId="40066"/>
    <cellStyle name="Total 2 4 2 2 4 2" xfId="40067"/>
    <cellStyle name="Total 2 4 2 2 5" xfId="40068"/>
    <cellStyle name="Total 2 4 2 2 5 2" xfId="40069"/>
    <cellStyle name="Total 2 4 2 2 6" xfId="40070"/>
    <cellStyle name="Total 2 4 2 2 6 2" xfId="40071"/>
    <cellStyle name="Total 2 4 2 2 7" xfId="40072"/>
    <cellStyle name="Total 2 4 2 2 7 2" xfId="40073"/>
    <cellStyle name="Total 2 4 2 2 8" xfId="40074"/>
    <cellStyle name="Total 2 4 2 2 8 2" xfId="40075"/>
    <cellStyle name="Total 2 4 2 2 9" xfId="40076"/>
    <cellStyle name="Total 2 4 2 2 9 2" xfId="40077"/>
    <cellStyle name="Total 2 4 2 3" xfId="40078"/>
    <cellStyle name="Total 2 4 2 3 10" xfId="40079"/>
    <cellStyle name="Total 2 4 2 3 10 2" xfId="40080"/>
    <cellStyle name="Total 2 4 2 3 11" xfId="40081"/>
    <cellStyle name="Total 2 4 2 3 2" xfId="40082"/>
    <cellStyle name="Total 2 4 2 3 2 2" xfId="40083"/>
    <cellStyle name="Total 2 4 2 3 3" xfId="40084"/>
    <cellStyle name="Total 2 4 2 3 3 2" xfId="40085"/>
    <cellStyle name="Total 2 4 2 3 4" xfId="40086"/>
    <cellStyle name="Total 2 4 2 3 4 2" xfId="40087"/>
    <cellStyle name="Total 2 4 2 3 5" xfId="40088"/>
    <cellStyle name="Total 2 4 2 3 5 2" xfId="40089"/>
    <cellStyle name="Total 2 4 2 3 6" xfId="40090"/>
    <cellStyle name="Total 2 4 2 3 6 2" xfId="40091"/>
    <cellStyle name="Total 2 4 2 3 7" xfId="40092"/>
    <cellStyle name="Total 2 4 2 3 7 2" xfId="40093"/>
    <cellStyle name="Total 2 4 2 3 8" xfId="40094"/>
    <cellStyle name="Total 2 4 2 3 8 2" xfId="40095"/>
    <cellStyle name="Total 2 4 2 3 9" xfId="40096"/>
    <cellStyle name="Total 2 4 2 3 9 2" xfId="40097"/>
    <cellStyle name="Total 2 4 2 4" xfId="40098"/>
    <cellStyle name="Total 2 4 2 4 2" xfId="40099"/>
    <cellStyle name="Total 2 4 2 5" xfId="40100"/>
    <cellStyle name="Total 2 4 2 5 2" xfId="40101"/>
    <cellStyle name="Total 2 4 2 6" xfId="40102"/>
    <cellStyle name="Total 2 4 2 6 2" xfId="40103"/>
    <cellStyle name="Total 2 4 2 7" xfId="40104"/>
    <cellStyle name="Total 2 4 2 7 2" xfId="40105"/>
    <cellStyle name="Total 2 4 2 8" xfId="40106"/>
    <cellStyle name="Total 2 4 2 8 2" xfId="40107"/>
    <cellStyle name="Total 2 4 2 9" xfId="40108"/>
    <cellStyle name="Total 2 4 2 9 2" xfId="40109"/>
    <cellStyle name="Total 2 4 3" xfId="40110"/>
    <cellStyle name="Total 2 4 3 10" xfId="40111"/>
    <cellStyle name="Total 2 4 3 10 2" xfId="40112"/>
    <cellStyle name="Total 2 4 3 11" xfId="40113"/>
    <cellStyle name="Total 2 4 3 11 2" xfId="40114"/>
    <cellStyle name="Total 2 4 3 12" xfId="40115"/>
    <cellStyle name="Total 2 4 3 12 2" xfId="40116"/>
    <cellStyle name="Total 2 4 3 13" xfId="40117"/>
    <cellStyle name="Total 2 4 3 2" xfId="40118"/>
    <cellStyle name="Total 2 4 3 2 10" xfId="40119"/>
    <cellStyle name="Total 2 4 3 2 10 2" xfId="40120"/>
    <cellStyle name="Total 2 4 3 2 11" xfId="40121"/>
    <cellStyle name="Total 2 4 3 2 2" xfId="40122"/>
    <cellStyle name="Total 2 4 3 2 2 2" xfId="40123"/>
    <cellStyle name="Total 2 4 3 2 3" xfId="40124"/>
    <cellStyle name="Total 2 4 3 2 3 2" xfId="40125"/>
    <cellStyle name="Total 2 4 3 2 4" xfId="40126"/>
    <cellStyle name="Total 2 4 3 2 4 2" xfId="40127"/>
    <cellStyle name="Total 2 4 3 2 5" xfId="40128"/>
    <cellStyle name="Total 2 4 3 2 5 2" xfId="40129"/>
    <cellStyle name="Total 2 4 3 2 6" xfId="40130"/>
    <cellStyle name="Total 2 4 3 2 6 2" xfId="40131"/>
    <cellStyle name="Total 2 4 3 2 7" xfId="40132"/>
    <cellStyle name="Total 2 4 3 2 7 2" xfId="40133"/>
    <cellStyle name="Total 2 4 3 2 8" xfId="40134"/>
    <cellStyle name="Total 2 4 3 2 8 2" xfId="40135"/>
    <cellStyle name="Total 2 4 3 2 9" xfId="40136"/>
    <cellStyle name="Total 2 4 3 2 9 2" xfId="40137"/>
    <cellStyle name="Total 2 4 3 3" xfId="40138"/>
    <cellStyle name="Total 2 4 3 3 10" xfId="40139"/>
    <cellStyle name="Total 2 4 3 3 10 2" xfId="40140"/>
    <cellStyle name="Total 2 4 3 3 11" xfId="40141"/>
    <cellStyle name="Total 2 4 3 3 2" xfId="40142"/>
    <cellStyle name="Total 2 4 3 3 2 2" xfId="40143"/>
    <cellStyle name="Total 2 4 3 3 3" xfId="40144"/>
    <cellStyle name="Total 2 4 3 3 3 2" xfId="40145"/>
    <cellStyle name="Total 2 4 3 3 4" xfId="40146"/>
    <cellStyle name="Total 2 4 3 3 4 2" xfId="40147"/>
    <cellStyle name="Total 2 4 3 3 5" xfId="40148"/>
    <cellStyle name="Total 2 4 3 3 5 2" xfId="40149"/>
    <cellStyle name="Total 2 4 3 3 6" xfId="40150"/>
    <cellStyle name="Total 2 4 3 3 6 2" xfId="40151"/>
    <cellStyle name="Total 2 4 3 3 7" xfId="40152"/>
    <cellStyle name="Total 2 4 3 3 7 2" xfId="40153"/>
    <cellStyle name="Total 2 4 3 3 8" xfId="40154"/>
    <cellStyle name="Total 2 4 3 3 8 2" xfId="40155"/>
    <cellStyle name="Total 2 4 3 3 9" xfId="40156"/>
    <cellStyle name="Total 2 4 3 3 9 2" xfId="40157"/>
    <cellStyle name="Total 2 4 3 4" xfId="40158"/>
    <cellStyle name="Total 2 4 3 4 2" xfId="40159"/>
    <cellStyle name="Total 2 4 3 5" xfId="40160"/>
    <cellStyle name="Total 2 4 3 5 2" xfId="40161"/>
    <cellStyle name="Total 2 4 3 6" xfId="40162"/>
    <cellStyle name="Total 2 4 3 6 2" xfId="40163"/>
    <cellStyle name="Total 2 4 3 7" xfId="40164"/>
    <cellStyle name="Total 2 4 3 7 2" xfId="40165"/>
    <cellStyle name="Total 2 4 3 8" xfId="40166"/>
    <cellStyle name="Total 2 4 3 8 2" xfId="40167"/>
    <cellStyle name="Total 2 4 3 9" xfId="40168"/>
    <cellStyle name="Total 2 4 3 9 2" xfId="40169"/>
    <cellStyle name="Total 2 4 4" xfId="40170"/>
    <cellStyle name="Total 2 4 4 10" xfId="40171"/>
    <cellStyle name="Total 2 4 4 10 2" xfId="40172"/>
    <cellStyle name="Total 2 4 4 11" xfId="40173"/>
    <cellStyle name="Total 2 4 4 2" xfId="40174"/>
    <cellStyle name="Total 2 4 4 2 2" xfId="40175"/>
    <cellStyle name="Total 2 4 4 3" xfId="40176"/>
    <cellStyle name="Total 2 4 4 3 2" xfId="40177"/>
    <cellStyle name="Total 2 4 4 4" xfId="40178"/>
    <cellStyle name="Total 2 4 4 4 2" xfId="40179"/>
    <cellStyle name="Total 2 4 4 5" xfId="40180"/>
    <cellStyle name="Total 2 4 4 5 2" xfId="40181"/>
    <cellStyle name="Total 2 4 4 6" xfId="40182"/>
    <cellStyle name="Total 2 4 4 6 2" xfId="40183"/>
    <cellStyle name="Total 2 4 4 7" xfId="40184"/>
    <cellStyle name="Total 2 4 4 7 2" xfId="40185"/>
    <cellStyle name="Total 2 4 4 8" xfId="40186"/>
    <cellStyle name="Total 2 4 4 8 2" xfId="40187"/>
    <cellStyle name="Total 2 4 4 9" xfId="40188"/>
    <cellStyle name="Total 2 4 4 9 2" xfId="40189"/>
    <cellStyle name="Total 2 4 5" xfId="40190"/>
    <cellStyle name="Total 2 4 5 10" xfId="40191"/>
    <cellStyle name="Total 2 4 5 10 2" xfId="40192"/>
    <cellStyle name="Total 2 4 5 11" xfId="40193"/>
    <cellStyle name="Total 2 4 5 2" xfId="40194"/>
    <cellStyle name="Total 2 4 5 2 2" xfId="40195"/>
    <cellStyle name="Total 2 4 5 3" xfId="40196"/>
    <cellStyle name="Total 2 4 5 3 2" xfId="40197"/>
    <cellStyle name="Total 2 4 5 4" xfId="40198"/>
    <cellStyle name="Total 2 4 5 4 2" xfId="40199"/>
    <cellStyle name="Total 2 4 5 5" xfId="40200"/>
    <cellStyle name="Total 2 4 5 5 2" xfId="40201"/>
    <cellStyle name="Total 2 4 5 6" xfId="40202"/>
    <cellStyle name="Total 2 4 5 6 2" xfId="40203"/>
    <cellStyle name="Total 2 4 5 7" xfId="40204"/>
    <cellStyle name="Total 2 4 5 7 2" xfId="40205"/>
    <cellStyle name="Total 2 4 5 8" xfId="40206"/>
    <cellStyle name="Total 2 4 5 8 2" xfId="40207"/>
    <cellStyle name="Total 2 4 5 9" xfId="40208"/>
    <cellStyle name="Total 2 4 5 9 2" xfId="40209"/>
    <cellStyle name="Total 2 4 6" xfId="40210"/>
    <cellStyle name="Total 2 4 6 2" xfId="40211"/>
    <cellStyle name="Total 2 4 7" xfId="40212"/>
    <cellStyle name="Total 2 4 7 2" xfId="40213"/>
    <cellStyle name="Total 2 4 8" xfId="40214"/>
    <cellStyle name="Total 2 4 8 2" xfId="40215"/>
    <cellStyle name="Total 2 4 9" xfId="40216"/>
    <cellStyle name="Total 2 4 9 2" xfId="40217"/>
    <cellStyle name="Total 2 5" xfId="314"/>
    <cellStyle name="Total 2 5 10" xfId="40218"/>
    <cellStyle name="Total 2 5 10 2" xfId="40219"/>
    <cellStyle name="Total 2 5 11" xfId="40220"/>
    <cellStyle name="Total 2 5 11 2" xfId="40221"/>
    <cellStyle name="Total 2 5 12" xfId="40222"/>
    <cellStyle name="Total 2 5 12 2" xfId="40223"/>
    <cellStyle name="Total 2 5 13" xfId="40224"/>
    <cellStyle name="Total 2 5 13 2" xfId="40225"/>
    <cellStyle name="Total 2 5 14" xfId="40226"/>
    <cellStyle name="Total 2 5 14 2" xfId="40227"/>
    <cellStyle name="Total 2 5 15" xfId="40228"/>
    <cellStyle name="Total 2 5 2" xfId="40229"/>
    <cellStyle name="Total 2 5 2 10" xfId="40230"/>
    <cellStyle name="Total 2 5 2 10 2" xfId="40231"/>
    <cellStyle name="Total 2 5 2 11" xfId="40232"/>
    <cellStyle name="Total 2 5 2 11 2" xfId="40233"/>
    <cellStyle name="Total 2 5 2 12" xfId="40234"/>
    <cellStyle name="Total 2 5 2 12 2" xfId="40235"/>
    <cellStyle name="Total 2 5 2 13" xfId="40236"/>
    <cellStyle name="Total 2 5 2 2" xfId="40237"/>
    <cellStyle name="Total 2 5 2 2 10" xfId="40238"/>
    <cellStyle name="Total 2 5 2 2 10 2" xfId="40239"/>
    <cellStyle name="Total 2 5 2 2 11" xfId="40240"/>
    <cellStyle name="Total 2 5 2 2 2" xfId="40241"/>
    <cellStyle name="Total 2 5 2 2 2 2" xfId="40242"/>
    <cellStyle name="Total 2 5 2 2 3" xfId="40243"/>
    <cellStyle name="Total 2 5 2 2 3 2" xfId="40244"/>
    <cellStyle name="Total 2 5 2 2 4" xfId="40245"/>
    <cellStyle name="Total 2 5 2 2 4 2" xfId="40246"/>
    <cellStyle name="Total 2 5 2 2 5" xfId="40247"/>
    <cellStyle name="Total 2 5 2 2 5 2" xfId="40248"/>
    <cellStyle name="Total 2 5 2 2 6" xfId="40249"/>
    <cellStyle name="Total 2 5 2 2 6 2" xfId="40250"/>
    <cellStyle name="Total 2 5 2 2 7" xfId="40251"/>
    <cellStyle name="Total 2 5 2 2 7 2" xfId="40252"/>
    <cellStyle name="Total 2 5 2 2 8" xfId="40253"/>
    <cellStyle name="Total 2 5 2 2 8 2" xfId="40254"/>
    <cellStyle name="Total 2 5 2 2 9" xfId="40255"/>
    <cellStyle name="Total 2 5 2 2 9 2" xfId="40256"/>
    <cellStyle name="Total 2 5 2 3" xfId="40257"/>
    <cellStyle name="Total 2 5 2 3 10" xfId="40258"/>
    <cellStyle name="Total 2 5 2 3 10 2" xfId="40259"/>
    <cellStyle name="Total 2 5 2 3 11" xfId="40260"/>
    <cellStyle name="Total 2 5 2 3 2" xfId="40261"/>
    <cellStyle name="Total 2 5 2 3 2 2" xfId="40262"/>
    <cellStyle name="Total 2 5 2 3 3" xfId="40263"/>
    <cellStyle name="Total 2 5 2 3 3 2" xfId="40264"/>
    <cellStyle name="Total 2 5 2 3 4" xfId="40265"/>
    <cellStyle name="Total 2 5 2 3 4 2" xfId="40266"/>
    <cellStyle name="Total 2 5 2 3 5" xfId="40267"/>
    <cellStyle name="Total 2 5 2 3 5 2" xfId="40268"/>
    <cellStyle name="Total 2 5 2 3 6" xfId="40269"/>
    <cellStyle name="Total 2 5 2 3 6 2" xfId="40270"/>
    <cellStyle name="Total 2 5 2 3 7" xfId="40271"/>
    <cellStyle name="Total 2 5 2 3 7 2" xfId="40272"/>
    <cellStyle name="Total 2 5 2 3 8" xfId="40273"/>
    <cellStyle name="Total 2 5 2 3 8 2" xfId="40274"/>
    <cellStyle name="Total 2 5 2 3 9" xfId="40275"/>
    <cellStyle name="Total 2 5 2 3 9 2" xfId="40276"/>
    <cellStyle name="Total 2 5 2 4" xfId="40277"/>
    <cellStyle name="Total 2 5 2 4 2" xfId="40278"/>
    <cellStyle name="Total 2 5 2 5" xfId="40279"/>
    <cellStyle name="Total 2 5 2 5 2" xfId="40280"/>
    <cellStyle name="Total 2 5 2 6" xfId="40281"/>
    <cellStyle name="Total 2 5 2 6 2" xfId="40282"/>
    <cellStyle name="Total 2 5 2 7" xfId="40283"/>
    <cellStyle name="Total 2 5 2 7 2" xfId="40284"/>
    <cellStyle name="Total 2 5 2 8" xfId="40285"/>
    <cellStyle name="Total 2 5 2 8 2" xfId="40286"/>
    <cellStyle name="Total 2 5 2 9" xfId="40287"/>
    <cellStyle name="Total 2 5 2 9 2" xfId="40288"/>
    <cellStyle name="Total 2 5 3" xfId="40289"/>
    <cellStyle name="Total 2 5 3 10" xfId="40290"/>
    <cellStyle name="Total 2 5 3 10 2" xfId="40291"/>
    <cellStyle name="Total 2 5 3 11" xfId="40292"/>
    <cellStyle name="Total 2 5 3 11 2" xfId="40293"/>
    <cellStyle name="Total 2 5 3 12" xfId="40294"/>
    <cellStyle name="Total 2 5 3 12 2" xfId="40295"/>
    <cellStyle name="Total 2 5 3 13" xfId="40296"/>
    <cellStyle name="Total 2 5 3 2" xfId="40297"/>
    <cellStyle name="Total 2 5 3 2 10" xfId="40298"/>
    <cellStyle name="Total 2 5 3 2 10 2" xfId="40299"/>
    <cellStyle name="Total 2 5 3 2 11" xfId="40300"/>
    <cellStyle name="Total 2 5 3 2 2" xfId="40301"/>
    <cellStyle name="Total 2 5 3 2 2 2" xfId="40302"/>
    <cellStyle name="Total 2 5 3 2 3" xfId="40303"/>
    <cellStyle name="Total 2 5 3 2 3 2" xfId="40304"/>
    <cellStyle name="Total 2 5 3 2 4" xfId="40305"/>
    <cellStyle name="Total 2 5 3 2 4 2" xfId="40306"/>
    <cellStyle name="Total 2 5 3 2 5" xfId="40307"/>
    <cellStyle name="Total 2 5 3 2 5 2" xfId="40308"/>
    <cellStyle name="Total 2 5 3 2 6" xfId="40309"/>
    <cellStyle name="Total 2 5 3 2 6 2" xfId="40310"/>
    <cellStyle name="Total 2 5 3 2 7" xfId="40311"/>
    <cellStyle name="Total 2 5 3 2 7 2" xfId="40312"/>
    <cellStyle name="Total 2 5 3 2 8" xfId="40313"/>
    <cellStyle name="Total 2 5 3 2 8 2" xfId="40314"/>
    <cellStyle name="Total 2 5 3 2 9" xfId="40315"/>
    <cellStyle name="Total 2 5 3 2 9 2" xfId="40316"/>
    <cellStyle name="Total 2 5 3 3" xfId="40317"/>
    <cellStyle name="Total 2 5 3 3 10" xfId="40318"/>
    <cellStyle name="Total 2 5 3 3 10 2" xfId="40319"/>
    <cellStyle name="Total 2 5 3 3 11" xfId="40320"/>
    <cellStyle name="Total 2 5 3 3 2" xfId="40321"/>
    <cellStyle name="Total 2 5 3 3 2 2" xfId="40322"/>
    <cellStyle name="Total 2 5 3 3 3" xfId="40323"/>
    <cellStyle name="Total 2 5 3 3 3 2" xfId="40324"/>
    <cellStyle name="Total 2 5 3 3 4" xfId="40325"/>
    <cellStyle name="Total 2 5 3 3 4 2" xfId="40326"/>
    <cellStyle name="Total 2 5 3 3 5" xfId="40327"/>
    <cellStyle name="Total 2 5 3 3 5 2" xfId="40328"/>
    <cellStyle name="Total 2 5 3 3 6" xfId="40329"/>
    <cellStyle name="Total 2 5 3 3 6 2" xfId="40330"/>
    <cellStyle name="Total 2 5 3 3 7" xfId="40331"/>
    <cellStyle name="Total 2 5 3 3 7 2" xfId="40332"/>
    <cellStyle name="Total 2 5 3 3 8" xfId="40333"/>
    <cellStyle name="Total 2 5 3 3 8 2" xfId="40334"/>
    <cellStyle name="Total 2 5 3 3 9" xfId="40335"/>
    <cellStyle name="Total 2 5 3 3 9 2" xfId="40336"/>
    <cellStyle name="Total 2 5 3 4" xfId="40337"/>
    <cellStyle name="Total 2 5 3 4 2" xfId="40338"/>
    <cellStyle name="Total 2 5 3 5" xfId="40339"/>
    <cellStyle name="Total 2 5 3 5 2" xfId="40340"/>
    <cellStyle name="Total 2 5 3 6" xfId="40341"/>
    <cellStyle name="Total 2 5 3 6 2" xfId="40342"/>
    <cellStyle name="Total 2 5 3 7" xfId="40343"/>
    <cellStyle name="Total 2 5 3 7 2" xfId="40344"/>
    <cellStyle name="Total 2 5 3 8" xfId="40345"/>
    <cellStyle name="Total 2 5 3 8 2" xfId="40346"/>
    <cellStyle name="Total 2 5 3 9" xfId="40347"/>
    <cellStyle name="Total 2 5 3 9 2" xfId="40348"/>
    <cellStyle name="Total 2 5 4" xfId="40349"/>
    <cellStyle name="Total 2 5 4 10" xfId="40350"/>
    <cellStyle name="Total 2 5 4 10 2" xfId="40351"/>
    <cellStyle name="Total 2 5 4 11" xfId="40352"/>
    <cellStyle name="Total 2 5 4 2" xfId="40353"/>
    <cellStyle name="Total 2 5 4 2 2" xfId="40354"/>
    <cellStyle name="Total 2 5 4 3" xfId="40355"/>
    <cellStyle name="Total 2 5 4 3 2" xfId="40356"/>
    <cellStyle name="Total 2 5 4 4" xfId="40357"/>
    <cellStyle name="Total 2 5 4 4 2" xfId="40358"/>
    <cellStyle name="Total 2 5 4 5" xfId="40359"/>
    <cellStyle name="Total 2 5 4 5 2" xfId="40360"/>
    <cellStyle name="Total 2 5 4 6" xfId="40361"/>
    <cellStyle name="Total 2 5 4 6 2" xfId="40362"/>
    <cellStyle name="Total 2 5 4 7" xfId="40363"/>
    <cellStyle name="Total 2 5 4 7 2" xfId="40364"/>
    <cellStyle name="Total 2 5 4 8" xfId="40365"/>
    <cellStyle name="Total 2 5 4 8 2" xfId="40366"/>
    <cellStyle name="Total 2 5 4 9" xfId="40367"/>
    <cellStyle name="Total 2 5 4 9 2" xfId="40368"/>
    <cellStyle name="Total 2 5 5" xfId="40369"/>
    <cellStyle name="Total 2 5 5 10" xfId="40370"/>
    <cellStyle name="Total 2 5 5 10 2" xfId="40371"/>
    <cellStyle name="Total 2 5 5 11" xfId="40372"/>
    <cellStyle name="Total 2 5 5 2" xfId="40373"/>
    <cellStyle name="Total 2 5 5 2 2" xfId="40374"/>
    <cellStyle name="Total 2 5 5 3" xfId="40375"/>
    <cellStyle name="Total 2 5 5 3 2" xfId="40376"/>
    <cellStyle name="Total 2 5 5 4" xfId="40377"/>
    <cellStyle name="Total 2 5 5 4 2" xfId="40378"/>
    <cellStyle name="Total 2 5 5 5" xfId="40379"/>
    <cellStyle name="Total 2 5 5 5 2" xfId="40380"/>
    <cellStyle name="Total 2 5 5 6" xfId="40381"/>
    <cellStyle name="Total 2 5 5 6 2" xfId="40382"/>
    <cellStyle name="Total 2 5 5 7" xfId="40383"/>
    <cellStyle name="Total 2 5 5 7 2" xfId="40384"/>
    <cellStyle name="Total 2 5 5 8" xfId="40385"/>
    <cellStyle name="Total 2 5 5 8 2" xfId="40386"/>
    <cellStyle name="Total 2 5 5 9" xfId="40387"/>
    <cellStyle name="Total 2 5 5 9 2" xfId="40388"/>
    <cellStyle name="Total 2 5 6" xfId="40389"/>
    <cellStyle name="Total 2 5 6 2" xfId="40390"/>
    <cellStyle name="Total 2 5 7" xfId="40391"/>
    <cellStyle name="Total 2 5 7 2" xfId="40392"/>
    <cellStyle name="Total 2 5 8" xfId="40393"/>
    <cellStyle name="Total 2 5 8 2" xfId="40394"/>
    <cellStyle name="Total 2 5 9" xfId="40395"/>
    <cellStyle name="Total 2 5 9 2" xfId="40396"/>
    <cellStyle name="Total 2 6" xfId="40397"/>
    <cellStyle name="Total 2 6 10" xfId="40398"/>
    <cellStyle name="Total 2 6 10 2" xfId="40399"/>
    <cellStyle name="Total 2 6 11" xfId="40400"/>
    <cellStyle name="Total 2 6 11 2" xfId="40401"/>
    <cellStyle name="Total 2 6 12" xfId="40402"/>
    <cellStyle name="Total 2 6 12 2" xfId="40403"/>
    <cellStyle name="Total 2 6 13" xfId="40404"/>
    <cellStyle name="Total 2 6 13 2" xfId="40405"/>
    <cellStyle name="Total 2 6 14" xfId="40406"/>
    <cellStyle name="Total 2 6 14 2" xfId="40407"/>
    <cellStyle name="Total 2 6 15" xfId="40408"/>
    <cellStyle name="Total 2 6 2" xfId="40409"/>
    <cellStyle name="Total 2 6 2 10" xfId="40410"/>
    <cellStyle name="Total 2 6 2 10 2" xfId="40411"/>
    <cellStyle name="Total 2 6 2 11" xfId="40412"/>
    <cellStyle name="Total 2 6 2 11 2" xfId="40413"/>
    <cellStyle name="Total 2 6 2 12" xfId="40414"/>
    <cellStyle name="Total 2 6 2 12 2" xfId="40415"/>
    <cellStyle name="Total 2 6 2 13" xfId="40416"/>
    <cellStyle name="Total 2 6 2 2" xfId="40417"/>
    <cellStyle name="Total 2 6 2 2 10" xfId="40418"/>
    <cellStyle name="Total 2 6 2 2 10 2" xfId="40419"/>
    <cellStyle name="Total 2 6 2 2 11" xfId="40420"/>
    <cellStyle name="Total 2 6 2 2 2" xfId="40421"/>
    <cellStyle name="Total 2 6 2 2 2 2" xfId="40422"/>
    <cellStyle name="Total 2 6 2 2 3" xfId="40423"/>
    <cellStyle name="Total 2 6 2 2 3 2" xfId="40424"/>
    <cellStyle name="Total 2 6 2 2 4" xfId="40425"/>
    <cellStyle name="Total 2 6 2 2 4 2" xfId="40426"/>
    <cellStyle name="Total 2 6 2 2 5" xfId="40427"/>
    <cellStyle name="Total 2 6 2 2 5 2" xfId="40428"/>
    <cellStyle name="Total 2 6 2 2 6" xfId="40429"/>
    <cellStyle name="Total 2 6 2 2 6 2" xfId="40430"/>
    <cellStyle name="Total 2 6 2 2 7" xfId="40431"/>
    <cellStyle name="Total 2 6 2 2 7 2" xfId="40432"/>
    <cellStyle name="Total 2 6 2 2 8" xfId="40433"/>
    <cellStyle name="Total 2 6 2 2 8 2" xfId="40434"/>
    <cellStyle name="Total 2 6 2 2 9" xfId="40435"/>
    <cellStyle name="Total 2 6 2 2 9 2" xfId="40436"/>
    <cellStyle name="Total 2 6 2 3" xfId="40437"/>
    <cellStyle name="Total 2 6 2 3 10" xfId="40438"/>
    <cellStyle name="Total 2 6 2 3 10 2" xfId="40439"/>
    <cellStyle name="Total 2 6 2 3 11" xfId="40440"/>
    <cellStyle name="Total 2 6 2 3 2" xfId="40441"/>
    <cellStyle name="Total 2 6 2 3 2 2" xfId="40442"/>
    <cellStyle name="Total 2 6 2 3 3" xfId="40443"/>
    <cellStyle name="Total 2 6 2 3 3 2" xfId="40444"/>
    <cellStyle name="Total 2 6 2 3 4" xfId="40445"/>
    <cellStyle name="Total 2 6 2 3 4 2" xfId="40446"/>
    <cellStyle name="Total 2 6 2 3 5" xfId="40447"/>
    <cellStyle name="Total 2 6 2 3 5 2" xfId="40448"/>
    <cellStyle name="Total 2 6 2 3 6" xfId="40449"/>
    <cellStyle name="Total 2 6 2 3 6 2" xfId="40450"/>
    <cellStyle name="Total 2 6 2 3 7" xfId="40451"/>
    <cellStyle name="Total 2 6 2 3 7 2" xfId="40452"/>
    <cellStyle name="Total 2 6 2 3 8" xfId="40453"/>
    <cellStyle name="Total 2 6 2 3 8 2" xfId="40454"/>
    <cellStyle name="Total 2 6 2 3 9" xfId="40455"/>
    <cellStyle name="Total 2 6 2 3 9 2" xfId="40456"/>
    <cellStyle name="Total 2 6 2 4" xfId="40457"/>
    <cellStyle name="Total 2 6 2 4 2" xfId="40458"/>
    <cellStyle name="Total 2 6 2 5" xfId="40459"/>
    <cellStyle name="Total 2 6 2 5 2" xfId="40460"/>
    <cellStyle name="Total 2 6 2 6" xfId="40461"/>
    <cellStyle name="Total 2 6 2 6 2" xfId="40462"/>
    <cellStyle name="Total 2 6 2 7" xfId="40463"/>
    <cellStyle name="Total 2 6 2 7 2" xfId="40464"/>
    <cellStyle name="Total 2 6 2 8" xfId="40465"/>
    <cellStyle name="Total 2 6 2 8 2" xfId="40466"/>
    <cellStyle name="Total 2 6 2 9" xfId="40467"/>
    <cellStyle name="Total 2 6 2 9 2" xfId="40468"/>
    <cellStyle name="Total 2 6 3" xfId="40469"/>
    <cellStyle name="Total 2 6 3 10" xfId="40470"/>
    <cellStyle name="Total 2 6 3 10 2" xfId="40471"/>
    <cellStyle name="Total 2 6 3 11" xfId="40472"/>
    <cellStyle name="Total 2 6 3 11 2" xfId="40473"/>
    <cellStyle name="Total 2 6 3 12" xfId="40474"/>
    <cellStyle name="Total 2 6 3 12 2" xfId="40475"/>
    <cellStyle name="Total 2 6 3 13" xfId="40476"/>
    <cellStyle name="Total 2 6 3 2" xfId="40477"/>
    <cellStyle name="Total 2 6 3 2 10" xfId="40478"/>
    <cellStyle name="Total 2 6 3 2 10 2" xfId="40479"/>
    <cellStyle name="Total 2 6 3 2 11" xfId="40480"/>
    <cellStyle name="Total 2 6 3 2 2" xfId="40481"/>
    <cellStyle name="Total 2 6 3 2 2 2" xfId="40482"/>
    <cellStyle name="Total 2 6 3 2 3" xfId="40483"/>
    <cellStyle name="Total 2 6 3 2 3 2" xfId="40484"/>
    <cellStyle name="Total 2 6 3 2 4" xfId="40485"/>
    <cellStyle name="Total 2 6 3 2 4 2" xfId="40486"/>
    <cellStyle name="Total 2 6 3 2 5" xfId="40487"/>
    <cellStyle name="Total 2 6 3 2 5 2" xfId="40488"/>
    <cellStyle name="Total 2 6 3 2 6" xfId="40489"/>
    <cellStyle name="Total 2 6 3 2 6 2" xfId="40490"/>
    <cellStyle name="Total 2 6 3 2 7" xfId="40491"/>
    <cellStyle name="Total 2 6 3 2 7 2" xfId="40492"/>
    <cellStyle name="Total 2 6 3 2 8" xfId="40493"/>
    <cellStyle name="Total 2 6 3 2 8 2" xfId="40494"/>
    <cellStyle name="Total 2 6 3 2 9" xfId="40495"/>
    <cellStyle name="Total 2 6 3 2 9 2" xfId="40496"/>
    <cellStyle name="Total 2 6 3 3" xfId="40497"/>
    <cellStyle name="Total 2 6 3 3 10" xfId="40498"/>
    <cellStyle name="Total 2 6 3 3 10 2" xfId="40499"/>
    <cellStyle name="Total 2 6 3 3 11" xfId="40500"/>
    <cellStyle name="Total 2 6 3 3 2" xfId="40501"/>
    <cellStyle name="Total 2 6 3 3 2 2" xfId="40502"/>
    <cellStyle name="Total 2 6 3 3 3" xfId="40503"/>
    <cellStyle name="Total 2 6 3 3 3 2" xfId="40504"/>
    <cellStyle name="Total 2 6 3 3 4" xfId="40505"/>
    <cellStyle name="Total 2 6 3 3 4 2" xfId="40506"/>
    <cellStyle name="Total 2 6 3 3 5" xfId="40507"/>
    <cellStyle name="Total 2 6 3 3 5 2" xfId="40508"/>
    <cellStyle name="Total 2 6 3 3 6" xfId="40509"/>
    <cellStyle name="Total 2 6 3 3 6 2" xfId="40510"/>
    <cellStyle name="Total 2 6 3 3 7" xfId="40511"/>
    <cellStyle name="Total 2 6 3 3 7 2" xfId="40512"/>
    <cellStyle name="Total 2 6 3 3 8" xfId="40513"/>
    <cellStyle name="Total 2 6 3 3 8 2" xfId="40514"/>
    <cellStyle name="Total 2 6 3 3 9" xfId="40515"/>
    <cellStyle name="Total 2 6 3 3 9 2" xfId="40516"/>
    <cellStyle name="Total 2 6 3 4" xfId="40517"/>
    <cellStyle name="Total 2 6 3 4 2" xfId="40518"/>
    <cellStyle name="Total 2 6 3 5" xfId="40519"/>
    <cellStyle name="Total 2 6 3 5 2" xfId="40520"/>
    <cellStyle name="Total 2 6 3 6" xfId="40521"/>
    <cellStyle name="Total 2 6 3 6 2" xfId="40522"/>
    <cellStyle name="Total 2 6 3 7" xfId="40523"/>
    <cellStyle name="Total 2 6 3 7 2" xfId="40524"/>
    <cellStyle name="Total 2 6 3 8" xfId="40525"/>
    <cellStyle name="Total 2 6 3 8 2" xfId="40526"/>
    <cellStyle name="Total 2 6 3 9" xfId="40527"/>
    <cellStyle name="Total 2 6 3 9 2" xfId="40528"/>
    <cellStyle name="Total 2 6 4" xfId="40529"/>
    <cellStyle name="Total 2 6 4 10" xfId="40530"/>
    <cellStyle name="Total 2 6 4 10 2" xfId="40531"/>
    <cellStyle name="Total 2 6 4 11" xfId="40532"/>
    <cellStyle name="Total 2 6 4 2" xfId="40533"/>
    <cellStyle name="Total 2 6 4 2 2" xfId="40534"/>
    <cellStyle name="Total 2 6 4 3" xfId="40535"/>
    <cellStyle name="Total 2 6 4 3 2" xfId="40536"/>
    <cellStyle name="Total 2 6 4 4" xfId="40537"/>
    <cellStyle name="Total 2 6 4 4 2" xfId="40538"/>
    <cellStyle name="Total 2 6 4 5" xfId="40539"/>
    <cellStyle name="Total 2 6 4 5 2" xfId="40540"/>
    <cellStyle name="Total 2 6 4 6" xfId="40541"/>
    <cellStyle name="Total 2 6 4 6 2" xfId="40542"/>
    <cellStyle name="Total 2 6 4 7" xfId="40543"/>
    <cellStyle name="Total 2 6 4 7 2" xfId="40544"/>
    <cellStyle name="Total 2 6 4 8" xfId="40545"/>
    <cellStyle name="Total 2 6 4 8 2" xfId="40546"/>
    <cellStyle name="Total 2 6 4 9" xfId="40547"/>
    <cellStyle name="Total 2 6 4 9 2" xfId="40548"/>
    <cellStyle name="Total 2 6 5" xfId="40549"/>
    <cellStyle name="Total 2 6 5 10" xfId="40550"/>
    <cellStyle name="Total 2 6 5 10 2" xfId="40551"/>
    <cellStyle name="Total 2 6 5 11" xfId="40552"/>
    <cellStyle name="Total 2 6 5 2" xfId="40553"/>
    <cellStyle name="Total 2 6 5 2 2" xfId="40554"/>
    <cellStyle name="Total 2 6 5 3" xfId="40555"/>
    <cellStyle name="Total 2 6 5 3 2" xfId="40556"/>
    <cellStyle name="Total 2 6 5 4" xfId="40557"/>
    <cellStyle name="Total 2 6 5 4 2" xfId="40558"/>
    <cellStyle name="Total 2 6 5 5" xfId="40559"/>
    <cellStyle name="Total 2 6 5 5 2" xfId="40560"/>
    <cellStyle name="Total 2 6 5 6" xfId="40561"/>
    <cellStyle name="Total 2 6 5 6 2" xfId="40562"/>
    <cellStyle name="Total 2 6 5 7" xfId="40563"/>
    <cellStyle name="Total 2 6 5 7 2" xfId="40564"/>
    <cellStyle name="Total 2 6 5 8" xfId="40565"/>
    <cellStyle name="Total 2 6 5 8 2" xfId="40566"/>
    <cellStyle name="Total 2 6 5 9" xfId="40567"/>
    <cellStyle name="Total 2 6 5 9 2" xfId="40568"/>
    <cellStyle name="Total 2 6 6" xfId="40569"/>
    <cellStyle name="Total 2 6 6 2" xfId="40570"/>
    <cellStyle name="Total 2 6 7" xfId="40571"/>
    <cellStyle name="Total 2 6 7 2" xfId="40572"/>
    <cellStyle name="Total 2 6 8" xfId="40573"/>
    <cellStyle name="Total 2 6 8 2" xfId="40574"/>
    <cellStyle name="Total 2 6 9" xfId="40575"/>
    <cellStyle name="Total 2 6 9 2" xfId="40576"/>
    <cellStyle name="Total 2 7" xfId="40577"/>
    <cellStyle name="Total 2 7 10" xfId="40578"/>
    <cellStyle name="Total 2 7 10 2" xfId="40579"/>
    <cellStyle name="Total 2 7 11" xfId="40580"/>
    <cellStyle name="Total 2 7 11 2" xfId="40581"/>
    <cellStyle name="Total 2 7 12" xfId="40582"/>
    <cellStyle name="Total 2 7 12 2" xfId="40583"/>
    <cellStyle name="Total 2 7 13" xfId="40584"/>
    <cellStyle name="Total 2 7 2" xfId="40585"/>
    <cellStyle name="Total 2 7 2 10" xfId="40586"/>
    <cellStyle name="Total 2 7 2 10 2" xfId="40587"/>
    <cellStyle name="Total 2 7 2 11" xfId="40588"/>
    <cellStyle name="Total 2 7 2 2" xfId="40589"/>
    <cellStyle name="Total 2 7 2 2 2" xfId="40590"/>
    <cellStyle name="Total 2 7 2 3" xfId="40591"/>
    <cellStyle name="Total 2 7 2 3 2" xfId="40592"/>
    <cellStyle name="Total 2 7 2 4" xfId="40593"/>
    <cellStyle name="Total 2 7 2 4 2" xfId="40594"/>
    <cellStyle name="Total 2 7 2 5" xfId="40595"/>
    <cellStyle name="Total 2 7 2 5 2" xfId="40596"/>
    <cellStyle name="Total 2 7 2 6" xfId="40597"/>
    <cellStyle name="Total 2 7 2 6 2" xfId="40598"/>
    <cellStyle name="Total 2 7 2 7" xfId="40599"/>
    <cellStyle name="Total 2 7 2 7 2" xfId="40600"/>
    <cellStyle name="Total 2 7 2 8" xfId="40601"/>
    <cellStyle name="Total 2 7 2 8 2" xfId="40602"/>
    <cellStyle name="Total 2 7 2 9" xfId="40603"/>
    <cellStyle name="Total 2 7 2 9 2" xfId="40604"/>
    <cellStyle name="Total 2 7 3" xfId="40605"/>
    <cellStyle name="Total 2 7 3 10" xfId="40606"/>
    <cellStyle name="Total 2 7 3 10 2" xfId="40607"/>
    <cellStyle name="Total 2 7 3 11" xfId="40608"/>
    <cellStyle name="Total 2 7 3 2" xfId="40609"/>
    <cellStyle name="Total 2 7 3 2 2" xfId="40610"/>
    <cellStyle name="Total 2 7 3 3" xfId="40611"/>
    <cellStyle name="Total 2 7 3 3 2" xfId="40612"/>
    <cellStyle name="Total 2 7 3 4" xfId="40613"/>
    <cellStyle name="Total 2 7 3 4 2" xfId="40614"/>
    <cellStyle name="Total 2 7 3 5" xfId="40615"/>
    <cellStyle name="Total 2 7 3 5 2" xfId="40616"/>
    <cellStyle name="Total 2 7 3 6" xfId="40617"/>
    <cellStyle name="Total 2 7 3 6 2" xfId="40618"/>
    <cellStyle name="Total 2 7 3 7" xfId="40619"/>
    <cellStyle name="Total 2 7 3 7 2" xfId="40620"/>
    <cellStyle name="Total 2 7 3 8" xfId="40621"/>
    <cellStyle name="Total 2 7 3 8 2" xfId="40622"/>
    <cellStyle name="Total 2 7 3 9" xfId="40623"/>
    <cellStyle name="Total 2 7 3 9 2" xfId="40624"/>
    <cellStyle name="Total 2 7 4" xfId="40625"/>
    <cellStyle name="Total 2 7 4 2" xfId="40626"/>
    <cellStyle name="Total 2 7 5" xfId="40627"/>
    <cellStyle name="Total 2 7 5 2" xfId="40628"/>
    <cellStyle name="Total 2 7 6" xfId="40629"/>
    <cellStyle name="Total 2 7 6 2" xfId="40630"/>
    <cellStyle name="Total 2 7 7" xfId="40631"/>
    <cellStyle name="Total 2 7 7 2" xfId="40632"/>
    <cellStyle name="Total 2 7 8" xfId="40633"/>
    <cellStyle name="Total 2 7 8 2" xfId="40634"/>
    <cellStyle name="Total 2 7 9" xfId="40635"/>
    <cellStyle name="Total 2 7 9 2" xfId="40636"/>
    <cellStyle name="Total 2 8" xfId="40637"/>
    <cellStyle name="Total 2 8 10" xfId="40638"/>
    <cellStyle name="Total 2 8 10 2" xfId="40639"/>
    <cellStyle name="Total 2 8 11" xfId="40640"/>
    <cellStyle name="Total 2 8 11 2" xfId="40641"/>
    <cellStyle name="Total 2 8 12" xfId="40642"/>
    <cellStyle name="Total 2 8 12 2" xfId="40643"/>
    <cellStyle name="Total 2 8 13" xfId="40644"/>
    <cellStyle name="Total 2 8 2" xfId="40645"/>
    <cellStyle name="Total 2 8 2 10" xfId="40646"/>
    <cellStyle name="Total 2 8 2 10 2" xfId="40647"/>
    <cellStyle name="Total 2 8 2 11" xfId="40648"/>
    <cellStyle name="Total 2 8 2 2" xfId="40649"/>
    <cellStyle name="Total 2 8 2 2 2" xfId="40650"/>
    <cellStyle name="Total 2 8 2 3" xfId="40651"/>
    <cellStyle name="Total 2 8 2 3 2" xfId="40652"/>
    <cellStyle name="Total 2 8 2 4" xfId="40653"/>
    <cellStyle name="Total 2 8 2 4 2" xfId="40654"/>
    <cellStyle name="Total 2 8 2 5" xfId="40655"/>
    <cellStyle name="Total 2 8 2 5 2" xfId="40656"/>
    <cellStyle name="Total 2 8 2 6" xfId="40657"/>
    <cellStyle name="Total 2 8 2 6 2" xfId="40658"/>
    <cellStyle name="Total 2 8 2 7" xfId="40659"/>
    <cellStyle name="Total 2 8 2 7 2" xfId="40660"/>
    <cellStyle name="Total 2 8 2 8" xfId="40661"/>
    <cellStyle name="Total 2 8 2 8 2" xfId="40662"/>
    <cellStyle name="Total 2 8 2 9" xfId="40663"/>
    <cellStyle name="Total 2 8 2 9 2" xfId="40664"/>
    <cellStyle name="Total 2 8 3" xfId="40665"/>
    <cellStyle name="Total 2 8 3 10" xfId="40666"/>
    <cellStyle name="Total 2 8 3 10 2" xfId="40667"/>
    <cellStyle name="Total 2 8 3 11" xfId="40668"/>
    <cellStyle name="Total 2 8 3 2" xfId="40669"/>
    <cellStyle name="Total 2 8 3 2 2" xfId="40670"/>
    <cellStyle name="Total 2 8 3 3" xfId="40671"/>
    <cellStyle name="Total 2 8 3 3 2" xfId="40672"/>
    <cellStyle name="Total 2 8 3 4" xfId="40673"/>
    <cellStyle name="Total 2 8 3 4 2" xfId="40674"/>
    <cellStyle name="Total 2 8 3 5" xfId="40675"/>
    <cellStyle name="Total 2 8 3 5 2" xfId="40676"/>
    <cellStyle name="Total 2 8 3 6" xfId="40677"/>
    <cellStyle name="Total 2 8 3 6 2" xfId="40678"/>
    <cellStyle name="Total 2 8 3 7" xfId="40679"/>
    <cellStyle name="Total 2 8 3 7 2" xfId="40680"/>
    <cellStyle name="Total 2 8 3 8" xfId="40681"/>
    <cellStyle name="Total 2 8 3 8 2" xfId="40682"/>
    <cellStyle name="Total 2 8 3 9" xfId="40683"/>
    <cellStyle name="Total 2 8 3 9 2" xfId="40684"/>
    <cellStyle name="Total 2 8 4" xfId="40685"/>
    <cellStyle name="Total 2 8 4 2" xfId="40686"/>
    <cellStyle name="Total 2 8 5" xfId="40687"/>
    <cellStyle name="Total 2 8 5 2" xfId="40688"/>
    <cellStyle name="Total 2 8 6" xfId="40689"/>
    <cellStyle name="Total 2 8 6 2" xfId="40690"/>
    <cellStyle name="Total 2 8 7" xfId="40691"/>
    <cellStyle name="Total 2 8 7 2" xfId="40692"/>
    <cellStyle name="Total 2 8 8" xfId="40693"/>
    <cellStyle name="Total 2 8 8 2" xfId="40694"/>
    <cellStyle name="Total 2 8 9" xfId="40695"/>
    <cellStyle name="Total 2 8 9 2" xfId="40696"/>
    <cellStyle name="Total 2 9" xfId="40697"/>
    <cellStyle name="Total 2 9 2" xfId="40698"/>
    <cellStyle name="Total 3" xfId="266"/>
    <cellStyle name="Total 3 10" xfId="40699"/>
    <cellStyle name="Total 3 10 2" xfId="40700"/>
    <cellStyle name="Total 3 11" xfId="40701"/>
    <cellStyle name="Total 3 11 2" xfId="40702"/>
    <cellStyle name="Total 3 12" xfId="40703"/>
    <cellStyle name="Total 3 12 2" xfId="40704"/>
    <cellStyle name="Total 3 13" xfId="40705"/>
    <cellStyle name="Total 3 13 2" xfId="40706"/>
    <cellStyle name="Total 3 14" xfId="40707"/>
    <cellStyle name="Total 3 14 2" xfId="40708"/>
    <cellStyle name="Total 3 15" xfId="40709"/>
    <cellStyle name="Total 3 16" xfId="40710"/>
    <cellStyle name="Total 3 17" xfId="40711"/>
    <cellStyle name="Total 3 2" xfId="312"/>
    <cellStyle name="Total 3 2 10" xfId="40712"/>
    <cellStyle name="Total 3 2 10 2" xfId="40713"/>
    <cellStyle name="Total 3 2 11" xfId="40714"/>
    <cellStyle name="Total 3 2 11 2" xfId="40715"/>
    <cellStyle name="Total 3 2 12" xfId="40716"/>
    <cellStyle name="Total 3 2 12 2" xfId="40717"/>
    <cellStyle name="Total 3 2 13" xfId="40718"/>
    <cellStyle name="Total 3 2 13 2" xfId="40719"/>
    <cellStyle name="Total 3 2 14" xfId="40720"/>
    <cellStyle name="Total 3 2 14 2" xfId="40721"/>
    <cellStyle name="Total 3 2 15" xfId="40722"/>
    <cellStyle name="Total 3 2 16" xfId="40723"/>
    <cellStyle name="Total 3 2 2" xfId="40724"/>
    <cellStyle name="Total 3 2 2 10" xfId="40725"/>
    <cellStyle name="Total 3 2 2 10 2" xfId="40726"/>
    <cellStyle name="Total 3 2 2 11" xfId="40727"/>
    <cellStyle name="Total 3 2 2 11 2" xfId="40728"/>
    <cellStyle name="Total 3 2 2 12" xfId="40729"/>
    <cellStyle name="Total 3 2 2 12 2" xfId="40730"/>
    <cellStyle name="Total 3 2 2 13" xfId="40731"/>
    <cellStyle name="Total 3 2 2 2" xfId="40732"/>
    <cellStyle name="Total 3 2 2 2 10" xfId="40733"/>
    <cellStyle name="Total 3 2 2 2 10 2" xfId="40734"/>
    <cellStyle name="Total 3 2 2 2 11" xfId="40735"/>
    <cellStyle name="Total 3 2 2 2 2" xfId="40736"/>
    <cellStyle name="Total 3 2 2 2 2 2" xfId="40737"/>
    <cellStyle name="Total 3 2 2 2 3" xfId="40738"/>
    <cellStyle name="Total 3 2 2 2 3 2" xfId="40739"/>
    <cellStyle name="Total 3 2 2 2 4" xfId="40740"/>
    <cellStyle name="Total 3 2 2 2 4 2" xfId="40741"/>
    <cellStyle name="Total 3 2 2 2 5" xfId="40742"/>
    <cellStyle name="Total 3 2 2 2 5 2" xfId="40743"/>
    <cellStyle name="Total 3 2 2 2 6" xfId="40744"/>
    <cellStyle name="Total 3 2 2 2 6 2" xfId="40745"/>
    <cellStyle name="Total 3 2 2 2 7" xfId="40746"/>
    <cellStyle name="Total 3 2 2 2 7 2" xfId="40747"/>
    <cellStyle name="Total 3 2 2 2 8" xfId="40748"/>
    <cellStyle name="Total 3 2 2 2 8 2" xfId="40749"/>
    <cellStyle name="Total 3 2 2 2 9" xfId="40750"/>
    <cellStyle name="Total 3 2 2 2 9 2" xfId="40751"/>
    <cellStyle name="Total 3 2 2 3" xfId="40752"/>
    <cellStyle name="Total 3 2 2 3 10" xfId="40753"/>
    <cellStyle name="Total 3 2 2 3 10 2" xfId="40754"/>
    <cellStyle name="Total 3 2 2 3 11" xfId="40755"/>
    <cellStyle name="Total 3 2 2 3 2" xfId="40756"/>
    <cellStyle name="Total 3 2 2 3 2 2" xfId="40757"/>
    <cellStyle name="Total 3 2 2 3 3" xfId="40758"/>
    <cellStyle name="Total 3 2 2 3 3 2" xfId="40759"/>
    <cellStyle name="Total 3 2 2 3 4" xfId="40760"/>
    <cellStyle name="Total 3 2 2 3 4 2" xfId="40761"/>
    <cellStyle name="Total 3 2 2 3 5" xfId="40762"/>
    <cellStyle name="Total 3 2 2 3 5 2" xfId="40763"/>
    <cellStyle name="Total 3 2 2 3 6" xfId="40764"/>
    <cellStyle name="Total 3 2 2 3 6 2" xfId="40765"/>
    <cellStyle name="Total 3 2 2 3 7" xfId="40766"/>
    <cellStyle name="Total 3 2 2 3 7 2" xfId="40767"/>
    <cellStyle name="Total 3 2 2 3 8" xfId="40768"/>
    <cellStyle name="Total 3 2 2 3 8 2" xfId="40769"/>
    <cellStyle name="Total 3 2 2 3 9" xfId="40770"/>
    <cellStyle name="Total 3 2 2 3 9 2" xfId="40771"/>
    <cellStyle name="Total 3 2 2 4" xfId="40772"/>
    <cellStyle name="Total 3 2 2 4 2" xfId="40773"/>
    <cellStyle name="Total 3 2 2 5" xfId="40774"/>
    <cellStyle name="Total 3 2 2 5 2" xfId="40775"/>
    <cellStyle name="Total 3 2 2 6" xfId="40776"/>
    <cellStyle name="Total 3 2 2 6 2" xfId="40777"/>
    <cellStyle name="Total 3 2 2 7" xfId="40778"/>
    <cellStyle name="Total 3 2 2 7 2" xfId="40779"/>
    <cellStyle name="Total 3 2 2 8" xfId="40780"/>
    <cellStyle name="Total 3 2 2 8 2" xfId="40781"/>
    <cellStyle name="Total 3 2 2 9" xfId="40782"/>
    <cellStyle name="Total 3 2 2 9 2" xfId="40783"/>
    <cellStyle name="Total 3 2 3" xfId="40784"/>
    <cellStyle name="Total 3 2 3 10" xfId="40785"/>
    <cellStyle name="Total 3 2 3 10 2" xfId="40786"/>
    <cellStyle name="Total 3 2 3 11" xfId="40787"/>
    <cellStyle name="Total 3 2 3 11 2" xfId="40788"/>
    <cellStyle name="Total 3 2 3 12" xfId="40789"/>
    <cellStyle name="Total 3 2 3 12 2" xfId="40790"/>
    <cellStyle name="Total 3 2 3 13" xfId="40791"/>
    <cellStyle name="Total 3 2 3 2" xfId="40792"/>
    <cellStyle name="Total 3 2 3 2 10" xfId="40793"/>
    <cellStyle name="Total 3 2 3 2 10 2" xfId="40794"/>
    <cellStyle name="Total 3 2 3 2 11" xfId="40795"/>
    <cellStyle name="Total 3 2 3 2 2" xfId="40796"/>
    <cellStyle name="Total 3 2 3 2 2 2" xfId="40797"/>
    <cellStyle name="Total 3 2 3 2 3" xfId="40798"/>
    <cellStyle name="Total 3 2 3 2 3 2" xfId="40799"/>
    <cellStyle name="Total 3 2 3 2 4" xfId="40800"/>
    <cellStyle name="Total 3 2 3 2 4 2" xfId="40801"/>
    <cellStyle name="Total 3 2 3 2 5" xfId="40802"/>
    <cellStyle name="Total 3 2 3 2 5 2" xfId="40803"/>
    <cellStyle name="Total 3 2 3 2 6" xfId="40804"/>
    <cellStyle name="Total 3 2 3 2 6 2" xfId="40805"/>
    <cellStyle name="Total 3 2 3 2 7" xfId="40806"/>
    <cellStyle name="Total 3 2 3 2 7 2" xfId="40807"/>
    <cellStyle name="Total 3 2 3 2 8" xfId="40808"/>
    <cellStyle name="Total 3 2 3 2 8 2" xfId="40809"/>
    <cellStyle name="Total 3 2 3 2 9" xfId="40810"/>
    <cellStyle name="Total 3 2 3 2 9 2" xfId="40811"/>
    <cellStyle name="Total 3 2 3 3" xfId="40812"/>
    <cellStyle name="Total 3 2 3 3 10" xfId="40813"/>
    <cellStyle name="Total 3 2 3 3 10 2" xfId="40814"/>
    <cellStyle name="Total 3 2 3 3 11" xfId="40815"/>
    <cellStyle name="Total 3 2 3 3 2" xfId="40816"/>
    <cellStyle name="Total 3 2 3 3 2 2" xfId="40817"/>
    <cellStyle name="Total 3 2 3 3 3" xfId="40818"/>
    <cellStyle name="Total 3 2 3 3 3 2" xfId="40819"/>
    <cellStyle name="Total 3 2 3 3 4" xfId="40820"/>
    <cellStyle name="Total 3 2 3 3 4 2" xfId="40821"/>
    <cellStyle name="Total 3 2 3 3 5" xfId="40822"/>
    <cellStyle name="Total 3 2 3 3 5 2" xfId="40823"/>
    <cellStyle name="Total 3 2 3 3 6" xfId="40824"/>
    <cellStyle name="Total 3 2 3 3 6 2" xfId="40825"/>
    <cellStyle name="Total 3 2 3 3 7" xfId="40826"/>
    <cellStyle name="Total 3 2 3 3 7 2" xfId="40827"/>
    <cellStyle name="Total 3 2 3 3 8" xfId="40828"/>
    <cellStyle name="Total 3 2 3 3 8 2" xfId="40829"/>
    <cellStyle name="Total 3 2 3 3 9" xfId="40830"/>
    <cellStyle name="Total 3 2 3 3 9 2" xfId="40831"/>
    <cellStyle name="Total 3 2 3 4" xfId="40832"/>
    <cellStyle name="Total 3 2 3 4 2" xfId="40833"/>
    <cellStyle name="Total 3 2 3 5" xfId="40834"/>
    <cellStyle name="Total 3 2 3 5 2" xfId="40835"/>
    <cellStyle name="Total 3 2 3 6" xfId="40836"/>
    <cellStyle name="Total 3 2 3 6 2" xfId="40837"/>
    <cellStyle name="Total 3 2 3 7" xfId="40838"/>
    <cellStyle name="Total 3 2 3 7 2" xfId="40839"/>
    <cellStyle name="Total 3 2 3 8" xfId="40840"/>
    <cellStyle name="Total 3 2 3 8 2" xfId="40841"/>
    <cellStyle name="Total 3 2 3 9" xfId="40842"/>
    <cellStyle name="Total 3 2 3 9 2" xfId="40843"/>
    <cellStyle name="Total 3 2 4" xfId="40844"/>
    <cellStyle name="Total 3 2 4 10" xfId="40845"/>
    <cellStyle name="Total 3 2 4 10 2" xfId="40846"/>
    <cellStyle name="Total 3 2 4 11" xfId="40847"/>
    <cellStyle name="Total 3 2 4 2" xfId="40848"/>
    <cellStyle name="Total 3 2 4 2 2" xfId="40849"/>
    <cellStyle name="Total 3 2 4 3" xfId="40850"/>
    <cellStyle name="Total 3 2 4 3 2" xfId="40851"/>
    <cellStyle name="Total 3 2 4 4" xfId="40852"/>
    <cellStyle name="Total 3 2 4 4 2" xfId="40853"/>
    <cellStyle name="Total 3 2 4 5" xfId="40854"/>
    <cellStyle name="Total 3 2 4 5 2" xfId="40855"/>
    <cellStyle name="Total 3 2 4 6" xfId="40856"/>
    <cellStyle name="Total 3 2 4 6 2" xfId="40857"/>
    <cellStyle name="Total 3 2 4 7" xfId="40858"/>
    <cellStyle name="Total 3 2 4 7 2" xfId="40859"/>
    <cellStyle name="Total 3 2 4 8" xfId="40860"/>
    <cellStyle name="Total 3 2 4 8 2" xfId="40861"/>
    <cellStyle name="Total 3 2 4 9" xfId="40862"/>
    <cellStyle name="Total 3 2 4 9 2" xfId="40863"/>
    <cellStyle name="Total 3 2 5" xfId="40864"/>
    <cellStyle name="Total 3 2 5 10" xfId="40865"/>
    <cellStyle name="Total 3 2 5 10 2" xfId="40866"/>
    <cellStyle name="Total 3 2 5 11" xfId="40867"/>
    <cellStyle name="Total 3 2 5 2" xfId="40868"/>
    <cellStyle name="Total 3 2 5 2 2" xfId="40869"/>
    <cellStyle name="Total 3 2 5 3" xfId="40870"/>
    <cellStyle name="Total 3 2 5 3 2" xfId="40871"/>
    <cellStyle name="Total 3 2 5 4" xfId="40872"/>
    <cellStyle name="Total 3 2 5 4 2" xfId="40873"/>
    <cellStyle name="Total 3 2 5 5" xfId="40874"/>
    <cellStyle name="Total 3 2 5 5 2" xfId="40875"/>
    <cellStyle name="Total 3 2 5 6" xfId="40876"/>
    <cellStyle name="Total 3 2 5 6 2" xfId="40877"/>
    <cellStyle name="Total 3 2 5 7" xfId="40878"/>
    <cellStyle name="Total 3 2 5 7 2" xfId="40879"/>
    <cellStyle name="Total 3 2 5 8" xfId="40880"/>
    <cellStyle name="Total 3 2 5 8 2" xfId="40881"/>
    <cellStyle name="Total 3 2 5 9" xfId="40882"/>
    <cellStyle name="Total 3 2 5 9 2" xfId="40883"/>
    <cellStyle name="Total 3 2 6" xfId="40884"/>
    <cellStyle name="Total 3 2 6 2" xfId="40885"/>
    <cellStyle name="Total 3 2 7" xfId="40886"/>
    <cellStyle name="Total 3 2 7 2" xfId="40887"/>
    <cellStyle name="Total 3 2 8" xfId="40888"/>
    <cellStyle name="Total 3 2 8 2" xfId="40889"/>
    <cellStyle name="Total 3 2 9" xfId="40890"/>
    <cellStyle name="Total 3 2 9 2" xfId="40891"/>
    <cellStyle name="Total 3 3" xfId="317"/>
    <cellStyle name="Total 3 3 10" xfId="40892"/>
    <cellStyle name="Total 3 3 10 2" xfId="40893"/>
    <cellStyle name="Total 3 3 11" xfId="40894"/>
    <cellStyle name="Total 3 3 11 2" xfId="40895"/>
    <cellStyle name="Total 3 3 12" xfId="40896"/>
    <cellStyle name="Total 3 3 12 2" xfId="40897"/>
    <cellStyle name="Total 3 3 13" xfId="40898"/>
    <cellStyle name="Total 3 3 13 2" xfId="40899"/>
    <cellStyle name="Total 3 3 14" xfId="40900"/>
    <cellStyle name="Total 3 3 14 2" xfId="40901"/>
    <cellStyle name="Total 3 3 15" xfId="40902"/>
    <cellStyle name="Total 3 3 2" xfId="40903"/>
    <cellStyle name="Total 3 3 2 10" xfId="40904"/>
    <cellStyle name="Total 3 3 2 10 2" xfId="40905"/>
    <cellStyle name="Total 3 3 2 11" xfId="40906"/>
    <cellStyle name="Total 3 3 2 11 2" xfId="40907"/>
    <cellStyle name="Total 3 3 2 12" xfId="40908"/>
    <cellStyle name="Total 3 3 2 12 2" xfId="40909"/>
    <cellStyle name="Total 3 3 2 13" xfId="40910"/>
    <cellStyle name="Total 3 3 2 2" xfId="40911"/>
    <cellStyle name="Total 3 3 2 2 10" xfId="40912"/>
    <cellStyle name="Total 3 3 2 2 10 2" xfId="40913"/>
    <cellStyle name="Total 3 3 2 2 11" xfId="40914"/>
    <cellStyle name="Total 3 3 2 2 2" xfId="40915"/>
    <cellStyle name="Total 3 3 2 2 2 2" xfId="40916"/>
    <cellStyle name="Total 3 3 2 2 3" xfId="40917"/>
    <cellStyle name="Total 3 3 2 2 3 2" xfId="40918"/>
    <cellStyle name="Total 3 3 2 2 4" xfId="40919"/>
    <cellStyle name="Total 3 3 2 2 4 2" xfId="40920"/>
    <cellStyle name="Total 3 3 2 2 5" xfId="40921"/>
    <cellStyle name="Total 3 3 2 2 5 2" xfId="40922"/>
    <cellStyle name="Total 3 3 2 2 6" xfId="40923"/>
    <cellStyle name="Total 3 3 2 2 6 2" xfId="40924"/>
    <cellStyle name="Total 3 3 2 2 7" xfId="40925"/>
    <cellStyle name="Total 3 3 2 2 7 2" xfId="40926"/>
    <cellStyle name="Total 3 3 2 2 8" xfId="40927"/>
    <cellStyle name="Total 3 3 2 2 8 2" xfId="40928"/>
    <cellStyle name="Total 3 3 2 2 9" xfId="40929"/>
    <cellStyle name="Total 3 3 2 2 9 2" xfId="40930"/>
    <cellStyle name="Total 3 3 2 3" xfId="40931"/>
    <cellStyle name="Total 3 3 2 3 10" xfId="40932"/>
    <cellStyle name="Total 3 3 2 3 10 2" xfId="40933"/>
    <cellStyle name="Total 3 3 2 3 11" xfId="40934"/>
    <cellStyle name="Total 3 3 2 3 2" xfId="40935"/>
    <cellStyle name="Total 3 3 2 3 2 2" xfId="40936"/>
    <cellStyle name="Total 3 3 2 3 3" xfId="40937"/>
    <cellStyle name="Total 3 3 2 3 3 2" xfId="40938"/>
    <cellStyle name="Total 3 3 2 3 4" xfId="40939"/>
    <cellStyle name="Total 3 3 2 3 4 2" xfId="40940"/>
    <cellStyle name="Total 3 3 2 3 5" xfId="40941"/>
    <cellStyle name="Total 3 3 2 3 5 2" xfId="40942"/>
    <cellStyle name="Total 3 3 2 3 6" xfId="40943"/>
    <cellStyle name="Total 3 3 2 3 6 2" xfId="40944"/>
    <cellStyle name="Total 3 3 2 3 7" xfId="40945"/>
    <cellStyle name="Total 3 3 2 3 7 2" xfId="40946"/>
    <cellStyle name="Total 3 3 2 3 8" xfId="40947"/>
    <cellStyle name="Total 3 3 2 3 8 2" xfId="40948"/>
    <cellStyle name="Total 3 3 2 3 9" xfId="40949"/>
    <cellStyle name="Total 3 3 2 3 9 2" xfId="40950"/>
    <cellStyle name="Total 3 3 2 4" xfId="40951"/>
    <cellStyle name="Total 3 3 2 4 2" xfId="40952"/>
    <cellStyle name="Total 3 3 2 5" xfId="40953"/>
    <cellStyle name="Total 3 3 2 5 2" xfId="40954"/>
    <cellStyle name="Total 3 3 2 6" xfId="40955"/>
    <cellStyle name="Total 3 3 2 6 2" xfId="40956"/>
    <cellStyle name="Total 3 3 2 7" xfId="40957"/>
    <cellStyle name="Total 3 3 2 7 2" xfId="40958"/>
    <cellStyle name="Total 3 3 2 8" xfId="40959"/>
    <cellStyle name="Total 3 3 2 8 2" xfId="40960"/>
    <cellStyle name="Total 3 3 2 9" xfId="40961"/>
    <cellStyle name="Total 3 3 2 9 2" xfId="40962"/>
    <cellStyle name="Total 3 3 3" xfId="40963"/>
    <cellStyle name="Total 3 3 3 10" xfId="40964"/>
    <cellStyle name="Total 3 3 3 10 2" xfId="40965"/>
    <cellStyle name="Total 3 3 3 11" xfId="40966"/>
    <cellStyle name="Total 3 3 3 11 2" xfId="40967"/>
    <cellStyle name="Total 3 3 3 12" xfId="40968"/>
    <cellStyle name="Total 3 3 3 12 2" xfId="40969"/>
    <cellStyle name="Total 3 3 3 13" xfId="40970"/>
    <cellStyle name="Total 3 3 3 2" xfId="40971"/>
    <cellStyle name="Total 3 3 3 2 10" xfId="40972"/>
    <cellStyle name="Total 3 3 3 2 10 2" xfId="40973"/>
    <cellStyle name="Total 3 3 3 2 11" xfId="40974"/>
    <cellStyle name="Total 3 3 3 2 2" xfId="40975"/>
    <cellStyle name="Total 3 3 3 2 2 2" xfId="40976"/>
    <cellStyle name="Total 3 3 3 2 3" xfId="40977"/>
    <cellStyle name="Total 3 3 3 2 3 2" xfId="40978"/>
    <cellStyle name="Total 3 3 3 2 4" xfId="40979"/>
    <cellStyle name="Total 3 3 3 2 4 2" xfId="40980"/>
    <cellStyle name="Total 3 3 3 2 5" xfId="40981"/>
    <cellStyle name="Total 3 3 3 2 5 2" xfId="40982"/>
    <cellStyle name="Total 3 3 3 2 6" xfId="40983"/>
    <cellStyle name="Total 3 3 3 2 6 2" xfId="40984"/>
    <cellStyle name="Total 3 3 3 2 7" xfId="40985"/>
    <cellStyle name="Total 3 3 3 2 7 2" xfId="40986"/>
    <cellStyle name="Total 3 3 3 2 8" xfId="40987"/>
    <cellStyle name="Total 3 3 3 2 8 2" xfId="40988"/>
    <cellStyle name="Total 3 3 3 2 9" xfId="40989"/>
    <cellStyle name="Total 3 3 3 2 9 2" xfId="40990"/>
    <cellStyle name="Total 3 3 3 3" xfId="40991"/>
    <cellStyle name="Total 3 3 3 3 10" xfId="40992"/>
    <cellStyle name="Total 3 3 3 3 10 2" xfId="40993"/>
    <cellStyle name="Total 3 3 3 3 11" xfId="40994"/>
    <cellStyle name="Total 3 3 3 3 2" xfId="40995"/>
    <cellStyle name="Total 3 3 3 3 2 2" xfId="40996"/>
    <cellStyle name="Total 3 3 3 3 3" xfId="40997"/>
    <cellStyle name="Total 3 3 3 3 3 2" xfId="40998"/>
    <cellStyle name="Total 3 3 3 3 4" xfId="40999"/>
    <cellStyle name="Total 3 3 3 3 4 2" xfId="41000"/>
    <cellStyle name="Total 3 3 3 3 5" xfId="41001"/>
    <cellStyle name="Total 3 3 3 3 5 2" xfId="41002"/>
    <cellStyle name="Total 3 3 3 3 6" xfId="41003"/>
    <cellStyle name="Total 3 3 3 3 6 2" xfId="41004"/>
    <cellStyle name="Total 3 3 3 3 7" xfId="41005"/>
    <cellStyle name="Total 3 3 3 3 7 2" xfId="41006"/>
    <cellStyle name="Total 3 3 3 3 8" xfId="41007"/>
    <cellStyle name="Total 3 3 3 3 8 2" xfId="41008"/>
    <cellStyle name="Total 3 3 3 3 9" xfId="41009"/>
    <cellStyle name="Total 3 3 3 3 9 2" xfId="41010"/>
    <cellStyle name="Total 3 3 3 4" xfId="41011"/>
    <cellStyle name="Total 3 3 3 4 2" xfId="41012"/>
    <cellStyle name="Total 3 3 3 5" xfId="41013"/>
    <cellStyle name="Total 3 3 3 5 2" xfId="41014"/>
    <cellStyle name="Total 3 3 3 6" xfId="41015"/>
    <cellStyle name="Total 3 3 3 6 2" xfId="41016"/>
    <cellStyle name="Total 3 3 3 7" xfId="41017"/>
    <cellStyle name="Total 3 3 3 7 2" xfId="41018"/>
    <cellStyle name="Total 3 3 3 8" xfId="41019"/>
    <cellStyle name="Total 3 3 3 8 2" xfId="41020"/>
    <cellStyle name="Total 3 3 3 9" xfId="41021"/>
    <cellStyle name="Total 3 3 3 9 2" xfId="41022"/>
    <cellStyle name="Total 3 3 4" xfId="41023"/>
    <cellStyle name="Total 3 3 4 10" xfId="41024"/>
    <cellStyle name="Total 3 3 4 10 2" xfId="41025"/>
    <cellStyle name="Total 3 3 4 11" xfId="41026"/>
    <cellStyle name="Total 3 3 4 2" xfId="41027"/>
    <cellStyle name="Total 3 3 4 2 2" xfId="41028"/>
    <cellStyle name="Total 3 3 4 3" xfId="41029"/>
    <cellStyle name="Total 3 3 4 3 2" xfId="41030"/>
    <cellStyle name="Total 3 3 4 4" xfId="41031"/>
    <cellStyle name="Total 3 3 4 4 2" xfId="41032"/>
    <cellStyle name="Total 3 3 4 5" xfId="41033"/>
    <cellStyle name="Total 3 3 4 5 2" xfId="41034"/>
    <cellStyle name="Total 3 3 4 6" xfId="41035"/>
    <cellStyle name="Total 3 3 4 6 2" xfId="41036"/>
    <cellStyle name="Total 3 3 4 7" xfId="41037"/>
    <cellStyle name="Total 3 3 4 7 2" xfId="41038"/>
    <cellStyle name="Total 3 3 4 8" xfId="41039"/>
    <cellStyle name="Total 3 3 4 8 2" xfId="41040"/>
    <cellStyle name="Total 3 3 4 9" xfId="41041"/>
    <cellStyle name="Total 3 3 4 9 2" xfId="41042"/>
    <cellStyle name="Total 3 3 5" xfId="41043"/>
    <cellStyle name="Total 3 3 5 10" xfId="41044"/>
    <cellStyle name="Total 3 3 5 10 2" xfId="41045"/>
    <cellStyle name="Total 3 3 5 11" xfId="41046"/>
    <cellStyle name="Total 3 3 5 2" xfId="41047"/>
    <cellStyle name="Total 3 3 5 2 2" xfId="41048"/>
    <cellStyle name="Total 3 3 5 3" xfId="41049"/>
    <cellStyle name="Total 3 3 5 3 2" xfId="41050"/>
    <cellStyle name="Total 3 3 5 4" xfId="41051"/>
    <cellStyle name="Total 3 3 5 4 2" xfId="41052"/>
    <cellStyle name="Total 3 3 5 5" xfId="41053"/>
    <cellStyle name="Total 3 3 5 5 2" xfId="41054"/>
    <cellStyle name="Total 3 3 5 6" xfId="41055"/>
    <cellStyle name="Total 3 3 5 6 2" xfId="41056"/>
    <cellStyle name="Total 3 3 5 7" xfId="41057"/>
    <cellStyle name="Total 3 3 5 7 2" xfId="41058"/>
    <cellStyle name="Total 3 3 5 8" xfId="41059"/>
    <cellStyle name="Total 3 3 5 8 2" xfId="41060"/>
    <cellStyle name="Total 3 3 5 9" xfId="41061"/>
    <cellStyle name="Total 3 3 5 9 2" xfId="41062"/>
    <cellStyle name="Total 3 3 6" xfId="41063"/>
    <cellStyle name="Total 3 3 6 2" xfId="41064"/>
    <cellStyle name="Total 3 3 7" xfId="41065"/>
    <cellStyle name="Total 3 3 7 2" xfId="41066"/>
    <cellStyle name="Total 3 3 8" xfId="41067"/>
    <cellStyle name="Total 3 3 8 2" xfId="41068"/>
    <cellStyle name="Total 3 3 9" xfId="41069"/>
    <cellStyle name="Total 3 3 9 2" xfId="41070"/>
    <cellStyle name="Total 3 4" xfId="41071"/>
    <cellStyle name="Total 3 4 10" xfId="41072"/>
    <cellStyle name="Total 3 4 10 2" xfId="41073"/>
    <cellStyle name="Total 3 4 11" xfId="41074"/>
    <cellStyle name="Total 3 4 11 2" xfId="41075"/>
    <cellStyle name="Total 3 4 12" xfId="41076"/>
    <cellStyle name="Total 3 4 12 2" xfId="41077"/>
    <cellStyle name="Total 3 4 13" xfId="41078"/>
    <cellStyle name="Total 3 4 2" xfId="41079"/>
    <cellStyle name="Total 3 4 2 10" xfId="41080"/>
    <cellStyle name="Total 3 4 2 10 2" xfId="41081"/>
    <cellStyle name="Total 3 4 2 11" xfId="41082"/>
    <cellStyle name="Total 3 4 2 2" xfId="41083"/>
    <cellStyle name="Total 3 4 2 2 2" xfId="41084"/>
    <cellStyle name="Total 3 4 2 3" xfId="41085"/>
    <cellStyle name="Total 3 4 2 3 2" xfId="41086"/>
    <cellStyle name="Total 3 4 2 4" xfId="41087"/>
    <cellStyle name="Total 3 4 2 4 2" xfId="41088"/>
    <cellStyle name="Total 3 4 2 5" xfId="41089"/>
    <cellStyle name="Total 3 4 2 5 2" xfId="41090"/>
    <cellStyle name="Total 3 4 2 6" xfId="41091"/>
    <cellStyle name="Total 3 4 2 6 2" xfId="41092"/>
    <cellStyle name="Total 3 4 2 7" xfId="41093"/>
    <cellStyle name="Total 3 4 2 7 2" xfId="41094"/>
    <cellStyle name="Total 3 4 2 8" xfId="41095"/>
    <cellStyle name="Total 3 4 2 8 2" xfId="41096"/>
    <cellStyle name="Total 3 4 2 9" xfId="41097"/>
    <cellStyle name="Total 3 4 2 9 2" xfId="41098"/>
    <cellStyle name="Total 3 4 3" xfId="41099"/>
    <cellStyle name="Total 3 4 3 10" xfId="41100"/>
    <cellStyle name="Total 3 4 3 10 2" xfId="41101"/>
    <cellStyle name="Total 3 4 3 11" xfId="41102"/>
    <cellStyle name="Total 3 4 3 2" xfId="41103"/>
    <cellStyle name="Total 3 4 3 2 2" xfId="41104"/>
    <cellStyle name="Total 3 4 3 3" xfId="41105"/>
    <cellStyle name="Total 3 4 3 3 2" xfId="41106"/>
    <cellStyle name="Total 3 4 3 4" xfId="41107"/>
    <cellStyle name="Total 3 4 3 4 2" xfId="41108"/>
    <cellStyle name="Total 3 4 3 5" xfId="41109"/>
    <cellStyle name="Total 3 4 3 5 2" xfId="41110"/>
    <cellStyle name="Total 3 4 3 6" xfId="41111"/>
    <cellStyle name="Total 3 4 3 6 2" xfId="41112"/>
    <cellStyle name="Total 3 4 3 7" xfId="41113"/>
    <cellStyle name="Total 3 4 3 7 2" xfId="41114"/>
    <cellStyle name="Total 3 4 3 8" xfId="41115"/>
    <cellStyle name="Total 3 4 3 8 2" xfId="41116"/>
    <cellStyle name="Total 3 4 3 9" xfId="41117"/>
    <cellStyle name="Total 3 4 3 9 2" xfId="41118"/>
    <cellStyle name="Total 3 4 4" xfId="41119"/>
    <cellStyle name="Total 3 4 4 2" xfId="41120"/>
    <cellStyle name="Total 3 4 5" xfId="41121"/>
    <cellStyle name="Total 3 4 5 2" xfId="41122"/>
    <cellStyle name="Total 3 4 6" xfId="41123"/>
    <cellStyle name="Total 3 4 6 2" xfId="41124"/>
    <cellStyle name="Total 3 4 7" xfId="41125"/>
    <cellStyle name="Total 3 4 7 2" xfId="41126"/>
    <cellStyle name="Total 3 4 8" xfId="41127"/>
    <cellStyle name="Total 3 4 8 2" xfId="41128"/>
    <cellStyle name="Total 3 4 9" xfId="41129"/>
    <cellStyle name="Total 3 4 9 2" xfId="41130"/>
    <cellStyle name="Total 3 5" xfId="41131"/>
    <cellStyle name="Total 3 5 10" xfId="41132"/>
    <cellStyle name="Total 3 5 10 2" xfId="41133"/>
    <cellStyle name="Total 3 5 11" xfId="41134"/>
    <cellStyle name="Total 3 5 11 2" xfId="41135"/>
    <cellStyle name="Total 3 5 12" xfId="41136"/>
    <cellStyle name="Total 3 5 12 2" xfId="41137"/>
    <cellStyle name="Total 3 5 13" xfId="41138"/>
    <cellStyle name="Total 3 5 2" xfId="41139"/>
    <cellStyle name="Total 3 5 2 10" xfId="41140"/>
    <cellStyle name="Total 3 5 2 10 2" xfId="41141"/>
    <cellStyle name="Total 3 5 2 11" xfId="41142"/>
    <cellStyle name="Total 3 5 2 2" xfId="41143"/>
    <cellStyle name="Total 3 5 2 2 2" xfId="41144"/>
    <cellStyle name="Total 3 5 2 3" xfId="41145"/>
    <cellStyle name="Total 3 5 2 3 2" xfId="41146"/>
    <cellStyle name="Total 3 5 2 4" xfId="41147"/>
    <cellStyle name="Total 3 5 2 4 2" xfId="41148"/>
    <cellStyle name="Total 3 5 2 5" xfId="41149"/>
    <cellStyle name="Total 3 5 2 5 2" xfId="41150"/>
    <cellStyle name="Total 3 5 2 6" xfId="41151"/>
    <cellStyle name="Total 3 5 2 6 2" xfId="41152"/>
    <cellStyle name="Total 3 5 2 7" xfId="41153"/>
    <cellStyle name="Total 3 5 2 7 2" xfId="41154"/>
    <cellStyle name="Total 3 5 2 8" xfId="41155"/>
    <cellStyle name="Total 3 5 2 8 2" xfId="41156"/>
    <cellStyle name="Total 3 5 2 9" xfId="41157"/>
    <cellStyle name="Total 3 5 2 9 2" xfId="41158"/>
    <cellStyle name="Total 3 5 3" xfId="41159"/>
    <cellStyle name="Total 3 5 3 10" xfId="41160"/>
    <cellStyle name="Total 3 5 3 10 2" xfId="41161"/>
    <cellStyle name="Total 3 5 3 11" xfId="41162"/>
    <cellStyle name="Total 3 5 3 2" xfId="41163"/>
    <cellStyle name="Total 3 5 3 2 2" xfId="41164"/>
    <cellStyle name="Total 3 5 3 3" xfId="41165"/>
    <cellStyle name="Total 3 5 3 3 2" xfId="41166"/>
    <cellStyle name="Total 3 5 3 4" xfId="41167"/>
    <cellStyle name="Total 3 5 3 4 2" xfId="41168"/>
    <cellStyle name="Total 3 5 3 5" xfId="41169"/>
    <cellStyle name="Total 3 5 3 5 2" xfId="41170"/>
    <cellStyle name="Total 3 5 3 6" xfId="41171"/>
    <cellStyle name="Total 3 5 3 6 2" xfId="41172"/>
    <cellStyle name="Total 3 5 3 7" xfId="41173"/>
    <cellStyle name="Total 3 5 3 7 2" xfId="41174"/>
    <cellStyle name="Total 3 5 3 8" xfId="41175"/>
    <cellStyle name="Total 3 5 3 8 2" xfId="41176"/>
    <cellStyle name="Total 3 5 3 9" xfId="41177"/>
    <cellStyle name="Total 3 5 3 9 2" xfId="41178"/>
    <cellStyle name="Total 3 5 4" xfId="41179"/>
    <cellStyle name="Total 3 5 4 2" xfId="41180"/>
    <cellStyle name="Total 3 5 5" xfId="41181"/>
    <cellStyle name="Total 3 5 5 2" xfId="41182"/>
    <cellStyle name="Total 3 5 6" xfId="41183"/>
    <cellStyle name="Total 3 5 6 2" xfId="41184"/>
    <cellStyle name="Total 3 5 7" xfId="41185"/>
    <cellStyle name="Total 3 5 7 2" xfId="41186"/>
    <cellStyle name="Total 3 5 8" xfId="41187"/>
    <cellStyle name="Total 3 5 8 2" xfId="41188"/>
    <cellStyle name="Total 3 5 9" xfId="41189"/>
    <cellStyle name="Total 3 5 9 2" xfId="41190"/>
    <cellStyle name="Total 3 6" xfId="41191"/>
    <cellStyle name="Total 3 6 2" xfId="41192"/>
    <cellStyle name="Total 3 7" xfId="41193"/>
    <cellStyle name="Total 3 7 2" xfId="41194"/>
    <cellStyle name="Total 3 8" xfId="41195"/>
    <cellStyle name="Total 3 8 2" xfId="41196"/>
    <cellStyle name="Total 3 9" xfId="41197"/>
    <cellStyle name="Total 3 9 2" xfId="41198"/>
    <cellStyle name="Total 4" xfId="262"/>
    <cellStyle name="Total 4 10" xfId="41199"/>
    <cellStyle name="Total 4 10 2" xfId="41200"/>
    <cellStyle name="Total 4 11" xfId="41201"/>
    <cellStyle name="Total 4 11 2" xfId="41202"/>
    <cellStyle name="Total 4 12" xfId="41203"/>
    <cellStyle name="Total 4 12 2" xfId="41204"/>
    <cellStyle name="Total 4 13" xfId="41205"/>
    <cellStyle name="Total 4 13 2" xfId="41206"/>
    <cellStyle name="Total 4 14" xfId="41207"/>
    <cellStyle name="Total 4 14 2" xfId="41208"/>
    <cellStyle name="Total 4 15" xfId="41209"/>
    <cellStyle name="Total 4 15 2" xfId="41210"/>
    <cellStyle name="Total 4 16" xfId="41211"/>
    <cellStyle name="Total 4 17" xfId="41212"/>
    <cellStyle name="Total 4 18" xfId="41213"/>
    <cellStyle name="Total 4 2" xfId="308"/>
    <cellStyle name="Total 4 2 10" xfId="41214"/>
    <cellStyle name="Total 4 2 10 2" xfId="41215"/>
    <cellStyle name="Total 4 2 11" xfId="41216"/>
    <cellStyle name="Total 4 2 11 2" xfId="41217"/>
    <cellStyle name="Total 4 2 12" xfId="41218"/>
    <cellStyle name="Total 4 2 12 2" xfId="41219"/>
    <cellStyle name="Total 4 2 13" xfId="41220"/>
    <cellStyle name="Total 4 2 13 2" xfId="41221"/>
    <cellStyle name="Total 4 2 14" xfId="41222"/>
    <cellStyle name="Total 4 2 14 2" xfId="41223"/>
    <cellStyle name="Total 4 2 15" xfId="41224"/>
    <cellStyle name="Total 4 2 16" xfId="41225"/>
    <cellStyle name="Total 4 2 2" xfId="41226"/>
    <cellStyle name="Total 4 2 2 10" xfId="41227"/>
    <cellStyle name="Total 4 2 2 10 2" xfId="41228"/>
    <cellStyle name="Total 4 2 2 11" xfId="41229"/>
    <cellStyle name="Total 4 2 2 11 2" xfId="41230"/>
    <cellStyle name="Total 4 2 2 12" xfId="41231"/>
    <cellStyle name="Total 4 2 2 12 2" xfId="41232"/>
    <cellStyle name="Total 4 2 2 13" xfId="41233"/>
    <cellStyle name="Total 4 2 2 2" xfId="41234"/>
    <cellStyle name="Total 4 2 2 2 10" xfId="41235"/>
    <cellStyle name="Total 4 2 2 2 10 2" xfId="41236"/>
    <cellStyle name="Total 4 2 2 2 11" xfId="41237"/>
    <cellStyle name="Total 4 2 2 2 2" xfId="41238"/>
    <cellStyle name="Total 4 2 2 2 2 2" xfId="41239"/>
    <cellStyle name="Total 4 2 2 2 3" xfId="41240"/>
    <cellStyle name="Total 4 2 2 2 3 2" xfId="41241"/>
    <cellStyle name="Total 4 2 2 2 4" xfId="41242"/>
    <cellStyle name="Total 4 2 2 2 4 2" xfId="41243"/>
    <cellStyle name="Total 4 2 2 2 5" xfId="41244"/>
    <cellStyle name="Total 4 2 2 2 5 2" xfId="41245"/>
    <cellStyle name="Total 4 2 2 2 6" xfId="41246"/>
    <cellStyle name="Total 4 2 2 2 6 2" xfId="41247"/>
    <cellStyle name="Total 4 2 2 2 7" xfId="41248"/>
    <cellStyle name="Total 4 2 2 2 7 2" xfId="41249"/>
    <cellStyle name="Total 4 2 2 2 8" xfId="41250"/>
    <cellStyle name="Total 4 2 2 2 8 2" xfId="41251"/>
    <cellStyle name="Total 4 2 2 2 9" xfId="41252"/>
    <cellStyle name="Total 4 2 2 2 9 2" xfId="41253"/>
    <cellStyle name="Total 4 2 2 3" xfId="41254"/>
    <cellStyle name="Total 4 2 2 3 10" xfId="41255"/>
    <cellStyle name="Total 4 2 2 3 10 2" xfId="41256"/>
    <cellStyle name="Total 4 2 2 3 11" xfId="41257"/>
    <cellStyle name="Total 4 2 2 3 2" xfId="41258"/>
    <cellStyle name="Total 4 2 2 3 2 2" xfId="41259"/>
    <cellStyle name="Total 4 2 2 3 3" xfId="41260"/>
    <cellStyle name="Total 4 2 2 3 3 2" xfId="41261"/>
    <cellStyle name="Total 4 2 2 3 4" xfId="41262"/>
    <cellStyle name="Total 4 2 2 3 4 2" xfId="41263"/>
    <cellStyle name="Total 4 2 2 3 5" xfId="41264"/>
    <cellStyle name="Total 4 2 2 3 5 2" xfId="41265"/>
    <cellStyle name="Total 4 2 2 3 6" xfId="41266"/>
    <cellStyle name="Total 4 2 2 3 6 2" xfId="41267"/>
    <cellStyle name="Total 4 2 2 3 7" xfId="41268"/>
    <cellStyle name="Total 4 2 2 3 7 2" xfId="41269"/>
    <cellStyle name="Total 4 2 2 3 8" xfId="41270"/>
    <cellStyle name="Total 4 2 2 3 8 2" xfId="41271"/>
    <cellStyle name="Total 4 2 2 3 9" xfId="41272"/>
    <cellStyle name="Total 4 2 2 3 9 2" xfId="41273"/>
    <cellStyle name="Total 4 2 2 4" xfId="41274"/>
    <cellStyle name="Total 4 2 2 4 2" xfId="41275"/>
    <cellStyle name="Total 4 2 2 5" xfId="41276"/>
    <cellStyle name="Total 4 2 2 5 2" xfId="41277"/>
    <cellStyle name="Total 4 2 2 6" xfId="41278"/>
    <cellStyle name="Total 4 2 2 6 2" xfId="41279"/>
    <cellStyle name="Total 4 2 2 7" xfId="41280"/>
    <cellStyle name="Total 4 2 2 7 2" xfId="41281"/>
    <cellStyle name="Total 4 2 2 8" xfId="41282"/>
    <cellStyle name="Total 4 2 2 8 2" xfId="41283"/>
    <cellStyle name="Total 4 2 2 9" xfId="41284"/>
    <cellStyle name="Total 4 2 2 9 2" xfId="41285"/>
    <cellStyle name="Total 4 2 3" xfId="41286"/>
    <cellStyle name="Total 4 2 3 10" xfId="41287"/>
    <cellStyle name="Total 4 2 3 10 2" xfId="41288"/>
    <cellStyle name="Total 4 2 3 11" xfId="41289"/>
    <cellStyle name="Total 4 2 3 11 2" xfId="41290"/>
    <cellStyle name="Total 4 2 3 12" xfId="41291"/>
    <cellStyle name="Total 4 2 3 12 2" xfId="41292"/>
    <cellStyle name="Total 4 2 3 13" xfId="41293"/>
    <cellStyle name="Total 4 2 3 2" xfId="41294"/>
    <cellStyle name="Total 4 2 3 2 10" xfId="41295"/>
    <cellStyle name="Total 4 2 3 2 10 2" xfId="41296"/>
    <cellStyle name="Total 4 2 3 2 11" xfId="41297"/>
    <cellStyle name="Total 4 2 3 2 2" xfId="41298"/>
    <cellStyle name="Total 4 2 3 2 2 2" xfId="41299"/>
    <cellStyle name="Total 4 2 3 2 3" xfId="41300"/>
    <cellStyle name="Total 4 2 3 2 3 2" xfId="41301"/>
    <cellStyle name="Total 4 2 3 2 4" xfId="41302"/>
    <cellStyle name="Total 4 2 3 2 4 2" xfId="41303"/>
    <cellStyle name="Total 4 2 3 2 5" xfId="41304"/>
    <cellStyle name="Total 4 2 3 2 5 2" xfId="41305"/>
    <cellStyle name="Total 4 2 3 2 6" xfId="41306"/>
    <cellStyle name="Total 4 2 3 2 6 2" xfId="41307"/>
    <cellStyle name="Total 4 2 3 2 7" xfId="41308"/>
    <cellStyle name="Total 4 2 3 2 7 2" xfId="41309"/>
    <cellStyle name="Total 4 2 3 2 8" xfId="41310"/>
    <cellStyle name="Total 4 2 3 2 8 2" xfId="41311"/>
    <cellStyle name="Total 4 2 3 2 9" xfId="41312"/>
    <cellStyle name="Total 4 2 3 2 9 2" xfId="41313"/>
    <cellStyle name="Total 4 2 3 3" xfId="41314"/>
    <cellStyle name="Total 4 2 3 3 10" xfId="41315"/>
    <cellStyle name="Total 4 2 3 3 10 2" xfId="41316"/>
    <cellStyle name="Total 4 2 3 3 11" xfId="41317"/>
    <cellStyle name="Total 4 2 3 3 2" xfId="41318"/>
    <cellStyle name="Total 4 2 3 3 2 2" xfId="41319"/>
    <cellStyle name="Total 4 2 3 3 3" xfId="41320"/>
    <cellStyle name="Total 4 2 3 3 3 2" xfId="41321"/>
    <cellStyle name="Total 4 2 3 3 4" xfId="41322"/>
    <cellStyle name="Total 4 2 3 3 4 2" xfId="41323"/>
    <cellStyle name="Total 4 2 3 3 5" xfId="41324"/>
    <cellStyle name="Total 4 2 3 3 5 2" xfId="41325"/>
    <cellStyle name="Total 4 2 3 3 6" xfId="41326"/>
    <cellStyle name="Total 4 2 3 3 6 2" xfId="41327"/>
    <cellStyle name="Total 4 2 3 3 7" xfId="41328"/>
    <cellStyle name="Total 4 2 3 3 7 2" xfId="41329"/>
    <cellStyle name="Total 4 2 3 3 8" xfId="41330"/>
    <cellStyle name="Total 4 2 3 3 8 2" xfId="41331"/>
    <cellStyle name="Total 4 2 3 3 9" xfId="41332"/>
    <cellStyle name="Total 4 2 3 3 9 2" xfId="41333"/>
    <cellStyle name="Total 4 2 3 4" xfId="41334"/>
    <cellStyle name="Total 4 2 3 4 2" xfId="41335"/>
    <cellStyle name="Total 4 2 3 5" xfId="41336"/>
    <cellStyle name="Total 4 2 3 5 2" xfId="41337"/>
    <cellStyle name="Total 4 2 3 6" xfId="41338"/>
    <cellStyle name="Total 4 2 3 6 2" xfId="41339"/>
    <cellStyle name="Total 4 2 3 7" xfId="41340"/>
    <cellStyle name="Total 4 2 3 7 2" xfId="41341"/>
    <cellStyle name="Total 4 2 3 8" xfId="41342"/>
    <cellStyle name="Total 4 2 3 8 2" xfId="41343"/>
    <cellStyle name="Total 4 2 3 9" xfId="41344"/>
    <cellStyle name="Total 4 2 3 9 2" xfId="41345"/>
    <cellStyle name="Total 4 2 4" xfId="41346"/>
    <cellStyle name="Total 4 2 4 10" xfId="41347"/>
    <cellStyle name="Total 4 2 4 10 2" xfId="41348"/>
    <cellStyle name="Total 4 2 4 11" xfId="41349"/>
    <cellStyle name="Total 4 2 4 2" xfId="41350"/>
    <cellStyle name="Total 4 2 4 2 2" xfId="41351"/>
    <cellStyle name="Total 4 2 4 3" xfId="41352"/>
    <cellStyle name="Total 4 2 4 3 2" xfId="41353"/>
    <cellStyle name="Total 4 2 4 4" xfId="41354"/>
    <cellStyle name="Total 4 2 4 4 2" xfId="41355"/>
    <cellStyle name="Total 4 2 4 5" xfId="41356"/>
    <cellStyle name="Total 4 2 4 5 2" xfId="41357"/>
    <cellStyle name="Total 4 2 4 6" xfId="41358"/>
    <cellStyle name="Total 4 2 4 6 2" xfId="41359"/>
    <cellStyle name="Total 4 2 4 7" xfId="41360"/>
    <cellStyle name="Total 4 2 4 7 2" xfId="41361"/>
    <cellStyle name="Total 4 2 4 8" xfId="41362"/>
    <cellStyle name="Total 4 2 4 8 2" xfId="41363"/>
    <cellStyle name="Total 4 2 4 9" xfId="41364"/>
    <cellStyle name="Total 4 2 4 9 2" xfId="41365"/>
    <cellStyle name="Total 4 2 5" xfId="41366"/>
    <cellStyle name="Total 4 2 5 10" xfId="41367"/>
    <cellStyle name="Total 4 2 5 10 2" xfId="41368"/>
    <cellStyle name="Total 4 2 5 11" xfId="41369"/>
    <cellStyle name="Total 4 2 5 2" xfId="41370"/>
    <cellStyle name="Total 4 2 5 2 2" xfId="41371"/>
    <cellStyle name="Total 4 2 5 3" xfId="41372"/>
    <cellStyle name="Total 4 2 5 3 2" xfId="41373"/>
    <cellStyle name="Total 4 2 5 4" xfId="41374"/>
    <cellStyle name="Total 4 2 5 4 2" xfId="41375"/>
    <cellStyle name="Total 4 2 5 5" xfId="41376"/>
    <cellStyle name="Total 4 2 5 5 2" xfId="41377"/>
    <cellStyle name="Total 4 2 5 6" xfId="41378"/>
    <cellStyle name="Total 4 2 5 6 2" xfId="41379"/>
    <cellStyle name="Total 4 2 5 7" xfId="41380"/>
    <cellStyle name="Total 4 2 5 7 2" xfId="41381"/>
    <cellStyle name="Total 4 2 5 8" xfId="41382"/>
    <cellStyle name="Total 4 2 5 8 2" xfId="41383"/>
    <cellStyle name="Total 4 2 5 9" xfId="41384"/>
    <cellStyle name="Total 4 2 5 9 2" xfId="41385"/>
    <cellStyle name="Total 4 2 6" xfId="41386"/>
    <cellStyle name="Total 4 2 6 2" xfId="41387"/>
    <cellStyle name="Total 4 2 7" xfId="41388"/>
    <cellStyle name="Total 4 2 7 2" xfId="41389"/>
    <cellStyle name="Total 4 2 8" xfId="41390"/>
    <cellStyle name="Total 4 2 8 2" xfId="41391"/>
    <cellStyle name="Total 4 2 9" xfId="41392"/>
    <cellStyle name="Total 4 2 9 2" xfId="41393"/>
    <cellStyle name="Total 4 3" xfId="313"/>
    <cellStyle name="Total 4 3 10" xfId="41394"/>
    <cellStyle name="Total 4 3 10 2" xfId="41395"/>
    <cellStyle name="Total 4 3 11" xfId="41396"/>
    <cellStyle name="Total 4 3 11 2" xfId="41397"/>
    <cellStyle name="Total 4 3 12" xfId="41398"/>
    <cellStyle name="Total 4 3 12 2" xfId="41399"/>
    <cellStyle name="Total 4 3 13" xfId="41400"/>
    <cellStyle name="Total 4 3 2" xfId="41401"/>
    <cellStyle name="Total 4 3 2 10" xfId="41402"/>
    <cellStyle name="Total 4 3 2 10 2" xfId="41403"/>
    <cellStyle name="Total 4 3 2 11" xfId="41404"/>
    <cellStyle name="Total 4 3 2 2" xfId="41405"/>
    <cellStyle name="Total 4 3 2 2 2" xfId="41406"/>
    <cellStyle name="Total 4 3 2 3" xfId="41407"/>
    <cellStyle name="Total 4 3 2 3 2" xfId="41408"/>
    <cellStyle name="Total 4 3 2 4" xfId="41409"/>
    <cellStyle name="Total 4 3 2 4 2" xfId="41410"/>
    <cellStyle name="Total 4 3 2 5" xfId="41411"/>
    <cellStyle name="Total 4 3 2 5 2" xfId="41412"/>
    <cellStyle name="Total 4 3 2 6" xfId="41413"/>
    <cellStyle name="Total 4 3 2 6 2" xfId="41414"/>
    <cellStyle name="Total 4 3 2 7" xfId="41415"/>
    <cellStyle name="Total 4 3 2 7 2" xfId="41416"/>
    <cellStyle name="Total 4 3 2 8" xfId="41417"/>
    <cellStyle name="Total 4 3 2 8 2" xfId="41418"/>
    <cellStyle name="Total 4 3 2 9" xfId="41419"/>
    <cellStyle name="Total 4 3 2 9 2" xfId="41420"/>
    <cellStyle name="Total 4 3 3" xfId="41421"/>
    <cellStyle name="Total 4 3 3 10" xfId="41422"/>
    <cellStyle name="Total 4 3 3 10 2" xfId="41423"/>
    <cellStyle name="Total 4 3 3 11" xfId="41424"/>
    <cellStyle name="Total 4 3 3 2" xfId="41425"/>
    <cellStyle name="Total 4 3 3 2 2" xfId="41426"/>
    <cellStyle name="Total 4 3 3 3" xfId="41427"/>
    <cellStyle name="Total 4 3 3 3 2" xfId="41428"/>
    <cellStyle name="Total 4 3 3 4" xfId="41429"/>
    <cellStyle name="Total 4 3 3 4 2" xfId="41430"/>
    <cellStyle name="Total 4 3 3 5" xfId="41431"/>
    <cellStyle name="Total 4 3 3 5 2" xfId="41432"/>
    <cellStyle name="Total 4 3 3 6" xfId="41433"/>
    <cellStyle name="Total 4 3 3 6 2" xfId="41434"/>
    <cellStyle name="Total 4 3 3 7" xfId="41435"/>
    <cellStyle name="Total 4 3 3 7 2" xfId="41436"/>
    <cellStyle name="Total 4 3 3 8" xfId="41437"/>
    <cellStyle name="Total 4 3 3 8 2" xfId="41438"/>
    <cellStyle name="Total 4 3 3 9" xfId="41439"/>
    <cellStyle name="Total 4 3 3 9 2" xfId="41440"/>
    <cellStyle name="Total 4 3 4" xfId="41441"/>
    <cellStyle name="Total 4 3 4 2" xfId="41442"/>
    <cellStyle name="Total 4 3 5" xfId="41443"/>
    <cellStyle name="Total 4 3 5 2" xfId="41444"/>
    <cellStyle name="Total 4 3 6" xfId="41445"/>
    <cellStyle name="Total 4 3 6 2" xfId="41446"/>
    <cellStyle name="Total 4 3 7" xfId="41447"/>
    <cellStyle name="Total 4 3 7 2" xfId="41448"/>
    <cellStyle name="Total 4 3 8" xfId="41449"/>
    <cellStyle name="Total 4 3 8 2" xfId="41450"/>
    <cellStyle name="Total 4 3 9" xfId="41451"/>
    <cellStyle name="Total 4 3 9 2" xfId="41452"/>
    <cellStyle name="Total 4 4" xfId="41453"/>
    <cellStyle name="Total 4 4 10" xfId="41454"/>
    <cellStyle name="Total 4 4 10 2" xfId="41455"/>
    <cellStyle name="Total 4 4 11" xfId="41456"/>
    <cellStyle name="Total 4 4 11 2" xfId="41457"/>
    <cellStyle name="Total 4 4 12" xfId="41458"/>
    <cellStyle name="Total 4 4 12 2" xfId="41459"/>
    <cellStyle name="Total 4 4 13" xfId="41460"/>
    <cellStyle name="Total 4 4 2" xfId="41461"/>
    <cellStyle name="Total 4 4 2 10" xfId="41462"/>
    <cellStyle name="Total 4 4 2 10 2" xfId="41463"/>
    <cellStyle name="Total 4 4 2 11" xfId="41464"/>
    <cellStyle name="Total 4 4 2 2" xfId="41465"/>
    <cellStyle name="Total 4 4 2 2 2" xfId="41466"/>
    <cellStyle name="Total 4 4 2 3" xfId="41467"/>
    <cellStyle name="Total 4 4 2 3 2" xfId="41468"/>
    <cellStyle name="Total 4 4 2 4" xfId="41469"/>
    <cellStyle name="Total 4 4 2 4 2" xfId="41470"/>
    <cellStyle name="Total 4 4 2 5" xfId="41471"/>
    <cellStyle name="Total 4 4 2 5 2" xfId="41472"/>
    <cellStyle name="Total 4 4 2 6" xfId="41473"/>
    <cellStyle name="Total 4 4 2 6 2" xfId="41474"/>
    <cellStyle name="Total 4 4 2 7" xfId="41475"/>
    <cellStyle name="Total 4 4 2 7 2" xfId="41476"/>
    <cellStyle name="Total 4 4 2 8" xfId="41477"/>
    <cellStyle name="Total 4 4 2 8 2" xfId="41478"/>
    <cellStyle name="Total 4 4 2 9" xfId="41479"/>
    <cellStyle name="Total 4 4 2 9 2" xfId="41480"/>
    <cellStyle name="Total 4 4 3" xfId="41481"/>
    <cellStyle name="Total 4 4 3 10" xfId="41482"/>
    <cellStyle name="Total 4 4 3 10 2" xfId="41483"/>
    <cellStyle name="Total 4 4 3 11" xfId="41484"/>
    <cellStyle name="Total 4 4 3 2" xfId="41485"/>
    <cellStyle name="Total 4 4 3 2 2" xfId="41486"/>
    <cellStyle name="Total 4 4 3 3" xfId="41487"/>
    <cellStyle name="Total 4 4 3 3 2" xfId="41488"/>
    <cellStyle name="Total 4 4 3 4" xfId="41489"/>
    <cellStyle name="Total 4 4 3 4 2" xfId="41490"/>
    <cellStyle name="Total 4 4 3 5" xfId="41491"/>
    <cellStyle name="Total 4 4 3 5 2" xfId="41492"/>
    <cellStyle name="Total 4 4 3 6" xfId="41493"/>
    <cellStyle name="Total 4 4 3 6 2" xfId="41494"/>
    <cellStyle name="Total 4 4 3 7" xfId="41495"/>
    <cellStyle name="Total 4 4 3 7 2" xfId="41496"/>
    <cellStyle name="Total 4 4 3 8" xfId="41497"/>
    <cellStyle name="Total 4 4 3 8 2" xfId="41498"/>
    <cellStyle name="Total 4 4 3 9" xfId="41499"/>
    <cellStyle name="Total 4 4 3 9 2" xfId="41500"/>
    <cellStyle name="Total 4 4 4" xfId="41501"/>
    <cellStyle name="Total 4 4 4 2" xfId="41502"/>
    <cellStyle name="Total 4 4 5" xfId="41503"/>
    <cellStyle name="Total 4 4 5 2" xfId="41504"/>
    <cellStyle name="Total 4 4 6" xfId="41505"/>
    <cellStyle name="Total 4 4 6 2" xfId="41506"/>
    <cellStyle name="Total 4 4 7" xfId="41507"/>
    <cellStyle name="Total 4 4 7 2" xfId="41508"/>
    <cellStyle name="Total 4 4 8" xfId="41509"/>
    <cellStyle name="Total 4 4 8 2" xfId="41510"/>
    <cellStyle name="Total 4 4 9" xfId="41511"/>
    <cellStyle name="Total 4 4 9 2" xfId="41512"/>
    <cellStyle name="Total 4 5" xfId="41513"/>
    <cellStyle name="Total 4 5 10" xfId="41514"/>
    <cellStyle name="Total 4 5 10 2" xfId="41515"/>
    <cellStyle name="Total 4 5 11" xfId="41516"/>
    <cellStyle name="Total 4 5 2" xfId="41517"/>
    <cellStyle name="Total 4 5 2 2" xfId="41518"/>
    <cellStyle name="Total 4 5 3" xfId="41519"/>
    <cellStyle name="Total 4 5 3 2" xfId="41520"/>
    <cellStyle name="Total 4 5 4" xfId="41521"/>
    <cellStyle name="Total 4 5 4 2" xfId="41522"/>
    <cellStyle name="Total 4 5 5" xfId="41523"/>
    <cellStyle name="Total 4 5 5 2" xfId="41524"/>
    <cellStyle name="Total 4 5 6" xfId="41525"/>
    <cellStyle name="Total 4 5 6 2" xfId="41526"/>
    <cellStyle name="Total 4 5 7" xfId="41527"/>
    <cellStyle name="Total 4 5 7 2" xfId="41528"/>
    <cellStyle name="Total 4 5 8" xfId="41529"/>
    <cellStyle name="Total 4 5 8 2" xfId="41530"/>
    <cellStyle name="Total 4 5 9" xfId="41531"/>
    <cellStyle name="Total 4 5 9 2" xfId="41532"/>
    <cellStyle name="Total 4 6" xfId="41533"/>
    <cellStyle name="Total 4 6 10" xfId="41534"/>
    <cellStyle name="Total 4 6 10 2" xfId="41535"/>
    <cellStyle name="Total 4 6 11" xfId="41536"/>
    <cellStyle name="Total 4 6 2" xfId="41537"/>
    <cellStyle name="Total 4 6 2 2" xfId="41538"/>
    <cellStyle name="Total 4 6 3" xfId="41539"/>
    <cellStyle name="Total 4 6 3 2" xfId="41540"/>
    <cellStyle name="Total 4 6 4" xfId="41541"/>
    <cellStyle name="Total 4 6 4 2" xfId="41542"/>
    <cellStyle name="Total 4 6 5" xfId="41543"/>
    <cellStyle name="Total 4 6 5 2" xfId="41544"/>
    <cellStyle name="Total 4 6 6" xfId="41545"/>
    <cellStyle name="Total 4 6 6 2" xfId="41546"/>
    <cellStyle name="Total 4 6 7" xfId="41547"/>
    <cellStyle name="Total 4 6 7 2" xfId="41548"/>
    <cellStyle name="Total 4 6 8" xfId="41549"/>
    <cellStyle name="Total 4 6 8 2" xfId="41550"/>
    <cellStyle name="Total 4 6 9" xfId="41551"/>
    <cellStyle name="Total 4 6 9 2" xfId="41552"/>
    <cellStyle name="Total 4 7" xfId="41553"/>
    <cellStyle name="Total 4 7 2" xfId="41554"/>
    <cellStyle name="Total 4 8" xfId="41555"/>
    <cellStyle name="Total 4 8 2" xfId="41556"/>
    <cellStyle name="Total 4 9" xfId="41557"/>
    <cellStyle name="Total 4 9 2" xfId="41558"/>
    <cellStyle name="Total 5" xfId="41559"/>
    <cellStyle name="Total 5 10" xfId="41560"/>
    <cellStyle name="Total 5 10 2" xfId="41561"/>
    <cellStyle name="Total 5 11" xfId="41562"/>
    <cellStyle name="Total 5 11 2" xfId="41563"/>
    <cellStyle name="Total 5 12" xfId="41564"/>
    <cellStyle name="Total 5 12 2" xfId="41565"/>
    <cellStyle name="Total 5 13" xfId="41566"/>
    <cellStyle name="Total 5 2" xfId="41567"/>
    <cellStyle name="Total 5 2 10" xfId="41568"/>
    <cellStyle name="Total 5 2 10 2" xfId="41569"/>
    <cellStyle name="Total 5 2 11" xfId="41570"/>
    <cellStyle name="Total 5 2 2" xfId="41571"/>
    <cellStyle name="Total 5 2 2 2" xfId="41572"/>
    <cellStyle name="Total 5 2 3" xfId="41573"/>
    <cellStyle name="Total 5 2 3 2" xfId="41574"/>
    <cellStyle name="Total 5 2 4" xfId="41575"/>
    <cellStyle name="Total 5 2 4 2" xfId="41576"/>
    <cellStyle name="Total 5 2 5" xfId="41577"/>
    <cellStyle name="Total 5 2 5 2" xfId="41578"/>
    <cellStyle name="Total 5 2 6" xfId="41579"/>
    <cellStyle name="Total 5 2 6 2" xfId="41580"/>
    <cellStyle name="Total 5 2 7" xfId="41581"/>
    <cellStyle name="Total 5 2 7 2" xfId="41582"/>
    <cellStyle name="Total 5 2 8" xfId="41583"/>
    <cellStyle name="Total 5 2 8 2" xfId="41584"/>
    <cellStyle name="Total 5 2 9" xfId="41585"/>
    <cellStyle name="Total 5 2 9 2" xfId="41586"/>
    <cellStyle name="Total 5 3" xfId="41587"/>
    <cellStyle name="Total 5 3 10" xfId="41588"/>
    <cellStyle name="Total 5 3 10 2" xfId="41589"/>
    <cellStyle name="Total 5 3 11" xfId="41590"/>
    <cellStyle name="Total 5 3 2" xfId="41591"/>
    <cellStyle name="Total 5 3 2 2" xfId="41592"/>
    <cellStyle name="Total 5 3 3" xfId="41593"/>
    <cellStyle name="Total 5 3 3 2" xfId="41594"/>
    <cellStyle name="Total 5 3 4" xfId="41595"/>
    <cellStyle name="Total 5 3 4 2" xfId="41596"/>
    <cellStyle name="Total 5 3 5" xfId="41597"/>
    <cellStyle name="Total 5 3 5 2" xfId="41598"/>
    <cellStyle name="Total 5 3 6" xfId="41599"/>
    <cellStyle name="Total 5 3 6 2" xfId="41600"/>
    <cellStyle name="Total 5 3 7" xfId="41601"/>
    <cellStyle name="Total 5 3 7 2" xfId="41602"/>
    <cellStyle name="Total 5 3 8" xfId="41603"/>
    <cellStyle name="Total 5 3 8 2" xfId="41604"/>
    <cellStyle name="Total 5 3 9" xfId="41605"/>
    <cellStyle name="Total 5 3 9 2" xfId="41606"/>
    <cellStyle name="Total 5 4" xfId="41607"/>
    <cellStyle name="Total 5 4 2" xfId="41608"/>
    <cellStyle name="Total 5 5" xfId="41609"/>
    <cellStyle name="Total 5 5 2" xfId="41610"/>
    <cellStyle name="Total 5 6" xfId="41611"/>
    <cellStyle name="Total 5 6 2" xfId="41612"/>
    <cellStyle name="Total 5 7" xfId="41613"/>
    <cellStyle name="Total 5 7 2" xfId="41614"/>
    <cellStyle name="Total 5 8" xfId="41615"/>
    <cellStyle name="Total 5 8 2" xfId="41616"/>
    <cellStyle name="Total 5 9" xfId="41617"/>
    <cellStyle name="Total 5 9 2" xfId="41618"/>
    <cellStyle name="Total 6" xfId="41619"/>
    <cellStyle name="Total 6 10" xfId="41620"/>
    <cellStyle name="Total 6 10 2" xfId="41621"/>
    <cellStyle name="Total 6 11" xfId="41622"/>
    <cellStyle name="Total 6 11 2" xfId="41623"/>
    <cellStyle name="Total 6 12" xfId="41624"/>
    <cellStyle name="Total 6 12 2" xfId="41625"/>
    <cellStyle name="Total 6 13" xfId="41626"/>
    <cellStyle name="Total 6 2" xfId="41627"/>
    <cellStyle name="Total 6 2 10" xfId="41628"/>
    <cellStyle name="Total 6 2 10 2" xfId="41629"/>
    <cellStyle name="Total 6 2 11" xfId="41630"/>
    <cellStyle name="Total 6 2 2" xfId="41631"/>
    <cellStyle name="Total 6 2 2 2" xfId="41632"/>
    <cellStyle name="Total 6 2 3" xfId="41633"/>
    <cellStyle name="Total 6 2 3 2" xfId="41634"/>
    <cellStyle name="Total 6 2 4" xfId="41635"/>
    <cellStyle name="Total 6 2 4 2" xfId="41636"/>
    <cellStyle name="Total 6 2 5" xfId="41637"/>
    <cellStyle name="Total 6 2 5 2" xfId="41638"/>
    <cellStyle name="Total 6 2 6" xfId="41639"/>
    <cellStyle name="Total 6 2 6 2" xfId="41640"/>
    <cellStyle name="Total 6 2 7" xfId="41641"/>
    <cellStyle name="Total 6 2 7 2" xfId="41642"/>
    <cellStyle name="Total 6 2 8" xfId="41643"/>
    <cellStyle name="Total 6 2 8 2" xfId="41644"/>
    <cellStyle name="Total 6 2 9" xfId="41645"/>
    <cellStyle name="Total 6 2 9 2" xfId="41646"/>
    <cellStyle name="Total 6 3" xfId="41647"/>
    <cellStyle name="Total 6 3 10" xfId="41648"/>
    <cellStyle name="Total 6 3 10 2" xfId="41649"/>
    <cellStyle name="Total 6 3 11" xfId="41650"/>
    <cellStyle name="Total 6 3 2" xfId="41651"/>
    <cellStyle name="Total 6 3 2 2" xfId="41652"/>
    <cellStyle name="Total 6 3 3" xfId="41653"/>
    <cellStyle name="Total 6 3 3 2" xfId="41654"/>
    <cellStyle name="Total 6 3 4" xfId="41655"/>
    <cellStyle name="Total 6 3 4 2" xfId="41656"/>
    <cellStyle name="Total 6 3 5" xfId="41657"/>
    <cellStyle name="Total 6 3 5 2" xfId="41658"/>
    <cellStyle name="Total 6 3 6" xfId="41659"/>
    <cellStyle name="Total 6 3 6 2" xfId="41660"/>
    <cellStyle name="Total 6 3 7" xfId="41661"/>
    <cellStyle name="Total 6 3 7 2" xfId="41662"/>
    <cellStyle name="Total 6 3 8" xfId="41663"/>
    <cellStyle name="Total 6 3 8 2" xfId="41664"/>
    <cellStyle name="Total 6 3 9" xfId="41665"/>
    <cellStyle name="Total 6 3 9 2" xfId="41666"/>
    <cellStyle name="Total 6 4" xfId="41667"/>
    <cellStyle name="Total 6 4 2" xfId="41668"/>
    <cellStyle name="Total 6 5" xfId="41669"/>
    <cellStyle name="Total 6 5 2" xfId="41670"/>
    <cellStyle name="Total 6 6" xfId="41671"/>
    <cellStyle name="Total 6 6 2" xfId="41672"/>
    <cellStyle name="Total 6 7" xfId="41673"/>
    <cellStyle name="Total 6 7 2" xfId="41674"/>
    <cellStyle name="Total 6 8" xfId="41675"/>
    <cellStyle name="Total 6 8 2" xfId="41676"/>
    <cellStyle name="Total 6 9" xfId="41677"/>
    <cellStyle name="Total 6 9 2" xfId="41678"/>
    <cellStyle name="Total 7" xfId="41679"/>
    <cellStyle name="Total 7 10" xfId="41680"/>
    <cellStyle name="Total 7 10 2" xfId="41681"/>
    <cellStyle name="Total 7 11" xfId="41682"/>
    <cellStyle name="Total 7 11 2" xfId="41683"/>
    <cellStyle name="Total 7 12" xfId="41684"/>
    <cellStyle name="Total 7 12 2" xfId="41685"/>
    <cellStyle name="Total 7 13" xfId="41686"/>
    <cellStyle name="Total 7 2" xfId="41687"/>
    <cellStyle name="Total 7 2 10" xfId="41688"/>
    <cellStyle name="Total 7 2 10 2" xfId="41689"/>
    <cellStyle name="Total 7 2 11" xfId="41690"/>
    <cellStyle name="Total 7 2 2" xfId="41691"/>
    <cellStyle name="Total 7 2 2 2" xfId="41692"/>
    <cellStyle name="Total 7 2 3" xfId="41693"/>
    <cellStyle name="Total 7 2 3 2" xfId="41694"/>
    <cellStyle name="Total 7 2 4" xfId="41695"/>
    <cellStyle name="Total 7 2 4 2" xfId="41696"/>
    <cellStyle name="Total 7 2 5" xfId="41697"/>
    <cellStyle name="Total 7 2 5 2" xfId="41698"/>
    <cellStyle name="Total 7 2 6" xfId="41699"/>
    <cellStyle name="Total 7 2 6 2" xfId="41700"/>
    <cellStyle name="Total 7 2 7" xfId="41701"/>
    <cellStyle name="Total 7 2 7 2" xfId="41702"/>
    <cellStyle name="Total 7 2 8" xfId="41703"/>
    <cellStyle name="Total 7 2 8 2" xfId="41704"/>
    <cellStyle name="Total 7 2 9" xfId="41705"/>
    <cellStyle name="Total 7 2 9 2" xfId="41706"/>
    <cellStyle name="Total 7 3" xfId="41707"/>
    <cellStyle name="Total 7 3 10" xfId="41708"/>
    <cellStyle name="Total 7 3 10 2" xfId="41709"/>
    <cellStyle name="Total 7 3 11" xfId="41710"/>
    <cellStyle name="Total 7 3 2" xfId="41711"/>
    <cellStyle name="Total 7 3 2 2" xfId="41712"/>
    <cellStyle name="Total 7 3 3" xfId="41713"/>
    <cellStyle name="Total 7 3 3 2" xfId="41714"/>
    <cellStyle name="Total 7 3 4" xfId="41715"/>
    <cellStyle name="Total 7 3 4 2" xfId="41716"/>
    <cellStyle name="Total 7 3 5" xfId="41717"/>
    <cellStyle name="Total 7 3 5 2" xfId="41718"/>
    <cellStyle name="Total 7 3 6" xfId="41719"/>
    <cellStyle name="Total 7 3 6 2" xfId="41720"/>
    <cellStyle name="Total 7 3 7" xfId="41721"/>
    <cellStyle name="Total 7 3 7 2" xfId="41722"/>
    <cellStyle name="Total 7 3 8" xfId="41723"/>
    <cellStyle name="Total 7 3 8 2" xfId="41724"/>
    <cellStyle name="Total 7 3 9" xfId="41725"/>
    <cellStyle name="Total 7 3 9 2" xfId="41726"/>
    <cellStyle name="Total 7 4" xfId="41727"/>
    <cellStyle name="Total 7 4 2" xfId="41728"/>
    <cellStyle name="Total 7 5" xfId="41729"/>
    <cellStyle name="Total 7 5 2" xfId="41730"/>
    <cellStyle name="Total 7 6" xfId="41731"/>
    <cellStyle name="Total 7 6 2" xfId="41732"/>
    <cellStyle name="Total 7 7" xfId="41733"/>
    <cellStyle name="Total 7 7 2" xfId="41734"/>
    <cellStyle name="Total 7 8" xfId="41735"/>
    <cellStyle name="Total 7 8 2" xfId="41736"/>
    <cellStyle name="Total 7 9" xfId="41737"/>
    <cellStyle name="Total 7 9 2" xfId="41738"/>
    <cellStyle name="Total 8" xfId="41739"/>
    <cellStyle name="Total 9" xfId="4212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99CCFF"/>
      <color rgb="FFFFFF99"/>
      <color rgb="FFFFFFCC"/>
      <color rgb="FFFF9966"/>
      <color rgb="FFD9F3FF"/>
      <color rgb="FFFF99CC"/>
      <color rgb="FF66CCFF"/>
      <color rgb="FFCCFFCC"/>
      <color rgb="FFCCFF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ustomXml" Target="../ink/ink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59531</xdr:colOff>
      <xdr:row>2</xdr:row>
      <xdr:rowOff>30162</xdr:rowOff>
    </xdr:from>
    <xdr:to>
      <xdr:col>2</xdr:col>
      <xdr:colOff>285750</xdr:colOff>
      <xdr:row>3</xdr:row>
      <xdr:rowOff>5713</xdr:rowOff>
    </xdr:to>
    <xdr:pic>
      <xdr:nvPicPr>
        <xdr:cNvPr id="2" name="1 Imagen" descr="LOGO_SNP_2012_sinfondo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3875" y="89693"/>
          <a:ext cx="1345406" cy="3193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549232</xdr:colOff>
      <xdr:row>2</xdr:row>
      <xdr:rowOff>308242</xdr:rowOff>
    </xdr:from>
    <xdr:to>
      <xdr:col>9</xdr:col>
      <xdr:colOff>571552</xdr:colOff>
      <xdr:row>3</xdr:row>
      <xdr:rowOff>22882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3" name="Entrada de lápiz 2">
              <a:extLst>
                <a:ext uri="{FF2B5EF4-FFF2-40B4-BE49-F238E27FC236}">
                  <a16:creationId xmlns:a16="http://schemas.microsoft.com/office/drawing/2014/main" id="{5FC760CB-F1E8-4F7A-9247-45010DF1F7A1}"/>
                </a:ext>
              </a:extLst>
            </xdr14:cNvPr>
            <xdr14:cNvContentPartPr/>
          </xdr14:nvContentPartPr>
          <xdr14:nvPr macro=""/>
          <xdr14:xfrm>
            <a:off x="11383920" y="760680"/>
            <a:ext cx="22320" cy="19440"/>
          </xdr14:xfrm>
        </xdr:contentPart>
      </mc:Choice>
      <mc:Fallback xmlns="">
        <xdr:pic>
          <xdr:nvPicPr>
            <xdr:cNvPr id="3" name="Entrada de lápiz 2">
              <a:extLst>
                <a:ext uri="{FF2B5EF4-FFF2-40B4-BE49-F238E27FC236}">
                  <a16:creationId xmlns:xdr14="http://schemas.microsoft.com/office/excel/2010/spreadsheetDrawing" xmlns="" xmlns:a16="http://schemas.microsoft.com/office/drawing/2014/main" id="{5FC760CB-F1E8-4F7A-9247-45010DF1F7A1}"/>
                </a:ext>
              </a:extLst>
            </xdr:cNvPr>
            <xdr:cNvPicPr/>
          </xdr:nvPicPr>
          <xdr:blipFill>
            <a:blip xmlns:r="http://schemas.openxmlformats.org/officeDocument/2006/relationships" r:embed="rId2" cstate="print"/>
            <a:stretch>
              <a:fillRect/>
            </a:stretch>
          </xdr:blipFill>
          <xdr:spPr>
            <a:xfrm>
              <a:off x="11374920" y="752040"/>
              <a:ext cx="39960" cy="3708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1</xdr:row>
      <xdr:rowOff>1</xdr:rowOff>
    </xdr:from>
    <xdr:to>
      <xdr:col>1</xdr:col>
      <xdr:colOff>1038224</xdr:colOff>
      <xdr:row>2</xdr:row>
      <xdr:rowOff>200025</xdr:rowOff>
    </xdr:to>
    <xdr:pic>
      <xdr:nvPicPr>
        <xdr:cNvPr id="2" name="1 Imagen" descr="LOGO_SNP_2012_sinfondo.PN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600" y="1"/>
          <a:ext cx="971549" cy="4476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0-11-18T13:51:59.627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62 1 12376,'0'0'0,"-12"10"0,-7 6 0,-12 10-8808</inkml:trace>
</inkml: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5"/>
  <sheetViews>
    <sheetView showGridLines="0" tabSelected="1" zoomScaleNormal="100" workbookViewId="0">
      <selection activeCell="C9" sqref="C9:C22"/>
    </sheetView>
  </sheetViews>
  <sheetFormatPr baseColWidth="10" defaultColWidth="11.5703125" defaultRowHeight="12"/>
  <cols>
    <col min="1" max="1" width="2.140625" style="89" customWidth="1"/>
    <col min="2" max="2" width="4" style="89" customWidth="1"/>
    <col min="3" max="3" width="27.28515625" style="89" bestFit="1" customWidth="1"/>
    <col min="4" max="4" width="20.5703125" style="89" bestFit="1" customWidth="1"/>
    <col min="5" max="5" width="19" style="89" bestFit="1" customWidth="1"/>
    <col min="6" max="6" width="20.85546875" style="89" customWidth="1"/>
    <col min="7" max="7" width="18.140625" style="89" customWidth="1"/>
    <col min="8" max="8" width="18" style="89" customWidth="1"/>
    <col min="9" max="9" width="13.7109375" style="89" customWidth="1"/>
    <col min="10" max="10" width="11.7109375" style="89" customWidth="1"/>
    <col min="11" max="11" width="12.28515625" style="89" customWidth="1"/>
    <col min="12" max="12" width="13" style="89" customWidth="1"/>
    <col min="13" max="16384" width="11.5703125" style="89"/>
  </cols>
  <sheetData>
    <row r="1" spans="1:12">
      <c r="A1" s="87"/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2">
      <c r="A2" s="87"/>
      <c r="B2" s="88"/>
      <c r="C2" s="88"/>
      <c r="D2" s="88"/>
      <c r="E2" s="88"/>
      <c r="F2" s="88"/>
      <c r="G2" s="88"/>
      <c r="H2" s="88"/>
      <c r="I2" s="88"/>
      <c r="J2" s="88"/>
      <c r="K2" s="88"/>
    </row>
    <row r="3" spans="1:12">
      <c r="A3" s="87"/>
      <c r="B3" s="88"/>
      <c r="C3" s="309" t="s">
        <v>518</v>
      </c>
      <c r="D3" s="310"/>
      <c r="E3" s="310"/>
      <c r="F3" s="310"/>
      <c r="G3" s="310"/>
      <c r="H3" s="310"/>
      <c r="I3" s="310"/>
      <c r="J3" s="310"/>
      <c r="K3" s="311"/>
    </row>
    <row r="4" spans="1:12">
      <c r="A4" s="87"/>
      <c r="B4" s="88"/>
      <c r="C4" s="312">
        <v>44561</v>
      </c>
      <c r="D4" s="313"/>
      <c r="E4" s="313"/>
      <c r="F4" s="313"/>
      <c r="G4" s="313"/>
      <c r="H4" s="313"/>
      <c r="I4" s="313"/>
      <c r="J4" s="313"/>
      <c r="K4" s="314"/>
    </row>
    <row r="5" spans="1:12" ht="14.45" customHeight="1">
      <c r="A5" s="87"/>
      <c r="B5" s="88"/>
      <c r="C5" s="323" t="s">
        <v>522</v>
      </c>
      <c r="D5" s="324"/>
      <c r="E5" s="324"/>
      <c r="F5" s="324"/>
      <c r="G5" s="324"/>
      <c r="H5" s="324"/>
      <c r="I5" s="324"/>
      <c r="J5" s="324"/>
      <c r="K5" s="325"/>
    </row>
    <row r="6" spans="1:12">
      <c r="A6" s="87"/>
      <c r="B6" s="88"/>
      <c r="C6" s="88"/>
      <c r="D6" s="307"/>
      <c r="E6" s="307"/>
      <c r="F6" s="307"/>
      <c r="G6" s="307"/>
      <c r="H6" s="307"/>
      <c r="I6" s="307"/>
      <c r="J6" s="307"/>
      <c r="K6" s="307"/>
    </row>
    <row r="7" spans="1:12">
      <c r="A7" s="87"/>
      <c r="B7" s="88"/>
      <c r="C7" s="88"/>
      <c r="D7" s="88"/>
      <c r="E7" s="88"/>
      <c r="F7" s="90"/>
      <c r="G7" s="91"/>
      <c r="H7" s="88"/>
      <c r="I7" s="88"/>
      <c r="J7" s="88"/>
      <c r="K7" s="88"/>
    </row>
    <row r="8" spans="1:12">
      <c r="A8" s="87"/>
      <c r="B8" s="88"/>
      <c r="C8" s="101" t="s">
        <v>497</v>
      </c>
      <c r="D8" s="102" t="s">
        <v>498</v>
      </c>
      <c r="E8" s="103" t="s">
        <v>499</v>
      </c>
      <c r="F8" s="103" t="s">
        <v>532</v>
      </c>
      <c r="G8" s="103" t="s">
        <v>500</v>
      </c>
      <c r="H8" s="103" t="s">
        <v>501</v>
      </c>
      <c r="I8" s="103" t="s">
        <v>527</v>
      </c>
      <c r="J8" s="103" t="s">
        <v>502</v>
      </c>
      <c r="K8" s="103" t="s">
        <v>503</v>
      </c>
    </row>
    <row r="9" spans="1:12">
      <c r="A9" s="87"/>
      <c r="B9" s="88"/>
      <c r="C9" s="326" t="s">
        <v>504</v>
      </c>
      <c r="D9" s="308" t="s">
        <v>505</v>
      </c>
      <c r="E9" s="104" t="s">
        <v>510</v>
      </c>
      <c r="F9" s="93">
        <f>'CUOTA ARTESANAL'!N15</f>
        <v>616.87199999999996</v>
      </c>
      <c r="G9" s="93">
        <f>'CUOTA ARTESANAL'!O15</f>
        <v>0</v>
      </c>
      <c r="H9" s="93">
        <f>'CUOTA ARTESANAL'!P15</f>
        <v>616.87199999999996</v>
      </c>
      <c r="I9" s="288">
        <f>'CUOTA ARTESANAL'!Q15</f>
        <v>301.59500000000003</v>
      </c>
      <c r="J9" s="93">
        <f>'CUOTA ARTESANAL'!R15</f>
        <v>315.27699999999993</v>
      </c>
      <c r="K9" s="169">
        <f>'CUOTA ARTESANAL'!S15</f>
        <v>0.48891017909712231</v>
      </c>
    </row>
    <row r="10" spans="1:12">
      <c r="A10" s="87"/>
      <c r="B10" s="88"/>
      <c r="C10" s="326"/>
      <c r="D10" s="308"/>
      <c r="E10" s="104" t="s">
        <v>511</v>
      </c>
      <c r="F10" s="93">
        <f>+'CUOTA ARTESANAL'!N43</f>
        <v>4723.4379999999992</v>
      </c>
      <c r="G10" s="93">
        <f>'CUOTA ARTESANAL'!O43</f>
        <v>-850</v>
      </c>
      <c r="H10" s="93">
        <f>+'CUOTA ARTESANAL'!P43</f>
        <v>3873.4379999999992</v>
      </c>
      <c r="I10" s="288">
        <f>+'CUOTA ARTESANAL'!Q43</f>
        <v>2515.2563</v>
      </c>
      <c r="J10" s="93">
        <f>+'CUOTA ARTESANAL'!R43</f>
        <v>1358.1816999999992</v>
      </c>
      <c r="K10" s="169">
        <f>+'CUOTA ARTESANAL'!S43</f>
        <v>0.64936015498376387</v>
      </c>
    </row>
    <row r="11" spans="1:12">
      <c r="A11" s="87"/>
      <c r="B11" s="88"/>
      <c r="C11" s="326"/>
      <c r="D11" s="308"/>
      <c r="E11" s="104" t="s">
        <v>512</v>
      </c>
      <c r="F11" s="93">
        <f>'CUOTA ARTESANAL'!N124</f>
        <v>551.32799999999997</v>
      </c>
      <c r="G11" s="93">
        <f>'CUOTA ARTESANAL'!O124</f>
        <v>0</v>
      </c>
      <c r="H11" s="93">
        <f>'CUOTA ARTESANAL'!P124</f>
        <v>551.32799999999997</v>
      </c>
      <c r="I11" s="288">
        <f>'CUOTA ARTESANAL'!Q124</f>
        <v>344.09299999999996</v>
      </c>
      <c r="J11" s="93">
        <f>'CUOTA ARTESANAL'!R124</f>
        <v>207.23500000000001</v>
      </c>
      <c r="K11" s="169">
        <f>'CUOTA ARTESANAL'!S124</f>
        <v>0.62411667827500139</v>
      </c>
    </row>
    <row r="12" spans="1:12">
      <c r="A12" s="87"/>
      <c r="B12" s="88"/>
      <c r="C12" s="326"/>
      <c r="D12" s="308"/>
      <c r="E12" s="104" t="s">
        <v>513</v>
      </c>
      <c r="F12" s="93">
        <f>'CUOTA ARTESANAL'!N493</f>
        <v>4014.5169999999871</v>
      </c>
      <c r="G12" s="93">
        <f>'CUOTA ARTESANAL'!O493</f>
        <v>427.57770000000005</v>
      </c>
      <c r="H12" s="93">
        <f>'CUOTA ARTESANAL'!P493</f>
        <v>4442.0946999999869</v>
      </c>
      <c r="I12" s="288">
        <f>'CUOTA ARTESANAL'!Q493</f>
        <v>3453.567</v>
      </c>
      <c r="J12" s="93">
        <f>'CUOTA ARTESANAL'!R493</f>
        <v>988.52769999998691</v>
      </c>
      <c r="K12" s="169">
        <f>'CUOTA ARTESANAL'!S493</f>
        <v>0.77746361418184318</v>
      </c>
    </row>
    <row r="13" spans="1:12">
      <c r="A13" s="87"/>
      <c r="B13" s="88"/>
      <c r="C13" s="326"/>
      <c r="D13" s="308"/>
      <c r="E13" s="104" t="s">
        <v>514</v>
      </c>
      <c r="F13" s="93">
        <f>'CUOTA ARTESANAL'!N617</f>
        <v>4425.4890000000005</v>
      </c>
      <c r="G13" s="93">
        <f>'CUOTA ARTESANAL'!O617</f>
        <v>-1043.9010000000001</v>
      </c>
      <c r="H13" s="93">
        <f t="shared" ref="H13" si="0">+F13+G13</f>
        <v>3381.5880000000006</v>
      </c>
      <c r="I13" s="288">
        <f>'CUOTA ARTESANAL'!Q617</f>
        <v>1935.4760000000001</v>
      </c>
      <c r="J13" s="93">
        <f t="shared" ref="J13" si="1">+H13-I13</f>
        <v>1446.1120000000005</v>
      </c>
      <c r="K13" s="169">
        <f t="shared" ref="K13" si="2">+I13/H13</f>
        <v>0.57235712925406634</v>
      </c>
      <c r="L13" s="94"/>
    </row>
    <row r="14" spans="1:12">
      <c r="A14" s="87"/>
      <c r="B14" s="88"/>
      <c r="C14" s="326"/>
      <c r="D14" s="308"/>
      <c r="E14" s="104" t="s">
        <v>515</v>
      </c>
      <c r="F14" s="93">
        <f>'CUOTA ARTESANAL'!N623</f>
        <v>23.01</v>
      </c>
      <c r="G14" s="93">
        <f>'CUOTA ARTESANAL'!O623</f>
        <v>0</v>
      </c>
      <c r="H14" s="93">
        <f>'CUOTA ARTESANAL'!P623</f>
        <v>23.01</v>
      </c>
      <c r="I14" s="288">
        <f>'CUOTA ARTESANAL'!Q623</f>
        <v>5.4640000000000004</v>
      </c>
      <c r="J14" s="93">
        <f>'CUOTA ARTESANAL'!R623</f>
        <v>17.545999999999999</v>
      </c>
      <c r="K14" s="169">
        <f>'CUOTA ARTESANAL'!S623</f>
        <v>0.2374619730551934</v>
      </c>
    </row>
    <row r="15" spans="1:12">
      <c r="A15" s="87"/>
      <c r="B15" s="88"/>
      <c r="C15" s="326"/>
      <c r="D15" s="308"/>
      <c r="E15" s="104" t="s">
        <v>516</v>
      </c>
      <c r="F15" s="93">
        <f>'CUOTA ARTESANAL'!N627</f>
        <v>21.283999999999999</v>
      </c>
      <c r="G15" s="93">
        <f>'CUOTA ARTESANAL'!O627</f>
        <v>0</v>
      </c>
      <c r="H15" s="93">
        <f>'CUOTA ARTESANAL'!P627</f>
        <v>21.283999999999999</v>
      </c>
      <c r="I15" s="288">
        <f>'CUOTA ARTESANAL'!Q627</f>
        <v>0.109</v>
      </c>
      <c r="J15" s="93">
        <f>'CUOTA ARTESANAL'!R627</f>
        <v>21.174999999999997</v>
      </c>
      <c r="K15" s="169">
        <f>'CUOTA ARTESANAL'!S627</f>
        <v>5.1212178161999626E-3</v>
      </c>
    </row>
    <row r="16" spans="1:12">
      <c r="A16" s="87"/>
      <c r="B16" s="88"/>
      <c r="C16" s="326"/>
      <c r="D16" s="308"/>
      <c r="E16" s="104" t="s">
        <v>517</v>
      </c>
      <c r="F16" s="93">
        <v>400</v>
      </c>
      <c r="G16" s="93">
        <v>0</v>
      </c>
      <c r="H16" s="93">
        <f>+F16+G16</f>
        <v>400</v>
      </c>
      <c r="I16" s="288">
        <f>3.419+0.19+0.031</f>
        <v>3.64</v>
      </c>
      <c r="J16" s="93">
        <f t="shared" ref="J16:J19" si="3">+H16-I16</f>
        <v>396.36</v>
      </c>
      <c r="K16" s="169">
        <f t="shared" ref="K16:K19" si="4">+I16/H16</f>
        <v>9.1000000000000004E-3</v>
      </c>
    </row>
    <row r="17" spans="1:11">
      <c r="A17" s="87"/>
      <c r="B17" s="88"/>
      <c r="C17" s="326"/>
      <c r="D17" s="92" t="s">
        <v>507</v>
      </c>
      <c r="E17" s="104" t="s">
        <v>50</v>
      </c>
      <c r="F17" s="93">
        <f>'CUOTA INDUSTRIAL'!K67</f>
        <v>22163.910399999997</v>
      </c>
      <c r="G17" s="93">
        <f>'CUOTA INDUSTRIAL'!L67</f>
        <v>904.50000000000011</v>
      </c>
      <c r="H17" s="93">
        <f>'CUOTA INDUSTRIAL'!M67</f>
        <v>23068.410399999997</v>
      </c>
      <c r="I17" s="93">
        <f>'CUOTA INDUSTRIAL'!N67</f>
        <v>21057.030999999999</v>
      </c>
      <c r="J17" s="93">
        <f>'CUOTA INDUSTRIAL'!O67</f>
        <v>2011.379399999998</v>
      </c>
      <c r="K17" s="169">
        <f>'CUOTA INDUSTRIAL'!P67</f>
        <v>0.91280806240554835</v>
      </c>
    </row>
    <row r="18" spans="1:11">
      <c r="A18" s="87"/>
      <c r="B18" s="88"/>
      <c r="C18" s="326"/>
      <c r="D18" s="321" t="s">
        <v>509</v>
      </c>
      <c r="E18" s="322"/>
      <c r="F18" s="93">
        <v>375.15</v>
      </c>
      <c r="G18" s="93">
        <v>0</v>
      </c>
      <c r="H18" s="93">
        <f>F18+G18</f>
        <v>375.15</v>
      </c>
      <c r="I18" s="93">
        <v>0</v>
      </c>
      <c r="J18" s="93">
        <f>H18-I18</f>
        <v>375.15</v>
      </c>
      <c r="K18" s="169">
        <f>+I18/H18</f>
        <v>0</v>
      </c>
    </row>
    <row r="19" spans="1:11">
      <c r="A19" s="87"/>
      <c r="B19" s="88"/>
      <c r="C19" s="326"/>
      <c r="D19" s="321" t="s">
        <v>508</v>
      </c>
      <c r="E19" s="322"/>
      <c r="F19" s="93">
        <v>200</v>
      </c>
      <c r="G19" s="93">
        <v>0</v>
      </c>
      <c r="H19" s="93">
        <f t="shared" ref="H19" si="5">+F19+G19</f>
        <v>200</v>
      </c>
      <c r="I19" s="292">
        <f>'FUP Y PESC. INVESTIGACION'!H18</f>
        <v>11.554</v>
      </c>
      <c r="J19" s="93">
        <f t="shared" si="3"/>
        <v>188.446</v>
      </c>
      <c r="K19" s="169">
        <f t="shared" si="4"/>
        <v>5.7770000000000002E-2</v>
      </c>
    </row>
    <row r="20" spans="1:11">
      <c r="A20" s="87"/>
      <c r="B20" s="88"/>
      <c r="C20" s="326"/>
      <c r="D20" s="321" t="s">
        <v>506</v>
      </c>
      <c r="E20" s="322"/>
      <c r="F20" s="93">
        <v>0</v>
      </c>
      <c r="G20" s="93">
        <f>'CESIONES INDIVIDUALES'!N7</f>
        <v>561.1</v>
      </c>
      <c r="H20" s="93">
        <f>F20+G20</f>
        <v>561.1</v>
      </c>
      <c r="I20" s="292">
        <f>SUM('CESIONES INDIVIDUALES'!J7:J52)</f>
        <v>224.58699999999993</v>
      </c>
      <c r="J20" s="93">
        <f>H20-I20</f>
        <v>336.51300000000009</v>
      </c>
      <c r="K20" s="169">
        <v>0</v>
      </c>
    </row>
    <row r="21" spans="1:11">
      <c r="A21" s="88"/>
      <c r="B21" s="88"/>
      <c r="C21" s="326"/>
      <c r="D21" s="255" t="s">
        <v>636</v>
      </c>
      <c r="E21" s="256"/>
      <c r="F21" s="93">
        <v>0</v>
      </c>
      <c r="G21" s="93">
        <f>0.079+0.142+0.2163+0.286</f>
        <v>0.72329999999999994</v>
      </c>
      <c r="H21" s="93">
        <f>F21+G21</f>
        <v>0.72329999999999994</v>
      </c>
      <c r="I21" s="93">
        <v>0</v>
      </c>
      <c r="J21" s="93">
        <f>H21-I21</f>
        <v>0.72329999999999994</v>
      </c>
      <c r="K21" s="169">
        <v>1</v>
      </c>
    </row>
    <row r="22" spans="1:11">
      <c r="A22" s="88"/>
      <c r="B22" s="88"/>
      <c r="C22" s="327"/>
      <c r="D22" s="329" t="s">
        <v>87</v>
      </c>
      <c r="E22" s="329"/>
      <c r="F22" s="283">
        <f>SUM(F9:F21)</f>
        <v>37514.998399999982</v>
      </c>
      <c r="G22" s="108">
        <f>SUM(G9:G21)</f>
        <v>1.1890488593735427E-13</v>
      </c>
      <c r="H22" s="284">
        <f>+F22+G22</f>
        <v>37514.998399999982</v>
      </c>
      <c r="I22" s="109">
        <f>SUM(I9:I20)</f>
        <v>29852.372299999999</v>
      </c>
      <c r="J22" s="109">
        <f>+H22-I22</f>
        <v>7662.6260999999831</v>
      </c>
      <c r="K22" s="170">
        <f>I22/H22</f>
        <v>0.79574499728620574</v>
      </c>
    </row>
    <row r="23" spans="1:11" hidden="1">
      <c r="A23" s="88"/>
      <c r="B23" s="88"/>
      <c r="C23" s="88"/>
      <c r="D23" s="95"/>
      <c r="E23" s="95"/>
      <c r="F23" s="96"/>
      <c r="G23" s="88"/>
      <c r="H23" s="88"/>
      <c r="I23" s="88"/>
      <c r="J23" s="88"/>
      <c r="K23" s="97">
        <v>1</v>
      </c>
    </row>
    <row r="24" spans="1:11">
      <c r="A24" s="88"/>
      <c r="B24" s="88"/>
      <c r="C24" s="88"/>
      <c r="D24" s="95"/>
      <c r="E24" s="95"/>
      <c r="F24" s="96"/>
      <c r="G24" s="88"/>
      <c r="H24" s="88"/>
      <c r="I24" s="88"/>
      <c r="J24" s="88"/>
      <c r="K24" s="88"/>
    </row>
    <row r="25" spans="1:11">
      <c r="A25" s="88"/>
      <c r="B25" s="88"/>
      <c r="C25" s="88"/>
      <c r="D25" s="95"/>
      <c r="E25" s="95"/>
      <c r="F25" s="96"/>
      <c r="G25" s="88"/>
      <c r="H25" s="88"/>
      <c r="I25" s="88"/>
      <c r="J25" s="88"/>
      <c r="K25" s="88"/>
    </row>
    <row r="26" spans="1:11">
      <c r="A26" s="88"/>
      <c r="B26" s="88"/>
      <c r="C26" s="88"/>
      <c r="D26" s="95"/>
      <c r="E26" s="95"/>
      <c r="F26" s="88"/>
      <c r="G26" s="88"/>
      <c r="H26" s="88"/>
      <c r="I26" s="88"/>
      <c r="J26" s="88"/>
      <c r="K26" s="88"/>
    </row>
    <row r="28" spans="1:11">
      <c r="C28" s="315" t="s">
        <v>668</v>
      </c>
      <c r="D28" s="316"/>
      <c r="E28" s="316"/>
      <c r="F28" s="316"/>
      <c r="G28" s="316"/>
      <c r="H28" s="316"/>
      <c r="I28" s="316"/>
      <c r="J28" s="317"/>
    </row>
    <row r="29" spans="1:11">
      <c r="C29" s="318">
        <f>C4</f>
        <v>44561</v>
      </c>
      <c r="D29" s="319"/>
      <c r="E29" s="319"/>
      <c r="F29" s="319"/>
      <c r="G29" s="319"/>
      <c r="H29" s="319"/>
      <c r="I29" s="319"/>
      <c r="J29" s="320"/>
    </row>
    <row r="30" spans="1:11">
      <c r="C30" s="328"/>
      <c r="D30" s="328"/>
      <c r="E30" s="328"/>
      <c r="F30" s="328"/>
      <c r="G30" s="328"/>
      <c r="H30" s="328"/>
      <c r="I30" s="328"/>
      <c r="J30" s="328"/>
    </row>
    <row r="31" spans="1:11">
      <c r="C31" s="307"/>
      <c r="D31" s="307"/>
      <c r="E31" s="307"/>
      <c r="F31" s="307"/>
      <c r="G31" s="307"/>
      <c r="H31" s="307"/>
      <c r="I31" s="307"/>
      <c r="J31" s="307"/>
    </row>
    <row r="32" spans="1:11">
      <c r="C32" s="88"/>
      <c r="D32" s="88"/>
      <c r="E32" s="88"/>
      <c r="F32" s="88"/>
      <c r="G32" s="88"/>
      <c r="H32" s="88"/>
      <c r="I32" s="88"/>
      <c r="J32" s="88"/>
    </row>
    <row r="33" spans="3:10" ht="24">
      <c r="C33" s="105" t="s">
        <v>498</v>
      </c>
      <c r="D33" s="106" t="s">
        <v>519</v>
      </c>
      <c r="E33" s="103" t="s">
        <v>532</v>
      </c>
      <c r="F33" s="103" t="s">
        <v>500</v>
      </c>
      <c r="G33" s="103" t="s">
        <v>501</v>
      </c>
      <c r="H33" s="103" t="s">
        <v>527</v>
      </c>
      <c r="I33" s="103" t="s">
        <v>502</v>
      </c>
      <c r="J33" s="103" t="s">
        <v>503</v>
      </c>
    </row>
    <row r="34" spans="3:10">
      <c r="C34" s="308" t="s">
        <v>521</v>
      </c>
      <c r="D34" s="104" t="s">
        <v>520</v>
      </c>
      <c r="E34" s="267">
        <f>'FUP Y PESC. INVESTIGACION'!D8</f>
        <v>50</v>
      </c>
      <c r="F34" s="267">
        <v>0</v>
      </c>
      <c r="G34" s="267">
        <f>+E34+F34</f>
        <v>50</v>
      </c>
      <c r="H34" s="267">
        <f>'FUP Y PESC. INVESTIGACION'!G8</f>
        <v>0.23499999999999999</v>
      </c>
      <c r="I34" s="267">
        <f>E34-H34</f>
        <v>49.765000000000001</v>
      </c>
      <c r="J34" s="107">
        <f>H34/E34</f>
        <v>4.6999999999999993E-3</v>
      </c>
    </row>
    <row r="35" spans="3:10">
      <c r="C35" s="308"/>
      <c r="D35" s="104" t="s">
        <v>517</v>
      </c>
      <c r="E35" s="267">
        <f>'FUP Y PESC. INVESTIGACION'!D9</f>
        <v>50</v>
      </c>
      <c r="F35" s="267">
        <v>0</v>
      </c>
      <c r="G35" s="267">
        <f>+E35+F35</f>
        <v>50</v>
      </c>
      <c r="H35" s="267">
        <f>'FUP Y PESC. INVESTIGACION'!G9</f>
        <v>0</v>
      </c>
      <c r="I35" s="267">
        <f>E35-H35</f>
        <v>50</v>
      </c>
      <c r="J35" s="107">
        <f>H35/E35</f>
        <v>0</v>
      </c>
    </row>
  </sheetData>
  <mergeCells count="15">
    <mergeCell ref="C31:J31"/>
    <mergeCell ref="C34:C35"/>
    <mergeCell ref="C3:K3"/>
    <mergeCell ref="C4:K4"/>
    <mergeCell ref="C28:J28"/>
    <mergeCell ref="C29:J29"/>
    <mergeCell ref="D20:E20"/>
    <mergeCell ref="D18:E18"/>
    <mergeCell ref="C5:K5"/>
    <mergeCell ref="C9:C22"/>
    <mergeCell ref="D19:E19"/>
    <mergeCell ref="C30:J30"/>
    <mergeCell ref="D6:K6"/>
    <mergeCell ref="D9:D16"/>
    <mergeCell ref="D22:E22"/>
  </mergeCells>
  <pageMargins left="0.7" right="0.7" top="0.75" bottom="0.75" header="0.3" footer="0.3"/>
  <pageSetup paperSize="172" orientation="portrait" r:id="rId1"/>
  <ignoredErrors>
    <ignoredError sqref="H22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637"/>
  <sheetViews>
    <sheetView showGridLines="0" topLeftCell="A6" zoomScale="80" zoomScaleNormal="80" workbookViewId="0">
      <pane ySplit="1" topLeftCell="A7" activePane="bottomLeft" state="frozen"/>
      <selection activeCell="A6" sqref="A6"/>
      <selection pane="bottomLeft" activeCell="O604" sqref="O604:O605"/>
    </sheetView>
  </sheetViews>
  <sheetFormatPr baseColWidth="10" defaultColWidth="11.42578125" defaultRowHeight="12"/>
  <cols>
    <col min="1" max="1" width="7" style="110" customWidth="1"/>
    <col min="2" max="2" width="16.85546875" style="110" customWidth="1"/>
    <col min="3" max="3" width="11.7109375" style="111" bestFit="1" customWidth="1"/>
    <col min="4" max="4" width="22" style="111" customWidth="1"/>
    <col min="5" max="5" width="57" style="111" customWidth="1"/>
    <col min="6" max="6" width="10.85546875" style="110" bestFit="1" customWidth="1"/>
    <col min="7" max="7" width="18.28515625" style="112" bestFit="1" customWidth="1"/>
    <col min="8" max="8" width="16.140625" style="112" bestFit="1" customWidth="1"/>
    <col min="9" max="9" width="17.28515625" style="112" bestFit="1" customWidth="1"/>
    <col min="10" max="10" width="12" style="113" bestFit="1" customWidth="1"/>
    <col min="11" max="11" width="10.85546875" style="112" bestFit="1" customWidth="1"/>
    <col min="12" max="12" width="13.85546875" style="112" customWidth="1"/>
    <col min="13" max="13" width="13.28515625" style="114" bestFit="1" customWidth="1"/>
    <col min="14" max="14" width="18.28515625" style="112" customWidth="1"/>
    <col min="15" max="15" width="16.140625" style="112" bestFit="1" customWidth="1"/>
    <col min="16" max="16" width="17.28515625" style="112" bestFit="1" customWidth="1"/>
    <col min="17" max="17" width="12" style="112" bestFit="1" customWidth="1"/>
    <col min="18" max="18" width="10.140625" style="112" bestFit="1" customWidth="1"/>
    <col min="19" max="19" width="13.7109375" style="115" customWidth="1"/>
    <col min="20" max="20" width="16.5703125" style="117" customWidth="1"/>
    <col min="21" max="21" width="13.5703125" style="118" customWidth="1"/>
    <col min="22" max="22" width="15.7109375" style="118" customWidth="1"/>
    <col min="23" max="23" width="11.28515625" style="118" customWidth="1"/>
    <col min="24" max="24" width="6.85546875" style="118" bestFit="1" customWidth="1"/>
    <col min="25" max="25" width="13.42578125" style="118" customWidth="1"/>
    <col min="26" max="26" width="19.85546875" style="118" customWidth="1"/>
    <col min="27" max="27" width="11.5703125" style="119" customWidth="1"/>
    <col min="28" max="28" width="8.85546875" style="119" customWidth="1"/>
    <col min="29" max="29" width="14.5703125" style="119" customWidth="1"/>
    <col min="30" max="30" width="7.5703125" style="119" customWidth="1"/>
    <col min="31" max="31" width="8.85546875" style="119" customWidth="1"/>
    <col min="32" max="50" width="11.5703125" style="119" customWidth="1"/>
    <col min="51" max="16384" width="11.42578125" style="119"/>
  </cols>
  <sheetData>
    <row r="1" spans="1:19" ht="0.6" customHeight="1"/>
    <row r="2" spans="1:19" ht="4.9000000000000004" customHeight="1"/>
    <row r="3" spans="1:19" ht="26.25" customHeight="1">
      <c r="B3" s="365" t="s">
        <v>311</v>
      </c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365"/>
      <c r="O3" s="365"/>
      <c r="P3" s="365"/>
      <c r="Q3" s="365"/>
      <c r="R3" s="365"/>
      <c r="S3" s="365"/>
    </row>
    <row r="4" spans="1:19" ht="32.25" customHeight="1">
      <c r="B4" s="366">
        <f>RESUMEN!D5</f>
        <v>0</v>
      </c>
      <c r="C4" s="366"/>
      <c r="D4" s="366"/>
      <c r="E4" s="366"/>
      <c r="F4" s="366"/>
      <c r="G4" s="366"/>
      <c r="H4" s="366"/>
      <c r="I4" s="366"/>
      <c r="J4" s="366"/>
      <c r="K4" s="366"/>
      <c r="L4" s="366"/>
      <c r="M4" s="366"/>
      <c r="N4" s="366"/>
      <c r="O4" s="366"/>
      <c r="P4" s="366"/>
      <c r="Q4" s="366"/>
      <c r="R4" s="366"/>
      <c r="S4" s="366"/>
    </row>
    <row r="5" spans="1:19" ht="62.25" hidden="1" customHeight="1" thickBot="1">
      <c r="B5" s="351" t="s">
        <v>356</v>
      </c>
      <c r="C5" s="352"/>
      <c r="D5" s="352"/>
      <c r="E5" s="352"/>
      <c r="F5" s="352"/>
      <c r="G5" s="352"/>
      <c r="H5" s="352"/>
      <c r="I5" s="352"/>
      <c r="J5" s="352"/>
      <c r="K5" s="352"/>
      <c r="L5" s="352"/>
      <c r="M5" s="353"/>
      <c r="N5" s="358" t="s">
        <v>0</v>
      </c>
      <c r="O5" s="359"/>
      <c r="P5" s="359"/>
      <c r="Q5" s="359"/>
      <c r="R5" s="359"/>
      <c r="S5" s="360"/>
    </row>
    <row r="6" spans="1:19" ht="25.9" customHeight="1">
      <c r="B6" s="185" t="s">
        <v>68</v>
      </c>
      <c r="C6" s="186" t="s">
        <v>53</v>
      </c>
      <c r="D6" s="186" t="s">
        <v>524</v>
      </c>
      <c r="E6" s="186" t="s">
        <v>523</v>
      </c>
      <c r="F6" s="185" t="s">
        <v>525</v>
      </c>
      <c r="G6" s="185" t="s">
        <v>526</v>
      </c>
      <c r="H6" s="185" t="s">
        <v>500</v>
      </c>
      <c r="I6" s="185" t="s">
        <v>501</v>
      </c>
      <c r="J6" s="186" t="s">
        <v>527</v>
      </c>
      <c r="K6" s="185" t="s">
        <v>502</v>
      </c>
      <c r="L6" s="185" t="s">
        <v>503</v>
      </c>
      <c r="M6" s="187" t="s">
        <v>528</v>
      </c>
      <c r="N6" s="185" t="s">
        <v>526</v>
      </c>
      <c r="O6" s="185" t="s">
        <v>500</v>
      </c>
      <c r="P6" s="185" t="s">
        <v>501</v>
      </c>
      <c r="Q6" s="186" t="s">
        <v>527</v>
      </c>
      <c r="R6" s="185" t="s">
        <v>502</v>
      </c>
      <c r="S6" s="185" t="s">
        <v>503</v>
      </c>
    </row>
    <row r="7" spans="1:19">
      <c r="B7" s="339" t="s">
        <v>529</v>
      </c>
      <c r="C7" s="345" t="s">
        <v>253</v>
      </c>
      <c r="D7" s="345" t="s">
        <v>253</v>
      </c>
      <c r="E7" s="350" t="s">
        <v>253</v>
      </c>
      <c r="F7" s="129" t="s">
        <v>488</v>
      </c>
      <c r="G7" s="172">
        <v>11.946</v>
      </c>
      <c r="H7" s="172"/>
      <c r="I7" s="172">
        <f>G7+H7</f>
        <v>11.946</v>
      </c>
      <c r="J7" s="292">
        <v>0</v>
      </c>
      <c r="K7" s="172">
        <f>I7-J7</f>
        <v>11.946</v>
      </c>
      <c r="L7" s="175">
        <f>J7/I7</f>
        <v>0</v>
      </c>
      <c r="M7" s="176" t="s">
        <v>12</v>
      </c>
      <c r="N7" s="334">
        <f>G7+G8</f>
        <v>23.891999999999999</v>
      </c>
      <c r="O7" s="334">
        <f>H7+H8</f>
        <v>0</v>
      </c>
      <c r="P7" s="334">
        <f>N7+O7</f>
        <v>23.891999999999999</v>
      </c>
      <c r="Q7" s="334">
        <f>J7+J8</f>
        <v>4.8000000000000001E-2</v>
      </c>
      <c r="R7" s="334">
        <f>P7-Q7</f>
        <v>23.844000000000001</v>
      </c>
      <c r="S7" s="332">
        <f>Q7/P7</f>
        <v>2.0090406830738324E-3</v>
      </c>
    </row>
    <row r="8" spans="1:19">
      <c r="B8" s="339"/>
      <c r="C8" s="345"/>
      <c r="D8" s="345"/>
      <c r="E8" s="350"/>
      <c r="F8" s="129" t="s">
        <v>10</v>
      </c>
      <c r="G8" s="172">
        <v>11.946</v>
      </c>
      <c r="H8" s="172"/>
      <c r="I8" s="172">
        <f>G8+H8+K7</f>
        <v>23.891999999999999</v>
      </c>
      <c r="J8" s="292">
        <v>4.8000000000000001E-2</v>
      </c>
      <c r="K8" s="172">
        <f>I8-J8</f>
        <v>23.844000000000001</v>
      </c>
      <c r="L8" s="175">
        <f t="shared" ref="L8:L16" si="0">J8/I8</f>
        <v>2.0090406830738324E-3</v>
      </c>
      <c r="M8" s="176" t="s">
        <v>12</v>
      </c>
      <c r="N8" s="334"/>
      <c r="O8" s="334"/>
      <c r="P8" s="334"/>
      <c r="Q8" s="334"/>
      <c r="R8" s="334"/>
      <c r="S8" s="332"/>
    </row>
    <row r="9" spans="1:19">
      <c r="B9" s="339"/>
      <c r="C9" s="345" t="s">
        <v>251</v>
      </c>
      <c r="D9" s="345" t="s">
        <v>251</v>
      </c>
      <c r="E9" s="344" t="s">
        <v>270</v>
      </c>
      <c r="F9" s="129" t="s">
        <v>488</v>
      </c>
      <c r="G9" s="172">
        <v>112.84099999999999</v>
      </c>
      <c r="H9" s="172"/>
      <c r="I9" s="172">
        <f>G9+H9</f>
        <v>112.84099999999999</v>
      </c>
      <c r="J9" s="292">
        <v>81.394000000000005</v>
      </c>
      <c r="K9" s="172">
        <f t="shared" ref="K9:K10" si="1">I9-J9</f>
        <v>31.446999999999989</v>
      </c>
      <c r="L9" s="175">
        <f t="shared" si="0"/>
        <v>0.7213158337838198</v>
      </c>
      <c r="M9" s="176" t="s">
        <v>12</v>
      </c>
      <c r="N9" s="334">
        <f>G9+G10</f>
        <v>225.68199999999999</v>
      </c>
      <c r="O9" s="334">
        <f>H9+H10</f>
        <v>0</v>
      </c>
      <c r="P9" s="334">
        <f>N9+O9</f>
        <v>225.68199999999999</v>
      </c>
      <c r="Q9" s="334">
        <f>J9+J10</f>
        <v>205.714</v>
      </c>
      <c r="R9" s="334">
        <f>P9-Q9</f>
        <v>19.967999999999989</v>
      </c>
      <c r="S9" s="332">
        <f>Q9/P9</f>
        <v>0.91152152143281262</v>
      </c>
    </row>
    <row r="10" spans="1:19">
      <c r="B10" s="339"/>
      <c r="C10" s="345"/>
      <c r="D10" s="345"/>
      <c r="E10" s="344"/>
      <c r="F10" s="129" t="s">
        <v>10</v>
      </c>
      <c r="G10" s="172">
        <v>112.84099999999999</v>
      </c>
      <c r="H10" s="172"/>
      <c r="I10" s="172">
        <f>G10+H10+K9</f>
        <v>144.28799999999998</v>
      </c>
      <c r="J10" s="292">
        <v>124.32</v>
      </c>
      <c r="K10" s="172">
        <f t="shared" si="1"/>
        <v>19.967999999999989</v>
      </c>
      <c r="L10" s="175">
        <f t="shared" si="0"/>
        <v>0.8616101131071191</v>
      </c>
      <c r="M10" s="176" t="s">
        <v>12</v>
      </c>
      <c r="N10" s="334"/>
      <c r="O10" s="334"/>
      <c r="P10" s="334"/>
      <c r="Q10" s="334"/>
      <c r="R10" s="334"/>
      <c r="S10" s="332"/>
    </row>
    <row r="11" spans="1:19">
      <c r="B11" s="339"/>
      <c r="C11" s="345"/>
      <c r="D11" s="345"/>
      <c r="E11" s="344" t="s">
        <v>249</v>
      </c>
      <c r="F11" s="129" t="s">
        <v>488</v>
      </c>
      <c r="G11" s="172">
        <v>143.81399999999999</v>
      </c>
      <c r="H11" s="172"/>
      <c r="I11" s="172">
        <f>G11+H11</f>
        <v>143.81399999999999</v>
      </c>
      <c r="J11" s="292">
        <v>41.682000000000002</v>
      </c>
      <c r="K11" s="172">
        <f t="shared" ref="K11:K14" si="2">I11-J11</f>
        <v>102.13199999999999</v>
      </c>
      <c r="L11" s="175">
        <f t="shared" si="0"/>
        <v>0.28983270057157162</v>
      </c>
      <c r="M11" s="176" t="s">
        <v>12</v>
      </c>
      <c r="N11" s="334">
        <f>G11+G12</f>
        <v>287.62799999999999</v>
      </c>
      <c r="O11" s="334">
        <f>H11+H12</f>
        <v>0</v>
      </c>
      <c r="P11" s="334">
        <f>N11+O11</f>
        <v>287.62799999999999</v>
      </c>
      <c r="Q11" s="334">
        <f>J11+J12</f>
        <v>76.647999999999996</v>
      </c>
      <c r="R11" s="334">
        <f>P11-Q11</f>
        <v>210.98</v>
      </c>
      <c r="S11" s="332">
        <f>Q11/P11</f>
        <v>0.26648309622150834</v>
      </c>
    </row>
    <row r="12" spans="1:19">
      <c r="B12" s="339"/>
      <c r="C12" s="345"/>
      <c r="D12" s="345"/>
      <c r="E12" s="344"/>
      <c r="F12" s="129" t="s">
        <v>10</v>
      </c>
      <c r="G12" s="172">
        <v>143.81399999999999</v>
      </c>
      <c r="H12" s="172"/>
      <c r="I12" s="172">
        <f>G12+H12+K11</f>
        <v>245.94599999999997</v>
      </c>
      <c r="J12" s="292">
        <v>34.966000000000001</v>
      </c>
      <c r="K12" s="172">
        <f t="shared" si="2"/>
        <v>210.97999999999996</v>
      </c>
      <c r="L12" s="175">
        <f t="shared" si="0"/>
        <v>0.14216941930342436</v>
      </c>
      <c r="M12" s="176" t="s">
        <v>12</v>
      </c>
      <c r="N12" s="334"/>
      <c r="O12" s="334"/>
      <c r="P12" s="334"/>
      <c r="Q12" s="334"/>
      <c r="R12" s="334"/>
      <c r="S12" s="332"/>
    </row>
    <row r="13" spans="1:19">
      <c r="B13" s="339"/>
      <c r="C13" s="345" t="s">
        <v>252</v>
      </c>
      <c r="D13" s="345" t="s">
        <v>252</v>
      </c>
      <c r="E13" s="350" t="s">
        <v>252</v>
      </c>
      <c r="F13" s="129" t="s">
        <v>488</v>
      </c>
      <c r="G13" s="172">
        <v>39.835000000000001</v>
      </c>
      <c r="H13" s="172"/>
      <c r="I13" s="172">
        <f>G13+H13</f>
        <v>39.835000000000001</v>
      </c>
      <c r="J13" s="292">
        <v>3.3130000000000002</v>
      </c>
      <c r="K13" s="172">
        <f t="shared" si="2"/>
        <v>36.521999999999998</v>
      </c>
      <c r="L13" s="175">
        <f t="shared" si="0"/>
        <v>8.3168068281661858E-2</v>
      </c>
      <c r="M13" s="176" t="s">
        <v>12</v>
      </c>
      <c r="N13" s="334">
        <f>G13+G14</f>
        <v>79.67</v>
      </c>
      <c r="O13" s="334">
        <f>H13+H14</f>
        <v>0</v>
      </c>
      <c r="P13" s="334">
        <f>N13+O13</f>
        <v>79.67</v>
      </c>
      <c r="Q13" s="334">
        <f>J13+J14</f>
        <v>19.184999999999999</v>
      </c>
      <c r="R13" s="334">
        <f>P13-Q13</f>
        <v>60.484999999999999</v>
      </c>
      <c r="S13" s="332">
        <f>Q13/P13</f>
        <v>0.24080582402409939</v>
      </c>
    </row>
    <row r="14" spans="1:19">
      <c r="B14" s="339"/>
      <c r="C14" s="345"/>
      <c r="D14" s="345"/>
      <c r="E14" s="350"/>
      <c r="F14" s="129" t="s">
        <v>10</v>
      </c>
      <c r="G14" s="172">
        <v>39.835000000000001</v>
      </c>
      <c r="H14" s="172"/>
      <c r="I14" s="172">
        <f>G14+H14+K13</f>
        <v>76.356999999999999</v>
      </c>
      <c r="J14" s="292">
        <v>15.872</v>
      </c>
      <c r="K14" s="172">
        <f t="shared" si="2"/>
        <v>60.484999999999999</v>
      </c>
      <c r="L14" s="175">
        <f t="shared" si="0"/>
        <v>0.20786568356535748</v>
      </c>
      <c r="M14" s="176" t="s">
        <v>12</v>
      </c>
      <c r="N14" s="334"/>
      <c r="O14" s="334"/>
      <c r="P14" s="334"/>
      <c r="Q14" s="334"/>
      <c r="R14" s="334"/>
      <c r="S14" s="332"/>
    </row>
    <row r="15" spans="1:19">
      <c r="A15" s="119"/>
      <c r="B15" s="339"/>
      <c r="C15" s="329" t="s">
        <v>87</v>
      </c>
      <c r="D15" s="329"/>
      <c r="E15" s="329"/>
      <c r="F15" s="177" t="s">
        <v>488</v>
      </c>
      <c r="G15" s="178">
        <f>G7+G9+G11+G13</f>
        <v>308.43599999999998</v>
      </c>
      <c r="H15" s="109">
        <f>H7+H9+H11+H13</f>
        <v>0</v>
      </c>
      <c r="I15" s="178">
        <f>G15+H15</f>
        <v>308.43599999999998</v>
      </c>
      <c r="J15" s="295">
        <f>J7+J9+J11+J13</f>
        <v>126.38900000000001</v>
      </c>
      <c r="K15" s="178">
        <f>I15-J15</f>
        <v>182.04699999999997</v>
      </c>
      <c r="L15" s="179">
        <f t="shared" si="0"/>
        <v>0.40977382666096052</v>
      </c>
      <c r="M15" s="180" t="s">
        <v>12</v>
      </c>
      <c r="N15" s="343">
        <f>G15+G16</f>
        <v>616.87199999999996</v>
      </c>
      <c r="O15" s="343">
        <f>H15+H16</f>
        <v>0</v>
      </c>
      <c r="P15" s="343">
        <f>N15+O15</f>
        <v>616.87199999999996</v>
      </c>
      <c r="Q15" s="343">
        <f>J15+J16</f>
        <v>301.59500000000003</v>
      </c>
      <c r="R15" s="343">
        <f>P15-Q15</f>
        <v>315.27699999999993</v>
      </c>
      <c r="S15" s="349">
        <f>Q15/P15</f>
        <v>0.48891017909712231</v>
      </c>
    </row>
    <row r="16" spans="1:19">
      <c r="A16" s="119"/>
      <c r="B16" s="339"/>
      <c r="C16" s="329"/>
      <c r="D16" s="329"/>
      <c r="E16" s="329"/>
      <c r="F16" s="177" t="s">
        <v>10</v>
      </c>
      <c r="G16" s="178">
        <f>G8+G10+G12+G14</f>
        <v>308.43599999999998</v>
      </c>
      <c r="H16" s="109">
        <f>H8+H10+H12+H14</f>
        <v>0</v>
      </c>
      <c r="I16" s="178">
        <f>G16+H16+K15</f>
        <v>490.48299999999995</v>
      </c>
      <c r="J16" s="295">
        <f>J8+J10+J12+J14</f>
        <v>175.20600000000002</v>
      </c>
      <c r="K16" s="178">
        <f>I16-J16</f>
        <v>315.27699999999993</v>
      </c>
      <c r="L16" s="179">
        <f t="shared" si="0"/>
        <v>0.35721115716548796</v>
      </c>
      <c r="M16" s="180" t="s">
        <v>12</v>
      </c>
      <c r="N16" s="343"/>
      <c r="O16" s="343"/>
      <c r="P16" s="343"/>
      <c r="Q16" s="343"/>
      <c r="R16" s="343"/>
      <c r="S16" s="349"/>
    </row>
    <row r="17" spans="1:21" ht="19.899999999999999" customHeight="1">
      <c r="A17" s="119"/>
      <c r="B17" s="120"/>
      <c r="C17" s="121"/>
      <c r="D17" s="121"/>
      <c r="E17" s="122"/>
      <c r="F17" s="119"/>
      <c r="G17" s="173"/>
      <c r="H17" s="173"/>
      <c r="I17" s="124"/>
      <c r="J17" s="125"/>
      <c r="K17" s="124"/>
      <c r="L17" s="126"/>
      <c r="M17" s="127"/>
      <c r="N17" s="123"/>
      <c r="O17" s="123"/>
      <c r="P17" s="123"/>
      <c r="Q17" s="123"/>
      <c r="R17" s="123"/>
      <c r="S17" s="128"/>
    </row>
    <row r="18" spans="1:21" ht="19.899999999999999" customHeight="1">
      <c r="A18" s="119"/>
      <c r="B18" s="120"/>
      <c r="C18" s="121"/>
      <c r="D18" s="121"/>
      <c r="E18" s="122"/>
      <c r="F18" s="119"/>
      <c r="G18" s="173"/>
      <c r="H18" s="173"/>
      <c r="I18" s="124"/>
      <c r="J18" s="125"/>
      <c r="K18" s="124"/>
      <c r="L18" s="126"/>
      <c r="M18" s="127"/>
      <c r="N18" s="123"/>
      <c r="O18" s="123"/>
      <c r="P18" s="123"/>
      <c r="Q18" s="123"/>
      <c r="R18" s="123"/>
      <c r="S18" s="128"/>
    </row>
    <row r="19" spans="1:21" ht="19.899999999999999" customHeight="1">
      <c r="A19" s="119"/>
      <c r="B19" s="120"/>
      <c r="C19" s="121"/>
      <c r="D19" s="121"/>
      <c r="E19" s="122"/>
      <c r="F19" s="119"/>
      <c r="G19" s="173"/>
      <c r="H19" s="173"/>
      <c r="I19" s="124"/>
      <c r="J19" s="125"/>
      <c r="K19" s="124"/>
      <c r="L19" s="126"/>
      <c r="M19" s="127"/>
      <c r="N19" s="123"/>
      <c r="O19" s="123"/>
      <c r="P19" s="123"/>
      <c r="Q19" s="123"/>
      <c r="R19" s="123"/>
      <c r="S19" s="128"/>
    </row>
    <row r="20" spans="1:21">
      <c r="B20" s="339" t="s">
        <v>530</v>
      </c>
      <c r="C20" s="345" t="s">
        <v>362</v>
      </c>
      <c r="D20" s="345" t="s">
        <v>253</v>
      </c>
      <c r="E20" s="345" t="s">
        <v>332</v>
      </c>
      <c r="F20" s="129" t="s">
        <v>488</v>
      </c>
      <c r="G20" s="172">
        <v>335.78300000000002</v>
      </c>
      <c r="H20" s="172"/>
      <c r="I20" s="172">
        <f>G20+H20</f>
        <v>335.78300000000002</v>
      </c>
      <c r="J20" s="292">
        <v>171.48400000000001</v>
      </c>
      <c r="K20" s="93">
        <f t="shared" ref="K20:K44" si="3">I20-J20</f>
        <v>164.29900000000001</v>
      </c>
      <c r="L20" s="169">
        <f t="shared" ref="L20:L44" si="4">J20/I20</f>
        <v>0.51069887397515656</v>
      </c>
      <c r="M20" s="176" t="s">
        <v>218</v>
      </c>
      <c r="N20" s="334">
        <f>G20+G21</f>
        <v>671.56600000000003</v>
      </c>
      <c r="O20" s="334">
        <f>H20+H21</f>
        <v>0</v>
      </c>
      <c r="P20" s="334">
        <f>N20+O20</f>
        <v>671.56600000000003</v>
      </c>
      <c r="Q20" s="334">
        <f>J20+J21</f>
        <v>524.98800000000006</v>
      </c>
      <c r="R20" s="334">
        <f>P20-Q20</f>
        <v>146.57799999999997</v>
      </c>
      <c r="S20" s="332">
        <f>Q20/P20</f>
        <v>0.78173701467912315</v>
      </c>
      <c r="T20" s="140"/>
      <c r="U20" s="141"/>
    </row>
    <row r="21" spans="1:21">
      <c r="B21" s="339"/>
      <c r="C21" s="345"/>
      <c r="D21" s="345"/>
      <c r="E21" s="345"/>
      <c r="F21" s="129" t="s">
        <v>10</v>
      </c>
      <c r="G21" s="172">
        <v>335.78300000000002</v>
      </c>
      <c r="H21" s="172"/>
      <c r="I21" s="172">
        <f>G21+H21+K20</f>
        <v>500.08199999999999</v>
      </c>
      <c r="J21" s="292">
        <f>354.093-0.589</f>
        <v>353.50400000000002</v>
      </c>
      <c r="K21" s="172">
        <f t="shared" si="3"/>
        <v>146.57799999999997</v>
      </c>
      <c r="L21" s="169">
        <f t="shared" si="4"/>
        <v>0.70689206970056917</v>
      </c>
      <c r="M21" s="176" t="s">
        <v>218</v>
      </c>
      <c r="N21" s="334"/>
      <c r="O21" s="334"/>
      <c r="P21" s="334"/>
      <c r="Q21" s="334"/>
      <c r="R21" s="334"/>
      <c r="S21" s="332"/>
      <c r="T21" s="140"/>
      <c r="U21" s="141"/>
    </row>
    <row r="22" spans="1:21">
      <c r="B22" s="339"/>
      <c r="C22" s="345" t="s">
        <v>251</v>
      </c>
      <c r="D22" s="345" t="s">
        <v>251</v>
      </c>
      <c r="E22" s="344" t="s">
        <v>489</v>
      </c>
      <c r="F22" s="129" t="s">
        <v>488</v>
      </c>
      <c r="G22" s="172">
        <v>600.51199999999994</v>
      </c>
      <c r="H22" s="172"/>
      <c r="I22" s="172">
        <f>G22+H22</f>
        <v>600.51199999999994</v>
      </c>
      <c r="J22" s="292">
        <v>145.59100000000001</v>
      </c>
      <c r="K22" s="172">
        <f t="shared" si="3"/>
        <v>454.92099999999994</v>
      </c>
      <c r="L22" s="169">
        <f t="shared" si="4"/>
        <v>0.2424447804540126</v>
      </c>
      <c r="M22" s="176" t="s">
        <v>218</v>
      </c>
      <c r="N22" s="334">
        <f>G22+G23</f>
        <v>1201.0239999999999</v>
      </c>
      <c r="O22" s="334">
        <f>H22+H23</f>
        <v>-700</v>
      </c>
      <c r="P22" s="334">
        <f>N22+O22</f>
        <v>501.02399999999989</v>
      </c>
      <c r="Q22" s="334">
        <f>J22+J23</f>
        <v>260.98599999999999</v>
      </c>
      <c r="R22" s="334">
        <f>P22-Q22</f>
        <v>240.0379999999999</v>
      </c>
      <c r="S22" s="332">
        <f>Q22/P22</f>
        <v>0.52090518617870607</v>
      </c>
      <c r="T22" s="140"/>
      <c r="U22" s="141"/>
    </row>
    <row r="23" spans="1:21">
      <c r="B23" s="339"/>
      <c r="C23" s="345"/>
      <c r="D23" s="345"/>
      <c r="E23" s="344"/>
      <c r="F23" s="129" t="s">
        <v>10</v>
      </c>
      <c r="G23" s="172">
        <v>600.51199999999994</v>
      </c>
      <c r="H23" s="172">
        <f>-700</f>
        <v>-700</v>
      </c>
      <c r="I23" s="172">
        <f>G23+H23+K22</f>
        <v>355.43299999999988</v>
      </c>
      <c r="J23" s="292">
        <v>115.395</v>
      </c>
      <c r="K23" s="172">
        <f>I23-J23</f>
        <v>240.0379999999999</v>
      </c>
      <c r="L23" s="169">
        <f t="shared" si="4"/>
        <v>0.3246603438622751</v>
      </c>
      <c r="M23" s="176" t="s">
        <v>218</v>
      </c>
      <c r="N23" s="334"/>
      <c r="O23" s="334"/>
      <c r="P23" s="334"/>
      <c r="Q23" s="334"/>
      <c r="R23" s="334"/>
      <c r="S23" s="332"/>
      <c r="T23" s="140"/>
      <c r="U23" s="141"/>
    </row>
    <row r="24" spans="1:21">
      <c r="B24" s="339"/>
      <c r="C24" s="345"/>
      <c r="D24" s="345"/>
      <c r="E24" s="344" t="s">
        <v>490</v>
      </c>
      <c r="F24" s="129" t="s">
        <v>488</v>
      </c>
      <c r="G24" s="172">
        <v>74.316000000000003</v>
      </c>
      <c r="H24" s="172"/>
      <c r="I24" s="172">
        <f>G24+H24</f>
        <v>74.316000000000003</v>
      </c>
      <c r="J24" s="292">
        <v>11.989000000000001</v>
      </c>
      <c r="K24" s="172">
        <f t="shared" si="3"/>
        <v>62.326999999999998</v>
      </c>
      <c r="L24" s="169">
        <f t="shared" si="4"/>
        <v>0.16132461381129232</v>
      </c>
      <c r="M24" s="176" t="s">
        <v>218</v>
      </c>
      <c r="N24" s="334">
        <f>G24+G25</f>
        <v>148.63200000000001</v>
      </c>
      <c r="O24" s="334">
        <f t="shared" ref="O24" si="5">H24+H25</f>
        <v>0</v>
      </c>
      <c r="P24" s="334">
        <f t="shared" ref="P24" si="6">N24+O24</f>
        <v>148.63200000000001</v>
      </c>
      <c r="Q24" s="334">
        <f t="shared" ref="Q24" si="7">J24+J25</f>
        <v>33.588999999999999</v>
      </c>
      <c r="R24" s="334">
        <f t="shared" ref="R24" si="8">P24-Q24</f>
        <v>115.04300000000001</v>
      </c>
      <c r="S24" s="332">
        <f t="shared" ref="S24" si="9">Q24/P24</f>
        <v>0.22598767425588029</v>
      </c>
      <c r="T24" s="140"/>
      <c r="U24" s="141"/>
    </row>
    <row r="25" spans="1:21">
      <c r="B25" s="339"/>
      <c r="C25" s="345"/>
      <c r="D25" s="345"/>
      <c r="E25" s="344"/>
      <c r="F25" s="129" t="s">
        <v>10</v>
      </c>
      <c r="G25" s="172">
        <v>74.316000000000003</v>
      </c>
      <c r="H25" s="172"/>
      <c r="I25" s="172">
        <f>G25+H25+K24</f>
        <v>136.643</v>
      </c>
      <c r="J25" s="292">
        <v>21.6</v>
      </c>
      <c r="K25" s="172">
        <f t="shared" si="3"/>
        <v>115.04300000000001</v>
      </c>
      <c r="L25" s="169">
        <f t="shared" si="4"/>
        <v>0.15807615465117131</v>
      </c>
      <c r="M25" s="176" t="s">
        <v>218</v>
      </c>
      <c r="N25" s="334"/>
      <c r="O25" s="334"/>
      <c r="P25" s="334"/>
      <c r="Q25" s="334"/>
      <c r="R25" s="334"/>
      <c r="S25" s="332"/>
      <c r="T25" s="140"/>
      <c r="U25" s="141"/>
    </row>
    <row r="26" spans="1:21">
      <c r="B26" s="339"/>
      <c r="C26" s="345"/>
      <c r="D26" s="345"/>
      <c r="E26" s="344" t="s">
        <v>491</v>
      </c>
      <c r="F26" s="129" t="s">
        <v>488</v>
      </c>
      <c r="G26" s="172">
        <v>89.884</v>
      </c>
      <c r="H26" s="172"/>
      <c r="I26" s="172">
        <f>G26+H26</f>
        <v>89.884</v>
      </c>
      <c r="J26" s="292">
        <v>17.151</v>
      </c>
      <c r="K26" s="172">
        <f t="shared" si="3"/>
        <v>72.733000000000004</v>
      </c>
      <c r="L26" s="169">
        <f t="shared" si="4"/>
        <v>0.19081260291041788</v>
      </c>
      <c r="M26" s="176" t="s">
        <v>218</v>
      </c>
      <c r="N26" s="334">
        <f>G26+G27</f>
        <v>179.768</v>
      </c>
      <c r="O26" s="334">
        <f t="shared" ref="O26" si="10">H26+H27</f>
        <v>0</v>
      </c>
      <c r="P26" s="334">
        <f t="shared" ref="P26" si="11">N26+O26</f>
        <v>179.768</v>
      </c>
      <c r="Q26" s="334">
        <f t="shared" ref="Q26" si="12">J26+J27</f>
        <v>36.188000000000002</v>
      </c>
      <c r="R26" s="334">
        <f t="shared" ref="R26" si="13">P26-Q26</f>
        <v>143.57999999999998</v>
      </c>
      <c r="S26" s="332">
        <f t="shared" ref="S26" si="14">Q26/P26</f>
        <v>0.20130390280806373</v>
      </c>
      <c r="T26" s="140"/>
      <c r="U26" s="141"/>
    </row>
    <row r="27" spans="1:21">
      <c r="B27" s="339"/>
      <c r="C27" s="345"/>
      <c r="D27" s="345"/>
      <c r="E27" s="344"/>
      <c r="F27" s="129" t="s">
        <v>10</v>
      </c>
      <c r="G27" s="172">
        <v>89.884</v>
      </c>
      <c r="H27" s="172"/>
      <c r="I27" s="172">
        <f>G27+H27+K26</f>
        <v>162.61700000000002</v>
      </c>
      <c r="J27" s="292">
        <v>19.036999999999999</v>
      </c>
      <c r="K27" s="172">
        <f t="shared" si="3"/>
        <v>143.58000000000001</v>
      </c>
      <c r="L27" s="169">
        <f t="shared" si="4"/>
        <v>0.117066481364187</v>
      </c>
      <c r="M27" s="176" t="s">
        <v>218</v>
      </c>
      <c r="N27" s="334"/>
      <c r="O27" s="334"/>
      <c r="P27" s="334"/>
      <c r="Q27" s="334"/>
      <c r="R27" s="334"/>
      <c r="S27" s="332"/>
      <c r="T27" s="140"/>
      <c r="U27" s="141"/>
    </row>
    <row r="28" spans="1:21">
      <c r="B28" s="339"/>
      <c r="C28" s="345"/>
      <c r="D28" s="345"/>
      <c r="E28" s="344" t="s">
        <v>492</v>
      </c>
      <c r="F28" s="129" t="s">
        <v>488</v>
      </c>
      <c r="G28" s="172">
        <v>163.119</v>
      </c>
      <c r="H28" s="172"/>
      <c r="I28" s="172">
        <f>G28+H28</f>
        <v>163.119</v>
      </c>
      <c r="J28" s="292">
        <v>89.866</v>
      </c>
      <c r="K28" s="172">
        <f t="shared" si="3"/>
        <v>73.253</v>
      </c>
      <c r="L28" s="169">
        <f t="shared" si="4"/>
        <v>0.55092294582482726</v>
      </c>
      <c r="M28" s="176" t="s">
        <v>218</v>
      </c>
      <c r="N28" s="334">
        <f>G28+G29</f>
        <v>326.238</v>
      </c>
      <c r="O28" s="334">
        <f t="shared" ref="O28" si="15">H28+H29</f>
        <v>-150</v>
      </c>
      <c r="P28" s="334">
        <f t="shared" ref="P28" si="16">N28+O28</f>
        <v>176.238</v>
      </c>
      <c r="Q28" s="334">
        <f t="shared" ref="Q28" si="17">J28+J29</f>
        <v>164.19400000000002</v>
      </c>
      <c r="R28" s="334">
        <f t="shared" ref="R28" si="18">P28-Q28</f>
        <v>12.043999999999983</v>
      </c>
      <c r="S28" s="332">
        <f t="shared" ref="S28" si="19">Q28/P28</f>
        <v>0.9316605953313134</v>
      </c>
      <c r="T28" s="140"/>
      <c r="U28" s="141"/>
    </row>
    <row r="29" spans="1:21">
      <c r="B29" s="339"/>
      <c r="C29" s="345"/>
      <c r="D29" s="345"/>
      <c r="E29" s="344"/>
      <c r="F29" s="129" t="s">
        <v>10</v>
      </c>
      <c r="G29" s="172">
        <v>163.119</v>
      </c>
      <c r="H29" s="172">
        <f>-150</f>
        <v>-150</v>
      </c>
      <c r="I29" s="172">
        <f>G29+H29+K28</f>
        <v>86.372</v>
      </c>
      <c r="J29" s="292">
        <v>74.328000000000003</v>
      </c>
      <c r="K29" s="172">
        <f t="shared" si="3"/>
        <v>12.043999999999997</v>
      </c>
      <c r="L29" s="169">
        <f t="shared" si="4"/>
        <v>0.8605566618811652</v>
      </c>
      <c r="M29" s="176" t="s">
        <v>218</v>
      </c>
      <c r="N29" s="334"/>
      <c r="O29" s="334"/>
      <c r="P29" s="334"/>
      <c r="Q29" s="334"/>
      <c r="R29" s="334"/>
      <c r="S29" s="332"/>
      <c r="T29" s="140"/>
      <c r="U29" s="141"/>
    </row>
    <row r="30" spans="1:21">
      <c r="B30" s="339"/>
      <c r="C30" s="345"/>
      <c r="D30" s="345"/>
      <c r="E30" s="344" t="s">
        <v>271</v>
      </c>
      <c r="F30" s="129" t="s">
        <v>488</v>
      </c>
      <c r="G30" s="172">
        <v>185.85499999999999</v>
      </c>
      <c r="H30" s="172"/>
      <c r="I30" s="172">
        <f>G30+H30</f>
        <v>185.85499999999999</v>
      </c>
      <c r="J30" s="292">
        <v>8.0997000000000003</v>
      </c>
      <c r="K30" s="172">
        <f t="shared" si="3"/>
        <v>177.75529999999998</v>
      </c>
      <c r="L30" s="169">
        <f t="shared" si="4"/>
        <v>4.3580748432918141E-2</v>
      </c>
      <c r="M30" s="176" t="s">
        <v>218</v>
      </c>
      <c r="N30" s="334">
        <f>G30+G31</f>
        <v>371.71</v>
      </c>
      <c r="O30" s="334">
        <f t="shared" ref="O30" si="20">H30+H31</f>
        <v>0</v>
      </c>
      <c r="P30" s="334">
        <f>N30+O30</f>
        <v>371.71</v>
      </c>
      <c r="Q30" s="334">
        <f t="shared" ref="Q30" si="21">J30+J31</f>
        <v>15.967300000000002</v>
      </c>
      <c r="R30" s="334">
        <f t="shared" ref="R30" si="22">P30-Q30</f>
        <v>355.74269999999996</v>
      </c>
      <c r="S30" s="332">
        <f t="shared" ref="S30" si="23">Q30/P30</f>
        <v>4.2956336929326634E-2</v>
      </c>
      <c r="T30" s="140"/>
      <c r="U30" s="141"/>
    </row>
    <row r="31" spans="1:21">
      <c r="B31" s="339"/>
      <c r="C31" s="345"/>
      <c r="D31" s="345"/>
      <c r="E31" s="344"/>
      <c r="F31" s="129" t="s">
        <v>10</v>
      </c>
      <c r="G31" s="172">
        <v>185.85499999999999</v>
      </c>
      <c r="H31" s="172"/>
      <c r="I31" s="172">
        <f>G31+H31+K30</f>
        <v>363.61029999999994</v>
      </c>
      <c r="J31" s="292">
        <v>7.8676000000000004</v>
      </c>
      <c r="K31" s="172">
        <f t="shared" si="3"/>
        <v>355.74269999999996</v>
      </c>
      <c r="L31" s="169">
        <f t="shared" si="4"/>
        <v>2.1637450864290704E-2</v>
      </c>
      <c r="M31" s="176" t="s">
        <v>218</v>
      </c>
      <c r="N31" s="334"/>
      <c r="O31" s="334"/>
      <c r="P31" s="334"/>
      <c r="Q31" s="334"/>
      <c r="R31" s="334"/>
      <c r="S31" s="332"/>
      <c r="T31" s="140"/>
      <c r="U31" s="141"/>
    </row>
    <row r="32" spans="1:21">
      <c r="B32" s="339"/>
      <c r="C32" s="345" t="s">
        <v>252</v>
      </c>
      <c r="D32" s="345" t="s">
        <v>252</v>
      </c>
      <c r="E32" s="344" t="s">
        <v>272</v>
      </c>
      <c r="F32" s="129" t="s">
        <v>8</v>
      </c>
      <c r="G32" s="172">
        <v>152.041</v>
      </c>
      <c r="H32" s="172"/>
      <c r="I32" s="172">
        <f>G32+H32</f>
        <v>152.041</v>
      </c>
      <c r="J32" s="292">
        <v>169.40100000000001</v>
      </c>
      <c r="K32" s="172">
        <f>I32-J32</f>
        <v>-17.360000000000014</v>
      </c>
      <c r="L32" s="169">
        <f t="shared" si="4"/>
        <v>1.1141797278365706</v>
      </c>
      <c r="M32" s="176">
        <v>44223</v>
      </c>
      <c r="N32" s="334">
        <f>G32+G41+G42+G33+G34+G35+G36+G37+G38+G39+G40</f>
        <v>1824.5</v>
      </c>
      <c r="O32" s="334">
        <f>H32+H33+H34+H35+H36+H37+H38+H39+H40+H41+H42</f>
        <v>0</v>
      </c>
      <c r="P32" s="334">
        <f>N32+O32</f>
        <v>1824.5</v>
      </c>
      <c r="Q32" s="334">
        <f>J32+J33+J34+J35+J36+J37+J38+J39+J40+J41+J42</f>
        <v>1479.3440000000001</v>
      </c>
      <c r="R32" s="334">
        <f>P32-Q32</f>
        <v>345.15599999999995</v>
      </c>
      <c r="S32" s="332">
        <f>Q32/P32</f>
        <v>0.8108215949575226</v>
      </c>
      <c r="T32" s="140"/>
      <c r="U32" s="141"/>
    </row>
    <row r="33" spans="1:22">
      <c r="B33" s="339"/>
      <c r="C33" s="345"/>
      <c r="D33" s="345"/>
      <c r="E33" s="344"/>
      <c r="F33" s="129" t="s">
        <v>13</v>
      </c>
      <c r="G33" s="172">
        <v>152.041</v>
      </c>
      <c r="H33" s="172"/>
      <c r="I33" s="172">
        <f t="shared" ref="I33:I42" si="24">G33+H33+K32</f>
        <v>134.68099999999998</v>
      </c>
      <c r="J33" s="292">
        <v>124.738</v>
      </c>
      <c r="K33" s="172">
        <f t="shared" si="3"/>
        <v>9.9429999999999836</v>
      </c>
      <c r="L33" s="169">
        <f t="shared" si="4"/>
        <v>0.92617369933398186</v>
      </c>
      <c r="M33" s="176" t="s">
        <v>218</v>
      </c>
      <c r="N33" s="334"/>
      <c r="O33" s="334"/>
      <c r="P33" s="334"/>
      <c r="Q33" s="334"/>
      <c r="R33" s="334"/>
      <c r="S33" s="332"/>
      <c r="T33" s="140"/>
      <c r="U33" s="141"/>
    </row>
    <row r="34" spans="1:22">
      <c r="B34" s="339"/>
      <c r="C34" s="345"/>
      <c r="D34" s="345"/>
      <c r="E34" s="344"/>
      <c r="F34" s="129" t="s">
        <v>14</v>
      </c>
      <c r="G34" s="172">
        <f>152.042+76</f>
        <v>228.042</v>
      </c>
      <c r="H34" s="172"/>
      <c r="I34" s="172">
        <f t="shared" si="24"/>
        <v>237.98499999999999</v>
      </c>
      <c r="J34" s="292">
        <v>202.43799999999999</v>
      </c>
      <c r="K34" s="172">
        <f t="shared" si="3"/>
        <v>35.546999999999997</v>
      </c>
      <c r="L34" s="169">
        <f t="shared" si="4"/>
        <v>0.85063344328424062</v>
      </c>
      <c r="M34" s="176">
        <v>44280</v>
      </c>
      <c r="N34" s="334"/>
      <c r="O34" s="334"/>
      <c r="P34" s="334"/>
      <c r="Q34" s="334"/>
      <c r="R34" s="334"/>
      <c r="S34" s="332"/>
      <c r="T34" s="140"/>
      <c r="U34" s="141"/>
    </row>
    <row r="35" spans="1:22">
      <c r="B35" s="339"/>
      <c r="C35" s="345"/>
      <c r="D35" s="345"/>
      <c r="E35" s="344"/>
      <c r="F35" s="129" t="s">
        <v>15</v>
      </c>
      <c r="G35" s="172">
        <f>152.042-76</f>
        <v>76.042000000000002</v>
      </c>
      <c r="H35" s="172"/>
      <c r="I35" s="172">
        <f t="shared" si="24"/>
        <v>111.589</v>
      </c>
      <c r="J35" s="292">
        <v>115.649</v>
      </c>
      <c r="K35" s="172">
        <f t="shared" si="3"/>
        <v>-4.0600000000000023</v>
      </c>
      <c r="L35" s="169">
        <f t="shared" si="4"/>
        <v>1.0363835145041178</v>
      </c>
      <c r="M35" s="176" t="s">
        <v>218</v>
      </c>
      <c r="N35" s="334"/>
      <c r="O35" s="334"/>
      <c r="P35" s="334"/>
      <c r="Q35" s="334"/>
      <c r="R35" s="334"/>
      <c r="S35" s="332"/>
      <c r="T35" s="140"/>
      <c r="U35" s="141"/>
    </row>
    <row r="36" spans="1:22">
      <c r="B36" s="339"/>
      <c r="C36" s="345"/>
      <c r="D36" s="345"/>
      <c r="E36" s="344"/>
      <c r="F36" s="129" t="s">
        <v>16</v>
      </c>
      <c r="G36" s="172">
        <v>152.042</v>
      </c>
      <c r="H36" s="172"/>
      <c r="I36" s="172">
        <f t="shared" si="24"/>
        <v>147.982</v>
      </c>
      <c r="J36" s="292">
        <v>82.31</v>
      </c>
      <c r="K36" s="172">
        <f t="shared" si="3"/>
        <v>65.671999999999997</v>
      </c>
      <c r="L36" s="169">
        <f t="shared" si="4"/>
        <v>0.55621629657661065</v>
      </c>
      <c r="M36" s="176" t="s">
        <v>218</v>
      </c>
      <c r="N36" s="334"/>
      <c r="O36" s="334"/>
      <c r="P36" s="334"/>
      <c r="Q36" s="334"/>
      <c r="R36" s="334"/>
      <c r="S36" s="332"/>
      <c r="T36" s="140"/>
      <c r="U36" s="141"/>
    </row>
    <row r="37" spans="1:22">
      <c r="B37" s="339"/>
      <c r="C37" s="345"/>
      <c r="D37" s="345"/>
      <c r="E37" s="344"/>
      <c r="F37" s="129" t="s">
        <v>17</v>
      </c>
      <c r="G37" s="172">
        <v>152.042</v>
      </c>
      <c r="H37" s="172"/>
      <c r="I37" s="172">
        <f t="shared" si="24"/>
        <v>217.714</v>
      </c>
      <c r="J37" s="292">
        <v>70.248999999999995</v>
      </c>
      <c r="K37" s="172">
        <f t="shared" si="3"/>
        <v>147.465</v>
      </c>
      <c r="L37" s="169">
        <f t="shared" si="4"/>
        <v>0.32266643394545136</v>
      </c>
      <c r="M37" s="176" t="s">
        <v>218</v>
      </c>
      <c r="N37" s="334"/>
      <c r="O37" s="334"/>
      <c r="P37" s="334"/>
      <c r="Q37" s="334"/>
      <c r="R37" s="334"/>
      <c r="S37" s="332"/>
      <c r="T37" s="140"/>
      <c r="U37" s="141"/>
    </row>
    <row r="38" spans="1:22">
      <c r="B38" s="339"/>
      <c r="C38" s="345"/>
      <c r="D38" s="345"/>
      <c r="E38" s="344"/>
      <c r="F38" s="129" t="s">
        <v>18</v>
      </c>
      <c r="G38" s="172">
        <v>182.45</v>
      </c>
      <c r="H38" s="172"/>
      <c r="I38" s="172">
        <f t="shared" si="24"/>
        <v>329.91499999999996</v>
      </c>
      <c r="J38" s="292">
        <v>70.510000000000005</v>
      </c>
      <c r="K38" s="172">
        <f t="shared" si="3"/>
        <v>259.40499999999997</v>
      </c>
      <c r="L38" s="169">
        <f t="shared" si="4"/>
        <v>0.21372171619962721</v>
      </c>
      <c r="M38" s="176" t="s">
        <v>218</v>
      </c>
      <c r="N38" s="334"/>
      <c r="O38" s="334"/>
      <c r="P38" s="334"/>
      <c r="Q38" s="334"/>
      <c r="R38" s="334"/>
      <c r="S38" s="332"/>
      <c r="T38" s="140"/>
      <c r="U38" s="141"/>
    </row>
    <row r="39" spans="1:22">
      <c r="B39" s="339"/>
      <c r="C39" s="345"/>
      <c r="D39" s="345"/>
      <c r="E39" s="344"/>
      <c r="F39" s="129" t="s">
        <v>19</v>
      </c>
      <c r="G39" s="172">
        <v>182.45</v>
      </c>
      <c r="H39" s="172"/>
      <c r="I39" s="172">
        <f t="shared" si="24"/>
        <v>441.85499999999996</v>
      </c>
      <c r="J39" s="292">
        <v>132.941</v>
      </c>
      <c r="K39" s="172">
        <f t="shared" si="3"/>
        <v>308.91399999999999</v>
      </c>
      <c r="L39" s="169">
        <f t="shared" si="4"/>
        <v>0.30087019497346418</v>
      </c>
      <c r="M39" s="176" t="s">
        <v>218</v>
      </c>
      <c r="N39" s="334"/>
      <c r="O39" s="334"/>
      <c r="P39" s="334"/>
      <c r="Q39" s="334"/>
      <c r="R39" s="334"/>
      <c r="S39" s="332"/>
      <c r="T39" s="140"/>
      <c r="U39" s="141"/>
    </row>
    <row r="40" spans="1:22">
      <c r="B40" s="339"/>
      <c r="C40" s="345"/>
      <c r="D40" s="345"/>
      <c r="E40" s="344"/>
      <c r="F40" s="129" t="s">
        <v>20</v>
      </c>
      <c r="G40" s="172">
        <v>182.45</v>
      </c>
      <c r="H40" s="172"/>
      <c r="I40" s="172">
        <f t="shared" si="24"/>
        <v>491.36399999999998</v>
      </c>
      <c r="J40" s="292">
        <v>134.21899999999999</v>
      </c>
      <c r="K40" s="172">
        <f t="shared" si="3"/>
        <v>357.14499999999998</v>
      </c>
      <c r="L40" s="169">
        <f t="shared" si="4"/>
        <v>0.2731559495608144</v>
      </c>
      <c r="M40" s="176" t="s">
        <v>218</v>
      </c>
      <c r="N40" s="334"/>
      <c r="O40" s="334"/>
      <c r="P40" s="334"/>
      <c r="Q40" s="334"/>
      <c r="R40" s="334"/>
      <c r="S40" s="332"/>
      <c r="T40" s="140"/>
      <c r="U40" s="141"/>
    </row>
    <row r="41" spans="1:22">
      <c r="B41" s="339"/>
      <c r="C41" s="345"/>
      <c r="D41" s="345"/>
      <c r="E41" s="344"/>
      <c r="F41" s="129" t="s">
        <v>21</v>
      </c>
      <c r="G41" s="172">
        <v>182.45</v>
      </c>
      <c r="H41" s="172"/>
      <c r="I41" s="172">
        <f t="shared" si="24"/>
        <v>539.59500000000003</v>
      </c>
      <c r="J41" s="292">
        <v>142.64500000000001</v>
      </c>
      <c r="K41" s="172">
        <f t="shared" si="3"/>
        <v>396.95000000000005</v>
      </c>
      <c r="L41" s="169">
        <f t="shared" si="4"/>
        <v>0.26435567416302969</v>
      </c>
      <c r="M41" s="176" t="s">
        <v>218</v>
      </c>
      <c r="N41" s="334"/>
      <c r="O41" s="334"/>
      <c r="P41" s="334"/>
      <c r="Q41" s="334"/>
      <c r="R41" s="334"/>
      <c r="S41" s="332"/>
      <c r="T41" s="140"/>
      <c r="U41" s="141"/>
    </row>
    <row r="42" spans="1:22">
      <c r="B42" s="339"/>
      <c r="C42" s="345"/>
      <c r="D42" s="345"/>
      <c r="E42" s="344"/>
      <c r="F42" s="129" t="s">
        <v>22</v>
      </c>
      <c r="G42" s="172">
        <v>182.45</v>
      </c>
      <c r="H42" s="172"/>
      <c r="I42" s="172">
        <f t="shared" si="24"/>
        <v>579.40000000000009</v>
      </c>
      <c r="J42" s="292">
        <v>234.244</v>
      </c>
      <c r="K42" s="172">
        <f t="shared" si="3"/>
        <v>345.15600000000006</v>
      </c>
      <c r="L42" s="169">
        <f t="shared" si="4"/>
        <v>0.40428719364860194</v>
      </c>
      <c r="M42" s="176" t="s">
        <v>218</v>
      </c>
      <c r="N42" s="334"/>
      <c r="O42" s="334"/>
      <c r="P42" s="334"/>
      <c r="Q42" s="334"/>
      <c r="R42" s="334"/>
      <c r="S42" s="332"/>
      <c r="T42" s="140"/>
      <c r="U42" s="141"/>
    </row>
    <row r="43" spans="1:22">
      <c r="A43" s="119"/>
      <c r="B43" s="339"/>
      <c r="C43" s="340" t="s">
        <v>87</v>
      </c>
      <c r="D43" s="340"/>
      <c r="E43" s="340"/>
      <c r="F43" s="177" t="s">
        <v>488</v>
      </c>
      <c r="G43" s="181">
        <f>G20+G22+G24+G26+G28+G30+G32+G33+G34+G35+G36+G37</f>
        <v>2361.7189999999996</v>
      </c>
      <c r="H43" s="181">
        <f>H20+H22+H24+H26+H28+H30+H32+H33+H34+H35+H36+H37</f>
        <v>0</v>
      </c>
      <c r="I43" s="178">
        <f>G43+H43</f>
        <v>2361.7189999999996</v>
      </c>
      <c r="J43" s="296">
        <f>J20+J22+J24+J26+J28+J30+J32+J33+J34+J35+J36+J37</f>
        <v>1208.9657</v>
      </c>
      <c r="K43" s="178">
        <f t="shared" si="3"/>
        <v>1152.7532999999996</v>
      </c>
      <c r="L43" s="182">
        <f t="shared" si="4"/>
        <v>0.5119007384028329</v>
      </c>
      <c r="M43" s="180" t="s">
        <v>218</v>
      </c>
      <c r="N43" s="343">
        <f>G43+G44</f>
        <v>4723.4379999999992</v>
      </c>
      <c r="O43" s="343">
        <f t="shared" ref="O43" si="25">H43+H44</f>
        <v>-850</v>
      </c>
      <c r="P43" s="343">
        <f>N43+O43</f>
        <v>3873.4379999999992</v>
      </c>
      <c r="Q43" s="343">
        <f t="shared" ref="Q43" si="26">J43+J44</f>
        <v>2515.2563</v>
      </c>
      <c r="R43" s="343">
        <f t="shared" ref="R43" si="27">P43-Q43</f>
        <v>1358.1816999999992</v>
      </c>
      <c r="S43" s="349">
        <f t="shared" ref="S43" si="28">Q43/P43</f>
        <v>0.64936015498376387</v>
      </c>
      <c r="U43" s="130"/>
      <c r="V43" s="130"/>
    </row>
    <row r="44" spans="1:22">
      <c r="A44" s="119"/>
      <c r="B44" s="339"/>
      <c r="C44" s="340"/>
      <c r="D44" s="340"/>
      <c r="E44" s="340"/>
      <c r="F44" s="177" t="s">
        <v>10</v>
      </c>
      <c r="G44" s="181">
        <f>G21+G23+G25+G27+G29+G31+G38+G39+G40+G41+G42</f>
        <v>2361.7189999999996</v>
      </c>
      <c r="H44" s="181">
        <f>H21+H23+H25+H27+H29+H31+H38+H39+H40+H41+H42</f>
        <v>-850</v>
      </c>
      <c r="I44" s="178">
        <f>G44+H44+K43</f>
        <v>2664.4722999999994</v>
      </c>
      <c r="J44" s="296">
        <f>J21+J23+J25+J27+J29+J31+J38+J39+J40+J41+J42</f>
        <v>1306.2906</v>
      </c>
      <c r="K44" s="178">
        <f t="shared" si="3"/>
        <v>1358.1816999999994</v>
      </c>
      <c r="L44" s="182">
        <f t="shared" si="4"/>
        <v>0.49026240580545738</v>
      </c>
      <c r="M44" s="180" t="s">
        <v>218</v>
      </c>
      <c r="N44" s="343"/>
      <c r="O44" s="343"/>
      <c r="P44" s="343"/>
      <c r="Q44" s="343"/>
      <c r="R44" s="343"/>
      <c r="S44" s="349"/>
      <c r="U44" s="130"/>
      <c r="V44" s="130"/>
    </row>
    <row r="45" spans="1:22" ht="21" customHeight="1">
      <c r="A45" s="119"/>
      <c r="B45" s="119"/>
      <c r="C45" s="131"/>
      <c r="D45" s="131"/>
      <c r="E45" s="118"/>
      <c r="F45" s="132"/>
      <c r="G45" s="133"/>
      <c r="H45" s="134"/>
      <c r="I45" s="134"/>
      <c r="J45" s="122"/>
      <c r="K45" s="134"/>
      <c r="L45" s="173"/>
      <c r="M45" s="127"/>
      <c r="N45" s="135"/>
      <c r="O45" s="135"/>
      <c r="P45" s="135"/>
      <c r="Q45" s="135"/>
      <c r="R45" s="135"/>
      <c r="S45" s="136"/>
      <c r="U45" s="130"/>
      <c r="V45" s="130"/>
    </row>
    <row r="46" spans="1:22" ht="21" customHeight="1">
      <c r="A46" s="119"/>
      <c r="B46" s="119"/>
      <c r="C46" s="131"/>
      <c r="D46" s="131"/>
      <c r="E46" s="118"/>
      <c r="F46" s="132"/>
      <c r="G46" s="133"/>
      <c r="H46" s="134"/>
      <c r="I46" s="134"/>
      <c r="J46" s="122"/>
      <c r="K46" s="134"/>
      <c r="L46" s="123"/>
      <c r="M46" s="127"/>
      <c r="N46" s="135"/>
      <c r="O46" s="135"/>
      <c r="P46" s="135"/>
      <c r="Q46" s="135"/>
      <c r="R46" s="135"/>
      <c r="S46" s="136"/>
      <c r="U46" s="130"/>
      <c r="V46" s="130"/>
    </row>
    <row r="47" spans="1:22" ht="21" customHeight="1">
      <c r="A47" s="119"/>
      <c r="B47" s="119"/>
      <c r="C47" s="131"/>
      <c r="D47" s="131"/>
      <c r="E47" s="118"/>
      <c r="F47" s="132"/>
      <c r="G47" s="133"/>
      <c r="H47" s="134"/>
      <c r="I47" s="134"/>
      <c r="J47" s="122"/>
      <c r="K47" s="134"/>
      <c r="L47" s="123"/>
      <c r="M47" s="137"/>
      <c r="N47" s="135"/>
      <c r="O47" s="135"/>
      <c r="P47" s="135"/>
      <c r="Q47" s="135"/>
      <c r="R47" s="135"/>
      <c r="S47" s="136"/>
      <c r="U47" s="130"/>
      <c r="V47" s="130"/>
    </row>
    <row r="48" spans="1:22">
      <c r="B48" s="339" t="s">
        <v>359</v>
      </c>
      <c r="C48" s="347" t="s">
        <v>253</v>
      </c>
      <c r="D48" s="347" t="s">
        <v>253</v>
      </c>
      <c r="E48" s="344" t="s">
        <v>358</v>
      </c>
      <c r="F48" s="129" t="s">
        <v>488</v>
      </c>
      <c r="G48" s="172">
        <v>14.417999999999999</v>
      </c>
      <c r="H48" s="172"/>
      <c r="I48" s="172">
        <f>G48+H48</f>
        <v>14.417999999999999</v>
      </c>
      <c r="J48" s="291">
        <v>6.3419999999999996</v>
      </c>
      <c r="K48" s="172">
        <f>I48-J48</f>
        <v>8.0760000000000005</v>
      </c>
      <c r="L48" s="154">
        <f>J48/I48</f>
        <v>0.43986683312526009</v>
      </c>
      <c r="M48" s="98" t="s">
        <v>218</v>
      </c>
      <c r="N48" s="334">
        <f>G48+G49</f>
        <v>28.835999999999999</v>
      </c>
      <c r="O48" s="334">
        <f>+H48+H49</f>
        <v>0</v>
      </c>
      <c r="P48" s="334">
        <f>N48+O48</f>
        <v>28.835999999999999</v>
      </c>
      <c r="Q48" s="334">
        <f>J48+J49</f>
        <v>6.9579999999999993</v>
      </c>
      <c r="R48" s="334">
        <f>+P48-Q48</f>
        <v>21.878</v>
      </c>
      <c r="S48" s="332">
        <f>Q48/P48</f>
        <v>0.24129560271882369</v>
      </c>
      <c r="U48" s="130"/>
      <c r="V48" s="130"/>
    </row>
    <row r="49" spans="2:22">
      <c r="B49" s="339"/>
      <c r="C49" s="347"/>
      <c r="D49" s="347"/>
      <c r="E49" s="344"/>
      <c r="F49" s="129" t="s">
        <v>10</v>
      </c>
      <c r="G49" s="172">
        <v>14.417999999999999</v>
      </c>
      <c r="H49" s="172"/>
      <c r="I49" s="172">
        <f>K48+G49+H49</f>
        <v>22.494</v>
      </c>
      <c r="J49" s="291">
        <f>0.616</f>
        <v>0.61599999999999999</v>
      </c>
      <c r="K49" s="172">
        <f t="shared" ref="K49" si="29">I49-J49</f>
        <v>21.878</v>
      </c>
      <c r="L49" s="154">
        <f t="shared" ref="L49" si="30">J49/I49</f>
        <v>2.7385080465902017E-2</v>
      </c>
      <c r="M49" s="98" t="s">
        <v>218</v>
      </c>
      <c r="N49" s="334"/>
      <c r="O49" s="334"/>
      <c r="P49" s="334"/>
      <c r="Q49" s="334"/>
      <c r="R49" s="334"/>
      <c r="S49" s="332"/>
      <c r="U49" s="130"/>
      <c r="V49" s="130"/>
    </row>
    <row r="50" spans="2:22">
      <c r="B50" s="339"/>
      <c r="C50" s="308" t="s">
        <v>357</v>
      </c>
      <c r="D50" s="345" t="s">
        <v>273</v>
      </c>
      <c r="E50" s="344" t="s">
        <v>675</v>
      </c>
      <c r="F50" s="129" t="s">
        <v>488</v>
      </c>
      <c r="G50" s="172">
        <v>7.0590000000000002</v>
      </c>
      <c r="H50" s="172"/>
      <c r="I50" s="172">
        <f>G50+H50</f>
        <v>7.0590000000000002</v>
      </c>
      <c r="J50" s="292">
        <v>3.4159999999999999</v>
      </c>
      <c r="K50" s="172">
        <f>+I50-J50</f>
        <v>3.6430000000000002</v>
      </c>
      <c r="L50" s="154">
        <f t="shared" ref="L50:L92" si="31">J50/I50</f>
        <v>0.48392123530245074</v>
      </c>
      <c r="M50" s="98" t="s">
        <v>218</v>
      </c>
      <c r="N50" s="334">
        <f>G50+G51</f>
        <v>14.118</v>
      </c>
      <c r="O50" s="334">
        <f t="shared" ref="O50" si="32">+H50+H51</f>
        <v>0</v>
      </c>
      <c r="P50" s="334">
        <f t="shared" ref="P50" si="33">N50+O50</f>
        <v>14.118</v>
      </c>
      <c r="Q50" s="334">
        <f t="shared" ref="Q50" si="34">J50+J51</f>
        <v>6.7759999999999998</v>
      </c>
      <c r="R50" s="334">
        <f t="shared" ref="R50" si="35">+P50-Q50</f>
        <v>7.3420000000000005</v>
      </c>
      <c r="S50" s="332">
        <f t="shared" ref="S50" si="36">Q50/P50</f>
        <v>0.47995466779997165</v>
      </c>
    </row>
    <row r="51" spans="2:22">
      <c r="B51" s="339"/>
      <c r="C51" s="308"/>
      <c r="D51" s="345"/>
      <c r="E51" s="344"/>
      <c r="F51" s="129" t="s">
        <v>10</v>
      </c>
      <c r="G51" s="172">
        <v>7.0590000000000002</v>
      </c>
      <c r="H51" s="172"/>
      <c r="I51" s="172">
        <f>K50+G51+H51</f>
        <v>10.702</v>
      </c>
      <c r="J51" s="292">
        <v>3.36</v>
      </c>
      <c r="K51" s="172">
        <f t="shared" ref="K51:K92" si="37">+I51-J51</f>
        <v>7.3420000000000005</v>
      </c>
      <c r="L51" s="154">
        <f t="shared" ref="L51:L89" si="38">J51/I51</f>
        <v>0.31396000747523828</v>
      </c>
      <c r="M51" s="98" t="s">
        <v>218</v>
      </c>
      <c r="N51" s="334"/>
      <c r="O51" s="334"/>
      <c r="P51" s="334"/>
      <c r="Q51" s="334"/>
      <c r="R51" s="334"/>
      <c r="S51" s="332"/>
    </row>
    <row r="52" spans="2:22">
      <c r="B52" s="339"/>
      <c r="C52" s="308"/>
      <c r="D52" s="345"/>
      <c r="E52" s="344" t="s">
        <v>660</v>
      </c>
      <c r="F52" s="129" t="s">
        <v>488</v>
      </c>
      <c r="G52" s="172">
        <v>7.0620000000000003</v>
      </c>
      <c r="H52" s="172"/>
      <c r="I52" s="172">
        <f>G52+H52</f>
        <v>7.0620000000000003</v>
      </c>
      <c r="J52" s="292">
        <v>3.9180000000000001</v>
      </c>
      <c r="K52" s="172">
        <f t="shared" si="37"/>
        <v>3.1440000000000001</v>
      </c>
      <c r="L52" s="154">
        <f t="shared" si="31"/>
        <v>0.55480033984706878</v>
      </c>
      <c r="M52" s="98" t="s">
        <v>218</v>
      </c>
      <c r="N52" s="334">
        <f>G52+G53</f>
        <v>14.124000000000001</v>
      </c>
      <c r="O52" s="334">
        <f t="shared" ref="O52" si="39">+H52+H53</f>
        <v>0</v>
      </c>
      <c r="P52" s="334">
        <f t="shared" ref="P52" si="40">N52+O52</f>
        <v>14.124000000000001</v>
      </c>
      <c r="Q52" s="334">
        <f t="shared" ref="Q52" si="41">J52+J53</f>
        <v>7.782</v>
      </c>
      <c r="R52" s="334">
        <f t="shared" ref="R52" si="42">+P52-Q52</f>
        <v>6.3420000000000005</v>
      </c>
      <c r="S52" s="332">
        <f t="shared" ref="S52" si="43">Q52/P52</f>
        <v>0.55097706032285465</v>
      </c>
    </row>
    <row r="53" spans="2:22">
      <c r="B53" s="339"/>
      <c r="C53" s="308"/>
      <c r="D53" s="345"/>
      <c r="E53" s="344"/>
      <c r="F53" s="129" t="s">
        <v>10</v>
      </c>
      <c r="G53" s="172">
        <v>7.0620000000000003</v>
      </c>
      <c r="H53" s="172"/>
      <c r="I53" s="172">
        <f>K52+G53+H53</f>
        <v>10.206</v>
      </c>
      <c r="J53" s="292">
        <v>3.8639999999999999</v>
      </c>
      <c r="K53" s="172">
        <f t="shared" si="37"/>
        <v>6.3419999999999996</v>
      </c>
      <c r="L53" s="154">
        <f t="shared" si="38"/>
        <v>0.37860082304526749</v>
      </c>
      <c r="M53" s="98" t="s">
        <v>218</v>
      </c>
      <c r="N53" s="334"/>
      <c r="O53" s="334"/>
      <c r="P53" s="334"/>
      <c r="Q53" s="334"/>
      <c r="R53" s="334"/>
      <c r="S53" s="332"/>
    </row>
    <row r="54" spans="2:22">
      <c r="B54" s="339"/>
      <c r="C54" s="308"/>
      <c r="D54" s="345"/>
      <c r="E54" s="344" t="s">
        <v>351</v>
      </c>
      <c r="F54" s="129" t="s">
        <v>488</v>
      </c>
      <c r="G54" s="172">
        <v>7.0629999999999997</v>
      </c>
      <c r="H54" s="172"/>
      <c r="I54" s="172">
        <f>G54+H54</f>
        <v>7.0629999999999997</v>
      </c>
      <c r="J54" s="292">
        <v>2.464</v>
      </c>
      <c r="K54" s="172">
        <f t="shared" si="37"/>
        <v>4.5990000000000002</v>
      </c>
      <c r="L54" s="154">
        <f t="shared" si="31"/>
        <v>0.34886025768087214</v>
      </c>
      <c r="M54" s="98" t="s">
        <v>218</v>
      </c>
      <c r="N54" s="334">
        <f>G54+G55</f>
        <v>14.125999999999999</v>
      </c>
      <c r="O54" s="334">
        <f t="shared" ref="O54" si="44">+H54+H55</f>
        <v>0</v>
      </c>
      <c r="P54" s="334">
        <f t="shared" ref="P54" si="45">N54+O54</f>
        <v>14.125999999999999</v>
      </c>
      <c r="Q54" s="334">
        <f t="shared" ref="Q54" si="46">J54+J55</f>
        <v>3.976</v>
      </c>
      <c r="R54" s="334">
        <f t="shared" ref="R54" si="47">+P54-Q54</f>
        <v>10.149999999999999</v>
      </c>
      <c r="S54" s="332">
        <f t="shared" ref="S54" si="48">Q54/P54</f>
        <v>0.28146679881070369</v>
      </c>
    </row>
    <row r="55" spans="2:22">
      <c r="B55" s="339"/>
      <c r="C55" s="308"/>
      <c r="D55" s="345"/>
      <c r="E55" s="344"/>
      <c r="F55" s="129" t="s">
        <v>10</v>
      </c>
      <c r="G55" s="172">
        <v>7.0629999999999997</v>
      </c>
      <c r="H55" s="172"/>
      <c r="I55" s="172">
        <f>K54+G55+H55</f>
        <v>11.661999999999999</v>
      </c>
      <c r="J55" s="292">
        <v>1.512</v>
      </c>
      <c r="K55" s="172">
        <f t="shared" si="37"/>
        <v>10.149999999999999</v>
      </c>
      <c r="L55" s="154">
        <f t="shared" si="38"/>
        <v>0.12965186074429774</v>
      </c>
      <c r="M55" s="98" t="s">
        <v>218</v>
      </c>
      <c r="N55" s="334"/>
      <c r="O55" s="334"/>
      <c r="P55" s="334"/>
      <c r="Q55" s="334"/>
      <c r="R55" s="334"/>
      <c r="S55" s="332"/>
    </row>
    <row r="56" spans="2:22">
      <c r="B56" s="339"/>
      <c r="C56" s="308"/>
      <c r="D56" s="345"/>
      <c r="E56" s="344" t="s">
        <v>678</v>
      </c>
      <c r="F56" s="129" t="s">
        <v>488</v>
      </c>
      <c r="G56" s="172">
        <v>7.0620000000000003</v>
      </c>
      <c r="H56" s="172"/>
      <c r="I56" s="172">
        <f>G56+H56</f>
        <v>7.0620000000000003</v>
      </c>
      <c r="J56" s="292">
        <v>5.2919999999999998</v>
      </c>
      <c r="K56" s="172">
        <f t="shared" si="37"/>
        <v>1.7700000000000005</v>
      </c>
      <c r="L56" s="154">
        <f t="shared" si="31"/>
        <v>0.74936278674596424</v>
      </c>
      <c r="M56" s="98" t="s">
        <v>218</v>
      </c>
      <c r="N56" s="334">
        <f>G56+G57</f>
        <v>14.124000000000001</v>
      </c>
      <c r="O56" s="334">
        <f t="shared" ref="O56" si="49">+H56+H57</f>
        <v>0</v>
      </c>
      <c r="P56" s="334">
        <f t="shared" ref="P56" si="50">N56+O56</f>
        <v>14.124000000000001</v>
      </c>
      <c r="Q56" s="334">
        <f t="shared" ref="Q56" si="51">J56+J57</f>
        <v>5.8239999999999998</v>
      </c>
      <c r="R56" s="334">
        <f t="shared" ref="R56" si="52">+P56-Q56</f>
        <v>8.3000000000000007</v>
      </c>
      <c r="S56" s="332">
        <f t="shared" ref="S56" si="53">Q56/P56</f>
        <v>0.41234777683375812</v>
      </c>
    </row>
    <row r="57" spans="2:22">
      <c r="B57" s="339"/>
      <c r="C57" s="308"/>
      <c r="D57" s="345"/>
      <c r="E57" s="344"/>
      <c r="F57" s="129" t="s">
        <v>10</v>
      </c>
      <c r="G57" s="172">
        <v>7.0620000000000003</v>
      </c>
      <c r="H57" s="172"/>
      <c r="I57" s="172">
        <f>K56+G57+H57</f>
        <v>8.8320000000000007</v>
      </c>
      <c r="J57" s="292">
        <v>0.53200000000000003</v>
      </c>
      <c r="K57" s="172">
        <f t="shared" si="37"/>
        <v>8.3000000000000007</v>
      </c>
      <c r="L57" s="154">
        <f t="shared" si="38"/>
        <v>6.0235507246376808E-2</v>
      </c>
      <c r="M57" s="98" t="s">
        <v>218</v>
      </c>
      <c r="N57" s="334"/>
      <c r="O57" s="334"/>
      <c r="P57" s="334"/>
      <c r="Q57" s="334"/>
      <c r="R57" s="334"/>
      <c r="S57" s="332"/>
    </row>
    <row r="58" spans="2:22">
      <c r="B58" s="339"/>
      <c r="C58" s="308"/>
      <c r="D58" s="345"/>
      <c r="E58" s="344" t="s">
        <v>352</v>
      </c>
      <c r="F58" s="129" t="s">
        <v>488</v>
      </c>
      <c r="G58" s="172">
        <v>7.0659999999999998</v>
      </c>
      <c r="H58" s="172"/>
      <c r="I58" s="172">
        <f>G58+H58</f>
        <v>7.0659999999999998</v>
      </c>
      <c r="J58" s="292">
        <v>2.2120000000000002</v>
      </c>
      <c r="K58" s="172">
        <f t="shared" si="37"/>
        <v>4.8539999999999992</v>
      </c>
      <c r="L58" s="154">
        <f t="shared" si="31"/>
        <v>0.3130484007925276</v>
      </c>
      <c r="M58" s="98" t="s">
        <v>218</v>
      </c>
      <c r="N58" s="334">
        <f>G58+G59</f>
        <v>14.131</v>
      </c>
      <c r="O58" s="334">
        <f t="shared" ref="O58" si="54">+H58+H59</f>
        <v>0</v>
      </c>
      <c r="P58" s="334">
        <f t="shared" ref="P58" si="55">N58+O58</f>
        <v>14.131</v>
      </c>
      <c r="Q58" s="334">
        <f t="shared" ref="Q58" si="56">J58+J59</f>
        <v>2.968</v>
      </c>
      <c r="R58" s="334">
        <f t="shared" ref="R58" si="57">+P58-Q58</f>
        <v>11.163</v>
      </c>
      <c r="S58" s="332">
        <f t="shared" ref="S58" si="58">Q58/P58</f>
        <v>0.21003467553605548</v>
      </c>
    </row>
    <row r="59" spans="2:22">
      <c r="B59" s="339"/>
      <c r="C59" s="308"/>
      <c r="D59" s="345"/>
      <c r="E59" s="344"/>
      <c r="F59" s="129" t="s">
        <v>10</v>
      </c>
      <c r="G59" s="172">
        <v>7.0650000000000004</v>
      </c>
      <c r="H59" s="172"/>
      <c r="I59" s="172">
        <f>K58+G59+H59</f>
        <v>11.919</v>
      </c>
      <c r="J59" s="292">
        <v>0.75600000000000001</v>
      </c>
      <c r="K59" s="172">
        <f t="shared" si="37"/>
        <v>11.163</v>
      </c>
      <c r="L59" s="154">
        <f t="shared" si="38"/>
        <v>6.3428139944626219E-2</v>
      </c>
      <c r="M59" s="98" t="s">
        <v>218</v>
      </c>
      <c r="N59" s="334"/>
      <c r="O59" s="334"/>
      <c r="P59" s="334"/>
      <c r="Q59" s="334"/>
      <c r="R59" s="334"/>
      <c r="S59" s="332"/>
    </row>
    <row r="60" spans="2:22">
      <c r="B60" s="339"/>
      <c r="C60" s="308"/>
      <c r="D60" s="345" t="s">
        <v>274</v>
      </c>
      <c r="E60" s="344" t="s">
        <v>348</v>
      </c>
      <c r="F60" s="129" t="s">
        <v>488</v>
      </c>
      <c r="G60" s="172">
        <v>7.056</v>
      </c>
      <c r="H60" s="172"/>
      <c r="I60" s="172">
        <f>G60+H60</f>
        <v>7.056</v>
      </c>
      <c r="J60" s="292">
        <v>0</v>
      </c>
      <c r="K60" s="172">
        <f t="shared" si="37"/>
        <v>7.056</v>
      </c>
      <c r="L60" s="154">
        <f t="shared" si="31"/>
        <v>0</v>
      </c>
      <c r="M60" s="98" t="s">
        <v>218</v>
      </c>
      <c r="N60" s="334">
        <f>G60+G61</f>
        <v>14.112</v>
      </c>
      <c r="O60" s="334">
        <f t="shared" ref="O60" si="59">+H60+H61</f>
        <v>0</v>
      </c>
      <c r="P60" s="334">
        <f t="shared" ref="P60" si="60">N60+O60</f>
        <v>14.112</v>
      </c>
      <c r="Q60" s="334">
        <f t="shared" ref="Q60" si="61">J60+J61</f>
        <v>0.56000000000000005</v>
      </c>
      <c r="R60" s="334">
        <f t="shared" ref="R60" si="62">+P60-Q60</f>
        <v>13.552</v>
      </c>
      <c r="S60" s="332">
        <f t="shared" ref="S60" si="63">Q60/P60</f>
        <v>3.9682539682539687E-2</v>
      </c>
    </row>
    <row r="61" spans="2:22">
      <c r="B61" s="339"/>
      <c r="C61" s="308"/>
      <c r="D61" s="345"/>
      <c r="E61" s="344"/>
      <c r="F61" s="129" t="s">
        <v>10</v>
      </c>
      <c r="G61" s="172">
        <v>7.056</v>
      </c>
      <c r="H61" s="172"/>
      <c r="I61" s="172">
        <f>K60+G61+H61</f>
        <v>14.112</v>
      </c>
      <c r="J61" s="292">
        <v>0.56000000000000005</v>
      </c>
      <c r="K61" s="172">
        <f t="shared" si="37"/>
        <v>13.552</v>
      </c>
      <c r="L61" s="154">
        <f t="shared" si="38"/>
        <v>3.9682539682539687E-2</v>
      </c>
      <c r="M61" s="98" t="s">
        <v>218</v>
      </c>
      <c r="N61" s="334"/>
      <c r="O61" s="334"/>
      <c r="P61" s="334"/>
      <c r="Q61" s="334"/>
      <c r="R61" s="334"/>
      <c r="S61" s="332"/>
    </row>
    <row r="62" spans="2:22">
      <c r="B62" s="339"/>
      <c r="C62" s="308"/>
      <c r="D62" s="345"/>
      <c r="E62" s="344" t="s">
        <v>349</v>
      </c>
      <c r="F62" s="129" t="s">
        <v>488</v>
      </c>
      <c r="G62" s="172">
        <v>7.0570000000000004</v>
      </c>
      <c r="H62" s="172"/>
      <c r="I62" s="172">
        <f>G62+H62</f>
        <v>7.0570000000000004</v>
      </c>
      <c r="J62" s="292">
        <v>0</v>
      </c>
      <c r="K62" s="172">
        <f t="shared" si="37"/>
        <v>7.0570000000000004</v>
      </c>
      <c r="L62" s="154">
        <f t="shared" si="31"/>
        <v>0</v>
      </c>
      <c r="M62" s="98" t="s">
        <v>218</v>
      </c>
      <c r="N62" s="334">
        <f>G62+G63</f>
        <v>14.114000000000001</v>
      </c>
      <c r="O62" s="334">
        <f t="shared" ref="O62" si="64">+H62+H63</f>
        <v>0</v>
      </c>
      <c r="P62" s="334">
        <f t="shared" ref="P62" si="65">N62+O62</f>
        <v>14.114000000000001</v>
      </c>
      <c r="Q62" s="334">
        <f t="shared" ref="Q62" si="66">J62+J63</f>
        <v>0.84</v>
      </c>
      <c r="R62" s="334">
        <f t="shared" ref="R62" si="67">+P62-Q62</f>
        <v>13.274000000000001</v>
      </c>
      <c r="S62" s="332">
        <f t="shared" ref="S62" si="68">Q62/P62</f>
        <v>5.9515374805157992E-2</v>
      </c>
    </row>
    <row r="63" spans="2:22">
      <c r="B63" s="339"/>
      <c r="C63" s="308"/>
      <c r="D63" s="345"/>
      <c r="E63" s="344"/>
      <c r="F63" s="129" t="s">
        <v>10</v>
      </c>
      <c r="G63" s="172">
        <v>7.0570000000000004</v>
      </c>
      <c r="H63" s="172"/>
      <c r="I63" s="172">
        <f>K62+G63+H63</f>
        <v>14.114000000000001</v>
      </c>
      <c r="J63" s="292">
        <v>0.84</v>
      </c>
      <c r="K63" s="172">
        <f t="shared" si="37"/>
        <v>13.274000000000001</v>
      </c>
      <c r="L63" s="154">
        <f t="shared" si="38"/>
        <v>5.9515374805157992E-2</v>
      </c>
      <c r="M63" s="98" t="s">
        <v>218</v>
      </c>
      <c r="N63" s="334"/>
      <c r="O63" s="334"/>
      <c r="P63" s="334"/>
      <c r="Q63" s="334"/>
      <c r="R63" s="334"/>
      <c r="S63" s="332"/>
    </row>
    <row r="64" spans="2:22">
      <c r="B64" s="339"/>
      <c r="C64" s="308"/>
      <c r="D64" s="345"/>
      <c r="E64" s="344" t="s">
        <v>350</v>
      </c>
      <c r="F64" s="129" t="s">
        <v>488</v>
      </c>
      <c r="G64" s="172">
        <v>7.0549999999999997</v>
      </c>
      <c r="H64" s="172"/>
      <c r="I64" s="172">
        <f>G64+H64</f>
        <v>7.0549999999999997</v>
      </c>
      <c r="J64" s="292">
        <v>3.03</v>
      </c>
      <c r="K64" s="172">
        <f t="shared" si="37"/>
        <v>4.0250000000000004</v>
      </c>
      <c r="L64" s="154">
        <f t="shared" si="31"/>
        <v>0.42948263642806517</v>
      </c>
      <c r="M64" s="98" t="s">
        <v>218</v>
      </c>
      <c r="N64" s="334">
        <f>G64+G65</f>
        <v>14.11</v>
      </c>
      <c r="O64" s="334">
        <f t="shared" ref="O64" si="69">+H64+H65</f>
        <v>0</v>
      </c>
      <c r="P64" s="334">
        <f t="shared" ref="P64" si="70">N64+O64</f>
        <v>14.11</v>
      </c>
      <c r="Q64" s="334">
        <f t="shared" ref="Q64" si="71">J64+J65</f>
        <v>4.92</v>
      </c>
      <c r="R64" s="334">
        <f t="shared" ref="R64" si="72">+P64-Q64</f>
        <v>9.19</v>
      </c>
      <c r="S64" s="332">
        <f t="shared" ref="S64" si="73">Q64/P64</f>
        <v>0.34868887313961733</v>
      </c>
    </row>
    <row r="65" spans="2:19">
      <c r="B65" s="339"/>
      <c r="C65" s="308"/>
      <c r="D65" s="345"/>
      <c r="E65" s="344"/>
      <c r="F65" s="129" t="s">
        <v>10</v>
      </c>
      <c r="G65" s="172">
        <v>7.0549999999999997</v>
      </c>
      <c r="H65" s="172"/>
      <c r="I65" s="172">
        <f>K64+G65+H65</f>
        <v>11.08</v>
      </c>
      <c r="J65" s="292">
        <v>1.89</v>
      </c>
      <c r="K65" s="172">
        <f t="shared" si="37"/>
        <v>9.19</v>
      </c>
      <c r="L65" s="154">
        <f t="shared" si="38"/>
        <v>0.17057761732851984</v>
      </c>
      <c r="M65" s="98" t="s">
        <v>218</v>
      </c>
      <c r="N65" s="334"/>
      <c r="O65" s="334"/>
      <c r="P65" s="334"/>
      <c r="Q65" s="334"/>
      <c r="R65" s="334"/>
      <c r="S65" s="332"/>
    </row>
    <row r="66" spans="2:19">
      <c r="B66" s="339"/>
      <c r="C66" s="308"/>
      <c r="D66" s="345" t="s">
        <v>275</v>
      </c>
      <c r="E66" s="344" t="s">
        <v>342</v>
      </c>
      <c r="F66" s="129" t="s">
        <v>488</v>
      </c>
      <c r="G66" s="172">
        <v>7.0640000000000001</v>
      </c>
      <c r="H66" s="172"/>
      <c r="I66" s="172">
        <f>G66+H66</f>
        <v>7.0640000000000001</v>
      </c>
      <c r="J66" s="292">
        <v>5.32</v>
      </c>
      <c r="K66" s="172">
        <f t="shared" si="37"/>
        <v>1.7439999999999998</v>
      </c>
      <c r="L66" s="154">
        <f t="shared" si="31"/>
        <v>0.75311438278595699</v>
      </c>
      <c r="M66" s="98" t="s">
        <v>218</v>
      </c>
      <c r="N66" s="334">
        <f>G66+G67</f>
        <v>14.128</v>
      </c>
      <c r="O66" s="334">
        <f t="shared" ref="O66" si="74">+H66+H67</f>
        <v>0</v>
      </c>
      <c r="P66" s="334">
        <f t="shared" ref="P66" si="75">N66+O66</f>
        <v>14.128</v>
      </c>
      <c r="Q66" s="334">
        <f t="shared" ref="Q66" si="76">J66+J67</f>
        <v>10.724</v>
      </c>
      <c r="R66" s="334">
        <f t="shared" ref="R66" si="77">+P66-Q66</f>
        <v>3.4039999999999999</v>
      </c>
      <c r="S66" s="332">
        <f t="shared" ref="S66" si="78">Q66/P66</f>
        <v>0.75906002265005668</v>
      </c>
    </row>
    <row r="67" spans="2:19">
      <c r="B67" s="339"/>
      <c r="C67" s="308"/>
      <c r="D67" s="345"/>
      <c r="E67" s="344"/>
      <c r="F67" s="129" t="s">
        <v>10</v>
      </c>
      <c r="G67" s="172">
        <v>7.0640000000000001</v>
      </c>
      <c r="H67" s="172"/>
      <c r="I67" s="172">
        <f>K66+G67+H67</f>
        <v>8.8079999999999998</v>
      </c>
      <c r="J67" s="292">
        <v>5.4039999999999999</v>
      </c>
      <c r="K67" s="172">
        <f t="shared" si="37"/>
        <v>3.4039999999999999</v>
      </c>
      <c r="L67" s="154">
        <f t="shared" si="38"/>
        <v>0.61353315168029066</v>
      </c>
      <c r="M67" s="98" t="s">
        <v>218</v>
      </c>
      <c r="N67" s="334"/>
      <c r="O67" s="334"/>
      <c r="P67" s="334"/>
      <c r="Q67" s="334"/>
      <c r="R67" s="334"/>
      <c r="S67" s="332"/>
    </row>
    <row r="68" spans="2:19">
      <c r="B68" s="339"/>
      <c r="C68" s="308"/>
      <c r="D68" s="345"/>
      <c r="E68" s="344" t="s">
        <v>555</v>
      </c>
      <c r="F68" s="129" t="s">
        <v>488</v>
      </c>
      <c r="G68" s="172">
        <v>7.0629999999999997</v>
      </c>
      <c r="H68" s="172"/>
      <c r="I68" s="172">
        <f>G68+H68</f>
        <v>7.0629999999999997</v>
      </c>
      <c r="J68" s="292">
        <v>7.3079999999999998</v>
      </c>
      <c r="K68" s="172">
        <f t="shared" si="37"/>
        <v>-0.24500000000000011</v>
      </c>
      <c r="L68" s="154">
        <f t="shared" si="31"/>
        <v>1.0346878097125867</v>
      </c>
      <c r="M68" s="176">
        <v>44369</v>
      </c>
      <c r="N68" s="334">
        <f>G68+G69</f>
        <v>14.125999999999999</v>
      </c>
      <c r="O68" s="334">
        <f t="shared" ref="O68" si="79">+H68+H69</f>
        <v>0</v>
      </c>
      <c r="P68" s="334">
        <f t="shared" ref="P68" si="80">N68+O68</f>
        <v>14.125999999999999</v>
      </c>
      <c r="Q68" s="334">
        <f t="shared" ref="Q68" si="81">J68+J69</f>
        <v>12.46</v>
      </c>
      <c r="R68" s="334">
        <f t="shared" ref="R68" si="82">+P68-Q68</f>
        <v>1.6659999999999986</v>
      </c>
      <c r="S68" s="332">
        <f t="shared" ref="S68" si="83">Q68/P68</f>
        <v>0.88206144697720523</v>
      </c>
    </row>
    <row r="69" spans="2:19">
      <c r="B69" s="339"/>
      <c r="C69" s="308"/>
      <c r="D69" s="345"/>
      <c r="E69" s="344"/>
      <c r="F69" s="129" t="s">
        <v>10</v>
      </c>
      <c r="G69" s="172">
        <v>7.0629999999999997</v>
      </c>
      <c r="H69" s="172"/>
      <c r="I69" s="172">
        <f>K68+G69+H69</f>
        <v>6.8179999999999996</v>
      </c>
      <c r="J69" s="292">
        <v>5.1520000000000001</v>
      </c>
      <c r="K69" s="172">
        <f t="shared" si="37"/>
        <v>1.6659999999999995</v>
      </c>
      <c r="L69" s="154">
        <f t="shared" si="38"/>
        <v>0.75564681724846006</v>
      </c>
      <c r="M69" s="98" t="s">
        <v>218</v>
      </c>
      <c r="N69" s="334"/>
      <c r="O69" s="334"/>
      <c r="P69" s="334"/>
      <c r="Q69" s="334"/>
      <c r="R69" s="334"/>
      <c r="S69" s="332"/>
    </row>
    <row r="70" spans="2:19">
      <c r="B70" s="339"/>
      <c r="C70" s="308"/>
      <c r="D70" s="345"/>
      <c r="E70" s="344" t="s">
        <v>681</v>
      </c>
      <c r="F70" s="129" t="s">
        <v>488</v>
      </c>
      <c r="G70" s="172">
        <v>7.0650000000000004</v>
      </c>
      <c r="H70" s="172"/>
      <c r="I70" s="172">
        <f>G70+H70</f>
        <v>7.0650000000000004</v>
      </c>
      <c r="J70" s="292">
        <v>2.044</v>
      </c>
      <c r="K70" s="172">
        <f t="shared" si="37"/>
        <v>5.0210000000000008</v>
      </c>
      <c r="L70" s="154">
        <f t="shared" si="31"/>
        <v>0.28931351733899502</v>
      </c>
      <c r="M70" s="98" t="s">
        <v>218</v>
      </c>
      <c r="N70" s="334">
        <f>G70+G71</f>
        <v>14.13</v>
      </c>
      <c r="O70" s="334">
        <f t="shared" ref="O70" si="84">+H70+H71</f>
        <v>0</v>
      </c>
      <c r="P70" s="334">
        <f t="shared" ref="P70" si="85">N70+O70</f>
        <v>14.13</v>
      </c>
      <c r="Q70" s="334">
        <f t="shared" ref="Q70" si="86">J70+J71</f>
        <v>13.748000000000001</v>
      </c>
      <c r="R70" s="334">
        <f t="shared" ref="R70" si="87">+P70-Q70</f>
        <v>0.38199999999999967</v>
      </c>
      <c r="S70" s="332">
        <f t="shared" ref="S70" si="88">Q70/P70</f>
        <v>0.97296532200990804</v>
      </c>
    </row>
    <row r="71" spans="2:19">
      <c r="B71" s="339"/>
      <c r="C71" s="308"/>
      <c r="D71" s="345"/>
      <c r="E71" s="344"/>
      <c r="F71" s="129" t="s">
        <v>10</v>
      </c>
      <c r="G71" s="172">
        <v>7.0650000000000004</v>
      </c>
      <c r="H71" s="172"/>
      <c r="I71" s="172">
        <f>K70+G71+H71</f>
        <v>12.086000000000002</v>
      </c>
      <c r="J71" s="292">
        <v>11.704000000000001</v>
      </c>
      <c r="K71" s="172">
        <f t="shared" si="37"/>
        <v>0.38200000000000145</v>
      </c>
      <c r="L71" s="154">
        <f t="shared" si="38"/>
        <v>0.96839318219427428</v>
      </c>
      <c r="M71" s="98" t="s">
        <v>218</v>
      </c>
      <c r="N71" s="334"/>
      <c r="O71" s="334"/>
      <c r="P71" s="334"/>
      <c r="Q71" s="334"/>
      <c r="R71" s="334"/>
      <c r="S71" s="332"/>
    </row>
    <row r="72" spans="2:19">
      <c r="B72" s="339"/>
      <c r="C72" s="308"/>
      <c r="D72" s="345"/>
      <c r="E72" s="344" t="s">
        <v>556</v>
      </c>
      <c r="F72" s="129" t="s">
        <v>488</v>
      </c>
      <c r="G72" s="172">
        <v>7.056</v>
      </c>
      <c r="H72" s="172"/>
      <c r="I72" s="172">
        <f>G72+H72</f>
        <v>7.056</v>
      </c>
      <c r="J72" s="292">
        <v>1.82</v>
      </c>
      <c r="K72" s="172">
        <f t="shared" si="37"/>
        <v>5.2359999999999998</v>
      </c>
      <c r="L72" s="154">
        <f t="shared" si="31"/>
        <v>0.25793650793650796</v>
      </c>
      <c r="M72" s="98" t="s">
        <v>218</v>
      </c>
      <c r="N72" s="334">
        <f>G72+G73</f>
        <v>14.112</v>
      </c>
      <c r="O72" s="334">
        <f t="shared" ref="O72" si="89">+H72+H73</f>
        <v>0</v>
      </c>
      <c r="P72" s="334">
        <f t="shared" ref="P72" si="90">N72+O72</f>
        <v>14.112</v>
      </c>
      <c r="Q72" s="334">
        <f t="shared" ref="Q72" si="91">J72+J73</f>
        <v>4.62</v>
      </c>
      <c r="R72" s="334">
        <f t="shared" ref="R72" si="92">+P72-Q72</f>
        <v>9.4920000000000009</v>
      </c>
      <c r="S72" s="332">
        <f t="shared" ref="S72" si="93">Q72/P72</f>
        <v>0.32738095238095238</v>
      </c>
    </row>
    <row r="73" spans="2:19">
      <c r="B73" s="339"/>
      <c r="C73" s="308"/>
      <c r="D73" s="345"/>
      <c r="E73" s="344"/>
      <c r="F73" s="129" t="s">
        <v>10</v>
      </c>
      <c r="G73" s="172">
        <v>7.056</v>
      </c>
      <c r="H73" s="172"/>
      <c r="I73" s="172">
        <f>K72+G73+H73</f>
        <v>12.292</v>
      </c>
      <c r="J73" s="292">
        <v>2.8</v>
      </c>
      <c r="K73" s="172">
        <f t="shared" si="37"/>
        <v>9.4920000000000009</v>
      </c>
      <c r="L73" s="154">
        <f t="shared" si="38"/>
        <v>0.22779043280182232</v>
      </c>
      <c r="M73" s="98" t="s">
        <v>218</v>
      </c>
      <c r="N73" s="334"/>
      <c r="O73" s="334"/>
      <c r="P73" s="334"/>
      <c r="Q73" s="334"/>
      <c r="R73" s="334"/>
      <c r="S73" s="332"/>
    </row>
    <row r="74" spans="2:19">
      <c r="B74" s="339"/>
      <c r="C74" s="308"/>
      <c r="D74" s="345"/>
      <c r="E74" s="344" t="s">
        <v>557</v>
      </c>
      <c r="F74" s="129" t="s">
        <v>488</v>
      </c>
      <c r="G74" s="172">
        <v>7.0659999999999998</v>
      </c>
      <c r="H74" s="172"/>
      <c r="I74" s="172">
        <f>G74+H74</f>
        <v>7.0659999999999998</v>
      </c>
      <c r="J74" s="292">
        <v>5.46</v>
      </c>
      <c r="K74" s="172">
        <f t="shared" si="37"/>
        <v>1.6059999999999999</v>
      </c>
      <c r="L74" s="154">
        <f t="shared" si="31"/>
        <v>0.7727144070195302</v>
      </c>
      <c r="M74" s="98" t="s">
        <v>218</v>
      </c>
      <c r="N74" s="334">
        <f>G74+G75</f>
        <v>14.132</v>
      </c>
      <c r="O74" s="334">
        <f t="shared" ref="O74" si="94">+H74+H75</f>
        <v>0</v>
      </c>
      <c r="P74" s="334">
        <f t="shared" ref="P74" si="95">N74+O74</f>
        <v>14.132</v>
      </c>
      <c r="Q74" s="334">
        <f t="shared" ref="Q74" si="96">J74+J75</f>
        <v>13.244</v>
      </c>
      <c r="R74" s="334">
        <f t="shared" ref="R74" si="97">+P74-Q74</f>
        <v>0.8879999999999999</v>
      </c>
      <c r="S74" s="332">
        <f t="shared" ref="S74" si="98">Q74/P74</f>
        <v>0.93716388338522505</v>
      </c>
    </row>
    <row r="75" spans="2:19">
      <c r="B75" s="339"/>
      <c r="C75" s="308"/>
      <c r="D75" s="345"/>
      <c r="E75" s="344"/>
      <c r="F75" s="129" t="s">
        <v>10</v>
      </c>
      <c r="G75" s="172">
        <v>7.0659999999999998</v>
      </c>
      <c r="H75" s="172"/>
      <c r="I75" s="172">
        <f>K74+G75+H75</f>
        <v>8.6720000000000006</v>
      </c>
      <c r="J75" s="292">
        <v>7.7839999999999998</v>
      </c>
      <c r="K75" s="172">
        <f t="shared" si="37"/>
        <v>0.88800000000000079</v>
      </c>
      <c r="L75" s="154">
        <f t="shared" si="38"/>
        <v>0.89760147601476004</v>
      </c>
      <c r="M75" s="98" t="s">
        <v>218</v>
      </c>
      <c r="N75" s="334"/>
      <c r="O75" s="334"/>
      <c r="P75" s="334"/>
      <c r="Q75" s="334"/>
      <c r="R75" s="334"/>
      <c r="S75" s="332"/>
    </row>
    <row r="76" spans="2:19">
      <c r="B76" s="339"/>
      <c r="C76" s="308"/>
      <c r="D76" s="345"/>
      <c r="E76" s="344" t="s">
        <v>343</v>
      </c>
      <c r="F76" s="129" t="s">
        <v>488</v>
      </c>
      <c r="G76" s="172">
        <v>7.06</v>
      </c>
      <c r="H76" s="172"/>
      <c r="I76" s="172">
        <f>G76+H76</f>
        <v>7.06</v>
      </c>
      <c r="J76" s="292">
        <v>0.56000000000000005</v>
      </c>
      <c r="K76" s="172">
        <f t="shared" si="37"/>
        <v>6.5</v>
      </c>
      <c r="L76" s="154">
        <f t="shared" si="31"/>
        <v>7.9320113314447604E-2</v>
      </c>
      <c r="M76" s="98" t="s">
        <v>218</v>
      </c>
      <c r="N76" s="334">
        <f>G76+G77</f>
        <v>14.12</v>
      </c>
      <c r="O76" s="334">
        <f t="shared" ref="O76" si="99">+H76+H77</f>
        <v>0</v>
      </c>
      <c r="P76" s="334">
        <f t="shared" ref="P76" si="100">N76+O76</f>
        <v>14.12</v>
      </c>
      <c r="Q76" s="334">
        <f t="shared" ref="Q76" si="101">J76+J77</f>
        <v>11.200000000000001</v>
      </c>
      <c r="R76" s="334">
        <f t="shared" ref="R76" si="102">+P76-Q76</f>
        <v>2.9199999999999982</v>
      </c>
      <c r="S76" s="332">
        <f t="shared" ref="S76" si="103">Q76/P76</f>
        <v>0.79320113314447604</v>
      </c>
    </row>
    <row r="77" spans="2:19">
      <c r="B77" s="339"/>
      <c r="C77" s="308"/>
      <c r="D77" s="345"/>
      <c r="E77" s="344"/>
      <c r="F77" s="129" t="s">
        <v>10</v>
      </c>
      <c r="G77" s="172">
        <v>7.06</v>
      </c>
      <c r="H77" s="172"/>
      <c r="I77" s="172">
        <f>K76+G77+H77</f>
        <v>13.559999999999999</v>
      </c>
      <c r="J77" s="292">
        <v>10.64</v>
      </c>
      <c r="K77" s="172">
        <f t="shared" si="37"/>
        <v>2.9199999999999982</v>
      </c>
      <c r="L77" s="154">
        <f t="shared" si="38"/>
        <v>0.78466076696165199</v>
      </c>
      <c r="M77" s="98" t="s">
        <v>218</v>
      </c>
      <c r="N77" s="334"/>
      <c r="O77" s="334"/>
      <c r="P77" s="334"/>
      <c r="Q77" s="334"/>
      <c r="R77" s="334"/>
      <c r="S77" s="332"/>
    </row>
    <row r="78" spans="2:19">
      <c r="B78" s="339"/>
      <c r="C78" s="308"/>
      <c r="D78" s="345"/>
      <c r="E78" s="344" t="s">
        <v>674</v>
      </c>
      <c r="F78" s="129" t="s">
        <v>488</v>
      </c>
      <c r="G78" s="172">
        <v>7.0579999999999998</v>
      </c>
      <c r="H78" s="172"/>
      <c r="I78" s="172">
        <f>G78+H78</f>
        <v>7.0579999999999998</v>
      </c>
      <c r="J78" s="292">
        <v>3.1920000000000002</v>
      </c>
      <c r="K78" s="172">
        <f t="shared" si="37"/>
        <v>3.8659999999999997</v>
      </c>
      <c r="L78" s="154">
        <f t="shared" si="31"/>
        <v>0.45225276282232929</v>
      </c>
      <c r="M78" s="98" t="s">
        <v>218</v>
      </c>
      <c r="N78" s="334">
        <f>G78+G79</f>
        <v>14.116</v>
      </c>
      <c r="O78" s="334">
        <f t="shared" ref="O78" si="104">+H78+H79</f>
        <v>0</v>
      </c>
      <c r="P78" s="334">
        <f t="shared" ref="P78" si="105">N78+O78</f>
        <v>14.116</v>
      </c>
      <c r="Q78" s="334">
        <f t="shared" ref="Q78" si="106">J78+J79</f>
        <v>13.3</v>
      </c>
      <c r="R78" s="334">
        <f t="shared" ref="R78" si="107">+P78-Q78</f>
        <v>0.81599999999999895</v>
      </c>
      <c r="S78" s="332">
        <f t="shared" ref="S78" si="108">Q78/P78</f>
        <v>0.9421932558798527</v>
      </c>
    </row>
    <row r="79" spans="2:19">
      <c r="B79" s="339"/>
      <c r="C79" s="308"/>
      <c r="D79" s="345"/>
      <c r="E79" s="344"/>
      <c r="F79" s="129" t="s">
        <v>10</v>
      </c>
      <c r="G79" s="172">
        <v>7.0579999999999998</v>
      </c>
      <c r="H79" s="172"/>
      <c r="I79" s="172">
        <f>K78+G79+H79</f>
        <v>10.923999999999999</v>
      </c>
      <c r="J79" s="292">
        <v>10.108000000000001</v>
      </c>
      <c r="K79" s="172">
        <f t="shared" si="37"/>
        <v>0.81599999999999895</v>
      </c>
      <c r="L79" s="154">
        <f t="shared" si="38"/>
        <v>0.92530208714756512</v>
      </c>
      <c r="M79" s="98" t="s">
        <v>218</v>
      </c>
      <c r="N79" s="334"/>
      <c r="O79" s="334"/>
      <c r="P79" s="334"/>
      <c r="Q79" s="334"/>
      <c r="R79" s="334"/>
      <c r="S79" s="332"/>
    </row>
    <row r="80" spans="2:19">
      <c r="B80" s="339"/>
      <c r="C80" s="308"/>
      <c r="D80" s="345"/>
      <c r="E80" s="344" t="s">
        <v>679</v>
      </c>
      <c r="F80" s="129" t="s">
        <v>488</v>
      </c>
      <c r="G80" s="172">
        <v>7.0579999999999998</v>
      </c>
      <c r="H80" s="172"/>
      <c r="I80" s="172">
        <f>G80+H80</f>
        <v>7.0579999999999998</v>
      </c>
      <c r="J80" s="292">
        <v>1.96</v>
      </c>
      <c r="K80" s="172">
        <f t="shared" si="37"/>
        <v>5.0979999999999999</v>
      </c>
      <c r="L80" s="154">
        <f t="shared" si="31"/>
        <v>0.27769906489090396</v>
      </c>
      <c r="M80" s="98" t="s">
        <v>218</v>
      </c>
      <c r="N80" s="334">
        <f>G80+G81</f>
        <v>14.116</v>
      </c>
      <c r="O80" s="334">
        <f t="shared" ref="O80" si="109">+H80+H81</f>
        <v>0</v>
      </c>
      <c r="P80" s="334">
        <f t="shared" ref="P80" si="110">N80+O80</f>
        <v>14.116</v>
      </c>
      <c r="Q80" s="334">
        <f t="shared" ref="Q80" si="111">J80+J81</f>
        <v>10.864000000000001</v>
      </c>
      <c r="R80" s="334">
        <f t="shared" ref="R80" si="112">+P80-Q80</f>
        <v>3.2519999999999989</v>
      </c>
      <c r="S80" s="332">
        <f t="shared" ref="S80" si="113">Q80/P80</f>
        <v>0.7696231226976481</v>
      </c>
    </row>
    <row r="81" spans="2:21">
      <c r="B81" s="339"/>
      <c r="C81" s="308"/>
      <c r="D81" s="345"/>
      <c r="E81" s="344"/>
      <c r="F81" s="129" t="s">
        <v>10</v>
      </c>
      <c r="G81" s="172">
        <v>7.0579999999999998</v>
      </c>
      <c r="H81" s="172"/>
      <c r="I81" s="172">
        <f>K80+G81+H81</f>
        <v>12.155999999999999</v>
      </c>
      <c r="J81" s="292">
        <v>8.9039999999999999</v>
      </c>
      <c r="K81" s="172">
        <f t="shared" si="37"/>
        <v>3.2519999999999989</v>
      </c>
      <c r="L81" s="154">
        <f t="shared" si="38"/>
        <v>0.73247778874629821</v>
      </c>
      <c r="M81" s="98" t="s">
        <v>218</v>
      </c>
      <c r="N81" s="334"/>
      <c r="O81" s="334"/>
      <c r="P81" s="334"/>
      <c r="Q81" s="334"/>
      <c r="R81" s="334"/>
      <c r="S81" s="332"/>
    </row>
    <row r="82" spans="2:21">
      <c r="B82" s="339"/>
      <c r="C82" s="308"/>
      <c r="D82" s="345"/>
      <c r="E82" s="344" t="s">
        <v>558</v>
      </c>
      <c r="F82" s="129" t="s">
        <v>488</v>
      </c>
      <c r="G82" s="172">
        <v>7.0549999999999997</v>
      </c>
      <c r="H82" s="172"/>
      <c r="I82" s="172">
        <f>G82+H82</f>
        <v>7.0549999999999997</v>
      </c>
      <c r="J82" s="292">
        <v>2.6040000000000001</v>
      </c>
      <c r="K82" s="172">
        <f t="shared" si="37"/>
        <v>4.4509999999999996</v>
      </c>
      <c r="L82" s="154">
        <f t="shared" si="31"/>
        <v>0.36909992912827783</v>
      </c>
      <c r="M82" s="98" t="s">
        <v>218</v>
      </c>
      <c r="N82" s="334">
        <f>G82+G83</f>
        <v>14.11</v>
      </c>
      <c r="O82" s="334">
        <f t="shared" ref="O82" si="114">+H82+H83</f>
        <v>0</v>
      </c>
      <c r="P82" s="334">
        <f t="shared" ref="P82" si="115">N82+O82</f>
        <v>14.11</v>
      </c>
      <c r="Q82" s="334">
        <f t="shared" ref="Q82" si="116">J82+J83</f>
        <v>11.620000000000001</v>
      </c>
      <c r="R82" s="334">
        <f t="shared" ref="R82" si="117">+P82-Q82</f>
        <v>2.4899999999999984</v>
      </c>
      <c r="S82" s="332">
        <f t="shared" ref="S82" si="118">Q82/P82</f>
        <v>0.82352941176470595</v>
      </c>
    </row>
    <row r="83" spans="2:21">
      <c r="B83" s="339"/>
      <c r="C83" s="308"/>
      <c r="D83" s="345"/>
      <c r="E83" s="344"/>
      <c r="F83" s="129" t="s">
        <v>10</v>
      </c>
      <c r="G83" s="172">
        <v>7.0549999999999997</v>
      </c>
      <c r="H83" s="172"/>
      <c r="I83" s="172">
        <f>K82+G83+H83</f>
        <v>11.506</v>
      </c>
      <c r="J83" s="292">
        <v>9.016</v>
      </c>
      <c r="K83" s="172">
        <f t="shared" si="37"/>
        <v>2.4900000000000002</v>
      </c>
      <c r="L83" s="154">
        <f t="shared" si="38"/>
        <v>0.78359116982443944</v>
      </c>
      <c r="M83" s="98" t="s">
        <v>218</v>
      </c>
      <c r="N83" s="334"/>
      <c r="O83" s="334"/>
      <c r="P83" s="334"/>
      <c r="Q83" s="334"/>
      <c r="R83" s="334"/>
      <c r="S83" s="332"/>
    </row>
    <row r="84" spans="2:21">
      <c r="B84" s="339"/>
      <c r="C84" s="308"/>
      <c r="D84" s="345"/>
      <c r="E84" s="344" t="s">
        <v>559</v>
      </c>
      <c r="F84" s="129" t="s">
        <v>488</v>
      </c>
      <c r="G84" s="172">
        <v>7.0620000000000003</v>
      </c>
      <c r="H84" s="172"/>
      <c r="I84" s="172">
        <f>G84+H84</f>
        <v>7.0620000000000003</v>
      </c>
      <c r="J84" s="292">
        <v>4.9260000000000002</v>
      </c>
      <c r="K84" s="172">
        <f t="shared" si="37"/>
        <v>2.1360000000000001</v>
      </c>
      <c r="L84" s="154">
        <f t="shared" si="31"/>
        <v>0.69753610875106198</v>
      </c>
      <c r="M84" s="98" t="s">
        <v>218</v>
      </c>
      <c r="N84" s="334">
        <f>G84+G85</f>
        <v>14.125</v>
      </c>
      <c r="O84" s="334">
        <f t="shared" ref="O84" si="119">+H84+H85</f>
        <v>0</v>
      </c>
      <c r="P84" s="334">
        <f t="shared" ref="P84" si="120">N84+O84</f>
        <v>14.125</v>
      </c>
      <c r="Q84" s="334">
        <f t="shared" ref="Q84" si="121">J84+J85</f>
        <v>11.141999999999999</v>
      </c>
      <c r="R84" s="334">
        <f t="shared" ref="R84" si="122">+P84-Q84</f>
        <v>2.9830000000000005</v>
      </c>
      <c r="S84" s="332">
        <f t="shared" ref="S84" si="123">Q84/P84</f>
        <v>0.78881415929203536</v>
      </c>
    </row>
    <row r="85" spans="2:21">
      <c r="B85" s="339"/>
      <c r="C85" s="308"/>
      <c r="D85" s="345"/>
      <c r="E85" s="344"/>
      <c r="F85" s="129" t="s">
        <v>10</v>
      </c>
      <c r="G85" s="172">
        <v>7.0629999999999997</v>
      </c>
      <c r="H85" s="172"/>
      <c r="I85" s="172">
        <f>K84+G85+H85</f>
        <v>9.1989999999999998</v>
      </c>
      <c r="J85" s="292">
        <v>6.2160000000000002</v>
      </c>
      <c r="K85" s="172">
        <f t="shared" si="37"/>
        <v>2.9829999999999997</v>
      </c>
      <c r="L85" s="154">
        <f t="shared" si="38"/>
        <v>0.67572562235025546</v>
      </c>
      <c r="M85" s="98" t="s">
        <v>218</v>
      </c>
      <c r="N85" s="334"/>
      <c r="O85" s="334"/>
      <c r="P85" s="334"/>
      <c r="Q85" s="334"/>
      <c r="R85" s="334"/>
      <c r="S85" s="332"/>
    </row>
    <row r="86" spans="2:21">
      <c r="B86" s="339"/>
      <c r="C86" s="308"/>
      <c r="D86" s="345" t="s">
        <v>278</v>
      </c>
      <c r="E86" s="344" t="s">
        <v>680</v>
      </c>
      <c r="F86" s="129" t="s">
        <v>488</v>
      </c>
      <c r="G86" s="172">
        <v>7.0640000000000001</v>
      </c>
      <c r="H86" s="172"/>
      <c r="I86" s="172">
        <f>G86+H86</f>
        <v>7.0640000000000001</v>
      </c>
      <c r="J86" s="292">
        <v>4.4800000000000004</v>
      </c>
      <c r="K86" s="172">
        <f t="shared" si="37"/>
        <v>2.5839999999999996</v>
      </c>
      <c r="L86" s="154">
        <f t="shared" si="31"/>
        <v>0.63420158550396377</v>
      </c>
      <c r="M86" s="98" t="s">
        <v>218</v>
      </c>
      <c r="N86" s="334">
        <f>G86+G87</f>
        <v>14.128</v>
      </c>
      <c r="O86" s="334">
        <f t="shared" ref="O86" si="124">+H86+H87</f>
        <v>0</v>
      </c>
      <c r="P86" s="334">
        <f t="shared" ref="P86" si="125">N86+O86</f>
        <v>14.128</v>
      </c>
      <c r="Q86" s="334">
        <f t="shared" ref="Q86" si="126">J86+J87</f>
        <v>13.860000000000001</v>
      </c>
      <c r="R86" s="334">
        <f t="shared" ref="R86" si="127">+P86-Q86</f>
        <v>0.26799999999999891</v>
      </c>
      <c r="S86" s="332">
        <f t="shared" ref="S86" si="128">Q86/P86</f>
        <v>0.98103057757644407</v>
      </c>
      <c r="T86" s="140"/>
      <c r="U86" s="141"/>
    </row>
    <row r="87" spans="2:21">
      <c r="B87" s="339"/>
      <c r="C87" s="308"/>
      <c r="D87" s="345"/>
      <c r="E87" s="344"/>
      <c r="F87" s="129" t="s">
        <v>10</v>
      </c>
      <c r="G87" s="172">
        <v>7.0640000000000001</v>
      </c>
      <c r="H87" s="172"/>
      <c r="I87" s="172">
        <f>K86+G87+H87</f>
        <v>9.6479999999999997</v>
      </c>
      <c r="J87" s="292">
        <v>9.3800000000000008</v>
      </c>
      <c r="K87" s="172">
        <f t="shared" si="37"/>
        <v>0.26799999999999891</v>
      </c>
      <c r="L87" s="154">
        <f t="shared" si="38"/>
        <v>0.97222222222222232</v>
      </c>
      <c r="M87" s="98" t="s">
        <v>218</v>
      </c>
      <c r="N87" s="334"/>
      <c r="O87" s="334"/>
      <c r="P87" s="334"/>
      <c r="Q87" s="334"/>
      <c r="R87" s="334"/>
      <c r="S87" s="332"/>
      <c r="T87" s="140"/>
      <c r="U87" s="141"/>
    </row>
    <row r="88" spans="2:21">
      <c r="B88" s="339"/>
      <c r="C88" s="308"/>
      <c r="D88" s="345"/>
      <c r="E88" s="344" t="s">
        <v>669</v>
      </c>
      <c r="F88" s="129" t="s">
        <v>488</v>
      </c>
      <c r="G88" s="172">
        <v>7.0640000000000001</v>
      </c>
      <c r="H88" s="172"/>
      <c r="I88" s="172">
        <f>G88+H88</f>
        <v>7.0640000000000001</v>
      </c>
      <c r="J88" s="292">
        <v>5.74</v>
      </c>
      <c r="K88" s="172">
        <f t="shared" si="37"/>
        <v>1.3239999999999998</v>
      </c>
      <c r="L88" s="154">
        <f t="shared" si="31"/>
        <v>0.8125707814269536</v>
      </c>
      <c r="M88" s="98" t="s">
        <v>218</v>
      </c>
      <c r="N88" s="334">
        <f>G88+G89</f>
        <v>14.128</v>
      </c>
      <c r="O88" s="334">
        <f t="shared" ref="O88" si="129">+H88+H89</f>
        <v>0</v>
      </c>
      <c r="P88" s="334">
        <f t="shared" ref="P88" si="130">N88+O88</f>
        <v>14.128</v>
      </c>
      <c r="Q88" s="334">
        <f t="shared" ref="Q88" si="131">J88+J89</f>
        <v>12.432</v>
      </c>
      <c r="R88" s="334">
        <f t="shared" ref="R88" si="132">+P88-Q88</f>
        <v>1.6959999999999997</v>
      </c>
      <c r="S88" s="332">
        <f t="shared" ref="S88" si="133">Q88/P88</f>
        <v>0.87995469988674979</v>
      </c>
      <c r="T88" s="140"/>
      <c r="U88" s="141"/>
    </row>
    <row r="89" spans="2:21">
      <c r="B89" s="339"/>
      <c r="C89" s="308"/>
      <c r="D89" s="345"/>
      <c r="E89" s="344"/>
      <c r="F89" s="129" t="s">
        <v>10</v>
      </c>
      <c r="G89" s="172">
        <v>7.0640000000000001</v>
      </c>
      <c r="H89" s="172"/>
      <c r="I89" s="172">
        <f>K88+G89+H89</f>
        <v>8.3879999999999999</v>
      </c>
      <c r="J89" s="292">
        <v>6.6920000000000002</v>
      </c>
      <c r="K89" s="172">
        <f t="shared" si="37"/>
        <v>1.6959999999999997</v>
      </c>
      <c r="L89" s="154">
        <f t="shared" si="38"/>
        <v>0.79780639008106824</v>
      </c>
      <c r="M89" s="98" t="s">
        <v>218</v>
      </c>
      <c r="N89" s="334"/>
      <c r="O89" s="334"/>
      <c r="P89" s="334"/>
      <c r="Q89" s="334"/>
      <c r="R89" s="334"/>
      <c r="S89" s="332"/>
      <c r="T89" s="140"/>
      <c r="U89" s="141"/>
    </row>
    <row r="90" spans="2:21">
      <c r="B90" s="339"/>
      <c r="C90" s="308"/>
      <c r="D90" s="345"/>
      <c r="E90" s="344" t="s">
        <v>339</v>
      </c>
      <c r="F90" s="129" t="s">
        <v>488</v>
      </c>
      <c r="G90" s="172">
        <v>7.0629999999999997</v>
      </c>
      <c r="H90" s="172"/>
      <c r="I90" s="172">
        <f>G90+H90</f>
        <v>7.0629999999999997</v>
      </c>
      <c r="J90" s="292">
        <v>5.74</v>
      </c>
      <c r="K90" s="172">
        <f t="shared" si="37"/>
        <v>1.3229999999999995</v>
      </c>
      <c r="L90" s="154">
        <f t="shared" si="31"/>
        <v>0.81268582755203178</v>
      </c>
      <c r="M90" s="98" t="s">
        <v>218</v>
      </c>
      <c r="N90" s="334">
        <f>G90+G91</f>
        <v>14.125999999999999</v>
      </c>
      <c r="O90" s="334">
        <f t="shared" ref="O90" si="134">+H90+H91</f>
        <v>0</v>
      </c>
      <c r="P90" s="334">
        <f>N90+O90</f>
        <v>14.125999999999999</v>
      </c>
      <c r="Q90" s="334">
        <f t="shared" ref="Q90" si="135">J90+J91</f>
        <v>12.32</v>
      </c>
      <c r="R90" s="334">
        <f t="shared" ref="R90" si="136">+P90-Q90</f>
        <v>1.8059999999999992</v>
      </c>
      <c r="S90" s="332">
        <f t="shared" ref="S90" si="137">Q90/P90</f>
        <v>0.87215064420218047</v>
      </c>
      <c r="T90" s="140"/>
      <c r="U90" s="141"/>
    </row>
    <row r="91" spans="2:21">
      <c r="B91" s="339"/>
      <c r="C91" s="308"/>
      <c r="D91" s="345"/>
      <c r="E91" s="344"/>
      <c r="F91" s="129" t="s">
        <v>10</v>
      </c>
      <c r="G91" s="172">
        <v>7.0629999999999997</v>
      </c>
      <c r="H91" s="172"/>
      <c r="I91" s="172">
        <f>K90+G91+H91</f>
        <v>8.3859999999999992</v>
      </c>
      <c r="J91" s="292">
        <v>6.58</v>
      </c>
      <c r="K91" s="172">
        <f t="shared" si="37"/>
        <v>1.8059999999999992</v>
      </c>
      <c r="L91" s="154">
        <f t="shared" si="31"/>
        <v>0.78464106844741244</v>
      </c>
      <c r="M91" s="98" t="s">
        <v>218</v>
      </c>
      <c r="N91" s="334"/>
      <c r="O91" s="334"/>
      <c r="P91" s="334"/>
      <c r="Q91" s="334"/>
      <c r="R91" s="334"/>
      <c r="S91" s="332"/>
      <c r="T91" s="140"/>
      <c r="U91" s="141"/>
    </row>
    <row r="92" spans="2:21">
      <c r="B92" s="339"/>
      <c r="C92" s="308"/>
      <c r="D92" s="345"/>
      <c r="E92" s="344" t="s">
        <v>670</v>
      </c>
      <c r="F92" s="129" t="s">
        <v>488</v>
      </c>
      <c r="G92" s="172">
        <v>7.06</v>
      </c>
      <c r="H92" s="172"/>
      <c r="I92" s="172">
        <f>G92+H92</f>
        <v>7.06</v>
      </c>
      <c r="J92" s="292">
        <v>5.702</v>
      </c>
      <c r="K92" s="172">
        <f t="shared" si="37"/>
        <v>1.3579999999999997</v>
      </c>
      <c r="L92" s="154">
        <f t="shared" si="31"/>
        <v>0.80764872521246467</v>
      </c>
      <c r="M92" s="98" t="s">
        <v>218</v>
      </c>
      <c r="N92" s="334">
        <f>G92+G93</f>
        <v>14.12</v>
      </c>
      <c r="O92" s="334">
        <f t="shared" ref="O92" si="138">+H92+H93</f>
        <v>0</v>
      </c>
      <c r="P92" s="334">
        <f t="shared" ref="P92" si="139">N92+O92</f>
        <v>14.12</v>
      </c>
      <c r="Q92" s="334">
        <f t="shared" ref="Q92" si="140">J92+J93</f>
        <v>8.1939999999999991</v>
      </c>
      <c r="R92" s="334">
        <f t="shared" ref="R92" si="141">+P92-Q92</f>
        <v>5.9260000000000002</v>
      </c>
      <c r="S92" s="332">
        <f t="shared" ref="S92" si="142">Q92/P92</f>
        <v>0.58031161473087811</v>
      </c>
      <c r="T92" s="140"/>
      <c r="U92" s="141"/>
    </row>
    <row r="93" spans="2:21">
      <c r="B93" s="339"/>
      <c r="C93" s="308"/>
      <c r="D93" s="345"/>
      <c r="E93" s="344"/>
      <c r="F93" s="129" t="s">
        <v>10</v>
      </c>
      <c r="G93" s="172">
        <v>7.06</v>
      </c>
      <c r="H93" s="172"/>
      <c r="I93" s="172">
        <f>K92+G93+H93</f>
        <v>8.4179999999999993</v>
      </c>
      <c r="J93" s="292">
        <v>2.492</v>
      </c>
      <c r="K93" s="172">
        <f t="shared" ref="K93:K122" si="143">+I93-J93</f>
        <v>5.9259999999999993</v>
      </c>
      <c r="L93" s="154">
        <f t="shared" ref="L93:L124" si="144">J93/I93</f>
        <v>0.29603231171299599</v>
      </c>
      <c r="M93" s="98" t="s">
        <v>218</v>
      </c>
      <c r="N93" s="334"/>
      <c r="O93" s="334"/>
      <c r="P93" s="334"/>
      <c r="Q93" s="334"/>
      <c r="R93" s="334"/>
      <c r="S93" s="332"/>
      <c r="T93" s="140"/>
      <c r="U93" s="141"/>
    </row>
    <row r="94" spans="2:21">
      <c r="B94" s="339"/>
      <c r="C94" s="308"/>
      <c r="D94" s="345"/>
      <c r="E94" s="344" t="s">
        <v>654</v>
      </c>
      <c r="F94" s="129" t="s">
        <v>488</v>
      </c>
      <c r="G94" s="172">
        <v>7.0620000000000003</v>
      </c>
      <c r="H94" s="172"/>
      <c r="I94" s="172">
        <f>G94+H94</f>
        <v>7.0620000000000003</v>
      </c>
      <c r="J94" s="292">
        <v>4.7880000000000003</v>
      </c>
      <c r="K94" s="172">
        <f t="shared" si="143"/>
        <v>2.274</v>
      </c>
      <c r="L94" s="154">
        <f t="shared" si="144"/>
        <v>0.67799490229396775</v>
      </c>
      <c r="M94" s="98" t="s">
        <v>218</v>
      </c>
      <c r="N94" s="334">
        <f>G94+G95</f>
        <v>14.124000000000001</v>
      </c>
      <c r="O94" s="334">
        <f t="shared" ref="O94" si="145">+H94+H95</f>
        <v>0</v>
      </c>
      <c r="P94" s="334">
        <f t="shared" ref="P94" si="146">N94+O94</f>
        <v>14.124000000000001</v>
      </c>
      <c r="Q94" s="334">
        <f t="shared" ref="Q94" si="147">J94+J95</f>
        <v>13.076000000000001</v>
      </c>
      <c r="R94" s="334">
        <f t="shared" ref="R94" si="148">+P94-Q94</f>
        <v>1.048</v>
      </c>
      <c r="S94" s="332">
        <f t="shared" ref="S94" si="149">Q94/P94</f>
        <v>0.92580005664117815</v>
      </c>
      <c r="T94" s="140"/>
      <c r="U94" s="141"/>
    </row>
    <row r="95" spans="2:21">
      <c r="B95" s="339"/>
      <c r="C95" s="308"/>
      <c r="D95" s="345"/>
      <c r="E95" s="344"/>
      <c r="F95" s="129" t="s">
        <v>10</v>
      </c>
      <c r="G95" s="172">
        <v>7.0620000000000003</v>
      </c>
      <c r="H95" s="172"/>
      <c r="I95" s="172">
        <f>K94+G95+H95</f>
        <v>9.3360000000000003</v>
      </c>
      <c r="J95" s="292">
        <v>8.2880000000000003</v>
      </c>
      <c r="K95" s="172">
        <f t="shared" si="143"/>
        <v>1.048</v>
      </c>
      <c r="L95" s="154">
        <f t="shared" si="144"/>
        <v>0.88774635818337622</v>
      </c>
      <c r="M95" s="98" t="s">
        <v>218</v>
      </c>
      <c r="N95" s="334"/>
      <c r="O95" s="334"/>
      <c r="P95" s="334"/>
      <c r="Q95" s="334"/>
      <c r="R95" s="334"/>
      <c r="S95" s="332"/>
      <c r="T95" s="140"/>
      <c r="U95" s="141"/>
    </row>
    <row r="96" spans="2:21">
      <c r="B96" s="339"/>
      <c r="C96" s="308"/>
      <c r="D96" s="345"/>
      <c r="E96" s="344" t="s">
        <v>676</v>
      </c>
      <c r="F96" s="129" t="s">
        <v>488</v>
      </c>
      <c r="G96" s="172">
        <v>7.077</v>
      </c>
      <c r="H96" s="172"/>
      <c r="I96" s="172">
        <f>G96+H96</f>
        <v>7.077</v>
      </c>
      <c r="J96" s="292">
        <v>0.42</v>
      </c>
      <c r="K96" s="172">
        <f t="shared" si="143"/>
        <v>6.657</v>
      </c>
      <c r="L96" s="154">
        <f t="shared" si="144"/>
        <v>5.9347181008902072E-2</v>
      </c>
      <c r="M96" s="98" t="s">
        <v>218</v>
      </c>
      <c r="N96" s="334">
        <f>G96+G97</f>
        <v>14.154</v>
      </c>
      <c r="O96" s="334">
        <f t="shared" ref="O96" si="150">+H96+H97</f>
        <v>0</v>
      </c>
      <c r="P96" s="334">
        <f t="shared" ref="P96" si="151">N96+O96</f>
        <v>14.154</v>
      </c>
      <c r="Q96" s="334">
        <f t="shared" ref="Q96" si="152">J96+J97</f>
        <v>13.552</v>
      </c>
      <c r="R96" s="334">
        <f t="shared" ref="R96" si="153">+P96-Q96</f>
        <v>0.60200000000000031</v>
      </c>
      <c r="S96" s="332">
        <f t="shared" ref="S96" si="154">Q96/P96</f>
        <v>0.95746785361028686</v>
      </c>
      <c r="T96" s="140"/>
      <c r="U96" s="141"/>
    </row>
    <row r="97" spans="2:21">
      <c r="B97" s="339"/>
      <c r="C97" s="308"/>
      <c r="D97" s="345"/>
      <c r="E97" s="344"/>
      <c r="F97" s="129" t="s">
        <v>10</v>
      </c>
      <c r="G97" s="172">
        <v>7.077</v>
      </c>
      <c r="H97" s="172"/>
      <c r="I97" s="172">
        <f>K96+G97+H97</f>
        <v>13.734</v>
      </c>
      <c r="J97" s="292">
        <v>13.132</v>
      </c>
      <c r="K97" s="172">
        <f t="shared" si="143"/>
        <v>0.60200000000000031</v>
      </c>
      <c r="L97" s="154">
        <f t="shared" si="144"/>
        <v>0.95616717635066262</v>
      </c>
      <c r="M97" s="98" t="s">
        <v>218</v>
      </c>
      <c r="N97" s="334"/>
      <c r="O97" s="334"/>
      <c r="P97" s="334"/>
      <c r="Q97" s="334"/>
      <c r="R97" s="334"/>
      <c r="S97" s="332"/>
      <c r="T97" s="140"/>
      <c r="U97" s="141"/>
    </row>
    <row r="98" spans="2:21">
      <c r="B98" s="339"/>
      <c r="C98" s="308"/>
      <c r="D98" s="345"/>
      <c r="E98" s="344" t="s">
        <v>656</v>
      </c>
      <c r="F98" s="129" t="s">
        <v>488</v>
      </c>
      <c r="G98" s="172">
        <v>7.0640000000000001</v>
      </c>
      <c r="H98" s="172"/>
      <c r="I98" s="172">
        <f>G98+H98</f>
        <v>7.0640000000000001</v>
      </c>
      <c r="J98" s="292">
        <v>6.02</v>
      </c>
      <c r="K98" s="172">
        <f t="shared" si="143"/>
        <v>1.0440000000000005</v>
      </c>
      <c r="L98" s="154">
        <f t="shared" si="144"/>
        <v>0.85220838052095127</v>
      </c>
      <c r="M98" s="98" t="s">
        <v>218</v>
      </c>
      <c r="N98" s="334">
        <f>G98+G99</f>
        <v>14.128</v>
      </c>
      <c r="O98" s="334">
        <f t="shared" ref="O98" si="155">+H98+H99</f>
        <v>0</v>
      </c>
      <c r="P98" s="334">
        <f t="shared" ref="P98" si="156">N98+O98</f>
        <v>14.128</v>
      </c>
      <c r="Q98" s="334">
        <f t="shared" ref="Q98" si="157">J98+J99</f>
        <v>13.552</v>
      </c>
      <c r="R98" s="334">
        <f t="shared" ref="R98" si="158">+P98-Q98</f>
        <v>0.57600000000000051</v>
      </c>
      <c r="S98" s="332">
        <f t="shared" ref="S98" si="159">Q98/P98</f>
        <v>0.95922989807474512</v>
      </c>
      <c r="T98" s="140"/>
      <c r="U98" s="141"/>
    </row>
    <row r="99" spans="2:21">
      <c r="B99" s="339"/>
      <c r="C99" s="308"/>
      <c r="D99" s="345"/>
      <c r="E99" s="344"/>
      <c r="F99" s="129" t="s">
        <v>10</v>
      </c>
      <c r="G99" s="172">
        <v>7.0640000000000001</v>
      </c>
      <c r="H99" s="172"/>
      <c r="I99" s="172">
        <f>K98+G99+H99</f>
        <v>8.1080000000000005</v>
      </c>
      <c r="J99" s="292">
        <v>7.532</v>
      </c>
      <c r="K99" s="172">
        <f t="shared" si="143"/>
        <v>0.57600000000000051</v>
      </c>
      <c r="L99" s="154">
        <f t="shared" si="144"/>
        <v>0.92895905278737045</v>
      </c>
      <c r="M99" s="98" t="s">
        <v>218</v>
      </c>
      <c r="N99" s="334"/>
      <c r="O99" s="334"/>
      <c r="P99" s="334"/>
      <c r="Q99" s="334"/>
      <c r="R99" s="334"/>
      <c r="S99" s="332"/>
      <c r="T99" s="140"/>
      <c r="U99" s="141"/>
    </row>
    <row r="100" spans="2:21">
      <c r="B100" s="339"/>
      <c r="C100" s="308"/>
      <c r="D100" s="345"/>
      <c r="E100" s="344" t="s">
        <v>340</v>
      </c>
      <c r="F100" s="129" t="s">
        <v>488</v>
      </c>
      <c r="G100" s="172">
        <v>7.0659999999999998</v>
      </c>
      <c r="H100" s="172"/>
      <c r="I100" s="172">
        <f>G100+H100</f>
        <v>7.0659999999999998</v>
      </c>
      <c r="J100" s="292">
        <v>5.88</v>
      </c>
      <c r="K100" s="172">
        <f t="shared" si="143"/>
        <v>1.1859999999999999</v>
      </c>
      <c r="L100" s="154">
        <f t="shared" si="144"/>
        <v>0.83215397679026326</v>
      </c>
      <c r="M100" s="98" t="s">
        <v>218</v>
      </c>
      <c r="N100" s="334">
        <f>G100+G101</f>
        <v>14.132</v>
      </c>
      <c r="O100" s="334">
        <f t="shared" ref="O100" si="160">+H100+H101</f>
        <v>0</v>
      </c>
      <c r="P100" s="334">
        <f t="shared" ref="P100" si="161">N100+O100</f>
        <v>14.132</v>
      </c>
      <c r="Q100" s="334">
        <f t="shared" ref="Q100" si="162">J100+J101</f>
        <v>13.635999999999999</v>
      </c>
      <c r="R100" s="334">
        <f t="shared" ref="R100" si="163">+P100-Q100</f>
        <v>0.49600000000000044</v>
      </c>
      <c r="S100" s="332">
        <f t="shared" ref="S100" si="164">Q100/P100</f>
        <v>0.96490234927823382</v>
      </c>
      <c r="T100" s="140"/>
      <c r="U100" s="141"/>
    </row>
    <row r="101" spans="2:21">
      <c r="B101" s="339"/>
      <c r="C101" s="308"/>
      <c r="D101" s="345"/>
      <c r="E101" s="344"/>
      <c r="F101" s="129" t="s">
        <v>10</v>
      </c>
      <c r="G101" s="172">
        <v>7.0659999999999998</v>
      </c>
      <c r="H101" s="172"/>
      <c r="I101" s="172">
        <f>K100+G101+H101</f>
        <v>8.2519999999999989</v>
      </c>
      <c r="J101" s="292">
        <v>7.7560000000000002</v>
      </c>
      <c r="K101" s="172">
        <f t="shared" si="143"/>
        <v>0.49599999999999866</v>
      </c>
      <c r="L101" s="154">
        <f t="shared" si="144"/>
        <v>0.93989335918565209</v>
      </c>
      <c r="M101" s="98" t="s">
        <v>218</v>
      </c>
      <c r="N101" s="334"/>
      <c r="O101" s="334"/>
      <c r="P101" s="334"/>
      <c r="Q101" s="334"/>
      <c r="R101" s="334"/>
      <c r="S101" s="332"/>
      <c r="T101" s="140"/>
      <c r="U101" s="141"/>
    </row>
    <row r="102" spans="2:21">
      <c r="B102" s="339"/>
      <c r="C102" s="308"/>
      <c r="D102" s="345"/>
      <c r="E102" s="344" t="s">
        <v>677</v>
      </c>
      <c r="F102" s="129" t="s">
        <v>488</v>
      </c>
      <c r="G102" s="172">
        <v>7.0620000000000003</v>
      </c>
      <c r="H102" s="172"/>
      <c r="I102" s="172">
        <f>G102+H102</f>
        <v>7.0620000000000003</v>
      </c>
      <c r="J102" s="292">
        <v>4.6760000000000002</v>
      </c>
      <c r="K102" s="172">
        <f t="shared" si="143"/>
        <v>2.3860000000000001</v>
      </c>
      <c r="L102" s="154">
        <f t="shared" si="144"/>
        <v>0.66213537241574627</v>
      </c>
      <c r="M102" s="98" t="s">
        <v>218</v>
      </c>
      <c r="N102" s="334">
        <f>G102+G103</f>
        <v>14.124000000000001</v>
      </c>
      <c r="O102" s="334">
        <f t="shared" ref="O102" si="165">+H102+H103</f>
        <v>0</v>
      </c>
      <c r="P102" s="334">
        <f t="shared" ref="P102" si="166">N102+O102</f>
        <v>14.124000000000001</v>
      </c>
      <c r="Q102" s="334">
        <f t="shared" ref="Q102" si="167">J102+J103</f>
        <v>12.936</v>
      </c>
      <c r="R102" s="334">
        <f t="shared" ref="R102" si="168">+P102-Q102</f>
        <v>1.1880000000000006</v>
      </c>
      <c r="S102" s="332">
        <f t="shared" ref="S102" si="169">Q102/P102</f>
        <v>0.91588785046728971</v>
      </c>
      <c r="T102" s="140"/>
      <c r="U102" s="141"/>
    </row>
    <row r="103" spans="2:21">
      <c r="B103" s="339"/>
      <c r="C103" s="308"/>
      <c r="D103" s="345"/>
      <c r="E103" s="344"/>
      <c r="F103" s="129" t="s">
        <v>10</v>
      </c>
      <c r="G103" s="172">
        <v>7.0620000000000003</v>
      </c>
      <c r="H103" s="172"/>
      <c r="I103" s="172">
        <f>K102+G103+H103</f>
        <v>9.4480000000000004</v>
      </c>
      <c r="J103" s="292">
        <v>8.26</v>
      </c>
      <c r="K103" s="172">
        <f t="shared" si="143"/>
        <v>1.1880000000000006</v>
      </c>
      <c r="L103" s="154">
        <f t="shared" si="144"/>
        <v>0.87425910245554606</v>
      </c>
      <c r="M103" s="98" t="s">
        <v>218</v>
      </c>
      <c r="N103" s="334"/>
      <c r="O103" s="334"/>
      <c r="P103" s="334"/>
      <c r="Q103" s="334"/>
      <c r="R103" s="334"/>
      <c r="S103" s="332"/>
      <c r="T103" s="140"/>
      <c r="U103" s="141"/>
    </row>
    <row r="104" spans="2:21">
      <c r="B104" s="339"/>
      <c r="C104" s="308"/>
      <c r="D104" s="345"/>
      <c r="E104" s="344" t="s">
        <v>653</v>
      </c>
      <c r="F104" s="129" t="s">
        <v>488</v>
      </c>
      <c r="G104" s="172">
        <v>7.06</v>
      </c>
      <c r="H104" s="172"/>
      <c r="I104" s="172">
        <f>G104+H104</f>
        <v>7.06</v>
      </c>
      <c r="J104" s="292">
        <v>6.58</v>
      </c>
      <c r="K104" s="172">
        <f t="shared" si="143"/>
        <v>0.47999999999999954</v>
      </c>
      <c r="L104" s="154">
        <f t="shared" si="144"/>
        <v>0.93201133144475923</v>
      </c>
      <c r="M104" s="98" t="s">
        <v>218</v>
      </c>
      <c r="N104" s="334">
        <f>G104+G105</f>
        <v>14.12</v>
      </c>
      <c r="O104" s="334">
        <f t="shared" ref="O104" si="170">+H104+H105</f>
        <v>0</v>
      </c>
      <c r="P104" s="334">
        <f t="shared" ref="P104" si="171">N104+O104</f>
        <v>14.12</v>
      </c>
      <c r="Q104" s="334">
        <f t="shared" ref="Q104" si="172">J104+J105</f>
        <v>13.187999999999999</v>
      </c>
      <c r="R104" s="334">
        <f t="shared" ref="R104" si="173">+P104-Q104</f>
        <v>0.93200000000000038</v>
      </c>
      <c r="S104" s="332">
        <f t="shared" ref="S104" si="174">Q104/P104</f>
        <v>0.93399433427762035</v>
      </c>
      <c r="T104" s="140"/>
      <c r="U104" s="141"/>
    </row>
    <row r="105" spans="2:21">
      <c r="B105" s="339"/>
      <c r="C105" s="308"/>
      <c r="D105" s="345"/>
      <c r="E105" s="344"/>
      <c r="F105" s="129" t="s">
        <v>10</v>
      </c>
      <c r="G105" s="172">
        <v>7.06</v>
      </c>
      <c r="H105" s="172"/>
      <c r="I105" s="172">
        <f>K104+G105+H105</f>
        <v>7.5399999999999991</v>
      </c>
      <c r="J105" s="292">
        <v>6.6079999999999997</v>
      </c>
      <c r="K105" s="172">
        <f t="shared" si="143"/>
        <v>0.9319999999999995</v>
      </c>
      <c r="L105" s="154">
        <f t="shared" si="144"/>
        <v>0.87639257294429718</v>
      </c>
      <c r="M105" s="98" t="s">
        <v>218</v>
      </c>
      <c r="N105" s="334"/>
      <c r="O105" s="334"/>
      <c r="P105" s="334"/>
      <c r="Q105" s="334"/>
      <c r="R105" s="334"/>
      <c r="S105" s="332"/>
      <c r="T105" s="140"/>
      <c r="U105" s="141"/>
    </row>
    <row r="106" spans="2:21">
      <c r="B106" s="339"/>
      <c r="C106" s="308"/>
      <c r="D106" s="345"/>
      <c r="E106" s="344" t="s">
        <v>655</v>
      </c>
      <c r="F106" s="129" t="s">
        <v>488</v>
      </c>
      <c r="G106" s="172">
        <v>7.06</v>
      </c>
      <c r="H106" s="172"/>
      <c r="I106" s="172">
        <f>G106+H106</f>
        <v>7.06</v>
      </c>
      <c r="J106" s="292">
        <v>6.7480000000000002</v>
      </c>
      <c r="K106" s="172">
        <f t="shared" si="143"/>
        <v>0.31199999999999939</v>
      </c>
      <c r="L106" s="154">
        <f t="shared" si="144"/>
        <v>0.95580736543909361</v>
      </c>
      <c r="M106" s="98" t="s">
        <v>218</v>
      </c>
      <c r="N106" s="334">
        <f>G106+G107</f>
        <v>14.12</v>
      </c>
      <c r="O106" s="334">
        <f t="shared" ref="O106" si="175">+H106+H107</f>
        <v>0</v>
      </c>
      <c r="P106" s="334">
        <f t="shared" ref="P106" si="176">N106+O106</f>
        <v>14.12</v>
      </c>
      <c r="Q106" s="334">
        <f t="shared" ref="Q106" si="177">J106+J107</f>
        <v>13.007000000000001</v>
      </c>
      <c r="R106" s="334">
        <f t="shared" ref="R106" si="178">+P106-Q106</f>
        <v>1.1129999999999978</v>
      </c>
      <c r="S106" s="332">
        <f t="shared" ref="S106" si="179">Q106/P106</f>
        <v>0.92117563739376784</v>
      </c>
      <c r="T106" s="140"/>
      <c r="U106" s="141"/>
    </row>
    <row r="107" spans="2:21">
      <c r="B107" s="339"/>
      <c r="C107" s="308"/>
      <c r="D107" s="345"/>
      <c r="E107" s="344"/>
      <c r="F107" s="129" t="s">
        <v>10</v>
      </c>
      <c r="G107" s="172">
        <v>7.06</v>
      </c>
      <c r="H107" s="172"/>
      <c r="I107" s="172">
        <f>K106+G107+H107</f>
        <v>7.371999999999999</v>
      </c>
      <c r="J107" s="292">
        <v>6.2590000000000003</v>
      </c>
      <c r="K107" s="172">
        <f t="shared" si="143"/>
        <v>1.1129999999999987</v>
      </c>
      <c r="L107" s="154">
        <f t="shared" si="144"/>
        <v>0.84902333152468812</v>
      </c>
      <c r="M107" s="98" t="s">
        <v>218</v>
      </c>
      <c r="N107" s="334"/>
      <c r="O107" s="334"/>
      <c r="P107" s="334"/>
      <c r="Q107" s="334"/>
      <c r="R107" s="334"/>
      <c r="S107" s="332"/>
      <c r="T107" s="140"/>
      <c r="U107" s="141"/>
    </row>
    <row r="108" spans="2:21">
      <c r="B108" s="339"/>
      <c r="C108" s="308"/>
      <c r="D108" s="345"/>
      <c r="E108" s="344" t="s">
        <v>341</v>
      </c>
      <c r="F108" s="129" t="s">
        <v>488</v>
      </c>
      <c r="G108" s="172">
        <v>7.056</v>
      </c>
      <c r="H108" s="172"/>
      <c r="I108" s="172">
        <f>G108+H108</f>
        <v>7.056</v>
      </c>
      <c r="J108" s="292">
        <v>5.0119999999999996</v>
      </c>
      <c r="K108" s="172">
        <f t="shared" si="143"/>
        <v>2.0440000000000005</v>
      </c>
      <c r="L108" s="154">
        <f t="shared" si="144"/>
        <v>0.71031746031746024</v>
      </c>
      <c r="M108" s="98" t="s">
        <v>218</v>
      </c>
      <c r="N108" s="334">
        <f>G108+G109</f>
        <v>14.112</v>
      </c>
      <c r="O108" s="334">
        <f t="shared" ref="O108" si="180">+H108+H109</f>
        <v>0</v>
      </c>
      <c r="P108" s="334">
        <f t="shared" ref="P108" si="181">N108+O108</f>
        <v>14.112</v>
      </c>
      <c r="Q108" s="334">
        <f t="shared" ref="Q108" si="182">J108+J109</f>
        <v>12.963999999999999</v>
      </c>
      <c r="R108" s="334">
        <f t="shared" ref="R108" si="183">+P108-Q108</f>
        <v>1.1480000000000015</v>
      </c>
      <c r="S108" s="332">
        <f t="shared" ref="S108" si="184">Q108/P108</f>
        <v>0.9186507936507935</v>
      </c>
      <c r="T108" s="140"/>
      <c r="U108" s="141"/>
    </row>
    <row r="109" spans="2:21">
      <c r="B109" s="339"/>
      <c r="C109" s="308"/>
      <c r="D109" s="345"/>
      <c r="E109" s="344"/>
      <c r="F109" s="129" t="s">
        <v>10</v>
      </c>
      <c r="G109" s="172">
        <v>7.056</v>
      </c>
      <c r="H109" s="172"/>
      <c r="I109" s="172">
        <f>K108+G109+H109</f>
        <v>9.1000000000000014</v>
      </c>
      <c r="J109" s="292">
        <v>7.952</v>
      </c>
      <c r="K109" s="172">
        <f t="shared" si="143"/>
        <v>1.1480000000000015</v>
      </c>
      <c r="L109" s="154">
        <f t="shared" si="144"/>
        <v>0.87384615384615372</v>
      </c>
      <c r="M109" s="98" t="s">
        <v>218</v>
      </c>
      <c r="N109" s="334"/>
      <c r="O109" s="334"/>
      <c r="P109" s="334"/>
      <c r="Q109" s="334"/>
      <c r="R109" s="334"/>
      <c r="S109" s="332"/>
      <c r="T109" s="140"/>
      <c r="U109" s="141"/>
    </row>
    <row r="110" spans="2:21">
      <c r="B110" s="339"/>
      <c r="C110" s="308"/>
      <c r="D110" s="345" t="s">
        <v>276</v>
      </c>
      <c r="E110" s="344" t="s">
        <v>659</v>
      </c>
      <c r="F110" s="129" t="s">
        <v>488</v>
      </c>
      <c r="G110" s="172">
        <v>7.0620000000000003</v>
      </c>
      <c r="H110" s="172"/>
      <c r="I110" s="172">
        <f>G110+H110</f>
        <v>7.0620000000000003</v>
      </c>
      <c r="J110" s="292">
        <v>3.3039999999999998</v>
      </c>
      <c r="K110" s="172">
        <f t="shared" si="143"/>
        <v>3.7580000000000005</v>
      </c>
      <c r="L110" s="154">
        <f t="shared" si="144"/>
        <v>0.46785613140753324</v>
      </c>
      <c r="M110" s="98" t="s">
        <v>218</v>
      </c>
      <c r="N110" s="334">
        <f>G110+G111</f>
        <v>14.124000000000001</v>
      </c>
      <c r="O110" s="334">
        <f t="shared" ref="O110" si="185">+H110+H111</f>
        <v>0</v>
      </c>
      <c r="P110" s="334">
        <f t="shared" ref="P110" si="186">N110+O110</f>
        <v>14.124000000000001</v>
      </c>
      <c r="Q110" s="334">
        <f t="shared" ref="Q110" si="187">J110+J111</f>
        <v>7.1959999999999997</v>
      </c>
      <c r="R110" s="334">
        <f t="shared" ref="R110" si="188">+P110-Q110</f>
        <v>6.9280000000000008</v>
      </c>
      <c r="S110" s="332">
        <f t="shared" ref="S110" si="189">Q110/P110</f>
        <v>0.50948739733786463</v>
      </c>
      <c r="T110" s="140"/>
      <c r="U110" s="141"/>
    </row>
    <row r="111" spans="2:21">
      <c r="B111" s="339"/>
      <c r="C111" s="308"/>
      <c r="D111" s="345"/>
      <c r="E111" s="344"/>
      <c r="F111" s="129" t="s">
        <v>10</v>
      </c>
      <c r="G111" s="172">
        <v>7.0620000000000003</v>
      </c>
      <c r="H111" s="172"/>
      <c r="I111" s="172">
        <f>K110+G111+H111</f>
        <v>10.82</v>
      </c>
      <c r="J111" s="292">
        <v>3.8919999999999999</v>
      </c>
      <c r="K111" s="172">
        <f t="shared" si="143"/>
        <v>6.9280000000000008</v>
      </c>
      <c r="L111" s="154">
        <f t="shared" si="144"/>
        <v>0.35970425138632162</v>
      </c>
      <c r="M111" s="98" t="s">
        <v>218</v>
      </c>
      <c r="N111" s="334"/>
      <c r="O111" s="334"/>
      <c r="P111" s="334"/>
      <c r="Q111" s="334"/>
      <c r="R111" s="334"/>
      <c r="S111" s="332"/>
      <c r="T111" s="140"/>
      <c r="U111" s="141"/>
    </row>
    <row r="112" spans="2:21">
      <c r="B112" s="339"/>
      <c r="C112" s="308"/>
      <c r="D112" s="345" t="s">
        <v>277</v>
      </c>
      <c r="E112" s="344" t="s">
        <v>344</v>
      </c>
      <c r="F112" s="129" t="s">
        <v>488</v>
      </c>
      <c r="G112" s="172">
        <v>7.0570000000000004</v>
      </c>
      <c r="H112" s="172"/>
      <c r="I112" s="172">
        <f>G112+H112</f>
        <v>7.0570000000000004</v>
      </c>
      <c r="J112" s="292">
        <v>0.14000000000000001</v>
      </c>
      <c r="K112" s="172">
        <f t="shared" si="143"/>
        <v>6.9170000000000007</v>
      </c>
      <c r="L112" s="154">
        <f t="shared" si="144"/>
        <v>1.9838458268386001E-2</v>
      </c>
      <c r="M112" s="98" t="s">
        <v>218</v>
      </c>
      <c r="N112" s="334">
        <f>G112+G113</f>
        <v>14.114000000000001</v>
      </c>
      <c r="O112" s="334">
        <f t="shared" ref="O112" si="190">+H112+H113</f>
        <v>0</v>
      </c>
      <c r="P112" s="334">
        <f t="shared" ref="P112" si="191">N112+O112</f>
        <v>14.114000000000001</v>
      </c>
      <c r="Q112" s="334">
        <f t="shared" ref="Q112" si="192">J112+J113</f>
        <v>0.14000000000000001</v>
      </c>
      <c r="R112" s="334">
        <f t="shared" ref="R112" si="193">+P112-Q112</f>
        <v>13.974</v>
      </c>
      <c r="S112" s="332">
        <f t="shared" ref="S112" si="194">Q112/P112</f>
        <v>9.9192291341930004E-3</v>
      </c>
      <c r="T112" s="140"/>
      <c r="U112" s="141"/>
    </row>
    <row r="113" spans="1:26">
      <c r="B113" s="339"/>
      <c r="C113" s="308"/>
      <c r="D113" s="345"/>
      <c r="E113" s="344"/>
      <c r="F113" s="129" t="s">
        <v>10</v>
      </c>
      <c r="G113" s="172">
        <v>7.0570000000000004</v>
      </c>
      <c r="H113" s="172"/>
      <c r="I113" s="172">
        <f>K112+G113+H113</f>
        <v>13.974</v>
      </c>
      <c r="J113" s="292">
        <v>0</v>
      </c>
      <c r="K113" s="172">
        <f t="shared" si="143"/>
        <v>13.974</v>
      </c>
      <c r="L113" s="154">
        <f t="shared" si="144"/>
        <v>0</v>
      </c>
      <c r="M113" s="98" t="s">
        <v>218</v>
      </c>
      <c r="N113" s="334"/>
      <c r="O113" s="334"/>
      <c r="P113" s="334"/>
      <c r="Q113" s="334"/>
      <c r="R113" s="334"/>
      <c r="S113" s="332"/>
      <c r="T113" s="140"/>
      <c r="U113" s="141"/>
    </row>
    <row r="114" spans="1:26">
      <c r="B114" s="339"/>
      <c r="C114" s="308"/>
      <c r="D114" s="345"/>
      <c r="E114" s="344" t="s">
        <v>345</v>
      </c>
      <c r="F114" s="129" t="s">
        <v>488</v>
      </c>
      <c r="G114" s="172">
        <v>7.0549999999999997</v>
      </c>
      <c r="H114" s="172"/>
      <c r="I114" s="172">
        <f>G114+H114</f>
        <v>7.0549999999999997</v>
      </c>
      <c r="J114" s="292">
        <v>1.44</v>
      </c>
      <c r="K114" s="172">
        <f t="shared" si="143"/>
        <v>5.6150000000000002</v>
      </c>
      <c r="L114" s="154">
        <f t="shared" si="144"/>
        <v>0.20411055988660526</v>
      </c>
      <c r="M114" s="98" t="s">
        <v>218</v>
      </c>
      <c r="N114" s="334">
        <f>G114+G115</f>
        <v>14.11</v>
      </c>
      <c r="O114" s="334">
        <f t="shared" ref="O114" si="195">+H114+H115</f>
        <v>0</v>
      </c>
      <c r="P114" s="334">
        <f t="shared" ref="P114" si="196">N114+O114</f>
        <v>14.11</v>
      </c>
      <c r="Q114" s="334">
        <f t="shared" ref="Q114" si="197">J114+J115</f>
        <v>2.2359999999999998</v>
      </c>
      <c r="R114" s="334">
        <f t="shared" ref="R114" si="198">+P114-Q114</f>
        <v>11.873999999999999</v>
      </c>
      <c r="S114" s="332">
        <f t="shared" ref="S114" si="199">Q114/P114</f>
        <v>0.15846917080085046</v>
      </c>
      <c r="T114" s="140"/>
      <c r="U114" s="141"/>
    </row>
    <row r="115" spans="1:26">
      <c r="B115" s="339"/>
      <c r="C115" s="308"/>
      <c r="D115" s="345"/>
      <c r="E115" s="344"/>
      <c r="F115" s="129" t="s">
        <v>10</v>
      </c>
      <c r="G115" s="172">
        <v>7.0549999999999997</v>
      </c>
      <c r="H115" s="172"/>
      <c r="I115" s="172">
        <f>K114+G115+H115</f>
        <v>12.67</v>
      </c>
      <c r="J115" s="292">
        <v>0.79600000000000004</v>
      </c>
      <c r="K115" s="172">
        <f t="shared" si="143"/>
        <v>11.874000000000001</v>
      </c>
      <c r="L115" s="154">
        <f t="shared" si="144"/>
        <v>6.2825572217837411E-2</v>
      </c>
      <c r="M115" s="98" t="s">
        <v>218</v>
      </c>
      <c r="N115" s="334"/>
      <c r="O115" s="334"/>
      <c r="P115" s="334"/>
      <c r="Q115" s="334"/>
      <c r="R115" s="334"/>
      <c r="S115" s="332"/>
      <c r="T115" s="140"/>
      <c r="U115" s="141"/>
    </row>
    <row r="116" spans="1:26">
      <c r="B116" s="339"/>
      <c r="C116" s="308"/>
      <c r="D116" s="345"/>
      <c r="E116" s="344" t="s">
        <v>346</v>
      </c>
      <c r="F116" s="129" t="s">
        <v>488</v>
      </c>
      <c r="G116" s="172">
        <v>7.0540000000000003</v>
      </c>
      <c r="H116" s="172"/>
      <c r="I116" s="172">
        <f>G116+H116</f>
        <v>7.0540000000000003</v>
      </c>
      <c r="J116" s="292">
        <v>0</v>
      </c>
      <c r="K116" s="172">
        <f t="shared" si="143"/>
        <v>7.0540000000000003</v>
      </c>
      <c r="L116" s="154">
        <f t="shared" si="144"/>
        <v>0</v>
      </c>
      <c r="M116" s="98" t="s">
        <v>218</v>
      </c>
      <c r="N116" s="334">
        <f>G116+G117</f>
        <v>14.108000000000001</v>
      </c>
      <c r="O116" s="334">
        <f t="shared" ref="O116" si="200">+H116+H117</f>
        <v>0</v>
      </c>
      <c r="P116" s="334">
        <f t="shared" ref="P116" si="201">N116+O116</f>
        <v>14.108000000000001</v>
      </c>
      <c r="Q116" s="334">
        <f t="shared" ref="Q116" si="202">J116+J117</f>
        <v>0</v>
      </c>
      <c r="R116" s="334">
        <f t="shared" ref="R116" si="203">+P116-Q116</f>
        <v>14.108000000000001</v>
      </c>
      <c r="S116" s="332">
        <f t="shared" ref="S116" si="204">Q116/P116</f>
        <v>0</v>
      </c>
      <c r="T116" s="140"/>
      <c r="U116" s="141"/>
    </row>
    <row r="117" spans="1:26">
      <c r="B117" s="339"/>
      <c r="C117" s="308"/>
      <c r="D117" s="345"/>
      <c r="E117" s="344"/>
      <c r="F117" s="129" t="s">
        <v>10</v>
      </c>
      <c r="G117" s="172">
        <v>7.0540000000000003</v>
      </c>
      <c r="H117" s="172"/>
      <c r="I117" s="172">
        <f>K116+G117+H117</f>
        <v>14.108000000000001</v>
      </c>
      <c r="J117" s="292">
        <v>0</v>
      </c>
      <c r="K117" s="172">
        <f t="shared" si="143"/>
        <v>14.108000000000001</v>
      </c>
      <c r="L117" s="154">
        <f t="shared" si="144"/>
        <v>0</v>
      </c>
      <c r="M117" s="98" t="s">
        <v>218</v>
      </c>
      <c r="N117" s="334"/>
      <c r="O117" s="334"/>
      <c r="P117" s="334"/>
      <c r="Q117" s="334"/>
      <c r="R117" s="334"/>
      <c r="S117" s="332"/>
      <c r="T117" s="140"/>
      <c r="U117" s="141"/>
    </row>
    <row r="118" spans="1:26">
      <c r="B118" s="339"/>
      <c r="C118" s="308"/>
      <c r="D118" s="345"/>
      <c r="E118" s="344" t="s">
        <v>347</v>
      </c>
      <c r="F118" s="129" t="s">
        <v>488</v>
      </c>
      <c r="G118" s="172">
        <v>7.0609999999999999</v>
      </c>
      <c r="H118" s="172"/>
      <c r="I118" s="172">
        <f>G118+H118</f>
        <v>7.0609999999999999</v>
      </c>
      <c r="J118" s="292">
        <v>6.9720000000000004</v>
      </c>
      <c r="K118" s="172">
        <f t="shared" si="143"/>
        <v>8.8999999999999524E-2</v>
      </c>
      <c r="L118" s="154">
        <f t="shared" si="144"/>
        <v>0.98739555303781346</v>
      </c>
      <c r="M118" s="98" t="s">
        <v>218</v>
      </c>
      <c r="N118" s="334">
        <f>G118+G119</f>
        <v>14.122</v>
      </c>
      <c r="O118" s="334">
        <f t="shared" ref="O118" si="205">+H118+H119</f>
        <v>0</v>
      </c>
      <c r="P118" s="334">
        <f t="shared" ref="P118" si="206">N118+O118</f>
        <v>14.122</v>
      </c>
      <c r="Q118" s="334">
        <f t="shared" ref="Q118" si="207">J118+J119</f>
        <v>6.9720000000000004</v>
      </c>
      <c r="R118" s="334">
        <f t="shared" ref="R118" si="208">+P118-Q118</f>
        <v>7.1499999999999995</v>
      </c>
      <c r="S118" s="332">
        <f t="shared" ref="S118" si="209">Q118/P118</f>
        <v>0.49369777651890673</v>
      </c>
      <c r="T118" s="140"/>
      <c r="U118" s="141"/>
    </row>
    <row r="119" spans="1:26">
      <c r="B119" s="339"/>
      <c r="C119" s="308"/>
      <c r="D119" s="345"/>
      <c r="E119" s="344"/>
      <c r="F119" s="129" t="s">
        <v>10</v>
      </c>
      <c r="G119" s="172">
        <v>7.0609999999999999</v>
      </c>
      <c r="H119" s="172"/>
      <c r="I119" s="172">
        <f>K118+G119+H119</f>
        <v>7.1499999999999995</v>
      </c>
      <c r="J119" s="292">
        <v>0</v>
      </c>
      <c r="K119" s="172">
        <f t="shared" si="143"/>
        <v>7.1499999999999995</v>
      </c>
      <c r="L119" s="154">
        <f t="shared" si="144"/>
        <v>0</v>
      </c>
      <c r="M119" s="98" t="s">
        <v>218</v>
      </c>
      <c r="N119" s="334"/>
      <c r="O119" s="334"/>
      <c r="P119" s="334"/>
      <c r="Q119" s="334"/>
      <c r="R119" s="334"/>
      <c r="S119" s="332"/>
      <c r="T119" s="140"/>
      <c r="U119" s="141"/>
    </row>
    <row r="120" spans="1:26">
      <c r="B120" s="339"/>
      <c r="C120" s="308"/>
      <c r="D120" s="345"/>
      <c r="E120" s="344" t="s">
        <v>657</v>
      </c>
      <c r="F120" s="129" t="s">
        <v>488</v>
      </c>
      <c r="G120" s="172">
        <v>7.0570000000000004</v>
      </c>
      <c r="H120" s="172"/>
      <c r="I120" s="172">
        <f>G120+H120</f>
        <v>7.0570000000000004</v>
      </c>
      <c r="J120" s="292">
        <v>4.9000000000000004</v>
      </c>
      <c r="K120" s="172">
        <f t="shared" si="143"/>
        <v>2.157</v>
      </c>
      <c r="L120" s="154">
        <f t="shared" si="144"/>
        <v>0.69434603939351003</v>
      </c>
      <c r="M120" s="98" t="s">
        <v>218</v>
      </c>
      <c r="N120" s="334">
        <f>G120+G121</f>
        <v>14.114000000000001</v>
      </c>
      <c r="O120" s="334">
        <f t="shared" ref="O120" si="210">+H120+H121</f>
        <v>0</v>
      </c>
      <c r="P120" s="334">
        <f t="shared" ref="P120" si="211">N120+O120</f>
        <v>14.114000000000001</v>
      </c>
      <c r="Q120" s="334">
        <f t="shared" ref="Q120" si="212">J120+J121</f>
        <v>11.056000000000001</v>
      </c>
      <c r="R120" s="334">
        <f t="shared" ref="R120" si="213">+P120-Q120</f>
        <v>3.0579999999999998</v>
      </c>
      <c r="S120" s="332">
        <f t="shared" ref="S120" si="214">Q120/P120</f>
        <v>0.7833356950545558</v>
      </c>
      <c r="T120" s="140"/>
      <c r="U120" s="141"/>
    </row>
    <row r="121" spans="1:26">
      <c r="B121" s="339"/>
      <c r="C121" s="308"/>
      <c r="D121" s="345"/>
      <c r="E121" s="344"/>
      <c r="F121" s="129" t="s">
        <v>10</v>
      </c>
      <c r="G121" s="172">
        <v>7.0570000000000004</v>
      </c>
      <c r="H121" s="172"/>
      <c r="I121" s="172">
        <f>K120+G121+H121</f>
        <v>9.2140000000000004</v>
      </c>
      <c r="J121" s="292">
        <v>6.1559999999999997</v>
      </c>
      <c r="K121" s="172">
        <f t="shared" si="143"/>
        <v>3.0580000000000007</v>
      </c>
      <c r="L121" s="154">
        <f t="shared" si="144"/>
        <v>0.66811373996092893</v>
      </c>
      <c r="M121" s="98" t="s">
        <v>218</v>
      </c>
      <c r="N121" s="334"/>
      <c r="O121" s="334"/>
      <c r="P121" s="334"/>
      <c r="Q121" s="334"/>
      <c r="R121" s="334"/>
      <c r="S121" s="332"/>
      <c r="T121" s="140"/>
      <c r="U121" s="141"/>
    </row>
    <row r="122" spans="1:26">
      <c r="B122" s="339"/>
      <c r="C122" s="308"/>
      <c r="D122" s="345"/>
      <c r="E122" s="344" t="s">
        <v>658</v>
      </c>
      <c r="F122" s="129" t="s">
        <v>488</v>
      </c>
      <c r="G122" s="172">
        <v>7.0549999999999997</v>
      </c>
      <c r="H122" s="172"/>
      <c r="I122" s="172">
        <f>G122+H122</f>
        <v>7.0549999999999997</v>
      </c>
      <c r="J122" s="292">
        <v>2.548</v>
      </c>
      <c r="K122" s="172">
        <f t="shared" si="143"/>
        <v>4.5069999999999997</v>
      </c>
      <c r="L122" s="154">
        <f t="shared" si="144"/>
        <v>0.36116229624379875</v>
      </c>
      <c r="M122" s="98" t="s">
        <v>218</v>
      </c>
      <c r="N122" s="334">
        <f>G122+G123</f>
        <v>14.11</v>
      </c>
      <c r="O122" s="334">
        <f t="shared" ref="O122" si="215">+H122+H123</f>
        <v>0</v>
      </c>
      <c r="P122" s="334">
        <f t="shared" ref="P122" si="216">N122+O122</f>
        <v>14.11</v>
      </c>
      <c r="Q122" s="334">
        <f t="shared" ref="Q122" si="217">J122+J123</f>
        <v>10.25</v>
      </c>
      <c r="R122" s="334">
        <f t="shared" ref="R122" si="218">+P122-Q122</f>
        <v>3.8599999999999994</v>
      </c>
      <c r="S122" s="332">
        <f t="shared" ref="S122" si="219">Q122/P122</f>
        <v>0.72643515237420275</v>
      </c>
      <c r="T122" s="140"/>
      <c r="U122" s="141"/>
    </row>
    <row r="123" spans="1:26">
      <c r="B123" s="339"/>
      <c r="C123" s="308"/>
      <c r="D123" s="345"/>
      <c r="E123" s="344"/>
      <c r="F123" s="129" t="s">
        <v>10</v>
      </c>
      <c r="G123" s="172">
        <v>7.0549999999999997</v>
      </c>
      <c r="H123" s="172"/>
      <c r="I123" s="172">
        <f>K122+G123+H123</f>
        <v>11.561999999999999</v>
      </c>
      <c r="J123" s="292">
        <v>7.702</v>
      </c>
      <c r="K123" s="172">
        <f>+I123-J123</f>
        <v>3.8599999999999994</v>
      </c>
      <c r="L123" s="154">
        <f>J123/I123</f>
        <v>0.66614772530704036</v>
      </c>
      <c r="M123" s="98" t="s">
        <v>218</v>
      </c>
      <c r="N123" s="334"/>
      <c r="O123" s="334"/>
      <c r="P123" s="334"/>
      <c r="Q123" s="334"/>
      <c r="R123" s="334"/>
      <c r="S123" s="332"/>
      <c r="T123" s="140"/>
      <c r="U123" s="141"/>
    </row>
    <row r="124" spans="1:26">
      <c r="A124" s="119"/>
      <c r="B124" s="339"/>
      <c r="C124" s="341" t="s">
        <v>87</v>
      </c>
      <c r="D124" s="341"/>
      <c r="E124" s="341"/>
      <c r="F124" s="177" t="s">
        <v>488</v>
      </c>
      <c r="G124" s="178">
        <f>G48+G50+G52+G54+G56+G58+G60+G62+G64+G66+G68+G70+G72+G74+G76+G78+G80+G82+G84+G86+G88+G90+G92+G94+G96+G98+G100+G102+G104+G106+G108+G110+G112+G114+G116+G118+G120+G122</f>
        <v>275.66400000000004</v>
      </c>
      <c r="H124" s="178">
        <f>H48+H50+H52+H54+H56+H58+H60+H62+H64+H66+H68+H70+H72+H74+H76+H78+H80+H82+H84+H86+H88+H90+H92+H94+H96+H98+H100+H102+H104+H106+H108+H110+H112+H114+H116+H118+H120+H122</f>
        <v>0</v>
      </c>
      <c r="I124" s="178">
        <f>G124+H124</f>
        <v>275.66400000000004</v>
      </c>
      <c r="J124" s="297">
        <f>J48+J50+J52+J54+J56+J58+J60+J62+J64+J66+J68+J70+J72+J74+J76+J78+J80+J82+J84+J86+J88+J90+J92+J94+J96+J98+J100+J102+J104+J106+J108+J110+J112+J114+J116+J118+J120+J122</f>
        <v>142.958</v>
      </c>
      <c r="K124" s="178">
        <f>+I124-J124</f>
        <v>132.70600000000005</v>
      </c>
      <c r="L124" s="182">
        <f t="shared" si="144"/>
        <v>0.51859510128272091</v>
      </c>
      <c r="M124" s="105" t="s">
        <v>218</v>
      </c>
      <c r="N124" s="343">
        <f>G124+G125</f>
        <v>551.32799999999997</v>
      </c>
      <c r="O124" s="343">
        <f t="shared" ref="O124" si="220">+H124+H125</f>
        <v>0</v>
      </c>
      <c r="P124" s="343">
        <f>N124+O124</f>
        <v>551.32799999999997</v>
      </c>
      <c r="Q124" s="343">
        <f t="shared" ref="Q124" si="221">J124+J125</f>
        <v>344.09299999999996</v>
      </c>
      <c r="R124" s="343">
        <f t="shared" ref="R124" si="222">+P124-Q124</f>
        <v>207.23500000000001</v>
      </c>
      <c r="S124" s="349">
        <f t="shared" ref="S124" si="223">Q124/P124</f>
        <v>0.62411667827500139</v>
      </c>
      <c r="T124" s="348"/>
      <c r="U124" s="348"/>
      <c r="V124" s="348"/>
      <c r="W124" s="348"/>
      <c r="X124" s="348"/>
    </row>
    <row r="125" spans="1:26">
      <c r="A125" s="119"/>
      <c r="B125" s="339"/>
      <c r="C125" s="341"/>
      <c r="D125" s="341"/>
      <c r="E125" s="341"/>
      <c r="F125" s="177" t="s">
        <v>10</v>
      </c>
      <c r="G125" s="178">
        <f>G49+G51+G53+G55+G57+G59+G61+G63+G65+G67+G69+G71+G73+G75+G77+G79+G81+G83+G85+G87+G89+G91+G93+G95+G97+G99+G101+G103+G105+G107+G109+G111+G113+G115+G117+G119+G121+G123</f>
        <v>275.66399999999999</v>
      </c>
      <c r="H125" s="178">
        <f t="shared" ref="H125" si="224">H49+H51+H53+H55+H57+H59+H61+H63+H65+H67+H69+H71+H73+H75+H77+H79+H81+H83+H85+H87+H89+H91+H93+H95+H97+H99+H101+H103+H105+H107+H109+H111+H113+H115+H117+H119+H121+H123</f>
        <v>0</v>
      </c>
      <c r="I125" s="178">
        <f>G125+K124+H125</f>
        <v>408.37</v>
      </c>
      <c r="J125" s="297">
        <f>J49+J51+J53+J55+J57+J59+J61+J63+J65+J67+J69+J71+J73+J75+J77+J79+J81+J83+J85+J87+J89+J91+J93+J95+J97+J99+J101+J103+J105+J107+J109+J111+J113+J115+J117+J119+J121+J123</f>
        <v>201.13499999999999</v>
      </c>
      <c r="K125" s="178">
        <f>+I125-J125</f>
        <v>207.23500000000001</v>
      </c>
      <c r="L125" s="182">
        <f>J125/I125</f>
        <v>0.49253128290520848</v>
      </c>
      <c r="M125" s="105" t="s">
        <v>218</v>
      </c>
      <c r="N125" s="343"/>
      <c r="O125" s="343"/>
      <c r="P125" s="343"/>
      <c r="Q125" s="343"/>
      <c r="R125" s="343"/>
      <c r="S125" s="349"/>
      <c r="T125" s="348"/>
      <c r="U125" s="348"/>
      <c r="V125" s="348"/>
      <c r="W125" s="348"/>
      <c r="X125" s="348"/>
    </row>
    <row r="126" spans="1:26" ht="19.899999999999999" customHeight="1">
      <c r="A126" s="119"/>
      <c r="B126" s="120"/>
      <c r="C126" s="122"/>
      <c r="D126" s="121"/>
      <c r="E126" s="121"/>
      <c r="F126" s="119"/>
      <c r="G126" s="173"/>
      <c r="H126" s="173"/>
      <c r="I126" s="138"/>
      <c r="J126" s="122"/>
      <c r="K126" s="173"/>
      <c r="L126" s="139"/>
      <c r="M126" s="173"/>
      <c r="N126" s="173"/>
      <c r="O126" s="173"/>
      <c r="P126" s="173"/>
      <c r="Q126" s="173"/>
      <c r="R126" s="173"/>
      <c r="S126" s="128"/>
      <c r="T126" s="140"/>
      <c r="U126" s="141"/>
    </row>
    <row r="127" spans="1:26" ht="19.899999999999999" customHeight="1">
      <c r="A127" s="119"/>
      <c r="B127" s="120"/>
      <c r="C127" s="122"/>
      <c r="D127" s="121"/>
      <c r="E127" s="121"/>
      <c r="F127" s="119"/>
      <c r="G127" s="173"/>
      <c r="H127" s="173"/>
      <c r="I127" s="138"/>
      <c r="J127" s="122"/>
      <c r="K127" s="173"/>
      <c r="L127" s="139"/>
      <c r="M127" s="173"/>
      <c r="N127" s="173"/>
      <c r="O127" s="173"/>
      <c r="P127" s="173"/>
      <c r="Q127" s="173"/>
      <c r="R127" s="173"/>
      <c r="S127" s="128"/>
      <c r="T127" s="140"/>
      <c r="U127" s="141"/>
    </row>
    <row r="128" spans="1:26" s="142" customFormat="1" ht="18.600000000000001" customHeight="1">
      <c r="C128" s="143"/>
      <c r="D128" s="143"/>
      <c r="E128" s="144"/>
      <c r="G128" s="122"/>
      <c r="H128" s="145"/>
      <c r="I128" s="138"/>
      <c r="J128" s="122"/>
      <c r="K128" s="173"/>
      <c r="L128" s="139"/>
      <c r="M128" s="173"/>
      <c r="N128" s="122"/>
      <c r="O128" s="122"/>
      <c r="P128" s="122"/>
      <c r="Q128" s="122"/>
      <c r="R128" s="122"/>
      <c r="S128" s="136"/>
      <c r="T128" s="117"/>
      <c r="U128" s="118"/>
      <c r="V128" s="118"/>
      <c r="W128" s="118"/>
      <c r="X128" s="118"/>
      <c r="Y128" s="118"/>
      <c r="Z128" s="118"/>
    </row>
    <row r="129" spans="2:26">
      <c r="B129" s="339" t="s">
        <v>360</v>
      </c>
      <c r="C129" s="345" t="s">
        <v>331</v>
      </c>
      <c r="D129" s="347" t="s">
        <v>367</v>
      </c>
      <c r="E129" s="344" t="s">
        <v>368</v>
      </c>
      <c r="F129" s="129" t="s">
        <v>488</v>
      </c>
      <c r="G129" s="172">
        <v>7.3789999999999996</v>
      </c>
      <c r="H129" s="172"/>
      <c r="I129" s="172">
        <f>G129+H129</f>
        <v>7.3789999999999996</v>
      </c>
      <c r="J129" s="291">
        <v>2.9430000000000005</v>
      </c>
      <c r="K129" s="183">
        <f t="shared" ref="K129" si="225">I129-J129</f>
        <v>4.4359999999999991</v>
      </c>
      <c r="L129" s="154">
        <f t="shared" ref="L129:L130" si="226">J129/I129</f>
        <v>0.39883453042417683</v>
      </c>
      <c r="M129" s="98" t="s">
        <v>218</v>
      </c>
      <c r="N129" s="330">
        <f>G129+G130</f>
        <v>14.757999999999999</v>
      </c>
      <c r="O129" s="330">
        <f>H129+H130</f>
        <v>0</v>
      </c>
      <c r="P129" s="330">
        <f>+N129+O129</f>
        <v>14.757999999999999</v>
      </c>
      <c r="Q129" s="330">
        <f>J129+J130</f>
        <v>14.553000000000001</v>
      </c>
      <c r="R129" s="330">
        <f>P129-Q129</f>
        <v>0.20499999999999829</v>
      </c>
      <c r="S129" s="332">
        <f>Q129/P129</f>
        <v>0.98610922889280406</v>
      </c>
      <c r="T129" s="118"/>
      <c r="Z129" s="119"/>
    </row>
    <row r="130" spans="2:26">
      <c r="B130" s="339"/>
      <c r="C130" s="345"/>
      <c r="D130" s="347"/>
      <c r="E130" s="344"/>
      <c r="F130" s="129" t="s">
        <v>10</v>
      </c>
      <c r="G130" s="172">
        <v>7.3789999999999996</v>
      </c>
      <c r="H130" s="172"/>
      <c r="I130" s="172">
        <f>K129+G130+H130</f>
        <v>11.814999999999998</v>
      </c>
      <c r="J130" s="291">
        <v>11.61</v>
      </c>
      <c r="K130" s="183">
        <f>I130-J130</f>
        <v>0.20499999999999829</v>
      </c>
      <c r="L130" s="154">
        <f t="shared" si="226"/>
        <v>0.98264917477782499</v>
      </c>
      <c r="M130" s="98" t="s">
        <v>218</v>
      </c>
      <c r="N130" s="330"/>
      <c r="O130" s="330"/>
      <c r="P130" s="330">
        <f t="shared" ref="P130:P131" si="227">+N130+O130</f>
        <v>0</v>
      </c>
      <c r="Q130" s="330"/>
      <c r="R130" s="330"/>
      <c r="S130" s="332" t="e">
        <f t="shared" ref="S130" si="228">+Q130/P130</f>
        <v>#DIV/0!</v>
      </c>
      <c r="T130" s="118"/>
      <c r="Z130" s="119"/>
    </row>
    <row r="131" spans="2:26">
      <c r="B131" s="339"/>
      <c r="C131" s="345"/>
      <c r="D131" s="347"/>
      <c r="E131" s="344" t="s">
        <v>369</v>
      </c>
      <c r="F131" s="129" t="s">
        <v>488</v>
      </c>
      <c r="G131" s="172">
        <v>7.3789999999999996</v>
      </c>
      <c r="H131" s="172"/>
      <c r="I131" s="172">
        <f>G131+H131</f>
        <v>7.3789999999999996</v>
      </c>
      <c r="J131" s="291">
        <v>5.5079999999999991</v>
      </c>
      <c r="K131" s="183">
        <f t="shared" ref="K131:K194" si="229">I131-J131</f>
        <v>1.8710000000000004</v>
      </c>
      <c r="L131" s="154">
        <f t="shared" ref="L131:L194" si="230">J131/I131</f>
        <v>0.74644260739937651</v>
      </c>
      <c r="M131" s="98" t="s">
        <v>218</v>
      </c>
      <c r="N131" s="330">
        <f>G131+G132</f>
        <v>14.757999999999999</v>
      </c>
      <c r="O131" s="330">
        <f t="shared" ref="O131" si="231">H131+H132</f>
        <v>0</v>
      </c>
      <c r="P131" s="330">
        <f t="shared" si="227"/>
        <v>14.757999999999999</v>
      </c>
      <c r="Q131" s="330">
        <f t="shared" ref="Q131" si="232">J131+J132</f>
        <v>14.687999999999999</v>
      </c>
      <c r="R131" s="330">
        <f t="shared" ref="R131" si="233">P131-Q131</f>
        <v>7.0000000000000284E-2</v>
      </c>
      <c r="S131" s="332">
        <f t="shared" ref="S131" si="234">Q131/P131</f>
        <v>0.99525680986583542</v>
      </c>
    </row>
    <row r="132" spans="2:26">
      <c r="B132" s="339"/>
      <c r="C132" s="345"/>
      <c r="D132" s="347"/>
      <c r="E132" s="344"/>
      <c r="F132" s="129" t="s">
        <v>10</v>
      </c>
      <c r="G132" s="172">
        <v>7.3789999999999996</v>
      </c>
      <c r="H132" s="172"/>
      <c r="I132" s="172">
        <f>K131+G132+H132</f>
        <v>9.25</v>
      </c>
      <c r="J132" s="291">
        <v>9.18</v>
      </c>
      <c r="K132" s="183">
        <f t="shared" si="229"/>
        <v>7.0000000000000284E-2</v>
      </c>
      <c r="L132" s="154">
        <f t="shared" si="230"/>
        <v>0.9924324324324324</v>
      </c>
      <c r="M132" s="98" t="s">
        <v>218</v>
      </c>
      <c r="N132" s="330"/>
      <c r="O132" s="330"/>
      <c r="P132" s="330">
        <f t="shared" ref="P132:P195" si="235">+N132+O132</f>
        <v>0</v>
      </c>
      <c r="Q132" s="330"/>
      <c r="R132" s="330"/>
      <c r="S132" s="332" t="e">
        <f t="shared" ref="S132" si="236">+Q132/P132</f>
        <v>#DIV/0!</v>
      </c>
    </row>
    <row r="133" spans="2:26">
      <c r="B133" s="339"/>
      <c r="C133" s="345"/>
      <c r="D133" s="347"/>
      <c r="E133" s="344" t="s">
        <v>585</v>
      </c>
      <c r="F133" s="129" t="s">
        <v>488</v>
      </c>
      <c r="G133" s="172">
        <v>7.391</v>
      </c>
      <c r="H133" s="172"/>
      <c r="I133" s="172">
        <f>G133+H133</f>
        <v>7.391</v>
      </c>
      <c r="J133" s="291">
        <v>3.024</v>
      </c>
      <c r="K133" s="183">
        <f t="shared" si="229"/>
        <v>4.367</v>
      </c>
      <c r="L133" s="154">
        <f t="shared" si="230"/>
        <v>0.4091462589636044</v>
      </c>
      <c r="M133" s="98" t="s">
        <v>218</v>
      </c>
      <c r="N133" s="330">
        <f>G133+G134</f>
        <v>14.782</v>
      </c>
      <c r="O133" s="330">
        <f t="shared" ref="O133" si="237">H133+H134</f>
        <v>0</v>
      </c>
      <c r="P133" s="330">
        <f t="shared" si="235"/>
        <v>14.782</v>
      </c>
      <c r="Q133" s="330">
        <f t="shared" ref="Q133" si="238">J133+J134</f>
        <v>12.338999999999999</v>
      </c>
      <c r="R133" s="330">
        <f t="shared" ref="R133" si="239">P133-Q133</f>
        <v>2.4430000000000014</v>
      </c>
      <c r="S133" s="332">
        <f t="shared" ref="S133" si="240">Q133/P133</f>
        <v>0.83473143011771067</v>
      </c>
    </row>
    <row r="134" spans="2:26">
      <c r="B134" s="339"/>
      <c r="C134" s="345"/>
      <c r="D134" s="347"/>
      <c r="E134" s="344"/>
      <c r="F134" s="129" t="s">
        <v>10</v>
      </c>
      <c r="G134" s="172">
        <v>7.391</v>
      </c>
      <c r="H134" s="172"/>
      <c r="I134" s="172">
        <f>K133+G134+H134</f>
        <v>11.757999999999999</v>
      </c>
      <c r="J134" s="291">
        <v>9.3149999999999995</v>
      </c>
      <c r="K134" s="183">
        <f t="shared" si="229"/>
        <v>2.4429999999999996</v>
      </c>
      <c r="L134" s="154">
        <f t="shared" si="230"/>
        <v>0.79222656914441236</v>
      </c>
      <c r="M134" s="98" t="s">
        <v>218</v>
      </c>
      <c r="N134" s="330"/>
      <c r="O134" s="330"/>
      <c r="P134" s="330">
        <f t="shared" si="235"/>
        <v>0</v>
      </c>
      <c r="Q134" s="330"/>
      <c r="R134" s="330"/>
      <c r="S134" s="332" t="e">
        <f t="shared" ref="S134" si="241">+Q134/P134</f>
        <v>#DIV/0!</v>
      </c>
    </row>
    <row r="135" spans="2:26">
      <c r="B135" s="339"/>
      <c r="C135" s="345"/>
      <c r="D135" s="347"/>
      <c r="E135" s="344" t="s">
        <v>370</v>
      </c>
      <c r="F135" s="129" t="s">
        <v>488</v>
      </c>
      <c r="G135" s="172">
        <v>7.3780000000000001</v>
      </c>
      <c r="H135" s="172"/>
      <c r="I135" s="172">
        <f>G135+H135</f>
        <v>7.3780000000000001</v>
      </c>
      <c r="J135" s="291">
        <v>0.32400000000000001</v>
      </c>
      <c r="K135" s="183">
        <f t="shared" si="229"/>
        <v>7.0540000000000003</v>
      </c>
      <c r="L135" s="154">
        <f t="shared" si="230"/>
        <v>4.3914339929520194E-2</v>
      </c>
      <c r="M135" s="98" t="s">
        <v>218</v>
      </c>
      <c r="N135" s="330">
        <f>G135+G136</f>
        <v>14.756</v>
      </c>
      <c r="O135" s="330">
        <f t="shared" ref="O135" si="242">H135+H136</f>
        <v>0</v>
      </c>
      <c r="P135" s="330">
        <f t="shared" si="235"/>
        <v>14.756</v>
      </c>
      <c r="Q135" s="330">
        <f t="shared" ref="Q135" si="243">J135+J136</f>
        <v>14.526</v>
      </c>
      <c r="R135" s="330">
        <f t="shared" ref="R135" si="244">P135-Q135</f>
        <v>0.23000000000000043</v>
      </c>
      <c r="S135" s="332">
        <f t="shared" ref="S135" si="245">Q135/P135</f>
        <v>0.98441312008674431</v>
      </c>
    </row>
    <row r="136" spans="2:26">
      <c r="B136" s="339"/>
      <c r="C136" s="345"/>
      <c r="D136" s="347"/>
      <c r="E136" s="344"/>
      <c r="F136" s="129" t="s">
        <v>10</v>
      </c>
      <c r="G136" s="172">
        <v>7.3780000000000001</v>
      </c>
      <c r="H136" s="172"/>
      <c r="I136" s="172">
        <f>K135+G136+H136</f>
        <v>14.432</v>
      </c>
      <c r="J136" s="291">
        <v>14.202</v>
      </c>
      <c r="K136" s="183">
        <f t="shared" si="229"/>
        <v>0.23000000000000043</v>
      </c>
      <c r="L136" s="154">
        <f t="shared" si="230"/>
        <v>0.98406319290465627</v>
      </c>
      <c r="M136" s="98" t="s">
        <v>218</v>
      </c>
      <c r="N136" s="330"/>
      <c r="O136" s="330"/>
      <c r="P136" s="330">
        <f t="shared" si="235"/>
        <v>0</v>
      </c>
      <c r="Q136" s="330"/>
      <c r="R136" s="330"/>
      <c r="S136" s="332" t="e">
        <f t="shared" ref="S136" si="246">+Q136/P136</f>
        <v>#DIV/0!</v>
      </c>
    </row>
    <row r="137" spans="2:26">
      <c r="B137" s="339"/>
      <c r="C137" s="345"/>
      <c r="D137" s="347"/>
      <c r="E137" s="344" t="s">
        <v>371</v>
      </c>
      <c r="F137" s="129" t="s">
        <v>488</v>
      </c>
      <c r="G137" s="172">
        <v>7.383</v>
      </c>
      <c r="H137" s="172"/>
      <c r="I137" s="172">
        <f>G137+H137</f>
        <v>7.383</v>
      </c>
      <c r="J137" s="291">
        <v>3.1589999999999998</v>
      </c>
      <c r="K137" s="183">
        <f t="shared" si="229"/>
        <v>4.2240000000000002</v>
      </c>
      <c r="L137" s="154">
        <f t="shared" si="230"/>
        <v>0.4278748476229175</v>
      </c>
      <c r="M137" s="98" t="s">
        <v>218</v>
      </c>
      <c r="N137" s="330">
        <f>G137+G138</f>
        <v>14.766</v>
      </c>
      <c r="O137" s="330">
        <f t="shared" ref="O137" si="247">H137+H138</f>
        <v>0</v>
      </c>
      <c r="P137" s="330">
        <f t="shared" si="235"/>
        <v>14.766</v>
      </c>
      <c r="Q137" s="330">
        <f t="shared" ref="Q137" si="248">J137+J138</f>
        <v>13.599</v>
      </c>
      <c r="R137" s="330">
        <f t="shared" ref="R137" si="249">P137-Q137</f>
        <v>1.1669999999999998</v>
      </c>
      <c r="S137" s="332">
        <f t="shared" ref="S137" si="250">Q137/P137</f>
        <v>0.92096708655018289</v>
      </c>
    </row>
    <row r="138" spans="2:26">
      <c r="B138" s="339"/>
      <c r="C138" s="345"/>
      <c r="D138" s="347"/>
      <c r="E138" s="344"/>
      <c r="F138" s="129" t="s">
        <v>10</v>
      </c>
      <c r="G138" s="172">
        <v>7.383</v>
      </c>
      <c r="H138" s="172"/>
      <c r="I138" s="172">
        <f>K137+G138+H138</f>
        <v>11.606999999999999</v>
      </c>
      <c r="J138" s="291">
        <v>10.44</v>
      </c>
      <c r="K138" s="183">
        <f t="shared" si="229"/>
        <v>1.1669999999999998</v>
      </c>
      <c r="L138" s="154">
        <f t="shared" si="230"/>
        <v>0.89945722408891182</v>
      </c>
      <c r="M138" s="98" t="s">
        <v>218</v>
      </c>
      <c r="N138" s="330"/>
      <c r="O138" s="330"/>
      <c r="P138" s="330">
        <f t="shared" si="235"/>
        <v>0</v>
      </c>
      <c r="Q138" s="330"/>
      <c r="R138" s="330"/>
      <c r="S138" s="332" t="e">
        <f t="shared" ref="S138" si="251">+Q138/P138</f>
        <v>#DIV/0!</v>
      </c>
    </row>
    <row r="139" spans="2:26">
      <c r="B139" s="339"/>
      <c r="C139" s="345"/>
      <c r="D139" s="347"/>
      <c r="E139" s="344" t="s">
        <v>372</v>
      </c>
      <c r="F139" s="129" t="s">
        <v>488</v>
      </c>
      <c r="G139" s="172">
        <v>7.38</v>
      </c>
      <c r="H139" s="172"/>
      <c r="I139" s="172">
        <f>G139+H139</f>
        <v>7.38</v>
      </c>
      <c r="J139" s="291">
        <v>0.81</v>
      </c>
      <c r="K139" s="183">
        <f t="shared" si="229"/>
        <v>6.57</v>
      </c>
      <c r="L139" s="154">
        <f t="shared" si="230"/>
        <v>0.10975609756097562</v>
      </c>
      <c r="M139" s="98" t="s">
        <v>218</v>
      </c>
      <c r="N139" s="330">
        <f>G139+G140</f>
        <v>14.76</v>
      </c>
      <c r="O139" s="330">
        <f t="shared" ref="O139" si="252">H139+H140</f>
        <v>0</v>
      </c>
      <c r="P139" s="330">
        <f t="shared" si="235"/>
        <v>14.76</v>
      </c>
      <c r="Q139" s="330">
        <f t="shared" ref="Q139" si="253">J139+J140</f>
        <v>12.519</v>
      </c>
      <c r="R139" s="330">
        <f t="shared" ref="R139" si="254">P139-Q139</f>
        <v>2.2409999999999997</v>
      </c>
      <c r="S139" s="332">
        <f t="shared" ref="S139" si="255">Q139/P139</f>
        <v>0.84817073170731705</v>
      </c>
    </row>
    <row r="140" spans="2:26">
      <c r="B140" s="339"/>
      <c r="C140" s="345"/>
      <c r="D140" s="347"/>
      <c r="E140" s="344"/>
      <c r="F140" s="129" t="s">
        <v>10</v>
      </c>
      <c r="G140" s="172">
        <v>7.38</v>
      </c>
      <c r="H140" s="172"/>
      <c r="I140" s="172">
        <f>K139+G140+H140</f>
        <v>13.95</v>
      </c>
      <c r="J140" s="291">
        <v>11.709</v>
      </c>
      <c r="K140" s="183">
        <f t="shared" si="229"/>
        <v>2.2409999999999997</v>
      </c>
      <c r="L140" s="154">
        <f t="shared" si="230"/>
        <v>0.83935483870967742</v>
      </c>
      <c r="M140" s="98" t="s">
        <v>218</v>
      </c>
      <c r="N140" s="330"/>
      <c r="O140" s="330"/>
      <c r="P140" s="330">
        <f t="shared" si="235"/>
        <v>0</v>
      </c>
      <c r="Q140" s="330"/>
      <c r="R140" s="330"/>
      <c r="S140" s="332" t="e">
        <f t="shared" ref="S140" si="256">+Q140/P140</f>
        <v>#DIV/0!</v>
      </c>
    </row>
    <row r="141" spans="2:26">
      <c r="B141" s="339"/>
      <c r="C141" s="345"/>
      <c r="D141" s="347"/>
      <c r="E141" s="361" t="s">
        <v>586</v>
      </c>
      <c r="F141" s="129" t="s">
        <v>488</v>
      </c>
      <c r="G141" s="172">
        <v>7.3819999999999997</v>
      </c>
      <c r="H141" s="172"/>
      <c r="I141" s="172">
        <f>G141+H141</f>
        <v>7.3819999999999997</v>
      </c>
      <c r="J141" s="291">
        <v>3.1590000000000003</v>
      </c>
      <c r="K141" s="183">
        <f t="shared" si="229"/>
        <v>4.222999999999999</v>
      </c>
      <c r="L141" s="154">
        <f t="shared" si="230"/>
        <v>0.42793280953671098</v>
      </c>
      <c r="M141" s="98" t="s">
        <v>218</v>
      </c>
      <c r="N141" s="330">
        <f>G141+G142</f>
        <v>14.763999999999999</v>
      </c>
      <c r="O141" s="330">
        <f t="shared" ref="O141" si="257">H141+H142</f>
        <v>0</v>
      </c>
      <c r="P141" s="330">
        <f t="shared" si="235"/>
        <v>14.763999999999999</v>
      </c>
      <c r="Q141" s="330">
        <f t="shared" ref="Q141" si="258">J141+J142</f>
        <v>12.798</v>
      </c>
      <c r="R141" s="330">
        <f t="shared" ref="R141" si="259">P141-Q141</f>
        <v>1.9659999999999993</v>
      </c>
      <c r="S141" s="332">
        <f t="shared" ref="S141" si="260">Q141/P141</f>
        <v>0.86683825521538882</v>
      </c>
    </row>
    <row r="142" spans="2:26">
      <c r="B142" s="339"/>
      <c r="C142" s="345"/>
      <c r="D142" s="347"/>
      <c r="E142" s="361"/>
      <c r="F142" s="129" t="s">
        <v>10</v>
      </c>
      <c r="G142" s="172">
        <v>7.3819999999999997</v>
      </c>
      <c r="H142" s="172"/>
      <c r="I142" s="172">
        <f>K141+G142+H142</f>
        <v>11.604999999999999</v>
      </c>
      <c r="J142" s="291">
        <v>9.6389999999999993</v>
      </c>
      <c r="K142" s="183">
        <f t="shared" si="229"/>
        <v>1.9659999999999993</v>
      </c>
      <c r="L142" s="154">
        <f t="shared" si="230"/>
        <v>0.83059026281775106</v>
      </c>
      <c r="M142" s="98" t="s">
        <v>218</v>
      </c>
      <c r="N142" s="330"/>
      <c r="O142" s="330"/>
      <c r="P142" s="330">
        <f t="shared" si="235"/>
        <v>0</v>
      </c>
      <c r="Q142" s="330"/>
      <c r="R142" s="330"/>
      <c r="S142" s="332" t="e">
        <f t="shared" ref="S142" si="261">+Q142/P142</f>
        <v>#DIV/0!</v>
      </c>
    </row>
    <row r="143" spans="2:26">
      <c r="B143" s="339"/>
      <c r="C143" s="345"/>
      <c r="D143" s="347"/>
      <c r="E143" s="344" t="s">
        <v>373</v>
      </c>
      <c r="F143" s="129" t="s">
        <v>488</v>
      </c>
      <c r="G143" s="172">
        <v>7.3819999999999997</v>
      </c>
      <c r="H143" s="172"/>
      <c r="I143" s="172">
        <f>G143+H143</f>
        <v>7.3819999999999997</v>
      </c>
      <c r="J143" s="291">
        <v>0.86399999999999999</v>
      </c>
      <c r="K143" s="183">
        <f t="shared" si="229"/>
        <v>6.5179999999999998</v>
      </c>
      <c r="L143" s="154">
        <f t="shared" si="230"/>
        <v>0.11704145218098076</v>
      </c>
      <c r="M143" s="98" t="s">
        <v>218</v>
      </c>
      <c r="N143" s="330">
        <f>G143+G144</f>
        <v>14.763999999999999</v>
      </c>
      <c r="O143" s="330">
        <f t="shared" ref="O143" si="262">H143+H144</f>
        <v>0</v>
      </c>
      <c r="P143" s="330">
        <f t="shared" si="235"/>
        <v>14.763999999999999</v>
      </c>
      <c r="Q143" s="330">
        <f t="shared" ref="Q143" si="263">J143+J144</f>
        <v>8.91</v>
      </c>
      <c r="R143" s="330">
        <f t="shared" ref="R143" si="264">P143-Q143</f>
        <v>5.8539999999999992</v>
      </c>
      <c r="S143" s="332">
        <f t="shared" ref="S143" si="265">Q143/P143</f>
        <v>0.60349498780818212</v>
      </c>
    </row>
    <row r="144" spans="2:26">
      <c r="B144" s="339"/>
      <c r="C144" s="345"/>
      <c r="D144" s="347"/>
      <c r="E144" s="344"/>
      <c r="F144" s="129" t="s">
        <v>10</v>
      </c>
      <c r="G144" s="172">
        <v>7.3819999999999997</v>
      </c>
      <c r="H144" s="172"/>
      <c r="I144" s="172">
        <f>K143+G144+H144</f>
        <v>13.899999999999999</v>
      </c>
      <c r="J144" s="291">
        <v>8.0459999999999994</v>
      </c>
      <c r="K144" s="183">
        <f t="shared" si="229"/>
        <v>5.8539999999999992</v>
      </c>
      <c r="L144" s="154">
        <f t="shared" si="230"/>
        <v>0.57884892086330941</v>
      </c>
      <c r="M144" s="98" t="s">
        <v>218</v>
      </c>
      <c r="N144" s="330"/>
      <c r="O144" s="330"/>
      <c r="P144" s="330">
        <f t="shared" si="235"/>
        <v>0</v>
      </c>
      <c r="Q144" s="330"/>
      <c r="R144" s="330"/>
      <c r="S144" s="332" t="e">
        <f t="shared" ref="S144" si="266">+Q144/P144</f>
        <v>#DIV/0!</v>
      </c>
    </row>
    <row r="145" spans="2:19">
      <c r="B145" s="339"/>
      <c r="C145" s="345"/>
      <c r="D145" s="347"/>
      <c r="E145" s="344" t="s">
        <v>587</v>
      </c>
      <c r="F145" s="129" t="s">
        <v>488</v>
      </c>
      <c r="G145" s="172">
        <v>7.3789999999999996</v>
      </c>
      <c r="H145" s="172"/>
      <c r="I145" s="172">
        <f>G145+H145</f>
        <v>7.3789999999999996</v>
      </c>
      <c r="J145" s="291">
        <v>2.052</v>
      </c>
      <c r="K145" s="183">
        <f t="shared" si="229"/>
        <v>5.327</v>
      </c>
      <c r="L145" s="154">
        <f t="shared" si="230"/>
        <v>0.27808646158015993</v>
      </c>
      <c r="M145" s="98" t="s">
        <v>218</v>
      </c>
      <c r="N145" s="330">
        <f>G145+G146</f>
        <v>14.757999999999999</v>
      </c>
      <c r="O145" s="330">
        <f t="shared" ref="O145" si="267">H145+H146</f>
        <v>0</v>
      </c>
      <c r="P145" s="330">
        <f t="shared" si="235"/>
        <v>14.757999999999999</v>
      </c>
      <c r="Q145" s="330">
        <f t="shared" ref="Q145" si="268">J145+J146</f>
        <v>13.75</v>
      </c>
      <c r="R145" s="330">
        <f t="shared" ref="R145" si="269">P145-Q145</f>
        <v>1.0079999999999991</v>
      </c>
      <c r="S145" s="332">
        <f t="shared" ref="S145" si="270">Q145/P145</f>
        <v>0.93169806206803096</v>
      </c>
    </row>
    <row r="146" spans="2:19">
      <c r="B146" s="339"/>
      <c r="C146" s="345"/>
      <c r="D146" s="347"/>
      <c r="E146" s="344"/>
      <c r="F146" s="129" t="s">
        <v>10</v>
      </c>
      <c r="G146" s="172">
        <v>7.3789999999999996</v>
      </c>
      <c r="H146" s="172"/>
      <c r="I146" s="172">
        <f>K145+G146+H146</f>
        <v>12.706</v>
      </c>
      <c r="J146" s="291">
        <v>11.698</v>
      </c>
      <c r="K146" s="183">
        <f t="shared" si="229"/>
        <v>1.0079999999999991</v>
      </c>
      <c r="L146" s="154">
        <f t="shared" si="230"/>
        <v>0.92066740122776647</v>
      </c>
      <c r="M146" s="98" t="s">
        <v>218</v>
      </c>
      <c r="N146" s="330"/>
      <c r="O146" s="330"/>
      <c r="P146" s="330">
        <f t="shared" si="235"/>
        <v>0</v>
      </c>
      <c r="Q146" s="330"/>
      <c r="R146" s="330"/>
      <c r="S146" s="332" t="e">
        <f t="shared" ref="S146" si="271">+Q146/P146</f>
        <v>#DIV/0!</v>
      </c>
    </row>
    <row r="147" spans="2:19">
      <c r="B147" s="339"/>
      <c r="C147" s="345"/>
      <c r="D147" s="347"/>
      <c r="E147" s="344" t="s">
        <v>374</v>
      </c>
      <c r="F147" s="129" t="s">
        <v>488</v>
      </c>
      <c r="G147" s="172">
        <v>7.3849999999999998</v>
      </c>
      <c r="H147" s="172"/>
      <c r="I147" s="172">
        <f>G147+H147</f>
        <v>7.3849999999999998</v>
      </c>
      <c r="J147" s="291">
        <v>1.917</v>
      </c>
      <c r="K147" s="183">
        <f t="shared" si="229"/>
        <v>5.468</v>
      </c>
      <c r="L147" s="154">
        <f t="shared" si="230"/>
        <v>0.25958023019634396</v>
      </c>
      <c r="M147" s="98" t="s">
        <v>218</v>
      </c>
      <c r="N147" s="330">
        <f>G147+G148</f>
        <v>14.77</v>
      </c>
      <c r="O147" s="330">
        <f t="shared" ref="O147" si="272">H147+H148</f>
        <v>0</v>
      </c>
      <c r="P147" s="330">
        <f t="shared" si="235"/>
        <v>14.77</v>
      </c>
      <c r="Q147" s="330">
        <f t="shared" ref="Q147" si="273">J147+J148</f>
        <v>14.256</v>
      </c>
      <c r="R147" s="330">
        <f t="shared" ref="R147" si="274">P147-Q147</f>
        <v>0.51399999999999935</v>
      </c>
      <c r="S147" s="332">
        <f t="shared" ref="S147" si="275">Q147/P147</f>
        <v>0.9651997291807719</v>
      </c>
    </row>
    <row r="148" spans="2:19">
      <c r="B148" s="339"/>
      <c r="C148" s="345"/>
      <c r="D148" s="347"/>
      <c r="E148" s="344"/>
      <c r="F148" s="129" t="s">
        <v>10</v>
      </c>
      <c r="G148" s="172">
        <v>7.3849999999999998</v>
      </c>
      <c r="H148" s="172"/>
      <c r="I148" s="172">
        <f>K147+G148+H148</f>
        <v>12.853</v>
      </c>
      <c r="J148" s="291">
        <v>12.339</v>
      </c>
      <c r="K148" s="183">
        <f t="shared" si="229"/>
        <v>0.51399999999999935</v>
      </c>
      <c r="L148" s="154">
        <f t="shared" si="230"/>
        <v>0.96000933634171015</v>
      </c>
      <c r="M148" s="98" t="s">
        <v>218</v>
      </c>
      <c r="N148" s="330"/>
      <c r="O148" s="330"/>
      <c r="P148" s="330">
        <f t="shared" si="235"/>
        <v>0</v>
      </c>
      <c r="Q148" s="330"/>
      <c r="R148" s="330"/>
      <c r="S148" s="332" t="e">
        <f t="shared" ref="S148" si="276">+Q148/P148</f>
        <v>#DIV/0!</v>
      </c>
    </row>
    <row r="149" spans="2:19">
      <c r="B149" s="339"/>
      <c r="C149" s="345"/>
      <c r="D149" s="347"/>
      <c r="E149" s="344" t="s">
        <v>375</v>
      </c>
      <c r="F149" s="129" t="s">
        <v>488</v>
      </c>
      <c r="G149" s="172">
        <v>7.3760000000000003</v>
      </c>
      <c r="H149" s="172"/>
      <c r="I149" s="172">
        <f>G149+H149</f>
        <v>7.3760000000000003</v>
      </c>
      <c r="J149" s="291">
        <v>6.5069999999999997</v>
      </c>
      <c r="K149" s="183">
        <f t="shared" si="229"/>
        <v>0.86900000000000066</v>
      </c>
      <c r="L149" s="154">
        <f t="shared" si="230"/>
        <v>0.88218546637744022</v>
      </c>
      <c r="M149" s="98" t="s">
        <v>218</v>
      </c>
      <c r="N149" s="330">
        <f>G149+G150</f>
        <v>14.752000000000001</v>
      </c>
      <c r="O149" s="330">
        <f t="shared" ref="O149" si="277">H149+H150</f>
        <v>0</v>
      </c>
      <c r="P149" s="330">
        <f t="shared" si="235"/>
        <v>14.752000000000001</v>
      </c>
      <c r="Q149" s="330">
        <f t="shared" ref="Q149" si="278">J149+J150</f>
        <v>14.391</v>
      </c>
      <c r="R149" s="330">
        <f t="shared" ref="R149" si="279">P149-Q149</f>
        <v>0.36100000000000065</v>
      </c>
      <c r="S149" s="332">
        <f t="shared" ref="S149" si="280">Q149/P149</f>
        <v>0.97552874186550975</v>
      </c>
    </row>
    <row r="150" spans="2:19">
      <c r="B150" s="339"/>
      <c r="C150" s="345"/>
      <c r="D150" s="347"/>
      <c r="E150" s="344"/>
      <c r="F150" s="129" t="s">
        <v>10</v>
      </c>
      <c r="G150" s="172">
        <v>7.3760000000000003</v>
      </c>
      <c r="H150" s="172"/>
      <c r="I150" s="172">
        <f>K149+G150+H150</f>
        <v>8.245000000000001</v>
      </c>
      <c r="J150" s="291">
        <v>7.8840000000000003</v>
      </c>
      <c r="K150" s="183">
        <f t="shared" si="229"/>
        <v>0.36100000000000065</v>
      </c>
      <c r="L150" s="154">
        <f t="shared" si="230"/>
        <v>0.95621588841722249</v>
      </c>
      <c r="M150" s="176">
        <v>44560</v>
      </c>
      <c r="N150" s="330"/>
      <c r="O150" s="330"/>
      <c r="P150" s="330">
        <f t="shared" si="235"/>
        <v>0</v>
      </c>
      <c r="Q150" s="330"/>
      <c r="R150" s="330"/>
      <c r="S150" s="332" t="e">
        <f t="shared" ref="S150" si="281">+Q150/P150</f>
        <v>#DIV/0!</v>
      </c>
    </row>
    <row r="151" spans="2:19">
      <c r="B151" s="339"/>
      <c r="C151" s="345"/>
      <c r="D151" s="347" t="s">
        <v>621</v>
      </c>
      <c r="E151" s="344" t="s">
        <v>588</v>
      </c>
      <c r="F151" s="129" t="s">
        <v>488</v>
      </c>
      <c r="G151" s="172">
        <v>7.3810000000000002</v>
      </c>
      <c r="H151" s="172"/>
      <c r="I151" s="172">
        <f>G151+H151</f>
        <v>7.3810000000000002</v>
      </c>
      <c r="J151" s="291">
        <v>5.2649999999999997</v>
      </c>
      <c r="K151" s="183">
        <f t="shared" si="229"/>
        <v>2.1160000000000005</v>
      </c>
      <c r="L151" s="154">
        <f t="shared" si="230"/>
        <v>0.7133179785936864</v>
      </c>
      <c r="M151" s="98" t="s">
        <v>218</v>
      </c>
      <c r="N151" s="330">
        <f>G151+G152</f>
        <v>14.762</v>
      </c>
      <c r="O151" s="330">
        <f t="shared" ref="O151" si="282">H151+H152</f>
        <v>0</v>
      </c>
      <c r="P151" s="330">
        <f t="shared" si="235"/>
        <v>14.762</v>
      </c>
      <c r="Q151" s="330">
        <f t="shared" ref="Q151" si="283">J151+J152</f>
        <v>13.283999999999999</v>
      </c>
      <c r="R151" s="330">
        <f t="shared" ref="R151" si="284">P151-Q151</f>
        <v>1.4780000000000015</v>
      </c>
      <c r="S151" s="332">
        <f t="shared" ref="S151" si="285">Q151/P151</f>
        <v>0.89987806530280434</v>
      </c>
    </row>
    <row r="152" spans="2:19">
      <c r="B152" s="339"/>
      <c r="C152" s="345"/>
      <c r="D152" s="347"/>
      <c r="E152" s="344"/>
      <c r="F152" s="129" t="s">
        <v>10</v>
      </c>
      <c r="G152" s="172">
        <v>7.3810000000000002</v>
      </c>
      <c r="H152" s="172"/>
      <c r="I152" s="172">
        <f>K151+G152+H152</f>
        <v>9.4969999999999999</v>
      </c>
      <c r="J152" s="291">
        <v>8.0190000000000001</v>
      </c>
      <c r="K152" s="183">
        <f t="shared" si="229"/>
        <v>1.4779999999999998</v>
      </c>
      <c r="L152" s="154">
        <f t="shared" si="230"/>
        <v>0.84437190691797415</v>
      </c>
      <c r="M152" s="98" t="s">
        <v>218</v>
      </c>
      <c r="N152" s="330"/>
      <c r="O152" s="330"/>
      <c r="P152" s="330">
        <f t="shared" si="235"/>
        <v>0</v>
      </c>
      <c r="Q152" s="330"/>
      <c r="R152" s="330"/>
      <c r="S152" s="332" t="e">
        <f t="shared" ref="S152" si="286">+Q152/P152</f>
        <v>#DIV/0!</v>
      </c>
    </row>
    <row r="153" spans="2:19">
      <c r="B153" s="339"/>
      <c r="C153" s="345"/>
      <c r="D153" s="347"/>
      <c r="E153" s="344" t="s">
        <v>376</v>
      </c>
      <c r="F153" s="129" t="s">
        <v>488</v>
      </c>
      <c r="G153" s="172">
        <v>7.3810000000000002</v>
      </c>
      <c r="H153" s="172"/>
      <c r="I153" s="172">
        <f>G153+H153</f>
        <v>7.3810000000000002</v>
      </c>
      <c r="J153" s="291">
        <v>4.4279999999999999</v>
      </c>
      <c r="K153" s="183">
        <f t="shared" si="229"/>
        <v>2.9530000000000003</v>
      </c>
      <c r="L153" s="154">
        <f t="shared" si="230"/>
        <v>0.5999187102018696</v>
      </c>
      <c r="M153" s="98" t="s">
        <v>218</v>
      </c>
      <c r="N153" s="330">
        <f>G153+G154</f>
        <v>14.762</v>
      </c>
      <c r="O153" s="330">
        <f t="shared" ref="O153" si="287">H153+H154</f>
        <v>0</v>
      </c>
      <c r="P153" s="330">
        <f t="shared" si="235"/>
        <v>14.762</v>
      </c>
      <c r="Q153" s="330">
        <f t="shared" ref="Q153" si="288">J153+J154</f>
        <v>14.276</v>
      </c>
      <c r="R153" s="330">
        <f t="shared" ref="R153" si="289">P153-Q153</f>
        <v>0.48600000000000065</v>
      </c>
      <c r="S153" s="332">
        <f t="shared" ref="S153" si="290">Q153/P153</f>
        <v>0.9670776317572144</v>
      </c>
    </row>
    <row r="154" spans="2:19">
      <c r="B154" s="339"/>
      <c r="C154" s="345"/>
      <c r="D154" s="347"/>
      <c r="E154" s="344"/>
      <c r="F154" s="129" t="s">
        <v>10</v>
      </c>
      <c r="G154" s="172">
        <v>7.3810000000000002</v>
      </c>
      <c r="H154" s="172"/>
      <c r="I154" s="172">
        <f>K153+G154+H154</f>
        <v>10.334</v>
      </c>
      <c r="J154" s="291">
        <v>9.8480000000000008</v>
      </c>
      <c r="K154" s="183">
        <f t="shared" si="229"/>
        <v>0.48599999999999888</v>
      </c>
      <c r="L154" s="154">
        <f t="shared" si="230"/>
        <v>0.95297077607896274</v>
      </c>
      <c r="M154" s="98" t="s">
        <v>218</v>
      </c>
      <c r="N154" s="330"/>
      <c r="O154" s="330"/>
      <c r="P154" s="330">
        <f t="shared" si="235"/>
        <v>0</v>
      </c>
      <c r="Q154" s="330"/>
      <c r="R154" s="330"/>
      <c r="S154" s="332" t="e">
        <f t="shared" ref="S154" si="291">+Q154/P154</f>
        <v>#DIV/0!</v>
      </c>
    </row>
    <row r="155" spans="2:19">
      <c r="B155" s="339"/>
      <c r="C155" s="345"/>
      <c r="D155" s="347"/>
      <c r="E155" s="344" t="s">
        <v>589</v>
      </c>
      <c r="F155" s="129" t="s">
        <v>488</v>
      </c>
      <c r="G155" s="172">
        <v>7.383</v>
      </c>
      <c r="H155" s="172"/>
      <c r="I155" s="172">
        <f>G155+H155</f>
        <v>7.383</v>
      </c>
      <c r="J155" s="291">
        <v>4.4989999999999997</v>
      </c>
      <c r="K155" s="183">
        <f t="shared" si="229"/>
        <v>2.8840000000000003</v>
      </c>
      <c r="L155" s="154">
        <f t="shared" si="230"/>
        <v>0.60937288365163211</v>
      </c>
      <c r="M155" s="98" t="s">
        <v>218</v>
      </c>
      <c r="N155" s="330">
        <f>G155+G156</f>
        <v>14.766</v>
      </c>
      <c r="O155" s="330">
        <f t="shared" ref="O155" si="292">H155+H156</f>
        <v>0</v>
      </c>
      <c r="P155" s="330">
        <f t="shared" si="235"/>
        <v>14.766</v>
      </c>
      <c r="Q155" s="330">
        <f t="shared" ref="Q155" si="293">J155+J156</f>
        <v>14.3</v>
      </c>
      <c r="R155" s="330">
        <f t="shared" ref="R155" si="294">P155-Q155</f>
        <v>0.4659999999999993</v>
      </c>
      <c r="S155" s="332">
        <f t="shared" ref="S155" si="295">Q155/P155</f>
        <v>0.96844101313829067</v>
      </c>
    </row>
    <row r="156" spans="2:19">
      <c r="B156" s="339"/>
      <c r="C156" s="345"/>
      <c r="D156" s="347"/>
      <c r="E156" s="344"/>
      <c r="F156" s="129" t="s">
        <v>10</v>
      </c>
      <c r="G156" s="172">
        <v>7.383</v>
      </c>
      <c r="H156" s="172"/>
      <c r="I156" s="172">
        <f>K155+G156+H156</f>
        <v>10.266999999999999</v>
      </c>
      <c r="J156" s="291">
        <v>9.8010000000000002</v>
      </c>
      <c r="K156" s="183">
        <f t="shared" si="229"/>
        <v>0.4659999999999993</v>
      </c>
      <c r="L156" s="154">
        <f t="shared" si="230"/>
        <v>0.95461186325119318</v>
      </c>
      <c r="M156" s="98" t="s">
        <v>218</v>
      </c>
      <c r="N156" s="330"/>
      <c r="O156" s="330"/>
      <c r="P156" s="330">
        <f t="shared" si="235"/>
        <v>0</v>
      </c>
      <c r="Q156" s="330"/>
      <c r="R156" s="330"/>
      <c r="S156" s="332" t="e">
        <f t="shared" ref="S156" si="296">+Q156/P156</f>
        <v>#DIV/0!</v>
      </c>
    </row>
    <row r="157" spans="2:19">
      <c r="B157" s="339"/>
      <c r="C157" s="345"/>
      <c r="D157" s="347"/>
      <c r="E157" s="344" t="s">
        <v>590</v>
      </c>
      <c r="F157" s="129" t="s">
        <v>488</v>
      </c>
      <c r="G157" s="172">
        <v>7.3810000000000002</v>
      </c>
      <c r="H157" s="172"/>
      <c r="I157" s="172">
        <f>G157+H157</f>
        <v>7.3810000000000002</v>
      </c>
      <c r="J157" s="291">
        <v>1.782</v>
      </c>
      <c r="K157" s="183">
        <f t="shared" si="229"/>
        <v>5.5990000000000002</v>
      </c>
      <c r="L157" s="154">
        <f t="shared" si="230"/>
        <v>0.24143070044709389</v>
      </c>
      <c r="M157" s="98" t="s">
        <v>218</v>
      </c>
      <c r="N157" s="330">
        <f>G157+G158</f>
        <v>14.762</v>
      </c>
      <c r="O157" s="330">
        <f t="shared" ref="O157" si="297">H157+H158</f>
        <v>0</v>
      </c>
      <c r="P157" s="330">
        <f t="shared" si="235"/>
        <v>14.762</v>
      </c>
      <c r="Q157" s="330">
        <f t="shared" ref="Q157" si="298">J157+J158</f>
        <v>7.9379999999999988</v>
      </c>
      <c r="R157" s="330">
        <f t="shared" ref="R157" si="299">P157-Q157</f>
        <v>6.8240000000000016</v>
      </c>
      <c r="S157" s="332">
        <f t="shared" ref="S157" si="300">Q157/P157</f>
        <v>0.53773201463216358</v>
      </c>
    </row>
    <row r="158" spans="2:19">
      <c r="B158" s="339"/>
      <c r="C158" s="345"/>
      <c r="D158" s="347"/>
      <c r="E158" s="344"/>
      <c r="F158" s="129" t="s">
        <v>10</v>
      </c>
      <c r="G158" s="172">
        <v>7.3810000000000002</v>
      </c>
      <c r="H158" s="172"/>
      <c r="I158" s="172">
        <f>K157+G158+H158</f>
        <v>12.98</v>
      </c>
      <c r="J158" s="291">
        <v>6.1559999999999988</v>
      </c>
      <c r="K158" s="183">
        <f t="shared" si="229"/>
        <v>6.8240000000000016</v>
      </c>
      <c r="L158" s="154">
        <f t="shared" si="230"/>
        <v>0.47426810477657927</v>
      </c>
      <c r="M158" s="98" t="s">
        <v>218</v>
      </c>
      <c r="N158" s="330"/>
      <c r="O158" s="330"/>
      <c r="P158" s="330">
        <f t="shared" si="235"/>
        <v>0</v>
      </c>
      <c r="Q158" s="330"/>
      <c r="R158" s="330"/>
      <c r="S158" s="332" t="e">
        <f t="shared" ref="S158" si="301">+Q158/P158</f>
        <v>#DIV/0!</v>
      </c>
    </row>
    <row r="159" spans="2:19">
      <c r="B159" s="339"/>
      <c r="C159" s="345"/>
      <c r="D159" s="347"/>
      <c r="E159" s="344" t="s">
        <v>591</v>
      </c>
      <c r="F159" s="129" t="s">
        <v>488</v>
      </c>
      <c r="G159" s="172">
        <v>7.38</v>
      </c>
      <c r="H159" s="172"/>
      <c r="I159" s="172">
        <f>G159+H159</f>
        <v>7.38</v>
      </c>
      <c r="J159" s="291">
        <v>4.1850000000000005</v>
      </c>
      <c r="K159" s="183">
        <f t="shared" si="229"/>
        <v>3.1949999999999994</v>
      </c>
      <c r="L159" s="154">
        <f t="shared" si="230"/>
        <v>0.56707317073170738</v>
      </c>
      <c r="M159" s="98" t="s">
        <v>218</v>
      </c>
      <c r="N159" s="330">
        <f>G159+G160</f>
        <v>14.76</v>
      </c>
      <c r="O159" s="330">
        <f t="shared" ref="O159" si="302">H159+H160</f>
        <v>0</v>
      </c>
      <c r="P159" s="330">
        <f t="shared" si="235"/>
        <v>14.76</v>
      </c>
      <c r="Q159" s="330">
        <f t="shared" ref="Q159" si="303">J159+J160</f>
        <v>14.337</v>
      </c>
      <c r="R159" s="330">
        <f t="shared" ref="R159" si="304">P159-Q159</f>
        <v>0.42300000000000004</v>
      </c>
      <c r="S159" s="332">
        <f t="shared" ref="S159" si="305">Q159/P159</f>
        <v>0.97134146341463412</v>
      </c>
    </row>
    <row r="160" spans="2:19">
      <c r="B160" s="339"/>
      <c r="C160" s="345"/>
      <c r="D160" s="347"/>
      <c r="E160" s="344"/>
      <c r="F160" s="129" t="s">
        <v>10</v>
      </c>
      <c r="G160" s="172">
        <v>7.38</v>
      </c>
      <c r="H160" s="172"/>
      <c r="I160" s="172">
        <f>K159+G160+H160</f>
        <v>10.574999999999999</v>
      </c>
      <c r="J160" s="291">
        <v>10.151999999999999</v>
      </c>
      <c r="K160" s="183">
        <f t="shared" si="229"/>
        <v>0.42300000000000004</v>
      </c>
      <c r="L160" s="154">
        <f t="shared" si="230"/>
        <v>0.96</v>
      </c>
      <c r="M160" s="98" t="s">
        <v>218</v>
      </c>
      <c r="N160" s="330"/>
      <c r="O160" s="330"/>
      <c r="P160" s="330">
        <f t="shared" si="235"/>
        <v>0</v>
      </c>
      <c r="Q160" s="330"/>
      <c r="R160" s="330"/>
      <c r="S160" s="332" t="e">
        <f t="shared" ref="S160" si="306">+Q160/P160</f>
        <v>#DIV/0!</v>
      </c>
    </row>
    <row r="161" spans="2:21">
      <c r="B161" s="339"/>
      <c r="C161" s="345"/>
      <c r="D161" s="347"/>
      <c r="E161" s="344" t="s">
        <v>486</v>
      </c>
      <c r="F161" s="129" t="s">
        <v>488</v>
      </c>
      <c r="G161" s="172">
        <v>7.3840000000000003</v>
      </c>
      <c r="H161" s="172"/>
      <c r="I161" s="172">
        <f>G161+H161</f>
        <v>7.3840000000000003</v>
      </c>
      <c r="J161" s="291">
        <v>2.6459999999999999</v>
      </c>
      <c r="K161" s="183">
        <f t="shared" si="229"/>
        <v>4.7380000000000004</v>
      </c>
      <c r="L161" s="154">
        <f t="shared" si="230"/>
        <v>0.35834236186348861</v>
      </c>
      <c r="M161" s="98" t="s">
        <v>218</v>
      </c>
      <c r="N161" s="330">
        <f>G161+G162</f>
        <v>14.768000000000001</v>
      </c>
      <c r="O161" s="330">
        <f t="shared" ref="O161" si="307">H161+H162</f>
        <v>0</v>
      </c>
      <c r="P161" s="330">
        <f t="shared" si="235"/>
        <v>14.768000000000001</v>
      </c>
      <c r="Q161" s="330">
        <f t="shared" ref="Q161" si="308">J161+J162</f>
        <v>10.638</v>
      </c>
      <c r="R161" s="330">
        <f t="shared" ref="R161" si="309">P161-Q161</f>
        <v>4.1300000000000008</v>
      </c>
      <c r="S161" s="332">
        <f t="shared" ref="S161" si="310">Q161/P161</f>
        <v>0.72034127843986995</v>
      </c>
    </row>
    <row r="162" spans="2:21">
      <c r="B162" s="339"/>
      <c r="C162" s="345"/>
      <c r="D162" s="347"/>
      <c r="E162" s="344"/>
      <c r="F162" s="129" t="s">
        <v>10</v>
      </c>
      <c r="G162" s="172">
        <v>7.3840000000000003</v>
      </c>
      <c r="H162" s="172"/>
      <c r="I162" s="172">
        <f>K161+G162+H162</f>
        <v>12.122</v>
      </c>
      <c r="J162" s="291">
        <v>7.992</v>
      </c>
      <c r="K162" s="183">
        <f t="shared" si="229"/>
        <v>4.13</v>
      </c>
      <c r="L162" s="154">
        <f t="shared" si="230"/>
        <v>0.65929714568553044</v>
      </c>
      <c r="M162" s="98" t="s">
        <v>218</v>
      </c>
      <c r="N162" s="330"/>
      <c r="O162" s="330"/>
      <c r="P162" s="330">
        <f t="shared" si="235"/>
        <v>0</v>
      </c>
      <c r="Q162" s="330"/>
      <c r="R162" s="330"/>
      <c r="S162" s="332" t="e">
        <f t="shared" ref="S162" si="311">+Q162/P162</f>
        <v>#DIV/0!</v>
      </c>
    </row>
    <row r="163" spans="2:21">
      <c r="B163" s="339"/>
      <c r="C163" s="345"/>
      <c r="D163" s="347" t="s">
        <v>632</v>
      </c>
      <c r="E163" s="344" t="s">
        <v>592</v>
      </c>
      <c r="F163" s="129" t="s">
        <v>488</v>
      </c>
      <c r="G163" s="172">
        <v>7.3789999999999996</v>
      </c>
      <c r="H163" s="172">
        <f>-0.079</f>
        <v>-7.9000000000000001E-2</v>
      </c>
      <c r="I163" s="172">
        <f>G163+H163</f>
        <v>7.3</v>
      </c>
      <c r="J163" s="291">
        <v>5.9939999999999998</v>
      </c>
      <c r="K163" s="183">
        <f t="shared" si="229"/>
        <v>1.306</v>
      </c>
      <c r="L163" s="154">
        <f t="shared" si="230"/>
        <v>0.82109589041095887</v>
      </c>
      <c r="M163" s="98" t="s">
        <v>218</v>
      </c>
      <c r="N163" s="330">
        <f>G163+G164</f>
        <v>14.757999999999999</v>
      </c>
      <c r="O163" s="330">
        <f t="shared" ref="O163" si="312">H163+H164</f>
        <v>-7.9000000000000001E-2</v>
      </c>
      <c r="P163" s="330">
        <f t="shared" si="235"/>
        <v>14.678999999999998</v>
      </c>
      <c r="Q163" s="330">
        <f t="shared" ref="Q163" si="313">J163+J164</f>
        <v>8.8829999999999991</v>
      </c>
      <c r="R163" s="330">
        <f t="shared" ref="R163" si="314">P163-Q163</f>
        <v>5.7959999999999994</v>
      </c>
      <c r="S163" s="332">
        <f t="shared" ref="S163" si="315">Q163/P163</f>
        <v>0.60515021459227469</v>
      </c>
    </row>
    <row r="164" spans="2:21">
      <c r="B164" s="339"/>
      <c r="C164" s="345"/>
      <c r="D164" s="347"/>
      <c r="E164" s="344"/>
      <c r="F164" s="129" t="s">
        <v>10</v>
      </c>
      <c r="G164" s="172">
        <v>7.3789999999999996</v>
      </c>
      <c r="H164" s="172"/>
      <c r="I164" s="172">
        <f>K163+G164+H164</f>
        <v>8.6849999999999987</v>
      </c>
      <c r="J164" s="291">
        <v>2.8889999999999998</v>
      </c>
      <c r="K164" s="183">
        <f t="shared" si="229"/>
        <v>5.7959999999999994</v>
      </c>
      <c r="L164" s="154">
        <f t="shared" si="230"/>
        <v>0.33264248704663213</v>
      </c>
      <c r="M164" s="98" t="s">
        <v>218</v>
      </c>
      <c r="N164" s="330"/>
      <c r="O164" s="330"/>
      <c r="P164" s="330">
        <f t="shared" si="235"/>
        <v>0</v>
      </c>
      <c r="Q164" s="330"/>
      <c r="R164" s="330"/>
      <c r="S164" s="332" t="e">
        <f t="shared" ref="S164" si="316">+Q164/P164</f>
        <v>#DIV/0!</v>
      </c>
    </row>
    <row r="165" spans="2:21">
      <c r="B165" s="339"/>
      <c r="C165" s="345"/>
      <c r="D165" s="347"/>
      <c r="E165" s="344" t="s">
        <v>593</v>
      </c>
      <c r="F165" s="129" t="s">
        <v>488</v>
      </c>
      <c r="G165" s="172">
        <v>7.3810000000000002</v>
      </c>
      <c r="H165" s="172"/>
      <c r="I165" s="172">
        <f>G165+H165</f>
        <v>7.3810000000000002</v>
      </c>
      <c r="J165" s="291">
        <v>5.13</v>
      </c>
      <c r="K165" s="183">
        <f t="shared" si="229"/>
        <v>2.2510000000000003</v>
      </c>
      <c r="L165" s="154">
        <f t="shared" si="230"/>
        <v>0.69502777401436111</v>
      </c>
      <c r="M165" s="98" t="s">
        <v>218</v>
      </c>
      <c r="N165" s="330">
        <f>G165+G166</f>
        <v>14.762</v>
      </c>
      <c r="O165" s="330">
        <f t="shared" ref="O165" si="317">H165+H166</f>
        <v>0</v>
      </c>
      <c r="P165" s="330">
        <f t="shared" si="235"/>
        <v>14.762</v>
      </c>
      <c r="Q165" s="330">
        <f t="shared" ref="Q165" si="318">J165+J166</f>
        <v>10.584</v>
      </c>
      <c r="R165" s="330">
        <f t="shared" ref="R165" si="319">P165-Q165</f>
        <v>4.1780000000000008</v>
      </c>
      <c r="S165" s="332">
        <f t="shared" ref="S165" si="320">Q165/P165</f>
        <v>0.71697601950955148</v>
      </c>
    </row>
    <row r="166" spans="2:21">
      <c r="B166" s="339"/>
      <c r="C166" s="345"/>
      <c r="D166" s="347"/>
      <c r="E166" s="344"/>
      <c r="F166" s="129" t="s">
        <v>10</v>
      </c>
      <c r="G166" s="172">
        <v>7.3810000000000002</v>
      </c>
      <c r="H166" s="172"/>
      <c r="I166" s="172">
        <f>K165+G166+H166</f>
        <v>9.6320000000000014</v>
      </c>
      <c r="J166" s="291">
        <v>5.4539999999999997</v>
      </c>
      <c r="K166" s="183">
        <f t="shared" si="229"/>
        <v>4.1780000000000017</v>
      </c>
      <c r="L166" s="154">
        <f t="shared" si="230"/>
        <v>0.56623754152823913</v>
      </c>
      <c r="M166" s="98" t="s">
        <v>218</v>
      </c>
      <c r="N166" s="330"/>
      <c r="O166" s="330"/>
      <c r="P166" s="330">
        <f t="shared" si="235"/>
        <v>0</v>
      </c>
      <c r="Q166" s="330"/>
      <c r="R166" s="330"/>
      <c r="S166" s="332" t="e">
        <f t="shared" ref="S166" si="321">+Q166/P166</f>
        <v>#DIV/0!</v>
      </c>
    </row>
    <row r="167" spans="2:21">
      <c r="B167" s="339"/>
      <c r="C167" s="345"/>
      <c r="D167" s="347" t="s">
        <v>622</v>
      </c>
      <c r="E167" s="344" t="s">
        <v>377</v>
      </c>
      <c r="F167" s="129" t="s">
        <v>488</v>
      </c>
      <c r="G167" s="172">
        <v>7.3780000000000001</v>
      </c>
      <c r="H167" s="172">
        <f>-0.142</f>
        <v>-0.14199999999999999</v>
      </c>
      <c r="I167" s="172">
        <f>G167+H167</f>
        <v>7.2359999999999998</v>
      </c>
      <c r="J167" s="291">
        <v>4.806</v>
      </c>
      <c r="K167" s="183">
        <f t="shared" si="229"/>
        <v>2.4299999999999997</v>
      </c>
      <c r="L167" s="154">
        <f t="shared" si="230"/>
        <v>0.66417910447761197</v>
      </c>
      <c r="M167" s="98" t="s">
        <v>218</v>
      </c>
      <c r="N167" s="330">
        <f>G167+G168</f>
        <v>14.756</v>
      </c>
      <c r="O167" s="330">
        <f t="shared" ref="O167" si="322">H167+H168</f>
        <v>-0.14199999999999999</v>
      </c>
      <c r="P167" s="330">
        <f t="shared" si="235"/>
        <v>14.614000000000001</v>
      </c>
      <c r="Q167" s="330">
        <f t="shared" ref="Q167" si="323">J167+J168</f>
        <v>12.690000000000001</v>
      </c>
      <c r="R167" s="330">
        <f t="shared" ref="R167" si="324">P167-Q167</f>
        <v>1.9239999999999995</v>
      </c>
      <c r="S167" s="332">
        <f t="shared" ref="S167" si="325">Q167/P167</f>
        <v>0.86834542219789246</v>
      </c>
    </row>
    <row r="168" spans="2:21">
      <c r="B168" s="339"/>
      <c r="C168" s="345"/>
      <c r="D168" s="347"/>
      <c r="E168" s="344"/>
      <c r="F168" s="129" t="s">
        <v>10</v>
      </c>
      <c r="G168" s="172">
        <v>7.3780000000000001</v>
      </c>
      <c r="H168" s="172"/>
      <c r="I168" s="172">
        <f>K167+G168+H168</f>
        <v>9.8079999999999998</v>
      </c>
      <c r="J168" s="291">
        <v>7.8840000000000003</v>
      </c>
      <c r="K168" s="183">
        <f t="shared" si="229"/>
        <v>1.9239999999999995</v>
      </c>
      <c r="L168" s="154">
        <f t="shared" si="230"/>
        <v>0.8038336052202284</v>
      </c>
      <c r="M168" s="98" t="s">
        <v>218</v>
      </c>
      <c r="N168" s="330"/>
      <c r="O168" s="330"/>
      <c r="P168" s="330">
        <f t="shared" si="235"/>
        <v>0</v>
      </c>
      <c r="Q168" s="330"/>
      <c r="R168" s="330"/>
      <c r="S168" s="332" t="e">
        <f t="shared" ref="S168" si="326">+Q168/P168</f>
        <v>#DIV/0!</v>
      </c>
    </row>
    <row r="169" spans="2:21">
      <c r="B169" s="339"/>
      <c r="C169" s="345"/>
      <c r="D169" s="347"/>
      <c r="E169" s="344" t="s">
        <v>594</v>
      </c>
      <c r="F169" s="129" t="s">
        <v>488</v>
      </c>
      <c r="G169" s="172">
        <v>7.383</v>
      </c>
      <c r="H169" s="172">
        <f>-0.2163</f>
        <v>-0.21629999999999999</v>
      </c>
      <c r="I169" s="172">
        <f>G169+H169</f>
        <v>7.1666999999999996</v>
      </c>
      <c r="J169" s="291">
        <v>2.0790000000000002</v>
      </c>
      <c r="K169" s="183">
        <f t="shared" si="229"/>
        <v>5.0876999999999999</v>
      </c>
      <c r="L169" s="154">
        <f t="shared" si="230"/>
        <v>0.29009167399221403</v>
      </c>
      <c r="M169" s="98" t="s">
        <v>218</v>
      </c>
      <c r="N169" s="330">
        <f>G169+G170</f>
        <v>14.766</v>
      </c>
      <c r="O169" s="330">
        <f t="shared" ref="O169" si="327">H169+H170</f>
        <v>-0.21629999999999999</v>
      </c>
      <c r="P169" s="330">
        <f t="shared" si="235"/>
        <v>14.5497</v>
      </c>
      <c r="Q169" s="330">
        <f t="shared" ref="Q169" si="328">J169+J170</f>
        <v>10.26</v>
      </c>
      <c r="R169" s="330">
        <f t="shared" ref="R169" si="329">P169-Q169</f>
        <v>4.2896999999999998</v>
      </c>
      <c r="S169" s="332">
        <f t="shared" ref="S169" si="330">Q169/P169</f>
        <v>0.70516917874595353</v>
      </c>
    </row>
    <row r="170" spans="2:21">
      <c r="B170" s="339"/>
      <c r="C170" s="345"/>
      <c r="D170" s="347"/>
      <c r="E170" s="344"/>
      <c r="F170" s="129" t="s">
        <v>10</v>
      </c>
      <c r="G170" s="172">
        <v>7.383</v>
      </c>
      <c r="H170" s="172"/>
      <c r="I170" s="172">
        <f>K169+G170+H170</f>
        <v>12.470700000000001</v>
      </c>
      <c r="J170" s="291">
        <v>8.1809999999999992</v>
      </c>
      <c r="K170" s="183">
        <f t="shared" si="229"/>
        <v>4.2897000000000016</v>
      </c>
      <c r="L170" s="154">
        <f t="shared" si="230"/>
        <v>0.65601770550169591</v>
      </c>
      <c r="M170" s="98" t="s">
        <v>218</v>
      </c>
      <c r="N170" s="330"/>
      <c r="O170" s="330"/>
      <c r="P170" s="330">
        <f t="shared" si="235"/>
        <v>0</v>
      </c>
      <c r="Q170" s="330"/>
      <c r="R170" s="330"/>
      <c r="S170" s="332" t="e">
        <f t="shared" ref="S170" si="331">+Q170/P170</f>
        <v>#DIV/0!</v>
      </c>
    </row>
    <row r="171" spans="2:21">
      <c r="B171" s="339"/>
      <c r="C171" s="345"/>
      <c r="D171" s="371" t="s">
        <v>495</v>
      </c>
      <c r="E171" s="344" t="s">
        <v>541</v>
      </c>
      <c r="F171" s="129" t="s">
        <v>488</v>
      </c>
      <c r="G171" s="172">
        <v>33.212000000000003</v>
      </c>
      <c r="H171" s="172"/>
      <c r="I171" s="172">
        <f>G171+H171</f>
        <v>33.212000000000003</v>
      </c>
      <c r="J171" s="291">
        <v>23.326000000000001</v>
      </c>
      <c r="K171" s="183">
        <f t="shared" si="229"/>
        <v>9.8860000000000028</v>
      </c>
      <c r="L171" s="154">
        <f t="shared" si="230"/>
        <v>0.70233650487775501</v>
      </c>
      <c r="M171" s="176" t="s">
        <v>218</v>
      </c>
      <c r="N171" s="330">
        <f>G171+G172</f>
        <v>44.283000000000001</v>
      </c>
      <c r="O171" s="330">
        <f t="shared" ref="O171" si="332">H171+H172</f>
        <v>0</v>
      </c>
      <c r="P171" s="330">
        <f t="shared" si="235"/>
        <v>44.283000000000001</v>
      </c>
      <c r="Q171" s="330">
        <f t="shared" ref="Q171" si="333">J171+J172</f>
        <v>34.850999999999999</v>
      </c>
      <c r="R171" s="330">
        <f t="shared" ref="R171" si="334">P171-Q171</f>
        <v>9.4320000000000022</v>
      </c>
      <c r="S171" s="332">
        <f t="shared" ref="S171" si="335">Q171/P171</f>
        <v>0.7870063003861526</v>
      </c>
    </row>
    <row r="172" spans="2:21">
      <c r="B172" s="339"/>
      <c r="C172" s="345"/>
      <c r="D172" s="371"/>
      <c r="E172" s="344"/>
      <c r="F172" s="129" t="s">
        <v>10</v>
      </c>
      <c r="G172" s="172">
        <v>11.071</v>
      </c>
      <c r="H172" s="172"/>
      <c r="I172" s="172">
        <f>K171+G172+H172</f>
        <v>20.957000000000001</v>
      </c>
      <c r="J172" s="291">
        <v>11.525</v>
      </c>
      <c r="K172" s="183">
        <f t="shared" si="229"/>
        <v>9.4320000000000004</v>
      </c>
      <c r="L172" s="154">
        <f t="shared" si="230"/>
        <v>0.54993558238297469</v>
      </c>
      <c r="M172" s="98" t="s">
        <v>218</v>
      </c>
      <c r="N172" s="330"/>
      <c r="O172" s="330"/>
      <c r="P172" s="330">
        <f t="shared" si="235"/>
        <v>0</v>
      </c>
      <c r="Q172" s="330"/>
      <c r="R172" s="330"/>
      <c r="S172" s="332" t="e">
        <f t="shared" ref="S172" si="336">+Q172/P172</f>
        <v>#DIV/0!</v>
      </c>
      <c r="T172" s="140"/>
      <c r="U172" s="141"/>
    </row>
    <row r="173" spans="2:21">
      <c r="B173" s="339"/>
      <c r="C173" s="345" t="s">
        <v>254</v>
      </c>
      <c r="D173" s="345" t="s">
        <v>279</v>
      </c>
      <c r="E173" s="345"/>
      <c r="F173" s="129" t="s">
        <v>488</v>
      </c>
      <c r="G173" s="172">
        <v>247.95400000000001</v>
      </c>
      <c r="H173" s="172"/>
      <c r="I173" s="172">
        <f>G173+H173</f>
        <v>247.95400000000001</v>
      </c>
      <c r="J173" s="291">
        <v>190.16200000000001</v>
      </c>
      <c r="K173" s="183">
        <f t="shared" si="229"/>
        <v>57.792000000000002</v>
      </c>
      <c r="L173" s="154">
        <f t="shared" si="230"/>
        <v>0.76692451019140651</v>
      </c>
      <c r="M173" s="98" t="s">
        <v>218</v>
      </c>
      <c r="N173" s="330">
        <f>G173+G174</f>
        <v>495.90800000000002</v>
      </c>
      <c r="O173" s="330">
        <f t="shared" ref="O173" si="337">H173+H174</f>
        <v>0</v>
      </c>
      <c r="P173" s="330">
        <f t="shared" si="235"/>
        <v>495.90800000000002</v>
      </c>
      <c r="Q173" s="330">
        <f t="shared" ref="Q173" si="338">J173+J174</f>
        <v>447.375</v>
      </c>
      <c r="R173" s="330">
        <f t="shared" ref="R173" si="339">P173-Q173</f>
        <v>48.533000000000015</v>
      </c>
      <c r="S173" s="332">
        <f t="shared" ref="S173" si="340">Q173/P173</f>
        <v>0.9021330569379804</v>
      </c>
      <c r="T173" s="140"/>
      <c r="U173" s="141"/>
    </row>
    <row r="174" spans="2:21">
      <c r="B174" s="339"/>
      <c r="C174" s="345"/>
      <c r="D174" s="345"/>
      <c r="E174" s="345"/>
      <c r="F174" s="129" t="s">
        <v>10</v>
      </c>
      <c r="G174" s="172">
        <v>247.95400000000001</v>
      </c>
      <c r="H174" s="172"/>
      <c r="I174" s="172">
        <f>K173+G174+H174</f>
        <v>305.74599999999998</v>
      </c>
      <c r="J174" s="291">
        <v>257.21300000000002</v>
      </c>
      <c r="K174" s="183">
        <f t="shared" si="229"/>
        <v>48.532999999999959</v>
      </c>
      <c r="L174" s="154">
        <f t="shared" si="230"/>
        <v>0.84126366330221836</v>
      </c>
      <c r="M174" s="98" t="s">
        <v>218</v>
      </c>
      <c r="N174" s="330"/>
      <c r="O174" s="330"/>
      <c r="P174" s="330">
        <f t="shared" si="235"/>
        <v>0</v>
      </c>
      <c r="Q174" s="330"/>
      <c r="R174" s="330"/>
      <c r="S174" s="332" t="e">
        <f t="shared" ref="S174" si="341">+Q174/P174</f>
        <v>#DIV/0!</v>
      </c>
    </row>
    <row r="175" spans="2:21">
      <c r="B175" s="339"/>
      <c r="C175" s="345"/>
      <c r="D175" s="345" t="s">
        <v>280</v>
      </c>
      <c r="E175" s="345"/>
      <c r="F175" s="129" t="s">
        <v>488</v>
      </c>
      <c r="G175" s="172">
        <v>423.58199999999999</v>
      </c>
      <c r="H175" s="172"/>
      <c r="I175" s="172">
        <f>G175+H175</f>
        <v>423.58199999999999</v>
      </c>
      <c r="J175" s="291">
        <v>299.02499999999998</v>
      </c>
      <c r="K175" s="183">
        <f t="shared" si="229"/>
        <v>124.55700000000002</v>
      </c>
      <c r="L175" s="154">
        <f t="shared" si="230"/>
        <v>0.70594359533691231</v>
      </c>
      <c r="M175" s="98" t="s">
        <v>218</v>
      </c>
      <c r="N175" s="330">
        <f>G175+G176</f>
        <v>847.16399999999999</v>
      </c>
      <c r="O175" s="330">
        <f t="shared" ref="O175" si="342">H175+H176</f>
        <v>0</v>
      </c>
      <c r="P175" s="330">
        <f t="shared" si="235"/>
        <v>847.16399999999999</v>
      </c>
      <c r="Q175" s="330">
        <f t="shared" ref="Q175" si="343">J175+J176</f>
        <v>750.09199999999998</v>
      </c>
      <c r="R175" s="330">
        <f t="shared" ref="R175" si="344">P175-Q175</f>
        <v>97.072000000000003</v>
      </c>
      <c r="S175" s="332">
        <f t="shared" ref="S175" si="345">Q175/P175</f>
        <v>0.88541533870655509</v>
      </c>
    </row>
    <row r="176" spans="2:21">
      <c r="B176" s="339"/>
      <c r="C176" s="345"/>
      <c r="D176" s="345"/>
      <c r="E176" s="345"/>
      <c r="F176" s="129" t="s">
        <v>10</v>
      </c>
      <c r="G176" s="172">
        <v>423.58199999999999</v>
      </c>
      <c r="H176" s="172"/>
      <c r="I176" s="172">
        <f>K175+G176+H176</f>
        <v>548.13900000000001</v>
      </c>
      <c r="J176" s="291">
        <v>451.06700000000001</v>
      </c>
      <c r="K176" s="183">
        <f t="shared" si="229"/>
        <v>97.072000000000003</v>
      </c>
      <c r="L176" s="154">
        <f t="shared" si="230"/>
        <v>0.82290623363781812</v>
      </c>
      <c r="M176" s="98" t="s">
        <v>218</v>
      </c>
      <c r="N176" s="330"/>
      <c r="O176" s="330"/>
      <c r="P176" s="330">
        <f t="shared" si="235"/>
        <v>0</v>
      </c>
      <c r="Q176" s="330"/>
      <c r="R176" s="330"/>
      <c r="S176" s="332" t="e">
        <f t="shared" ref="S176" si="346">+Q176/P176</f>
        <v>#DIV/0!</v>
      </c>
    </row>
    <row r="177" spans="2:21">
      <c r="B177" s="339"/>
      <c r="C177" s="345"/>
      <c r="D177" s="345" t="s">
        <v>313</v>
      </c>
      <c r="E177" s="345"/>
      <c r="F177" s="129" t="s">
        <v>488</v>
      </c>
      <c r="G177" s="172">
        <v>134.285</v>
      </c>
      <c r="H177" s="172"/>
      <c r="I177" s="172">
        <f>G177+H177</f>
        <v>134.285</v>
      </c>
      <c r="J177" s="291">
        <v>89.451000000000079</v>
      </c>
      <c r="K177" s="183">
        <f t="shared" si="229"/>
        <v>44.833999999999918</v>
      </c>
      <c r="L177" s="154">
        <f t="shared" si="230"/>
        <v>0.66612801131920973</v>
      </c>
      <c r="M177" s="98" t="s">
        <v>218</v>
      </c>
      <c r="N177" s="330">
        <f>G177+G178</f>
        <v>268.57</v>
      </c>
      <c r="O177" s="330">
        <f t="shared" ref="O177" si="347">H177+H178</f>
        <v>0</v>
      </c>
      <c r="P177" s="330">
        <f t="shared" si="235"/>
        <v>268.57</v>
      </c>
      <c r="Q177" s="330">
        <f t="shared" ref="Q177" si="348">J177+J178</f>
        <v>226.16400000000007</v>
      </c>
      <c r="R177" s="330">
        <f t="shared" ref="R177" si="349">P177-Q177</f>
        <v>42.405999999999921</v>
      </c>
      <c r="S177" s="332">
        <f t="shared" ref="S177" si="350">Q177/P177</f>
        <v>0.84210447927914545</v>
      </c>
    </row>
    <row r="178" spans="2:21">
      <c r="B178" s="339"/>
      <c r="C178" s="345"/>
      <c r="D178" s="345"/>
      <c r="E178" s="345"/>
      <c r="F178" s="129" t="s">
        <v>10</v>
      </c>
      <c r="G178" s="172">
        <v>134.285</v>
      </c>
      <c r="H178" s="172"/>
      <c r="I178" s="172">
        <f>K177+G178+H178</f>
        <v>179.11899999999991</v>
      </c>
      <c r="J178" s="291">
        <v>136.71299999999999</v>
      </c>
      <c r="K178" s="183">
        <f t="shared" si="229"/>
        <v>42.405999999999921</v>
      </c>
      <c r="L178" s="154">
        <f t="shared" si="230"/>
        <v>0.76325236295423748</v>
      </c>
      <c r="M178" s="98" t="s">
        <v>218</v>
      </c>
      <c r="N178" s="330"/>
      <c r="O178" s="330"/>
      <c r="P178" s="330">
        <f t="shared" si="235"/>
        <v>0</v>
      </c>
      <c r="Q178" s="330"/>
      <c r="R178" s="330"/>
      <c r="S178" s="332" t="e">
        <f t="shared" ref="S178" si="351">+Q178/P178</f>
        <v>#DIV/0!</v>
      </c>
    </row>
    <row r="179" spans="2:21">
      <c r="B179" s="339"/>
      <c r="C179" s="345"/>
      <c r="D179" s="347" t="s">
        <v>314</v>
      </c>
      <c r="E179" s="344" t="s">
        <v>378</v>
      </c>
      <c r="F179" s="129" t="s">
        <v>488</v>
      </c>
      <c r="G179" s="172">
        <v>10.334</v>
      </c>
      <c r="H179" s="172"/>
      <c r="I179" s="172">
        <f>G179+H179</f>
        <v>10.334</v>
      </c>
      <c r="J179" s="291">
        <v>5.4</v>
      </c>
      <c r="K179" s="183">
        <f t="shared" si="229"/>
        <v>4.9339999999999993</v>
      </c>
      <c r="L179" s="154">
        <f t="shared" si="230"/>
        <v>0.52254693245597061</v>
      </c>
      <c r="M179" s="98" t="s">
        <v>218</v>
      </c>
      <c r="N179" s="330">
        <f>G179+G180</f>
        <v>20.667999999999999</v>
      </c>
      <c r="O179" s="330">
        <f t="shared" ref="O179" si="352">H179+H180</f>
        <v>0</v>
      </c>
      <c r="P179" s="330">
        <f t="shared" si="235"/>
        <v>20.667999999999999</v>
      </c>
      <c r="Q179" s="330">
        <f t="shared" ref="Q179" si="353">J179+J180</f>
        <v>18.225000000000001</v>
      </c>
      <c r="R179" s="330">
        <f t="shared" ref="R179" si="354">P179-Q179</f>
        <v>2.4429999999999978</v>
      </c>
      <c r="S179" s="332">
        <f t="shared" ref="S179" si="355">Q179/P179</f>
        <v>0.88179794851945048</v>
      </c>
    </row>
    <row r="180" spans="2:21">
      <c r="B180" s="339"/>
      <c r="C180" s="345"/>
      <c r="D180" s="347"/>
      <c r="E180" s="344"/>
      <c r="F180" s="129" t="s">
        <v>10</v>
      </c>
      <c r="G180" s="172">
        <v>10.334</v>
      </c>
      <c r="H180" s="172"/>
      <c r="I180" s="172">
        <f>K179+G180+H180</f>
        <v>15.267999999999999</v>
      </c>
      <c r="J180" s="291">
        <v>12.824999999999999</v>
      </c>
      <c r="K180" s="183">
        <f t="shared" si="229"/>
        <v>2.4429999999999996</v>
      </c>
      <c r="L180" s="154">
        <f t="shared" si="230"/>
        <v>0.83999214042441706</v>
      </c>
      <c r="M180" s="98" t="s">
        <v>218</v>
      </c>
      <c r="N180" s="330"/>
      <c r="O180" s="330"/>
      <c r="P180" s="330">
        <f t="shared" si="235"/>
        <v>0</v>
      </c>
      <c r="Q180" s="330"/>
      <c r="R180" s="330"/>
      <c r="S180" s="332" t="e">
        <f t="shared" ref="S180" si="356">+Q180/P180</f>
        <v>#DIV/0!</v>
      </c>
    </row>
    <row r="181" spans="2:21">
      <c r="B181" s="339"/>
      <c r="C181" s="345"/>
      <c r="D181" s="347"/>
      <c r="E181" s="344" t="s">
        <v>379</v>
      </c>
      <c r="F181" s="129" t="s">
        <v>488</v>
      </c>
      <c r="G181" s="172">
        <v>10.334</v>
      </c>
      <c r="H181" s="172"/>
      <c r="I181" s="172">
        <f>G181+H181</f>
        <v>10.334</v>
      </c>
      <c r="J181" s="291">
        <v>8.7840000000000007</v>
      </c>
      <c r="K181" s="183">
        <f t="shared" si="229"/>
        <v>1.5499999999999989</v>
      </c>
      <c r="L181" s="154">
        <f t="shared" si="230"/>
        <v>0.85000967679504558</v>
      </c>
      <c r="M181" s="98" t="s">
        <v>218</v>
      </c>
      <c r="N181" s="330">
        <f>G181+G182</f>
        <v>20.667999999999999</v>
      </c>
      <c r="O181" s="330">
        <f t="shared" ref="O181" si="357">H181+H182</f>
        <v>0</v>
      </c>
      <c r="P181" s="330">
        <f t="shared" si="235"/>
        <v>20.667999999999999</v>
      </c>
      <c r="Q181" s="330">
        <f t="shared" ref="Q181" si="358">J181+J182</f>
        <v>14.265000000000001</v>
      </c>
      <c r="R181" s="330">
        <f t="shared" ref="R181" si="359">P181-Q181</f>
        <v>6.4029999999999987</v>
      </c>
      <c r="S181" s="332">
        <f t="shared" ref="S181" si="360">Q181/P181</f>
        <v>0.69019740661892781</v>
      </c>
    </row>
    <row r="182" spans="2:21">
      <c r="B182" s="339"/>
      <c r="C182" s="345"/>
      <c r="D182" s="347"/>
      <c r="E182" s="344"/>
      <c r="F182" s="129" t="s">
        <v>10</v>
      </c>
      <c r="G182" s="172">
        <v>10.334</v>
      </c>
      <c r="H182" s="172"/>
      <c r="I182" s="172">
        <f>K181+G182+H182</f>
        <v>11.883999999999999</v>
      </c>
      <c r="J182" s="291">
        <v>5.480999999999999</v>
      </c>
      <c r="K182" s="183">
        <f t="shared" si="229"/>
        <v>6.4029999999999996</v>
      </c>
      <c r="L182" s="154">
        <f t="shared" si="230"/>
        <v>0.46120834735779198</v>
      </c>
      <c r="M182" s="98" t="s">
        <v>218</v>
      </c>
      <c r="N182" s="330"/>
      <c r="O182" s="330"/>
      <c r="P182" s="330">
        <f t="shared" si="235"/>
        <v>0</v>
      </c>
      <c r="Q182" s="330"/>
      <c r="R182" s="330"/>
      <c r="S182" s="332" t="e">
        <f t="shared" ref="S182" si="361">+Q182/P182</f>
        <v>#DIV/0!</v>
      </c>
    </row>
    <row r="183" spans="2:21">
      <c r="B183" s="339"/>
      <c r="C183" s="345"/>
      <c r="D183" s="347" t="s">
        <v>315</v>
      </c>
      <c r="E183" s="344" t="s">
        <v>595</v>
      </c>
      <c r="F183" s="129" t="s">
        <v>488</v>
      </c>
      <c r="G183" s="172">
        <v>10.327</v>
      </c>
      <c r="H183" s="172"/>
      <c r="I183" s="172">
        <f>G183+H183</f>
        <v>10.327</v>
      </c>
      <c r="J183" s="291">
        <v>4.9950000000000001</v>
      </c>
      <c r="K183" s="183">
        <f t="shared" si="229"/>
        <v>5.3319999999999999</v>
      </c>
      <c r="L183" s="154">
        <f t="shared" si="230"/>
        <v>0.48368354798102065</v>
      </c>
      <c r="M183" s="98" t="s">
        <v>218</v>
      </c>
      <c r="N183" s="330">
        <f>G183+G184</f>
        <v>20.654</v>
      </c>
      <c r="O183" s="330">
        <f t="shared" ref="O183" si="362">H183+H184</f>
        <v>0</v>
      </c>
      <c r="P183" s="330">
        <f t="shared" si="235"/>
        <v>20.654</v>
      </c>
      <c r="Q183" s="330">
        <f t="shared" ref="Q183" si="363">J183+J184</f>
        <v>14.742000000000001</v>
      </c>
      <c r="R183" s="330">
        <f t="shared" ref="R183" si="364">P183-Q183</f>
        <v>5.911999999999999</v>
      </c>
      <c r="S183" s="332">
        <f t="shared" ref="S183" si="365">Q183/P183</f>
        <v>0.71376004648010072</v>
      </c>
    </row>
    <row r="184" spans="2:21">
      <c r="B184" s="339"/>
      <c r="C184" s="345"/>
      <c r="D184" s="347"/>
      <c r="E184" s="344"/>
      <c r="F184" s="129" t="s">
        <v>10</v>
      </c>
      <c r="G184" s="172">
        <v>10.327</v>
      </c>
      <c r="H184" s="172"/>
      <c r="I184" s="172">
        <f>K183+G184+H184</f>
        <v>15.658999999999999</v>
      </c>
      <c r="J184" s="291">
        <v>9.7469999999999999</v>
      </c>
      <c r="K184" s="183">
        <f t="shared" si="229"/>
        <v>5.911999999999999</v>
      </c>
      <c r="L184" s="154">
        <f t="shared" si="230"/>
        <v>0.62245354109457829</v>
      </c>
      <c r="M184" s="98" t="s">
        <v>218</v>
      </c>
      <c r="N184" s="330"/>
      <c r="O184" s="330"/>
      <c r="P184" s="330">
        <f t="shared" si="235"/>
        <v>0</v>
      </c>
      <c r="Q184" s="330"/>
      <c r="R184" s="330"/>
      <c r="S184" s="332" t="e">
        <f t="shared" ref="S184" si="366">+Q184/P184</f>
        <v>#DIV/0!</v>
      </c>
    </row>
    <row r="185" spans="2:21">
      <c r="B185" s="339"/>
      <c r="C185" s="345"/>
      <c r="D185" s="347"/>
      <c r="E185" s="344" t="s">
        <v>596</v>
      </c>
      <c r="F185" s="129" t="s">
        <v>488</v>
      </c>
      <c r="G185" s="172">
        <v>10.332000000000001</v>
      </c>
      <c r="H185" s="172"/>
      <c r="I185" s="172">
        <f>G185+H185</f>
        <v>10.332000000000001</v>
      </c>
      <c r="J185" s="291">
        <v>6.0750000000000011</v>
      </c>
      <c r="K185" s="183">
        <f t="shared" si="229"/>
        <v>4.2569999999999997</v>
      </c>
      <c r="L185" s="154">
        <f t="shared" si="230"/>
        <v>0.58797909407665516</v>
      </c>
      <c r="M185" s="98" t="s">
        <v>218</v>
      </c>
      <c r="N185" s="330">
        <f>G185+G186</f>
        <v>20.664000000000001</v>
      </c>
      <c r="O185" s="330">
        <f t="shared" ref="O185" si="367">H185+H186</f>
        <v>0</v>
      </c>
      <c r="P185" s="330">
        <f t="shared" si="235"/>
        <v>20.664000000000001</v>
      </c>
      <c r="Q185" s="330">
        <f t="shared" ref="Q185" si="368">J185+J186</f>
        <v>19.737000000000002</v>
      </c>
      <c r="R185" s="330">
        <f t="shared" ref="R185" si="369">P185-Q185</f>
        <v>0.9269999999999996</v>
      </c>
      <c r="S185" s="332">
        <f t="shared" ref="S185" si="370">Q185/P185</f>
        <v>0.95513937282229966</v>
      </c>
    </row>
    <row r="186" spans="2:21">
      <c r="B186" s="339"/>
      <c r="C186" s="345"/>
      <c r="D186" s="347"/>
      <c r="E186" s="344"/>
      <c r="F186" s="129" t="s">
        <v>10</v>
      </c>
      <c r="G186" s="172">
        <v>10.332000000000001</v>
      </c>
      <c r="H186" s="172"/>
      <c r="I186" s="172">
        <f>K185+G186+H186</f>
        <v>14.589</v>
      </c>
      <c r="J186" s="291">
        <v>13.662000000000001</v>
      </c>
      <c r="K186" s="183">
        <f t="shared" si="229"/>
        <v>0.9269999999999996</v>
      </c>
      <c r="L186" s="154">
        <f t="shared" si="230"/>
        <v>0.93645897594077732</v>
      </c>
      <c r="M186" s="98" t="s">
        <v>218</v>
      </c>
      <c r="N186" s="330"/>
      <c r="O186" s="330"/>
      <c r="P186" s="330">
        <f t="shared" si="235"/>
        <v>0</v>
      </c>
      <c r="Q186" s="330"/>
      <c r="R186" s="330"/>
      <c r="S186" s="332" t="e">
        <f t="shared" ref="S186" si="371">+Q186/P186</f>
        <v>#DIV/0!</v>
      </c>
    </row>
    <row r="187" spans="2:21">
      <c r="B187" s="339"/>
      <c r="C187" s="345"/>
      <c r="D187" s="371" t="s">
        <v>495</v>
      </c>
      <c r="E187" s="344" t="s">
        <v>541</v>
      </c>
      <c r="F187" s="129" t="s">
        <v>488</v>
      </c>
      <c r="G187" s="172">
        <v>61.963999999999999</v>
      </c>
      <c r="H187" s="172"/>
      <c r="I187" s="172">
        <f>G187+H187</f>
        <v>61.963999999999999</v>
      </c>
      <c r="J187" s="291">
        <v>46.593999999999987</v>
      </c>
      <c r="K187" s="183">
        <f t="shared" si="229"/>
        <v>15.370000000000012</v>
      </c>
      <c r="L187" s="154">
        <f t="shared" si="230"/>
        <v>0.75195274675618085</v>
      </c>
      <c r="M187" s="98" t="s">
        <v>218</v>
      </c>
      <c r="N187" s="330">
        <f>G187+G188</f>
        <v>123.928</v>
      </c>
      <c r="O187" s="330">
        <f t="shared" ref="O187" si="372">H187+H188</f>
        <v>0</v>
      </c>
      <c r="P187" s="330">
        <f t="shared" si="235"/>
        <v>123.928</v>
      </c>
      <c r="Q187" s="330">
        <f t="shared" ref="Q187" si="373">J187+J188</f>
        <v>84.654999999999987</v>
      </c>
      <c r="R187" s="330">
        <f t="shared" ref="R187" si="374">P187-Q187</f>
        <v>39.27300000000001</v>
      </c>
      <c r="S187" s="332">
        <f t="shared" ref="S187" si="375">Q187/P187</f>
        <v>0.68309825059712082</v>
      </c>
    </row>
    <row r="188" spans="2:21">
      <c r="B188" s="339"/>
      <c r="C188" s="345"/>
      <c r="D188" s="371"/>
      <c r="E188" s="344"/>
      <c r="F188" s="129" t="s">
        <v>10</v>
      </c>
      <c r="G188" s="172">
        <v>61.963999999999999</v>
      </c>
      <c r="H188" s="172"/>
      <c r="I188" s="172">
        <f>K187+G188+H188</f>
        <v>77.334000000000003</v>
      </c>
      <c r="J188" s="291">
        <v>38.061</v>
      </c>
      <c r="K188" s="183">
        <f t="shared" si="229"/>
        <v>39.273000000000003</v>
      </c>
      <c r="L188" s="154">
        <f t="shared" si="230"/>
        <v>0.49216386065637363</v>
      </c>
      <c r="M188" s="98" t="s">
        <v>218</v>
      </c>
      <c r="N188" s="330"/>
      <c r="O188" s="330"/>
      <c r="P188" s="330">
        <f t="shared" si="235"/>
        <v>0</v>
      </c>
      <c r="Q188" s="330"/>
      <c r="R188" s="330"/>
      <c r="S188" s="332" t="e">
        <f t="shared" ref="S188" si="376">+Q188/P188</f>
        <v>#DIV/0!</v>
      </c>
      <c r="T188" s="140"/>
      <c r="U188" s="141"/>
    </row>
    <row r="189" spans="2:21">
      <c r="B189" s="339"/>
      <c r="C189" s="345" t="s">
        <v>251</v>
      </c>
      <c r="D189" s="371" t="s">
        <v>251</v>
      </c>
      <c r="E189" s="371"/>
      <c r="F189" s="129" t="s">
        <v>488</v>
      </c>
      <c r="G189" s="172">
        <v>42.677</v>
      </c>
      <c r="H189" s="172"/>
      <c r="I189" s="172">
        <f>G189+H189</f>
        <v>42.677</v>
      </c>
      <c r="J189" s="291">
        <v>47.574000000000005</v>
      </c>
      <c r="K189" s="183">
        <f t="shared" si="229"/>
        <v>-4.8970000000000056</v>
      </c>
      <c r="L189" s="154">
        <f t="shared" si="230"/>
        <v>1.1147456475384869</v>
      </c>
      <c r="M189" s="176">
        <v>44343</v>
      </c>
      <c r="N189" s="330">
        <f>G189+G190</f>
        <v>85.353999999999999</v>
      </c>
      <c r="O189" s="330">
        <f t="shared" ref="O189" si="377">H189+H190</f>
        <v>0</v>
      </c>
      <c r="P189" s="330">
        <f t="shared" si="235"/>
        <v>85.353999999999999</v>
      </c>
      <c r="Q189" s="330">
        <f t="shared" ref="Q189" si="378">J189+J190</f>
        <v>71.658000000000001</v>
      </c>
      <c r="R189" s="330">
        <f t="shared" ref="R189" si="379">P189-Q189</f>
        <v>13.695999999999998</v>
      </c>
      <c r="S189" s="332">
        <f t="shared" ref="S189" si="380">Q189/P189</f>
        <v>0.83953886168193648</v>
      </c>
      <c r="T189" s="140"/>
      <c r="U189" s="141"/>
    </row>
    <row r="190" spans="2:21">
      <c r="B190" s="339"/>
      <c r="C190" s="345"/>
      <c r="D190" s="371"/>
      <c r="E190" s="371"/>
      <c r="F190" s="129" t="s">
        <v>10</v>
      </c>
      <c r="G190" s="172">
        <v>42.677</v>
      </c>
      <c r="H190" s="172"/>
      <c r="I190" s="172">
        <f>K189+G190+H190</f>
        <v>37.779999999999994</v>
      </c>
      <c r="J190" s="291">
        <v>24.084</v>
      </c>
      <c r="K190" s="183">
        <f t="shared" si="229"/>
        <v>13.695999999999994</v>
      </c>
      <c r="L190" s="154">
        <f t="shared" si="230"/>
        <v>0.63748014822657495</v>
      </c>
      <c r="M190" s="98" t="s">
        <v>218</v>
      </c>
      <c r="N190" s="330"/>
      <c r="O190" s="330"/>
      <c r="P190" s="330">
        <f t="shared" si="235"/>
        <v>0</v>
      </c>
      <c r="Q190" s="330"/>
      <c r="R190" s="330"/>
      <c r="S190" s="332" t="e">
        <f t="shared" ref="S190" si="381">+Q190/P190</f>
        <v>#DIV/0!</v>
      </c>
      <c r="T190" s="140"/>
      <c r="U190" s="141"/>
    </row>
    <row r="191" spans="2:21">
      <c r="B191" s="339"/>
      <c r="C191" s="345" t="s">
        <v>252</v>
      </c>
      <c r="D191" s="345" t="s">
        <v>623</v>
      </c>
      <c r="E191" s="345"/>
      <c r="F191" s="129" t="s">
        <v>488</v>
      </c>
      <c r="G191" s="172">
        <v>68.789000000000001</v>
      </c>
      <c r="H191" s="172"/>
      <c r="I191" s="172">
        <f>G191+H191</f>
        <v>68.789000000000001</v>
      </c>
      <c r="J191" s="291">
        <v>64.742000000000061</v>
      </c>
      <c r="K191" s="183">
        <f t="shared" si="229"/>
        <v>4.0469999999999402</v>
      </c>
      <c r="L191" s="154">
        <f t="shared" si="230"/>
        <v>0.94116791928942212</v>
      </c>
      <c r="M191" s="98" t="s">
        <v>218</v>
      </c>
      <c r="N191" s="330">
        <f>G191+G192</f>
        <v>137.578</v>
      </c>
      <c r="O191" s="330">
        <f t="shared" ref="O191" si="382">H191+H192</f>
        <v>0</v>
      </c>
      <c r="P191" s="330">
        <f t="shared" si="235"/>
        <v>137.578</v>
      </c>
      <c r="Q191" s="330">
        <f t="shared" ref="Q191" si="383">J191+J192</f>
        <v>89.416000000000054</v>
      </c>
      <c r="R191" s="330">
        <f t="shared" ref="R191" si="384">P191-Q191</f>
        <v>48.161999999999949</v>
      </c>
      <c r="S191" s="332">
        <f t="shared" ref="S191" si="385">Q191/P191</f>
        <v>0.6499294945412788</v>
      </c>
      <c r="T191" s="140"/>
      <c r="U191" s="141"/>
    </row>
    <row r="192" spans="2:21">
      <c r="B192" s="339"/>
      <c r="C192" s="345"/>
      <c r="D192" s="345"/>
      <c r="E192" s="345"/>
      <c r="F192" s="129" t="s">
        <v>10</v>
      </c>
      <c r="G192" s="172">
        <v>68.789000000000001</v>
      </c>
      <c r="H192" s="172"/>
      <c r="I192" s="172">
        <f>K191+G192+H192</f>
        <v>72.835999999999942</v>
      </c>
      <c r="J192" s="291">
        <v>24.673999999999999</v>
      </c>
      <c r="K192" s="183">
        <f t="shared" si="229"/>
        <v>48.161999999999942</v>
      </c>
      <c r="L192" s="154">
        <f t="shared" si="230"/>
        <v>0.33876105222692104</v>
      </c>
      <c r="M192" s="98" t="s">
        <v>218</v>
      </c>
      <c r="N192" s="330"/>
      <c r="O192" s="330"/>
      <c r="P192" s="330">
        <f t="shared" si="235"/>
        <v>0</v>
      </c>
      <c r="Q192" s="330"/>
      <c r="R192" s="330"/>
      <c r="S192" s="332" t="e">
        <f t="shared" ref="S192" si="386">+Q192/P192</f>
        <v>#DIV/0!</v>
      </c>
      <c r="T192" s="140"/>
    </row>
    <row r="193" spans="2:20">
      <c r="B193" s="339"/>
      <c r="C193" s="345"/>
      <c r="D193" s="369" t="s">
        <v>624</v>
      </c>
      <c r="E193" s="350" t="s">
        <v>380</v>
      </c>
      <c r="F193" s="129" t="s">
        <v>488</v>
      </c>
      <c r="G193" s="172">
        <v>5.29</v>
      </c>
      <c r="H193" s="172"/>
      <c r="I193" s="172">
        <f>G193+H193</f>
        <v>5.29</v>
      </c>
      <c r="J193" s="291">
        <v>3.8609999999999998</v>
      </c>
      <c r="K193" s="183">
        <f t="shared" si="229"/>
        <v>1.4290000000000003</v>
      </c>
      <c r="L193" s="154">
        <f t="shared" si="230"/>
        <v>0.72986767485822301</v>
      </c>
      <c r="M193" s="98" t="s">
        <v>218</v>
      </c>
      <c r="N193" s="330">
        <f>G193+G194</f>
        <v>10.58</v>
      </c>
      <c r="O193" s="330">
        <f t="shared" ref="O193" si="387">H193+H194</f>
        <v>0</v>
      </c>
      <c r="P193" s="330">
        <f t="shared" si="235"/>
        <v>10.58</v>
      </c>
      <c r="Q193" s="330">
        <f t="shared" ref="Q193" si="388">J193+J194</f>
        <v>6.3989999999999991</v>
      </c>
      <c r="R193" s="330">
        <f t="shared" ref="R193" si="389">P193-Q193</f>
        <v>4.1810000000000009</v>
      </c>
      <c r="S193" s="332">
        <f t="shared" ref="S193" si="390">Q193/P193</f>
        <v>0.60482041587901691</v>
      </c>
      <c r="T193" s="140"/>
    </row>
    <row r="194" spans="2:20">
      <c r="B194" s="339"/>
      <c r="C194" s="345"/>
      <c r="D194" s="369"/>
      <c r="E194" s="350"/>
      <c r="F194" s="129" t="s">
        <v>10</v>
      </c>
      <c r="G194" s="172">
        <v>5.29</v>
      </c>
      <c r="H194" s="172"/>
      <c r="I194" s="172">
        <f>K193+G194+H194</f>
        <v>6.7190000000000003</v>
      </c>
      <c r="J194" s="291">
        <v>2.5379999999999998</v>
      </c>
      <c r="K194" s="183">
        <f t="shared" si="229"/>
        <v>4.1810000000000009</v>
      </c>
      <c r="L194" s="154">
        <f t="shared" si="230"/>
        <v>0.37773478196160137</v>
      </c>
      <c r="M194" s="98" t="s">
        <v>218</v>
      </c>
      <c r="N194" s="330"/>
      <c r="O194" s="330"/>
      <c r="P194" s="330">
        <f t="shared" si="235"/>
        <v>0</v>
      </c>
      <c r="Q194" s="330"/>
      <c r="R194" s="330"/>
      <c r="S194" s="332" t="e">
        <f t="shared" ref="S194" si="391">+Q194/P194</f>
        <v>#DIV/0!</v>
      </c>
      <c r="T194" s="140"/>
    </row>
    <row r="195" spans="2:20">
      <c r="B195" s="339"/>
      <c r="C195" s="345"/>
      <c r="D195" s="369"/>
      <c r="E195" s="350" t="s">
        <v>381</v>
      </c>
      <c r="F195" s="129" t="s">
        <v>488</v>
      </c>
      <c r="G195" s="172">
        <v>5.29</v>
      </c>
      <c r="H195" s="172"/>
      <c r="I195" s="172">
        <f>G195+H195</f>
        <v>5.29</v>
      </c>
      <c r="J195" s="291">
        <v>3.63</v>
      </c>
      <c r="K195" s="183">
        <f t="shared" ref="K195:K258" si="392">I195-J195</f>
        <v>1.6600000000000001</v>
      </c>
      <c r="L195" s="154">
        <f t="shared" ref="L195:L258" si="393">J195/I195</f>
        <v>0.68620037807183365</v>
      </c>
      <c r="M195" s="98" t="s">
        <v>218</v>
      </c>
      <c r="N195" s="330">
        <f>G195+G196</f>
        <v>10.58</v>
      </c>
      <c r="O195" s="330">
        <f t="shared" ref="O195" si="394">H195+H196</f>
        <v>0</v>
      </c>
      <c r="P195" s="330">
        <f t="shared" si="235"/>
        <v>10.58</v>
      </c>
      <c r="Q195" s="330">
        <f t="shared" ref="Q195" si="395">J195+J196</f>
        <v>4.71</v>
      </c>
      <c r="R195" s="330">
        <f t="shared" ref="R195" si="396">P195-Q195</f>
        <v>5.87</v>
      </c>
      <c r="S195" s="332">
        <f t="shared" ref="S195" si="397">Q195/P195</f>
        <v>0.44517958412098296</v>
      </c>
      <c r="T195" s="140"/>
    </row>
    <row r="196" spans="2:20">
      <c r="B196" s="339"/>
      <c r="C196" s="345"/>
      <c r="D196" s="369"/>
      <c r="E196" s="350"/>
      <c r="F196" s="129" t="s">
        <v>10</v>
      </c>
      <c r="G196" s="172">
        <v>5.29</v>
      </c>
      <c r="H196" s="172"/>
      <c r="I196" s="172">
        <f>K195+G196+H196</f>
        <v>6.95</v>
      </c>
      <c r="J196" s="291">
        <v>1.08</v>
      </c>
      <c r="K196" s="183">
        <f t="shared" si="392"/>
        <v>5.87</v>
      </c>
      <c r="L196" s="154">
        <f t="shared" si="393"/>
        <v>0.15539568345323743</v>
      </c>
      <c r="M196" s="98" t="s">
        <v>218</v>
      </c>
      <c r="N196" s="330"/>
      <c r="O196" s="330"/>
      <c r="P196" s="330">
        <f t="shared" ref="P196:P259" si="398">+N196+O196</f>
        <v>0</v>
      </c>
      <c r="Q196" s="330"/>
      <c r="R196" s="330"/>
      <c r="S196" s="332" t="e">
        <f t="shared" ref="S196" si="399">+Q196/P196</f>
        <v>#DIV/0!</v>
      </c>
      <c r="T196" s="140"/>
    </row>
    <row r="197" spans="2:20">
      <c r="B197" s="339"/>
      <c r="C197" s="345"/>
      <c r="D197" s="369"/>
      <c r="E197" s="350" t="s">
        <v>382</v>
      </c>
      <c r="F197" s="129" t="s">
        <v>488</v>
      </c>
      <c r="G197" s="172">
        <v>5.2910000000000004</v>
      </c>
      <c r="H197" s="172"/>
      <c r="I197" s="172">
        <f>G197+H197</f>
        <v>5.2910000000000004</v>
      </c>
      <c r="J197" s="291">
        <v>2.2170000000000001</v>
      </c>
      <c r="K197" s="183">
        <f t="shared" si="392"/>
        <v>3.0740000000000003</v>
      </c>
      <c r="L197" s="154">
        <f t="shared" si="393"/>
        <v>0.41901341901341899</v>
      </c>
      <c r="M197" s="98" t="s">
        <v>218</v>
      </c>
      <c r="N197" s="330">
        <f>G197+G198</f>
        <v>10.582000000000001</v>
      </c>
      <c r="O197" s="330">
        <f t="shared" ref="O197" si="400">H197+H198</f>
        <v>0</v>
      </c>
      <c r="P197" s="330">
        <f t="shared" si="398"/>
        <v>10.582000000000001</v>
      </c>
      <c r="Q197" s="330">
        <f t="shared" ref="Q197" si="401">J197+J198</f>
        <v>2.2170000000000001</v>
      </c>
      <c r="R197" s="330">
        <f t="shared" ref="R197" si="402">P197-Q197</f>
        <v>8.3650000000000002</v>
      </c>
      <c r="S197" s="332">
        <f t="shared" ref="S197" si="403">Q197/P197</f>
        <v>0.20950670950670949</v>
      </c>
      <c r="T197" s="140"/>
    </row>
    <row r="198" spans="2:20">
      <c r="B198" s="339"/>
      <c r="C198" s="345"/>
      <c r="D198" s="369"/>
      <c r="E198" s="350"/>
      <c r="F198" s="129" t="s">
        <v>10</v>
      </c>
      <c r="G198" s="172">
        <v>5.2910000000000004</v>
      </c>
      <c r="H198" s="172"/>
      <c r="I198" s="172">
        <f>K197+G198+H198</f>
        <v>8.3650000000000002</v>
      </c>
      <c r="J198" s="291"/>
      <c r="K198" s="183">
        <f t="shared" si="392"/>
        <v>8.3650000000000002</v>
      </c>
      <c r="L198" s="154">
        <f t="shared" si="393"/>
        <v>0</v>
      </c>
      <c r="M198" s="98" t="s">
        <v>218</v>
      </c>
      <c r="N198" s="330"/>
      <c r="O198" s="330"/>
      <c r="P198" s="330">
        <f t="shared" si="398"/>
        <v>0</v>
      </c>
      <c r="Q198" s="330"/>
      <c r="R198" s="330"/>
      <c r="S198" s="332" t="e">
        <f t="shared" ref="S198" si="404">+Q198/P198</f>
        <v>#DIV/0!</v>
      </c>
      <c r="T198" s="140"/>
    </row>
    <row r="199" spans="2:20">
      <c r="B199" s="339"/>
      <c r="C199" s="345"/>
      <c r="D199" s="369"/>
      <c r="E199" s="350" t="s">
        <v>576</v>
      </c>
      <c r="F199" s="129" t="s">
        <v>488</v>
      </c>
      <c r="G199" s="172">
        <v>5.2910000000000004</v>
      </c>
      <c r="H199" s="172"/>
      <c r="I199" s="172">
        <f>G199+H199</f>
        <v>5.2910000000000004</v>
      </c>
      <c r="J199" s="291">
        <v>5.0220000000000002</v>
      </c>
      <c r="K199" s="183">
        <f t="shared" si="392"/>
        <v>0.26900000000000013</v>
      </c>
      <c r="L199" s="154">
        <f t="shared" si="393"/>
        <v>0.94915894915894916</v>
      </c>
      <c r="M199" s="98" t="s">
        <v>218</v>
      </c>
      <c r="N199" s="330">
        <f>G199+G200</f>
        <v>10.582000000000001</v>
      </c>
      <c r="O199" s="330">
        <f t="shared" ref="O199" si="405">H199+H200</f>
        <v>0</v>
      </c>
      <c r="P199" s="330">
        <f t="shared" si="398"/>
        <v>10.582000000000001</v>
      </c>
      <c r="Q199" s="330">
        <f t="shared" ref="Q199" si="406">J199+J200</f>
        <v>6.9130000000000003</v>
      </c>
      <c r="R199" s="330">
        <f t="shared" ref="R199" si="407">P199-Q199</f>
        <v>3.6690000000000005</v>
      </c>
      <c r="S199" s="332">
        <f t="shared" ref="S199" si="408">Q199/P199</f>
        <v>0.65327915327915331</v>
      </c>
      <c r="T199" s="140"/>
    </row>
    <row r="200" spans="2:20">
      <c r="B200" s="339"/>
      <c r="C200" s="345"/>
      <c r="D200" s="369"/>
      <c r="E200" s="350"/>
      <c r="F200" s="129" t="s">
        <v>10</v>
      </c>
      <c r="G200" s="172">
        <v>5.2910000000000004</v>
      </c>
      <c r="H200" s="172"/>
      <c r="I200" s="172">
        <f>K199+G200+H200</f>
        <v>5.5600000000000005</v>
      </c>
      <c r="J200" s="291">
        <v>1.891</v>
      </c>
      <c r="K200" s="183">
        <f t="shared" si="392"/>
        <v>3.6690000000000005</v>
      </c>
      <c r="L200" s="154">
        <f t="shared" si="393"/>
        <v>0.34010791366906473</v>
      </c>
      <c r="M200" s="98" t="s">
        <v>218</v>
      </c>
      <c r="N200" s="330"/>
      <c r="O200" s="330"/>
      <c r="P200" s="330">
        <f t="shared" si="398"/>
        <v>0</v>
      </c>
      <c r="Q200" s="330"/>
      <c r="R200" s="330"/>
      <c r="S200" s="332" t="e">
        <f t="shared" ref="S200" si="409">+Q200/P200</f>
        <v>#DIV/0!</v>
      </c>
      <c r="T200" s="140"/>
    </row>
    <row r="201" spans="2:20">
      <c r="B201" s="339"/>
      <c r="C201" s="345"/>
      <c r="D201" s="369"/>
      <c r="E201" s="350" t="s">
        <v>383</v>
      </c>
      <c r="F201" s="129" t="s">
        <v>488</v>
      </c>
      <c r="G201" s="172">
        <v>5.2919999999999998</v>
      </c>
      <c r="H201" s="172"/>
      <c r="I201" s="172">
        <f>G201+H201</f>
        <v>5.2919999999999998</v>
      </c>
      <c r="J201" s="291">
        <v>4.1860000000000008</v>
      </c>
      <c r="K201" s="183">
        <f t="shared" si="392"/>
        <v>1.105999999999999</v>
      </c>
      <c r="L201" s="154">
        <f t="shared" si="393"/>
        <v>0.79100529100529116</v>
      </c>
      <c r="M201" s="98" t="s">
        <v>218</v>
      </c>
      <c r="N201" s="330">
        <f>G201+G202</f>
        <v>10.584</v>
      </c>
      <c r="O201" s="330">
        <f t="shared" ref="O201" si="410">H201+H202</f>
        <v>0</v>
      </c>
      <c r="P201" s="330">
        <f t="shared" si="398"/>
        <v>10.584</v>
      </c>
      <c r="Q201" s="330">
        <f t="shared" ref="Q201" si="411">J201+J202</f>
        <v>4.8340000000000005</v>
      </c>
      <c r="R201" s="330">
        <f t="shared" ref="R201" si="412">P201-Q201</f>
        <v>5.7499999999999991</v>
      </c>
      <c r="S201" s="332">
        <f t="shared" ref="S201" si="413">Q201/P201</f>
        <v>0.45672713529856396</v>
      </c>
      <c r="T201" s="140"/>
    </row>
    <row r="202" spans="2:20">
      <c r="B202" s="339"/>
      <c r="C202" s="345"/>
      <c r="D202" s="369"/>
      <c r="E202" s="350"/>
      <c r="F202" s="129" t="s">
        <v>10</v>
      </c>
      <c r="G202" s="172">
        <v>5.2919999999999998</v>
      </c>
      <c r="H202" s="172"/>
      <c r="I202" s="172">
        <f>K201+G202+H202</f>
        <v>6.3979999999999988</v>
      </c>
      <c r="J202" s="291">
        <v>0.64800000000000002</v>
      </c>
      <c r="K202" s="183">
        <f t="shared" si="392"/>
        <v>5.7499999999999991</v>
      </c>
      <c r="L202" s="154">
        <f t="shared" si="393"/>
        <v>0.10128165051578621</v>
      </c>
      <c r="M202" s="98" t="s">
        <v>218</v>
      </c>
      <c r="N202" s="330"/>
      <c r="O202" s="330"/>
      <c r="P202" s="330">
        <f t="shared" si="398"/>
        <v>0</v>
      </c>
      <c r="Q202" s="330"/>
      <c r="R202" s="330"/>
      <c r="S202" s="332" t="e">
        <f t="shared" ref="S202" si="414">+Q202/P202</f>
        <v>#DIV/0!</v>
      </c>
      <c r="T202" s="140"/>
    </row>
    <row r="203" spans="2:20">
      <c r="B203" s="339"/>
      <c r="C203" s="345"/>
      <c r="D203" s="369"/>
      <c r="E203" s="350" t="s">
        <v>384</v>
      </c>
      <c r="F203" s="129" t="s">
        <v>488</v>
      </c>
      <c r="G203" s="172">
        <v>5.29</v>
      </c>
      <c r="H203" s="172"/>
      <c r="I203" s="172">
        <f>G203+H203</f>
        <v>5.29</v>
      </c>
      <c r="J203" s="291">
        <v>3.5640000000000001</v>
      </c>
      <c r="K203" s="183">
        <f t="shared" si="392"/>
        <v>1.726</v>
      </c>
      <c r="L203" s="154">
        <f t="shared" si="393"/>
        <v>0.67372400756143669</v>
      </c>
      <c r="M203" s="98" t="s">
        <v>218</v>
      </c>
      <c r="N203" s="330">
        <f>G203+G204</f>
        <v>10.58</v>
      </c>
      <c r="O203" s="330">
        <f t="shared" ref="O203" si="415">H203+H204</f>
        <v>0</v>
      </c>
      <c r="P203" s="330">
        <f t="shared" si="398"/>
        <v>10.58</v>
      </c>
      <c r="Q203" s="330">
        <f t="shared" ref="Q203" si="416">J203+J204</f>
        <v>3.8340000000000001</v>
      </c>
      <c r="R203" s="330">
        <f t="shared" ref="R203" si="417">P203-Q203</f>
        <v>6.7460000000000004</v>
      </c>
      <c r="S203" s="332">
        <f t="shared" ref="S203" si="418">Q203/P203</f>
        <v>0.36238185255198491</v>
      </c>
      <c r="T203" s="140"/>
    </row>
    <row r="204" spans="2:20">
      <c r="B204" s="339"/>
      <c r="C204" s="345"/>
      <c r="D204" s="369"/>
      <c r="E204" s="350"/>
      <c r="F204" s="129" t="s">
        <v>10</v>
      </c>
      <c r="G204" s="172">
        <v>5.29</v>
      </c>
      <c r="H204" s="172"/>
      <c r="I204" s="172">
        <f>K203+G204+H204</f>
        <v>7.016</v>
      </c>
      <c r="J204" s="291">
        <v>0.27</v>
      </c>
      <c r="K204" s="183">
        <f t="shared" si="392"/>
        <v>6.7460000000000004</v>
      </c>
      <c r="L204" s="154">
        <f t="shared" si="393"/>
        <v>3.8483466362599777E-2</v>
      </c>
      <c r="M204" s="98" t="s">
        <v>218</v>
      </c>
      <c r="N204" s="330"/>
      <c r="O204" s="330"/>
      <c r="P204" s="330">
        <f t="shared" si="398"/>
        <v>0</v>
      </c>
      <c r="Q204" s="330"/>
      <c r="R204" s="330"/>
      <c r="S204" s="332" t="e">
        <f t="shared" ref="S204" si="419">+Q204/P204</f>
        <v>#DIV/0!</v>
      </c>
      <c r="T204" s="140"/>
    </row>
    <row r="205" spans="2:20">
      <c r="B205" s="339"/>
      <c r="C205" s="345"/>
      <c r="D205" s="369"/>
      <c r="E205" s="370" t="s">
        <v>385</v>
      </c>
      <c r="F205" s="129" t="s">
        <v>488</v>
      </c>
      <c r="G205" s="172">
        <v>5.2880000000000003</v>
      </c>
      <c r="H205" s="172"/>
      <c r="I205" s="172">
        <f>G205+H205</f>
        <v>5.2880000000000003</v>
      </c>
      <c r="J205" s="291">
        <v>5.5350000000000001</v>
      </c>
      <c r="K205" s="183">
        <f t="shared" si="392"/>
        <v>-0.24699999999999989</v>
      </c>
      <c r="L205" s="154">
        <f t="shared" si="393"/>
        <v>1.0467095310136156</v>
      </c>
      <c r="M205" s="176">
        <v>44294</v>
      </c>
      <c r="N205" s="330">
        <f>G205+G206</f>
        <v>10.576000000000001</v>
      </c>
      <c r="O205" s="330">
        <f t="shared" ref="O205" si="420">H205+H206</f>
        <v>0</v>
      </c>
      <c r="P205" s="330">
        <f t="shared" si="398"/>
        <v>10.576000000000001</v>
      </c>
      <c r="Q205" s="330">
        <f t="shared" ref="Q205" si="421">J205+J206</f>
        <v>9.6150000000000002</v>
      </c>
      <c r="R205" s="330">
        <f t="shared" ref="R205" si="422">P205-Q205</f>
        <v>0.9610000000000003</v>
      </c>
      <c r="S205" s="332">
        <f t="shared" ref="S205" si="423">Q205/P205</f>
        <v>0.90913388804841144</v>
      </c>
      <c r="T205" s="140"/>
    </row>
    <row r="206" spans="2:20">
      <c r="B206" s="339"/>
      <c r="C206" s="345"/>
      <c r="D206" s="369"/>
      <c r="E206" s="370"/>
      <c r="F206" s="129" t="s">
        <v>10</v>
      </c>
      <c r="G206" s="172">
        <v>5.2880000000000003</v>
      </c>
      <c r="H206" s="172"/>
      <c r="I206" s="172">
        <f>K205+G206+H206</f>
        <v>5.0410000000000004</v>
      </c>
      <c r="J206" s="291">
        <v>4.08</v>
      </c>
      <c r="K206" s="183">
        <f t="shared" si="392"/>
        <v>0.9610000000000003</v>
      </c>
      <c r="L206" s="154">
        <f t="shared" si="393"/>
        <v>0.80936322158301921</v>
      </c>
      <c r="M206" s="98" t="s">
        <v>218</v>
      </c>
      <c r="N206" s="330"/>
      <c r="O206" s="330"/>
      <c r="P206" s="330">
        <f t="shared" si="398"/>
        <v>0</v>
      </c>
      <c r="Q206" s="330"/>
      <c r="R206" s="330"/>
      <c r="S206" s="332" t="e">
        <f t="shared" ref="S206" si="424">+Q206/P206</f>
        <v>#DIV/0!</v>
      </c>
      <c r="T206" s="140"/>
    </row>
    <row r="207" spans="2:20">
      <c r="B207" s="339"/>
      <c r="C207" s="345"/>
      <c r="D207" s="345" t="s">
        <v>625</v>
      </c>
      <c r="E207" s="350" t="s">
        <v>386</v>
      </c>
      <c r="F207" s="129" t="s">
        <v>488</v>
      </c>
      <c r="G207" s="172">
        <v>5.29</v>
      </c>
      <c r="H207" s="172"/>
      <c r="I207" s="172">
        <f>G207+H207</f>
        <v>5.29</v>
      </c>
      <c r="J207" s="291">
        <v>4.609</v>
      </c>
      <c r="K207" s="183">
        <f t="shared" si="392"/>
        <v>0.68100000000000005</v>
      </c>
      <c r="L207" s="154">
        <f t="shared" si="393"/>
        <v>0.87126654064272213</v>
      </c>
      <c r="M207" s="98" t="s">
        <v>218</v>
      </c>
      <c r="N207" s="330">
        <f>G207+G208</f>
        <v>10.58</v>
      </c>
      <c r="O207" s="330">
        <f t="shared" ref="O207" si="425">H207+H208</f>
        <v>0</v>
      </c>
      <c r="P207" s="330">
        <f t="shared" si="398"/>
        <v>10.58</v>
      </c>
      <c r="Q207" s="330">
        <f t="shared" ref="Q207" si="426">J207+J208</f>
        <v>6.6879999999999997</v>
      </c>
      <c r="R207" s="330">
        <f t="shared" ref="R207" si="427">P207-Q207</f>
        <v>3.8920000000000003</v>
      </c>
      <c r="S207" s="332">
        <f t="shared" ref="S207" si="428">Q207/P207</f>
        <v>0.63213610586011337</v>
      </c>
      <c r="T207" s="140"/>
    </row>
    <row r="208" spans="2:20">
      <c r="B208" s="339"/>
      <c r="C208" s="345"/>
      <c r="D208" s="345"/>
      <c r="E208" s="350"/>
      <c r="F208" s="129" t="s">
        <v>10</v>
      </c>
      <c r="G208" s="172">
        <v>5.29</v>
      </c>
      <c r="H208" s="172"/>
      <c r="I208" s="172">
        <f>K207+G208+H208</f>
        <v>5.9710000000000001</v>
      </c>
      <c r="J208" s="291">
        <v>2.0789999999999997</v>
      </c>
      <c r="K208" s="183">
        <f t="shared" si="392"/>
        <v>3.8920000000000003</v>
      </c>
      <c r="L208" s="154">
        <f t="shared" si="393"/>
        <v>0.34818288393903862</v>
      </c>
      <c r="M208" s="98" t="s">
        <v>218</v>
      </c>
      <c r="N208" s="330"/>
      <c r="O208" s="330"/>
      <c r="P208" s="330">
        <f t="shared" si="398"/>
        <v>0</v>
      </c>
      <c r="Q208" s="330"/>
      <c r="R208" s="330"/>
      <c r="S208" s="332" t="e">
        <f t="shared" ref="S208" si="429">+Q208/P208</f>
        <v>#DIV/0!</v>
      </c>
      <c r="T208" s="140"/>
    </row>
    <row r="209" spans="2:20">
      <c r="B209" s="339"/>
      <c r="C209" s="345"/>
      <c r="D209" s="345"/>
      <c r="E209" s="350" t="s">
        <v>387</v>
      </c>
      <c r="F209" s="129" t="s">
        <v>488</v>
      </c>
      <c r="G209" s="172">
        <v>7.9379999999999997</v>
      </c>
      <c r="H209" s="172"/>
      <c r="I209" s="172">
        <f>G209+H209</f>
        <v>7.9379999999999997</v>
      </c>
      <c r="J209" s="291">
        <v>5.9350000000000005</v>
      </c>
      <c r="K209" s="183">
        <f t="shared" si="392"/>
        <v>2.0029999999999992</v>
      </c>
      <c r="L209" s="154">
        <f t="shared" si="393"/>
        <v>0.7476694381456287</v>
      </c>
      <c r="M209" s="176">
        <v>44321</v>
      </c>
      <c r="N209" s="330">
        <f>G209+G210</f>
        <v>10.584</v>
      </c>
      <c r="O209" s="330">
        <f t="shared" ref="O209" si="430">H209+H210</f>
        <v>4</v>
      </c>
      <c r="P209" s="330">
        <f t="shared" si="398"/>
        <v>14.584</v>
      </c>
      <c r="Q209" s="330">
        <f t="shared" ref="Q209" si="431">J209+J210</f>
        <v>11.064</v>
      </c>
      <c r="R209" s="330">
        <f t="shared" ref="R209" si="432">P209-Q209</f>
        <v>3.5199999999999996</v>
      </c>
      <c r="S209" s="332">
        <f t="shared" ref="S209" si="433">Q209/P209</f>
        <v>0.75863960504662642</v>
      </c>
      <c r="T209" s="140"/>
    </row>
    <row r="210" spans="2:20">
      <c r="B210" s="339"/>
      <c r="C210" s="345"/>
      <c r="D210" s="345"/>
      <c r="E210" s="350"/>
      <c r="F210" s="129" t="s">
        <v>10</v>
      </c>
      <c r="G210" s="172">
        <v>2.6459999999999999</v>
      </c>
      <c r="H210" s="266">
        <f>4</f>
        <v>4</v>
      </c>
      <c r="I210" s="172">
        <f>K209+G210+H210</f>
        <v>8.6489999999999991</v>
      </c>
      <c r="J210" s="291">
        <v>5.1289999999999996</v>
      </c>
      <c r="K210" s="183">
        <f t="shared" si="392"/>
        <v>3.5199999999999996</v>
      </c>
      <c r="L210" s="154">
        <f t="shared" si="393"/>
        <v>0.5930165337033183</v>
      </c>
      <c r="M210" s="98" t="s">
        <v>218</v>
      </c>
      <c r="N210" s="330"/>
      <c r="O210" s="330"/>
      <c r="P210" s="330">
        <f t="shared" si="398"/>
        <v>0</v>
      </c>
      <c r="Q210" s="330"/>
      <c r="R210" s="330"/>
      <c r="S210" s="332" t="e">
        <f t="shared" ref="S210" si="434">+Q210/P210</f>
        <v>#DIV/0!</v>
      </c>
      <c r="T210" s="140"/>
    </row>
    <row r="211" spans="2:20">
      <c r="B211" s="339"/>
      <c r="C211" s="345"/>
      <c r="D211" s="345"/>
      <c r="E211" s="350" t="s">
        <v>388</v>
      </c>
      <c r="F211" s="129" t="s">
        <v>488</v>
      </c>
      <c r="G211" s="172">
        <v>5.2919999999999998</v>
      </c>
      <c r="H211" s="172"/>
      <c r="I211" s="172">
        <f>G211+H211</f>
        <v>5.2919999999999998</v>
      </c>
      <c r="J211" s="291">
        <v>4.8200000000000012</v>
      </c>
      <c r="K211" s="183">
        <f t="shared" si="392"/>
        <v>0.47199999999999864</v>
      </c>
      <c r="L211" s="154">
        <f t="shared" si="393"/>
        <v>0.91080876795162535</v>
      </c>
      <c r="M211" s="98" t="s">
        <v>218</v>
      </c>
      <c r="N211" s="330">
        <f>G211+G212</f>
        <v>10.584</v>
      </c>
      <c r="O211" s="330">
        <f t="shared" ref="O211" si="435">H211+H212</f>
        <v>0</v>
      </c>
      <c r="P211" s="330">
        <f t="shared" si="398"/>
        <v>10.584</v>
      </c>
      <c r="Q211" s="330">
        <f t="shared" ref="Q211" si="436">J211+J212</f>
        <v>7.6800000000000015</v>
      </c>
      <c r="R211" s="330">
        <f t="shared" ref="R211" si="437">P211-Q211</f>
        <v>2.9039999999999981</v>
      </c>
      <c r="S211" s="332">
        <f t="shared" ref="S211" si="438">Q211/P211</f>
        <v>0.72562358276644012</v>
      </c>
      <c r="T211" s="140"/>
    </row>
    <row r="212" spans="2:20">
      <c r="B212" s="339"/>
      <c r="C212" s="345"/>
      <c r="D212" s="345"/>
      <c r="E212" s="350"/>
      <c r="F212" s="129" t="s">
        <v>10</v>
      </c>
      <c r="G212" s="172">
        <v>5.2919999999999998</v>
      </c>
      <c r="H212" s="172"/>
      <c r="I212" s="172">
        <f>K211+G212+H212</f>
        <v>5.7639999999999985</v>
      </c>
      <c r="J212" s="291">
        <v>2.86</v>
      </c>
      <c r="K212" s="183">
        <f t="shared" si="392"/>
        <v>2.9039999999999986</v>
      </c>
      <c r="L212" s="154">
        <f t="shared" si="393"/>
        <v>0.49618320610687033</v>
      </c>
      <c r="M212" s="98" t="s">
        <v>218</v>
      </c>
      <c r="N212" s="330"/>
      <c r="O212" s="330"/>
      <c r="P212" s="330">
        <f t="shared" si="398"/>
        <v>0</v>
      </c>
      <c r="Q212" s="330"/>
      <c r="R212" s="330"/>
      <c r="S212" s="332" t="e">
        <f t="shared" ref="S212" si="439">+Q212/P212</f>
        <v>#DIV/0!</v>
      </c>
      <c r="T212" s="140"/>
    </row>
    <row r="213" spans="2:20">
      <c r="B213" s="339"/>
      <c r="C213" s="345"/>
      <c r="D213" s="345"/>
      <c r="E213" s="350" t="s">
        <v>671</v>
      </c>
      <c r="F213" s="129" t="s">
        <v>488</v>
      </c>
      <c r="G213" s="172">
        <v>5.2889999999999997</v>
      </c>
      <c r="H213" s="172"/>
      <c r="I213" s="172">
        <f>G213+H213</f>
        <v>5.2889999999999997</v>
      </c>
      <c r="J213" s="291">
        <v>3.9349999999999996</v>
      </c>
      <c r="K213" s="183">
        <f t="shared" si="392"/>
        <v>1.3540000000000001</v>
      </c>
      <c r="L213" s="154">
        <f t="shared" si="393"/>
        <v>0.74399697485346938</v>
      </c>
      <c r="M213" s="98" t="s">
        <v>218</v>
      </c>
      <c r="N213" s="330">
        <f>G213+G214</f>
        <v>10.577999999999999</v>
      </c>
      <c r="O213" s="330">
        <f t="shared" ref="O213" si="440">H213+H214</f>
        <v>0</v>
      </c>
      <c r="P213" s="330">
        <f t="shared" si="398"/>
        <v>10.577999999999999</v>
      </c>
      <c r="Q213" s="330">
        <f t="shared" ref="Q213" si="441">J213+J214</f>
        <v>8.0109999999999992</v>
      </c>
      <c r="R213" s="330">
        <f t="shared" ref="R213" si="442">P213-Q213</f>
        <v>2.5670000000000002</v>
      </c>
      <c r="S213" s="332">
        <f t="shared" ref="S213" si="443">Q213/P213</f>
        <v>0.75732652675363965</v>
      </c>
      <c r="T213" s="140"/>
    </row>
    <row r="214" spans="2:20">
      <c r="B214" s="339"/>
      <c r="C214" s="345"/>
      <c r="D214" s="345"/>
      <c r="E214" s="350"/>
      <c r="F214" s="129" t="s">
        <v>10</v>
      </c>
      <c r="G214" s="172">
        <v>5.2889999999999997</v>
      </c>
      <c r="H214" s="172"/>
      <c r="I214" s="172">
        <f>K213+G214+H214</f>
        <v>6.6429999999999998</v>
      </c>
      <c r="J214" s="291">
        <v>4.0759999999999996</v>
      </c>
      <c r="K214" s="183">
        <f t="shared" si="392"/>
        <v>2.5670000000000002</v>
      </c>
      <c r="L214" s="154">
        <f t="shared" si="393"/>
        <v>0.61357820261929852</v>
      </c>
      <c r="M214" s="98" t="s">
        <v>218</v>
      </c>
      <c r="N214" s="330"/>
      <c r="O214" s="330"/>
      <c r="P214" s="330">
        <f t="shared" si="398"/>
        <v>0</v>
      </c>
      <c r="Q214" s="330"/>
      <c r="R214" s="330"/>
      <c r="S214" s="332" t="e">
        <f t="shared" ref="S214" si="444">+Q214/P214</f>
        <v>#DIV/0!</v>
      </c>
      <c r="T214" s="140"/>
    </row>
    <row r="215" spans="2:20">
      <c r="B215" s="339"/>
      <c r="C215" s="345"/>
      <c r="D215" s="345"/>
      <c r="E215" s="350" t="s">
        <v>577</v>
      </c>
      <c r="F215" s="129" t="s">
        <v>488</v>
      </c>
      <c r="G215" s="172">
        <v>7.9349999999999996</v>
      </c>
      <c r="H215" s="172"/>
      <c r="I215" s="172">
        <f>G215+H215</f>
        <v>7.9349999999999996</v>
      </c>
      <c r="J215" s="291">
        <v>5.3550000000000004</v>
      </c>
      <c r="K215" s="183">
        <f t="shared" si="392"/>
        <v>2.5799999999999992</v>
      </c>
      <c r="L215" s="154">
        <f t="shared" si="393"/>
        <v>0.67485822306238197</v>
      </c>
      <c r="M215" s="176" t="s">
        <v>218</v>
      </c>
      <c r="N215" s="330">
        <f>G215+G216</f>
        <v>10.58</v>
      </c>
      <c r="O215" s="330">
        <f t="shared" ref="O215" si="445">H215+H216</f>
        <v>0</v>
      </c>
      <c r="P215" s="330">
        <f t="shared" si="398"/>
        <v>10.58</v>
      </c>
      <c r="Q215" s="330">
        <f t="shared" ref="Q215" si="446">J215+J216</f>
        <v>6.1380000000000008</v>
      </c>
      <c r="R215" s="330">
        <f t="shared" ref="R215" si="447">P215-Q215</f>
        <v>4.4419999999999993</v>
      </c>
      <c r="S215" s="332">
        <f t="shared" ref="S215" si="448">Q215/P215</f>
        <v>0.58015122873345948</v>
      </c>
      <c r="T215" s="140"/>
    </row>
    <row r="216" spans="2:20">
      <c r="B216" s="339"/>
      <c r="C216" s="345"/>
      <c r="D216" s="345"/>
      <c r="E216" s="350"/>
      <c r="F216" s="129" t="s">
        <v>10</v>
      </c>
      <c r="G216" s="172">
        <v>2.645</v>
      </c>
      <c r="H216" s="172"/>
      <c r="I216" s="172">
        <f>K215+G216+H216</f>
        <v>5.2249999999999996</v>
      </c>
      <c r="J216" s="291">
        <v>0.78300000000000003</v>
      </c>
      <c r="K216" s="183">
        <f t="shared" si="392"/>
        <v>4.4419999999999993</v>
      </c>
      <c r="L216" s="154">
        <f t="shared" si="393"/>
        <v>0.14985645933014355</v>
      </c>
      <c r="M216" s="98" t="s">
        <v>218</v>
      </c>
      <c r="N216" s="330"/>
      <c r="O216" s="330"/>
      <c r="P216" s="330">
        <f t="shared" si="398"/>
        <v>0</v>
      </c>
      <c r="Q216" s="330"/>
      <c r="R216" s="330"/>
      <c r="S216" s="332" t="e">
        <f t="shared" ref="S216" si="449">+Q216/P216</f>
        <v>#DIV/0!</v>
      </c>
      <c r="T216" s="140"/>
    </row>
    <row r="217" spans="2:20">
      <c r="B217" s="339"/>
      <c r="C217" s="345"/>
      <c r="D217" s="345"/>
      <c r="E217" s="350" t="s">
        <v>365</v>
      </c>
      <c r="F217" s="129" t="s">
        <v>488</v>
      </c>
      <c r="G217" s="172">
        <v>5.2910000000000004</v>
      </c>
      <c r="H217" s="172">
        <f>4</f>
        <v>4</v>
      </c>
      <c r="I217" s="172">
        <f>G217+H217</f>
        <v>9.2910000000000004</v>
      </c>
      <c r="J217" s="291">
        <v>6.25</v>
      </c>
      <c r="K217" s="183">
        <f t="shared" si="392"/>
        <v>3.0410000000000004</v>
      </c>
      <c r="L217" s="154">
        <f t="shared" si="393"/>
        <v>0.67269400495102782</v>
      </c>
      <c r="M217" s="176" t="s">
        <v>218</v>
      </c>
      <c r="N217" s="330">
        <f>G217+G218</f>
        <v>10.582000000000001</v>
      </c>
      <c r="O217" s="330">
        <f t="shared" ref="O217" si="450">H217+H218</f>
        <v>24</v>
      </c>
      <c r="P217" s="330">
        <f t="shared" si="398"/>
        <v>34.582000000000001</v>
      </c>
      <c r="Q217" s="330">
        <f t="shared" ref="Q217" si="451">J217+J218</f>
        <v>16.375</v>
      </c>
      <c r="R217" s="330">
        <f t="shared" ref="R217" si="452">P217-Q217</f>
        <v>18.207000000000001</v>
      </c>
      <c r="S217" s="332">
        <f t="shared" ref="S217" si="453">Q217/P217</f>
        <v>0.47351223179688856</v>
      </c>
      <c r="T217" s="140"/>
    </row>
    <row r="218" spans="2:20">
      <c r="B218" s="339"/>
      <c r="C218" s="345"/>
      <c r="D218" s="345"/>
      <c r="E218" s="350"/>
      <c r="F218" s="129" t="s">
        <v>10</v>
      </c>
      <c r="G218" s="172">
        <v>5.2910000000000004</v>
      </c>
      <c r="H218" s="172">
        <f>20</f>
        <v>20</v>
      </c>
      <c r="I218" s="172">
        <f>K217+G218+H218</f>
        <v>28.332000000000001</v>
      </c>
      <c r="J218" s="291">
        <v>10.125</v>
      </c>
      <c r="K218" s="183">
        <f t="shared" si="392"/>
        <v>18.207000000000001</v>
      </c>
      <c r="L218" s="154">
        <f t="shared" si="393"/>
        <v>0.3573697585768742</v>
      </c>
      <c r="M218" s="98" t="s">
        <v>218</v>
      </c>
      <c r="N218" s="330"/>
      <c r="O218" s="330"/>
      <c r="P218" s="330">
        <f t="shared" si="398"/>
        <v>0</v>
      </c>
      <c r="Q218" s="330"/>
      <c r="R218" s="330"/>
      <c r="S218" s="332" t="e">
        <f t="shared" ref="S218" si="454">+Q218/P218</f>
        <v>#DIV/0!</v>
      </c>
      <c r="T218" s="140"/>
    </row>
    <row r="219" spans="2:20">
      <c r="B219" s="339"/>
      <c r="C219" s="345"/>
      <c r="D219" s="345"/>
      <c r="E219" s="350" t="s">
        <v>389</v>
      </c>
      <c r="F219" s="129" t="s">
        <v>488</v>
      </c>
      <c r="G219" s="172">
        <v>5.2910000000000004</v>
      </c>
      <c r="H219" s="172"/>
      <c r="I219" s="172">
        <f>G219+H219</f>
        <v>5.2910000000000004</v>
      </c>
      <c r="J219" s="291">
        <v>2.95</v>
      </c>
      <c r="K219" s="183">
        <f t="shared" si="392"/>
        <v>2.3410000000000002</v>
      </c>
      <c r="L219" s="154">
        <f t="shared" si="393"/>
        <v>0.55755055755055749</v>
      </c>
      <c r="M219" s="98" t="s">
        <v>218</v>
      </c>
      <c r="N219" s="330">
        <f>G219+G220</f>
        <v>10.582000000000001</v>
      </c>
      <c r="O219" s="330">
        <f t="shared" ref="O219" si="455">H219+H220</f>
        <v>0</v>
      </c>
      <c r="P219" s="330">
        <f t="shared" si="398"/>
        <v>10.582000000000001</v>
      </c>
      <c r="Q219" s="330">
        <f t="shared" ref="Q219" si="456">J219+J220</f>
        <v>10.11</v>
      </c>
      <c r="R219" s="330">
        <f t="shared" ref="R219" si="457">P219-Q219</f>
        <v>0.47200000000000131</v>
      </c>
      <c r="S219" s="332">
        <f t="shared" ref="S219" si="458">Q219/P219</f>
        <v>0.95539595539595523</v>
      </c>
      <c r="T219" s="140"/>
    </row>
    <row r="220" spans="2:20">
      <c r="B220" s="339"/>
      <c r="C220" s="345"/>
      <c r="D220" s="345"/>
      <c r="E220" s="350"/>
      <c r="F220" s="129" t="s">
        <v>10</v>
      </c>
      <c r="G220" s="172">
        <v>5.2910000000000004</v>
      </c>
      <c r="H220" s="172"/>
      <c r="I220" s="172">
        <f>K219+G220+H220</f>
        <v>7.6320000000000006</v>
      </c>
      <c r="J220" s="291">
        <v>7.16</v>
      </c>
      <c r="K220" s="183">
        <f t="shared" si="392"/>
        <v>0.47200000000000042</v>
      </c>
      <c r="L220" s="154">
        <f t="shared" si="393"/>
        <v>0.93815513626834379</v>
      </c>
      <c r="M220" s="98" t="s">
        <v>218</v>
      </c>
      <c r="N220" s="330"/>
      <c r="O220" s="330"/>
      <c r="P220" s="330">
        <f t="shared" si="398"/>
        <v>0</v>
      </c>
      <c r="Q220" s="330"/>
      <c r="R220" s="330"/>
      <c r="S220" s="332" t="e">
        <f t="shared" ref="S220" si="459">+Q220/P220</f>
        <v>#DIV/0!</v>
      </c>
      <c r="T220" s="140"/>
    </row>
    <row r="221" spans="2:20">
      <c r="B221" s="339"/>
      <c r="C221" s="345"/>
      <c r="D221" s="345"/>
      <c r="E221" s="350" t="s">
        <v>597</v>
      </c>
      <c r="F221" s="129" t="s">
        <v>488</v>
      </c>
      <c r="G221" s="172">
        <v>7.9370000000000003</v>
      </c>
      <c r="H221" s="172"/>
      <c r="I221" s="172">
        <f>G221+H221</f>
        <v>7.9370000000000003</v>
      </c>
      <c r="J221" s="291">
        <v>5.883</v>
      </c>
      <c r="K221" s="183">
        <f t="shared" si="392"/>
        <v>2.0540000000000003</v>
      </c>
      <c r="L221" s="154">
        <f t="shared" si="393"/>
        <v>0.74121204485321912</v>
      </c>
      <c r="M221" s="176" t="s">
        <v>218</v>
      </c>
      <c r="N221" s="330">
        <f>G221+G222</f>
        <v>10.582000000000001</v>
      </c>
      <c r="O221" s="330">
        <f t="shared" ref="O221" si="460">H221+H222</f>
        <v>0</v>
      </c>
      <c r="P221" s="330">
        <f t="shared" si="398"/>
        <v>10.582000000000001</v>
      </c>
      <c r="Q221" s="330">
        <f t="shared" ref="Q221" si="461">J221+J222</f>
        <v>9.7439999999999998</v>
      </c>
      <c r="R221" s="330">
        <f t="shared" ref="R221" si="462">P221-Q221</f>
        <v>0.83800000000000097</v>
      </c>
      <c r="S221" s="332">
        <f t="shared" ref="S221" si="463">Q221/P221</f>
        <v>0.92080892080892074</v>
      </c>
      <c r="T221" s="140"/>
    </row>
    <row r="222" spans="2:20">
      <c r="B222" s="339"/>
      <c r="C222" s="345"/>
      <c r="D222" s="345"/>
      <c r="E222" s="350"/>
      <c r="F222" s="129" t="s">
        <v>10</v>
      </c>
      <c r="G222" s="172">
        <v>2.645</v>
      </c>
      <c r="H222" s="172"/>
      <c r="I222" s="172">
        <f>K221+G222+H222</f>
        <v>4.6989999999999998</v>
      </c>
      <c r="J222" s="291">
        <v>3.8610000000000002</v>
      </c>
      <c r="K222" s="183">
        <f t="shared" si="392"/>
        <v>0.83799999999999963</v>
      </c>
      <c r="L222" s="154">
        <f t="shared" si="393"/>
        <v>0.82166418386890838</v>
      </c>
      <c r="M222" s="98" t="s">
        <v>218</v>
      </c>
      <c r="N222" s="330"/>
      <c r="O222" s="330"/>
      <c r="P222" s="330">
        <f t="shared" si="398"/>
        <v>0</v>
      </c>
      <c r="Q222" s="330"/>
      <c r="R222" s="330"/>
      <c r="S222" s="332" t="e">
        <f t="shared" ref="S222" si="464">+Q222/P222</f>
        <v>#DIV/0!</v>
      </c>
      <c r="T222" s="140"/>
    </row>
    <row r="223" spans="2:20">
      <c r="B223" s="339"/>
      <c r="C223" s="345"/>
      <c r="D223" s="345"/>
      <c r="E223" s="350" t="s">
        <v>390</v>
      </c>
      <c r="F223" s="129" t="s">
        <v>488</v>
      </c>
      <c r="G223" s="172">
        <v>5.2910000000000004</v>
      </c>
      <c r="H223" s="172"/>
      <c r="I223" s="172">
        <f>G223+H223</f>
        <v>5.2910000000000004</v>
      </c>
      <c r="J223" s="291">
        <v>5.23</v>
      </c>
      <c r="K223" s="183">
        <f t="shared" si="392"/>
        <v>6.0999999999999943E-2</v>
      </c>
      <c r="L223" s="154">
        <f t="shared" si="393"/>
        <v>0.98847098847098847</v>
      </c>
      <c r="M223" s="98" t="s">
        <v>218</v>
      </c>
      <c r="N223" s="330">
        <f>G223+G224</f>
        <v>10.582000000000001</v>
      </c>
      <c r="O223" s="330">
        <f t="shared" ref="O223" si="465">H223+H224</f>
        <v>0</v>
      </c>
      <c r="P223" s="330">
        <f t="shared" si="398"/>
        <v>10.582000000000001</v>
      </c>
      <c r="Q223" s="330">
        <f t="shared" ref="Q223" si="466">J223+J224</f>
        <v>10.118</v>
      </c>
      <c r="R223" s="330">
        <f t="shared" ref="R223" si="467">P223-Q223</f>
        <v>0.46400000000000041</v>
      </c>
      <c r="S223" s="332">
        <f t="shared" ref="S223" si="468">Q223/P223</f>
        <v>0.95615195615195614</v>
      </c>
      <c r="T223" s="140"/>
    </row>
    <row r="224" spans="2:20">
      <c r="B224" s="339"/>
      <c r="C224" s="345"/>
      <c r="D224" s="345"/>
      <c r="E224" s="350"/>
      <c r="F224" s="129" t="s">
        <v>10</v>
      </c>
      <c r="G224" s="172">
        <v>5.2910000000000004</v>
      </c>
      <c r="H224" s="172"/>
      <c r="I224" s="172">
        <f>K223+G224+H224</f>
        <v>5.3520000000000003</v>
      </c>
      <c r="J224" s="291">
        <v>4.8879999999999999</v>
      </c>
      <c r="K224" s="183">
        <f t="shared" si="392"/>
        <v>0.46400000000000041</v>
      </c>
      <c r="L224" s="154">
        <f t="shared" si="393"/>
        <v>0.91330343796711499</v>
      </c>
      <c r="M224" s="98" t="s">
        <v>218</v>
      </c>
      <c r="N224" s="330"/>
      <c r="O224" s="330"/>
      <c r="P224" s="330">
        <f t="shared" si="398"/>
        <v>0</v>
      </c>
      <c r="Q224" s="330"/>
      <c r="R224" s="330"/>
      <c r="S224" s="332" t="e">
        <f t="shared" ref="S224" si="469">+Q224/P224</f>
        <v>#DIV/0!</v>
      </c>
      <c r="T224" s="140"/>
    </row>
    <row r="225" spans="2:20">
      <c r="B225" s="339"/>
      <c r="C225" s="345"/>
      <c r="D225" s="345"/>
      <c r="E225" s="350" t="s">
        <v>578</v>
      </c>
      <c r="F225" s="129" t="s">
        <v>488</v>
      </c>
      <c r="G225" s="172">
        <v>5.2910000000000004</v>
      </c>
      <c r="H225" s="172">
        <f>12</f>
        <v>12</v>
      </c>
      <c r="I225" s="172">
        <f>G225+H225</f>
        <v>17.291</v>
      </c>
      <c r="J225" s="291">
        <v>12.244999999999999</v>
      </c>
      <c r="K225" s="183">
        <f t="shared" si="392"/>
        <v>5.0460000000000012</v>
      </c>
      <c r="L225" s="154">
        <f t="shared" si="393"/>
        <v>0.70817188132554498</v>
      </c>
      <c r="M225" s="98" t="s">
        <v>218</v>
      </c>
      <c r="N225" s="330">
        <f>G225+G226</f>
        <v>10.582000000000001</v>
      </c>
      <c r="O225" s="330">
        <f t="shared" ref="O225" si="470">H225+H226</f>
        <v>12</v>
      </c>
      <c r="P225" s="330">
        <f t="shared" si="398"/>
        <v>22.582000000000001</v>
      </c>
      <c r="Q225" s="330">
        <f t="shared" ref="Q225" si="471">J225+J226</f>
        <v>21.204999999999998</v>
      </c>
      <c r="R225" s="330">
        <f t="shared" ref="R225" si="472">P225-Q225</f>
        <v>1.3770000000000024</v>
      </c>
      <c r="S225" s="332">
        <f t="shared" ref="S225" si="473">Q225/P225</f>
        <v>0.9390222300947656</v>
      </c>
      <c r="T225" s="140"/>
    </row>
    <row r="226" spans="2:20">
      <c r="B226" s="339"/>
      <c r="C226" s="345"/>
      <c r="D226" s="345"/>
      <c r="E226" s="350"/>
      <c r="F226" s="129" t="s">
        <v>10</v>
      </c>
      <c r="G226" s="172">
        <v>5.2910000000000004</v>
      </c>
      <c r="H226" s="172"/>
      <c r="I226" s="172">
        <f>K225+G226+H226</f>
        <v>10.337000000000002</v>
      </c>
      <c r="J226" s="291">
        <v>8.9600000000000009</v>
      </c>
      <c r="K226" s="183">
        <f t="shared" si="392"/>
        <v>1.3770000000000007</v>
      </c>
      <c r="L226" s="154">
        <f t="shared" si="393"/>
        <v>0.86678920383089864</v>
      </c>
      <c r="M226" s="98" t="s">
        <v>218</v>
      </c>
      <c r="N226" s="330"/>
      <c r="O226" s="330"/>
      <c r="P226" s="330">
        <f t="shared" si="398"/>
        <v>0</v>
      </c>
      <c r="Q226" s="330"/>
      <c r="R226" s="330"/>
      <c r="S226" s="332" t="e">
        <f t="shared" ref="S226" si="474">+Q226/P226</f>
        <v>#DIV/0!</v>
      </c>
      <c r="T226" s="140"/>
    </row>
    <row r="227" spans="2:20">
      <c r="B227" s="339"/>
      <c r="C227" s="345"/>
      <c r="D227" s="345"/>
      <c r="E227" s="350" t="s">
        <v>391</v>
      </c>
      <c r="F227" s="129" t="s">
        <v>488</v>
      </c>
      <c r="G227" s="172">
        <v>5.2919999999999998</v>
      </c>
      <c r="H227" s="172">
        <f>13</f>
        <v>13</v>
      </c>
      <c r="I227" s="172">
        <f>G227+H227</f>
        <v>18.292000000000002</v>
      </c>
      <c r="J227" s="291">
        <v>4.4000000000000004</v>
      </c>
      <c r="K227" s="183">
        <f t="shared" si="392"/>
        <v>13.892000000000001</v>
      </c>
      <c r="L227" s="154">
        <f t="shared" si="393"/>
        <v>0.24054231357970698</v>
      </c>
      <c r="M227" s="98" t="s">
        <v>218</v>
      </c>
      <c r="N227" s="330">
        <f>G227+G228</f>
        <v>10.584</v>
      </c>
      <c r="O227" s="330">
        <f t="shared" ref="O227" si="475">H227+H228</f>
        <v>21.119999999999997</v>
      </c>
      <c r="P227" s="330">
        <f t="shared" si="398"/>
        <v>31.703999999999997</v>
      </c>
      <c r="Q227" s="330">
        <f t="shared" ref="Q227" si="476">J227+J228</f>
        <v>10.409000000000001</v>
      </c>
      <c r="R227" s="330">
        <f t="shared" ref="R227" si="477">P227-Q227</f>
        <v>21.294999999999995</v>
      </c>
      <c r="S227" s="332">
        <f t="shared" ref="S227" si="478">Q227/P227</f>
        <v>0.32831819328791323</v>
      </c>
      <c r="T227" s="140"/>
    </row>
    <row r="228" spans="2:20">
      <c r="B228" s="339"/>
      <c r="C228" s="345"/>
      <c r="D228" s="345"/>
      <c r="E228" s="350"/>
      <c r="F228" s="129" t="s">
        <v>10</v>
      </c>
      <c r="G228" s="172">
        <v>5.2919999999999998</v>
      </c>
      <c r="H228" s="172">
        <f>8.12</f>
        <v>8.1199999999999992</v>
      </c>
      <c r="I228" s="172">
        <f>K227+G228+H228</f>
        <v>27.304000000000002</v>
      </c>
      <c r="J228" s="291">
        <v>6.0090000000000003</v>
      </c>
      <c r="K228" s="183">
        <f t="shared" si="392"/>
        <v>21.295000000000002</v>
      </c>
      <c r="L228" s="154">
        <f t="shared" si="393"/>
        <v>0.22007764430120128</v>
      </c>
      <c r="M228" s="98" t="s">
        <v>218</v>
      </c>
      <c r="N228" s="330"/>
      <c r="O228" s="330"/>
      <c r="P228" s="330">
        <f t="shared" si="398"/>
        <v>0</v>
      </c>
      <c r="Q228" s="330"/>
      <c r="R228" s="330"/>
      <c r="S228" s="332" t="e">
        <f t="shared" ref="S228" si="479">+Q228/P228</f>
        <v>#DIV/0!</v>
      </c>
      <c r="T228" s="140"/>
    </row>
    <row r="229" spans="2:20">
      <c r="B229" s="339"/>
      <c r="C229" s="345"/>
      <c r="D229" s="345"/>
      <c r="E229" s="350" t="s">
        <v>392</v>
      </c>
      <c r="F229" s="129" t="s">
        <v>488</v>
      </c>
      <c r="G229" s="172">
        <v>5.29</v>
      </c>
      <c r="H229" s="172"/>
      <c r="I229" s="172">
        <f>G229+H229</f>
        <v>5.29</v>
      </c>
      <c r="J229" s="291">
        <v>4.3710000000000004</v>
      </c>
      <c r="K229" s="183">
        <f t="shared" si="392"/>
        <v>0.91899999999999959</v>
      </c>
      <c r="L229" s="154">
        <f t="shared" si="393"/>
        <v>0.82627599243856342</v>
      </c>
      <c r="M229" s="98" t="s">
        <v>218</v>
      </c>
      <c r="N229" s="330">
        <f>G229+G230</f>
        <v>10.58</v>
      </c>
      <c r="O229" s="330">
        <f t="shared" ref="O229" si="480">H229+H230</f>
        <v>0</v>
      </c>
      <c r="P229" s="330">
        <f t="shared" si="398"/>
        <v>10.58</v>
      </c>
      <c r="Q229" s="330">
        <f t="shared" ref="Q229" si="481">J229+J230</f>
        <v>7.6280000000000001</v>
      </c>
      <c r="R229" s="330">
        <f t="shared" ref="R229" si="482">P229-Q229</f>
        <v>2.952</v>
      </c>
      <c r="S229" s="332">
        <f t="shared" ref="S229" si="483">Q229/P229</f>
        <v>0.72098298676748585</v>
      </c>
      <c r="T229" s="140"/>
    </row>
    <row r="230" spans="2:20">
      <c r="B230" s="339"/>
      <c r="C230" s="345"/>
      <c r="D230" s="345"/>
      <c r="E230" s="350"/>
      <c r="F230" s="129" t="s">
        <v>10</v>
      </c>
      <c r="G230" s="172">
        <v>5.29</v>
      </c>
      <c r="H230" s="172"/>
      <c r="I230" s="172">
        <f>K229+G230+H230</f>
        <v>6.2089999999999996</v>
      </c>
      <c r="J230" s="291">
        <v>3.2570000000000001</v>
      </c>
      <c r="K230" s="183">
        <f t="shared" si="392"/>
        <v>2.9519999999999995</v>
      </c>
      <c r="L230" s="154">
        <f t="shared" si="393"/>
        <v>0.52456112095345475</v>
      </c>
      <c r="M230" s="98" t="s">
        <v>218</v>
      </c>
      <c r="N230" s="330"/>
      <c r="O230" s="330"/>
      <c r="P230" s="330">
        <f t="shared" si="398"/>
        <v>0</v>
      </c>
      <c r="Q230" s="330"/>
      <c r="R230" s="330"/>
      <c r="S230" s="332" t="e">
        <f t="shared" ref="S230" si="484">+Q230/P230</f>
        <v>#DIV/0!</v>
      </c>
      <c r="T230" s="140"/>
    </row>
    <row r="231" spans="2:20">
      <c r="B231" s="339"/>
      <c r="C231" s="345"/>
      <c r="D231" s="345"/>
      <c r="E231" s="350" t="s">
        <v>477</v>
      </c>
      <c r="F231" s="129" t="s">
        <v>488</v>
      </c>
      <c r="G231" s="172">
        <v>5.2919999999999998</v>
      </c>
      <c r="H231" s="172"/>
      <c r="I231" s="172">
        <f>G231+H231</f>
        <v>5.2919999999999998</v>
      </c>
      <c r="J231" s="291">
        <v>5.3659999999999997</v>
      </c>
      <c r="K231" s="183">
        <f t="shared" si="392"/>
        <v>-7.3999999999999844E-2</v>
      </c>
      <c r="L231" s="154">
        <f t="shared" si="393"/>
        <v>1.0139833711262283</v>
      </c>
      <c r="M231" s="176">
        <v>44364</v>
      </c>
      <c r="N231" s="330">
        <f>G231+G232</f>
        <v>10.584</v>
      </c>
      <c r="O231" s="330">
        <f t="shared" ref="O231" si="485">H231+H232</f>
        <v>0</v>
      </c>
      <c r="P231" s="330">
        <f t="shared" si="398"/>
        <v>10.584</v>
      </c>
      <c r="Q231" s="330">
        <f t="shared" ref="Q231" si="486">J231+J232</f>
        <v>8.2739999999999991</v>
      </c>
      <c r="R231" s="330">
        <f t="shared" ref="R231" si="487">P231-Q231</f>
        <v>2.3100000000000005</v>
      </c>
      <c r="S231" s="332">
        <f t="shared" ref="S231" si="488">Q231/P231</f>
        <v>0.78174603174603174</v>
      </c>
      <c r="T231" s="140"/>
    </row>
    <row r="232" spans="2:20">
      <c r="B232" s="339"/>
      <c r="C232" s="345"/>
      <c r="D232" s="345"/>
      <c r="E232" s="350"/>
      <c r="F232" s="129" t="s">
        <v>10</v>
      </c>
      <c r="G232" s="172">
        <v>5.2919999999999998</v>
      </c>
      <c r="H232" s="172"/>
      <c r="I232" s="172">
        <f>K231+G232+H232</f>
        <v>5.218</v>
      </c>
      <c r="J232" s="291">
        <v>2.9079999999999999</v>
      </c>
      <c r="K232" s="183">
        <f t="shared" si="392"/>
        <v>2.31</v>
      </c>
      <c r="L232" s="154">
        <f t="shared" si="393"/>
        <v>0.55730164814105021</v>
      </c>
      <c r="M232" s="98" t="s">
        <v>218</v>
      </c>
      <c r="N232" s="330"/>
      <c r="O232" s="330"/>
      <c r="P232" s="330">
        <f t="shared" si="398"/>
        <v>0</v>
      </c>
      <c r="Q232" s="330"/>
      <c r="R232" s="330"/>
      <c r="S232" s="332" t="e">
        <f t="shared" ref="S232" si="489">+Q232/P232</f>
        <v>#DIV/0!</v>
      </c>
      <c r="T232" s="140"/>
    </row>
    <row r="233" spans="2:20">
      <c r="B233" s="339"/>
      <c r="C233" s="345"/>
      <c r="D233" s="345"/>
      <c r="E233" s="350" t="s">
        <v>598</v>
      </c>
      <c r="F233" s="129" t="s">
        <v>488</v>
      </c>
      <c r="G233" s="172">
        <v>5.2910000000000004</v>
      </c>
      <c r="H233" s="172"/>
      <c r="I233" s="172">
        <f>G233+H233</f>
        <v>5.2910000000000004</v>
      </c>
      <c r="J233" s="291">
        <v>4.9410000000000016</v>
      </c>
      <c r="K233" s="183">
        <f t="shared" si="392"/>
        <v>0.34999999999999876</v>
      </c>
      <c r="L233" s="154">
        <f t="shared" si="393"/>
        <v>0.93384993384993409</v>
      </c>
      <c r="M233" s="98" t="s">
        <v>218</v>
      </c>
      <c r="N233" s="330">
        <f>G233+G234</f>
        <v>10.582000000000001</v>
      </c>
      <c r="O233" s="330">
        <f t="shared" ref="O233" si="490">H233+H234</f>
        <v>0</v>
      </c>
      <c r="P233" s="330">
        <f t="shared" si="398"/>
        <v>10.582000000000001</v>
      </c>
      <c r="Q233" s="330">
        <f t="shared" ref="Q233" si="491">J233+J234</f>
        <v>7.1280000000000019</v>
      </c>
      <c r="R233" s="330">
        <f t="shared" ref="R233" si="492">P233-Q233</f>
        <v>3.4539999999999988</v>
      </c>
      <c r="S233" s="332">
        <f t="shared" ref="S233" si="493">Q233/P233</f>
        <v>0.67359667359667375</v>
      </c>
      <c r="T233" s="140"/>
    </row>
    <row r="234" spans="2:20">
      <c r="B234" s="339"/>
      <c r="C234" s="345"/>
      <c r="D234" s="345"/>
      <c r="E234" s="350"/>
      <c r="F234" s="129" t="s">
        <v>10</v>
      </c>
      <c r="G234" s="172">
        <v>5.2910000000000004</v>
      </c>
      <c r="H234" s="172"/>
      <c r="I234" s="172">
        <f>K233+G234+H234</f>
        <v>5.6409999999999991</v>
      </c>
      <c r="J234" s="291">
        <v>2.1869999999999998</v>
      </c>
      <c r="K234" s="183">
        <f t="shared" si="392"/>
        <v>3.4539999999999993</v>
      </c>
      <c r="L234" s="154">
        <f t="shared" si="393"/>
        <v>0.38769721680553099</v>
      </c>
      <c r="M234" s="98" t="s">
        <v>218</v>
      </c>
      <c r="N234" s="330"/>
      <c r="O234" s="330"/>
      <c r="P234" s="330">
        <f t="shared" si="398"/>
        <v>0</v>
      </c>
      <c r="Q234" s="330"/>
      <c r="R234" s="330"/>
      <c r="S234" s="332" t="e">
        <f t="shared" ref="S234" si="494">+Q234/P234</f>
        <v>#DIV/0!</v>
      </c>
      <c r="T234" s="140"/>
    </row>
    <row r="235" spans="2:20">
      <c r="B235" s="339"/>
      <c r="C235" s="345"/>
      <c r="D235" s="347" t="s">
        <v>626</v>
      </c>
      <c r="E235" s="350" t="s">
        <v>599</v>
      </c>
      <c r="F235" s="129" t="s">
        <v>488</v>
      </c>
      <c r="G235" s="172">
        <v>5.2889999999999997</v>
      </c>
      <c r="H235" s="172"/>
      <c r="I235" s="172">
        <f>G235+H235</f>
        <v>5.2889999999999997</v>
      </c>
      <c r="J235" s="291">
        <v>4.7789999999999999</v>
      </c>
      <c r="K235" s="183">
        <f t="shared" si="392"/>
        <v>0.50999999999999979</v>
      </c>
      <c r="L235" s="154">
        <f t="shared" si="393"/>
        <v>0.90357345433919456</v>
      </c>
      <c r="M235" s="98" t="s">
        <v>218</v>
      </c>
      <c r="N235" s="330">
        <f>G235+G236</f>
        <v>10.577999999999999</v>
      </c>
      <c r="O235" s="330">
        <f t="shared" ref="O235" si="495">H235+H236</f>
        <v>0</v>
      </c>
      <c r="P235" s="330">
        <f t="shared" si="398"/>
        <v>10.577999999999999</v>
      </c>
      <c r="Q235" s="330">
        <f t="shared" ref="Q235" si="496">J235+J236</f>
        <v>7.5329999999999995</v>
      </c>
      <c r="R235" s="330">
        <f t="shared" ref="R235" si="497">P235-Q235</f>
        <v>3.0449999999999999</v>
      </c>
      <c r="S235" s="332">
        <f t="shared" ref="S235" si="498">Q235/P235</f>
        <v>0.71213840045377197</v>
      </c>
      <c r="T235" s="140"/>
    </row>
    <row r="236" spans="2:20">
      <c r="B236" s="339"/>
      <c r="C236" s="345"/>
      <c r="D236" s="347"/>
      <c r="E236" s="350"/>
      <c r="F236" s="129" t="s">
        <v>10</v>
      </c>
      <c r="G236" s="172">
        <v>5.2889999999999997</v>
      </c>
      <c r="H236" s="172"/>
      <c r="I236" s="172">
        <f>K235+G236+H236</f>
        <v>5.7989999999999995</v>
      </c>
      <c r="J236" s="291">
        <v>2.754</v>
      </c>
      <c r="K236" s="183">
        <f t="shared" si="392"/>
        <v>3.0449999999999995</v>
      </c>
      <c r="L236" s="154">
        <f t="shared" si="393"/>
        <v>0.4749094671495086</v>
      </c>
      <c r="M236" s="98" t="s">
        <v>218</v>
      </c>
      <c r="N236" s="330"/>
      <c r="O236" s="330"/>
      <c r="P236" s="330">
        <f t="shared" si="398"/>
        <v>0</v>
      </c>
      <c r="Q236" s="330"/>
      <c r="R236" s="330"/>
      <c r="S236" s="332" t="e">
        <f t="shared" ref="S236" si="499">+Q236/P236</f>
        <v>#DIV/0!</v>
      </c>
      <c r="T236" s="140"/>
    </row>
    <row r="237" spans="2:20">
      <c r="B237" s="339"/>
      <c r="C237" s="345"/>
      <c r="D237" s="347"/>
      <c r="E237" s="350" t="s">
        <v>393</v>
      </c>
      <c r="F237" s="129" t="s">
        <v>488</v>
      </c>
      <c r="G237" s="172">
        <v>5.2919999999999998</v>
      </c>
      <c r="H237" s="172"/>
      <c r="I237" s="172">
        <f>G237+H237</f>
        <v>5.2919999999999998</v>
      </c>
      <c r="J237" s="291">
        <v>5.3190000000000008</v>
      </c>
      <c r="K237" s="183">
        <f t="shared" si="392"/>
        <v>-2.7000000000001023E-2</v>
      </c>
      <c r="L237" s="154">
        <f t="shared" si="393"/>
        <v>1.0051020408163267</v>
      </c>
      <c r="M237" s="176">
        <v>44371</v>
      </c>
      <c r="N237" s="330">
        <f>G237+G238</f>
        <v>10.584</v>
      </c>
      <c r="O237" s="330">
        <f t="shared" ref="O237" si="500">H237+H238</f>
        <v>0</v>
      </c>
      <c r="P237" s="330">
        <f t="shared" si="398"/>
        <v>10.584</v>
      </c>
      <c r="Q237" s="330">
        <f t="shared" ref="Q237" si="501">J237+J238</f>
        <v>8.370000000000001</v>
      </c>
      <c r="R237" s="330">
        <f t="shared" ref="R237" si="502">P237-Q237</f>
        <v>2.2139999999999986</v>
      </c>
      <c r="S237" s="332">
        <f t="shared" ref="S237" si="503">Q237/P237</f>
        <v>0.7908163265306124</v>
      </c>
      <c r="T237" s="140"/>
    </row>
    <row r="238" spans="2:20">
      <c r="B238" s="339"/>
      <c r="C238" s="345"/>
      <c r="D238" s="347"/>
      <c r="E238" s="350"/>
      <c r="F238" s="129" t="s">
        <v>10</v>
      </c>
      <c r="G238" s="172">
        <v>5.2919999999999998</v>
      </c>
      <c r="H238" s="172"/>
      <c r="I238" s="172">
        <f>K237+G238+H238</f>
        <v>5.2649999999999988</v>
      </c>
      <c r="J238" s="291">
        <v>3.0509999999999997</v>
      </c>
      <c r="K238" s="183">
        <f t="shared" si="392"/>
        <v>2.2139999999999991</v>
      </c>
      <c r="L238" s="154">
        <f t="shared" si="393"/>
        <v>0.57948717948717954</v>
      </c>
      <c r="M238" s="98" t="s">
        <v>218</v>
      </c>
      <c r="N238" s="330"/>
      <c r="O238" s="330"/>
      <c r="P238" s="330">
        <f t="shared" si="398"/>
        <v>0</v>
      </c>
      <c r="Q238" s="330"/>
      <c r="R238" s="330"/>
      <c r="S238" s="332" t="e">
        <f t="shared" ref="S238" si="504">+Q238/P238</f>
        <v>#DIV/0!</v>
      </c>
      <c r="T238" s="140"/>
    </row>
    <row r="239" spans="2:20">
      <c r="B239" s="339"/>
      <c r="C239" s="345"/>
      <c r="D239" s="347"/>
      <c r="E239" s="350" t="s">
        <v>366</v>
      </c>
      <c r="F239" s="129" t="s">
        <v>488</v>
      </c>
      <c r="G239" s="172">
        <v>5.2910000000000004</v>
      </c>
      <c r="H239" s="172"/>
      <c r="I239" s="172">
        <f>G239+H239</f>
        <v>5.2910000000000004</v>
      </c>
      <c r="J239" s="291">
        <v>5.13</v>
      </c>
      <c r="K239" s="183">
        <f t="shared" si="392"/>
        <v>0.16100000000000048</v>
      </c>
      <c r="L239" s="154">
        <f t="shared" si="393"/>
        <v>0.96957096957096944</v>
      </c>
      <c r="M239" s="176">
        <v>44364</v>
      </c>
      <c r="N239" s="330">
        <f>G239+G240</f>
        <v>10.582000000000001</v>
      </c>
      <c r="O239" s="330">
        <f t="shared" ref="O239" si="505">H239+H240</f>
        <v>0</v>
      </c>
      <c r="P239" s="330">
        <f t="shared" si="398"/>
        <v>10.582000000000001</v>
      </c>
      <c r="Q239" s="330">
        <f t="shared" ref="Q239" si="506">J239+J240</f>
        <v>9.5850000000000009</v>
      </c>
      <c r="R239" s="330">
        <f t="shared" ref="R239" si="507">P239-Q239</f>
        <v>0.99699999999999989</v>
      </c>
      <c r="S239" s="332">
        <f t="shared" ref="S239" si="508">Q239/P239</f>
        <v>0.90578340578340577</v>
      </c>
      <c r="T239" s="140"/>
    </row>
    <row r="240" spans="2:20">
      <c r="B240" s="339"/>
      <c r="C240" s="345"/>
      <c r="D240" s="347"/>
      <c r="E240" s="350"/>
      <c r="F240" s="129" t="s">
        <v>10</v>
      </c>
      <c r="G240" s="172">
        <v>5.2910000000000004</v>
      </c>
      <c r="H240" s="172"/>
      <c r="I240" s="172">
        <f>K239+G240+H240</f>
        <v>5.4520000000000008</v>
      </c>
      <c r="J240" s="291">
        <v>4.4550000000000001</v>
      </c>
      <c r="K240" s="183">
        <f t="shared" si="392"/>
        <v>0.99700000000000077</v>
      </c>
      <c r="L240" s="154">
        <f t="shared" si="393"/>
        <v>0.81713132795304466</v>
      </c>
      <c r="M240" s="98" t="s">
        <v>218</v>
      </c>
      <c r="N240" s="330"/>
      <c r="O240" s="330"/>
      <c r="P240" s="330">
        <f t="shared" si="398"/>
        <v>0</v>
      </c>
      <c r="Q240" s="330"/>
      <c r="R240" s="330"/>
      <c r="S240" s="332" t="e">
        <f t="shared" ref="S240" si="509">+Q240/P240</f>
        <v>#DIV/0!</v>
      </c>
      <c r="T240" s="140"/>
    </row>
    <row r="241" spans="2:20">
      <c r="B241" s="339"/>
      <c r="C241" s="345"/>
      <c r="D241" s="347"/>
      <c r="E241" s="350" t="s">
        <v>394</v>
      </c>
      <c r="F241" s="129" t="s">
        <v>488</v>
      </c>
      <c r="G241" s="172">
        <v>5.29</v>
      </c>
      <c r="H241" s="172"/>
      <c r="I241" s="172">
        <f>G241+H241</f>
        <v>5.29</v>
      </c>
      <c r="J241" s="291">
        <v>4.7519999999999989</v>
      </c>
      <c r="K241" s="183">
        <f t="shared" si="392"/>
        <v>0.53800000000000114</v>
      </c>
      <c r="L241" s="154">
        <f t="shared" si="393"/>
        <v>0.89829867674858199</v>
      </c>
      <c r="M241" s="98" t="s">
        <v>218</v>
      </c>
      <c r="N241" s="330">
        <f>G241+G242</f>
        <v>10.58</v>
      </c>
      <c r="O241" s="330">
        <f t="shared" ref="O241" si="510">H241+H242</f>
        <v>0</v>
      </c>
      <c r="P241" s="330">
        <f t="shared" si="398"/>
        <v>10.58</v>
      </c>
      <c r="Q241" s="330">
        <f t="shared" ref="Q241" si="511">J241+J242</f>
        <v>9.395999999999999</v>
      </c>
      <c r="R241" s="330">
        <f t="shared" ref="R241" si="512">P241-Q241</f>
        <v>1.1840000000000011</v>
      </c>
      <c r="S241" s="332">
        <f t="shared" ref="S241" si="513">Q241/P241</f>
        <v>0.88809073724007548</v>
      </c>
      <c r="T241" s="140"/>
    </row>
    <row r="242" spans="2:20">
      <c r="B242" s="339"/>
      <c r="C242" s="345"/>
      <c r="D242" s="347"/>
      <c r="E242" s="350"/>
      <c r="F242" s="129" t="s">
        <v>10</v>
      </c>
      <c r="G242" s="172">
        <v>5.29</v>
      </c>
      <c r="H242" s="172"/>
      <c r="I242" s="172">
        <f>K241+G242+H242</f>
        <v>5.8280000000000012</v>
      </c>
      <c r="J242" s="291">
        <v>4.6440000000000001</v>
      </c>
      <c r="K242" s="183">
        <f t="shared" si="392"/>
        <v>1.1840000000000011</v>
      </c>
      <c r="L242" s="154">
        <f t="shared" si="393"/>
        <v>0.79684282772820847</v>
      </c>
      <c r="M242" s="98" t="s">
        <v>218</v>
      </c>
      <c r="N242" s="330"/>
      <c r="O242" s="330"/>
      <c r="P242" s="330">
        <f t="shared" si="398"/>
        <v>0</v>
      </c>
      <c r="Q242" s="330"/>
      <c r="R242" s="330"/>
      <c r="S242" s="332" t="e">
        <f t="shared" ref="S242" si="514">+Q242/P242</f>
        <v>#DIV/0!</v>
      </c>
      <c r="T242" s="140"/>
    </row>
    <row r="243" spans="2:20">
      <c r="B243" s="339"/>
      <c r="C243" s="345"/>
      <c r="D243" s="347"/>
      <c r="E243" s="350" t="s">
        <v>395</v>
      </c>
      <c r="F243" s="129" t="s">
        <v>488</v>
      </c>
      <c r="G243" s="172">
        <v>5.2910000000000004</v>
      </c>
      <c r="H243" s="172"/>
      <c r="I243" s="172">
        <f>G243+H243</f>
        <v>5.2910000000000004</v>
      </c>
      <c r="J243" s="291">
        <v>3.8610000000000007</v>
      </c>
      <c r="K243" s="183">
        <f t="shared" si="392"/>
        <v>1.4299999999999997</v>
      </c>
      <c r="L243" s="154">
        <f t="shared" si="393"/>
        <v>0.72972972972972983</v>
      </c>
      <c r="M243" s="98" t="s">
        <v>218</v>
      </c>
      <c r="N243" s="330">
        <f>G243+G244</f>
        <v>10.582000000000001</v>
      </c>
      <c r="O243" s="330">
        <f t="shared" ref="O243" si="515">H243+H244</f>
        <v>0</v>
      </c>
      <c r="P243" s="330">
        <f t="shared" si="398"/>
        <v>10.582000000000001</v>
      </c>
      <c r="Q243" s="330">
        <f t="shared" ref="Q243" si="516">J243+J244</f>
        <v>8.8290000000000006</v>
      </c>
      <c r="R243" s="330">
        <f t="shared" ref="R243" si="517">P243-Q243</f>
        <v>1.7530000000000001</v>
      </c>
      <c r="S243" s="332">
        <f t="shared" ref="S243" si="518">Q243/P243</f>
        <v>0.8343413343413344</v>
      </c>
      <c r="T243" s="140"/>
    </row>
    <row r="244" spans="2:20">
      <c r="B244" s="339"/>
      <c r="C244" s="345"/>
      <c r="D244" s="347"/>
      <c r="E244" s="350"/>
      <c r="F244" s="129" t="s">
        <v>10</v>
      </c>
      <c r="G244" s="172">
        <v>5.2910000000000004</v>
      </c>
      <c r="H244" s="172"/>
      <c r="I244" s="172">
        <f>K243+G244+H244</f>
        <v>6.7210000000000001</v>
      </c>
      <c r="J244" s="291">
        <v>4.968</v>
      </c>
      <c r="K244" s="183">
        <f t="shared" si="392"/>
        <v>1.7530000000000001</v>
      </c>
      <c r="L244" s="154">
        <f t="shared" si="393"/>
        <v>0.73917571789912218</v>
      </c>
      <c r="M244" s="98" t="s">
        <v>218</v>
      </c>
      <c r="N244" s="330"/>
      <c r="O244" s="330"/>
      <c r="P244" s="330">
        <f t="shared" si="398"/>
        <v>0</v>
      </c>
      <c r="Q244" s="330"/>
      <c r="R244" s="330"/>
      <c r="S244" s="332" t="e">
        <f t="shared" ref="S244" si="519">+Q244/P244</f>
        <v>#DIV/0!</v>
      </c>
      <c r="T244" s="140"/>
    </row>
    <row r="245" spans="2:20">
      <c r="B245" s="339"/>
      <c r="C245" s="345"/>
      <c r="D245" s="347"/>
      <c r="E245" s="350" t="s">
        <v>600</v>
      </c>
      <c r="F245" s="129" t="s">
        <v>488</v>
      </c>
      <c r="G245" s="172">
        <v>5.2919999999999998</v>
      </c>
      <c r="H245" s="172"/>
      <c r="I245" s="172">
        <f>G245+H245</f>
        <v>5.2919999999999998</v>
      </c>
      <c r="J245" s="291">
        <v>3.645</v>
      </c>
      <c r="K245" s="183">
        <f t="shared" si="392"/>
        <v>1.6469999999999998</v>
      </c>
      <c r="L245" s="154">
        <f t="shared" si="393"/>
        <v>0.68877551020408168</v>
      </c>
      <c r="M245" s="98" t="s">
        <v>218</v>
      </c>
      <c r="N245" s="330">
        <f>G245+G246</f>
        <v>10.584</v>
      </c>
      <c r="O245" s="330">
        <f t="shared" ref="O245" si="520">H245+H246</f>
        <v>0</v>
      </c>
      <c r="P245" s="330">
        <f t="shared" si="398"/>
        <v>10.584</v>
      </c>
      <c r="Q245" s="330">
        <f t="shared" ref="Q245" si="521">J245+J246</f>
        <v>8.1270000000000007</v>
      </c>
      <c r="R245" s="330">
        <f t="shared" ref="R245" si="522">P245-Q245</f>
        <v>2.456999999999999</v>
      </c>
      <c r="S245" s="332">
        <f t="shared" ref="S245" si="523">Q245/P245</f>
        <v>0.7678571428571429</v>
      </c>
      <c r="T245" s="140"/>
    </row>
    <row r="246" spans="2:20">
      <c r="B246" s="339"/>
      <c r="C246" s="345"/>
      <c r="D246" s="347"/>
      <c r="E246" s="350"/>
      <c r="F246" s="129" t="s">
        <v>10</v>
      </c>
      <c r="G246" s="172">
        <v>5.2919999999999998</v>
      </c>
      <c r="H246" s="172"/>
      <c r="I246" s="172">
        <f>K245+G246+H246</f>
        <v>6.9390000000000001</v>
      </c>
      <c r="J246" s="291">
        <v>4.4820000000000002</v>
      </c>
      <c r="K246" s="183">
        <f t="shared" si="392"/>
        <v>2.4569999999999999</v>
      </c>
      <c r="L246" s="154">
        <f t="shared" si="393"/>
        <v>0.64591439688715957</v>
      </c>
      <c r="M246" s="98" t="s">
        <v>218</v>
      </c>
      <c r="N246" s="330"/>
      <c r="O246" s="330"/>
      <c r="P246" s="330">
        <f t="shared" si="398"/>
        <v>0</v>
      </c>
      <c r="Q246" s="330"/>
      <c r="R246" s="330"/>
      <c r="S246" s="332" t="e">
        <f t="shared" ref="S246" si="524">+Q246/P246</f>
        <v>#DIV/0!</v>
      </c>
      <c r="T246" s="140"/>
    </row>
    <row r="247" spans="2:20">
      <c r="B247" s="339"/>
      <c r="C247" s="345"/>
      <c r="D247" s="347"/>
      <c r="E247" s="350" t="s">
        <v>396</v>
      </c>
      <c r="F247" s="129" t="s">
        <v>488</v>
      </c>
      <c r="G247" s="172">
        <v>5.2910000000000004</v>
      </c>
      <c r="H247" s="172"/>
      <c r="I247" s="172">
        <f>G247+H247</f>
        <v>5.2910000000000004</v>
      </c>
      <c r="J247" s="291">
        <v>1.728</v>
      </c>
      <c r="K247" s="183">
        <f t="shared" si="392"/>
        <v>3.5630000000000006</v>
      </c>
      <c r="L247" s="154">
        <f t="shared" si="393"/>
        <v>0.32659232659232657</v>
      </c>
      <c r="M247" s="98" t="s">
        <v>218</v>
      </c>
      <c r="N247" s="330">
        <f>G247+G248</f>
        <v>10.582000000000001</v>
      </c>
      <c r="O247" s="330">
        <f t="shared" ref="O247" si="525">H247+H248</f>
        <v>0</v>
      </c>
      <c r="P247" s="330">
        <f t="shared" si="398"/>
        <v>10.582000000000001</v>
      </c>
      <c r="Q247" s="330">
        <f t="shared" ref="Q247" si="526">J247+J248</f>
        <v>8.3699999999999992</v>
      </c>
      <c r="R247" s="330">
        <f t="shared" ref="R247" si="527">P247-Q247</f>
        <v>2.2120000000000015</v>
      </c>
      <c r="S247" s="332">
        <f t="shared" ref="S247" si="528">Q247/P247</f>
        <v>0.79096579096579078</v>
      </c>
      <c r="T247" s="140"/>
    </row>
    <row r="248" spans="2:20">
      <c r="B248" s="339"/>
      <c r="C248" s="345"/>
      <c r="D248" s="347"/>
      <c r="E248" s="350"/>
      <c r="F248" s="129" t="s">
        <v>10</v>
      </c>
      <c r="G248" s="172">
        <v>5.2910000000000004</v>
      </c>
      <c r="H248" s="172"/>
      <c r="I248" s="172">
        <f>K247+G248+H248</f>
        <v>8.854000000000001</v>
      </c>
      <c r="J248" s="291">
        <v>6.6419999999999995</v>
      </c>
      <c r="K248" s="183">
        <f t="shared" si="392"/>
        <v>2.2120000000000015</v>
      </c>
      <c r="L248" s="154">
        <f t="shared" si="393"/>
        <v>0.75016941495369305</v>
      </c>
      <c r="M248" s="98" t="s">
        <v>218</v>
      </c>
      <c r="N248" s="330"/>
      <c r="O248" s="330"/>
      <c r="P248" s="330">
        <f t="shared" si="398"/>
        <v>0</v>
      </c>
      <c r="Q248" s="330"/>
      <c r="R248" s="330"/>
      <c r="S248" s="332" t="e">
        <f t="shared" ref="S248" si="529">+Q248/P248</f>
        <v>#DIV/0!</v>
      </c>
      <c r="T248" s="140"/>
    </row>
    <row r="249" spans="2:20">
      <c r="B249" s="339"/>
      <c r="C249" s="345"/>
      <c r="D249" s="347"/>
      <c r="E249" s="350" t="s">
        <v>397</v>
      </c>
      <c r="F249" s="129" t="s">
        <v>488</v>
      </c>
      <c r="G249" s="172">
        <v>7.9359999999999999</v>
      </c>
      <c r="H249" s="172"/>
      <c r="I249" s="172">
        <f>G249+H249</f>
        <v>7.9359999999999999</v>
      </c>
      <c r="J249" s="291">
        <v>6.5880000000000001</v>
      </c>
      <c r="K249" s="183">
        <f t="shared" si="392"/>
        <v>1.3479999999999999</v>
      </c>
      <c r="L249" s="154">
        <f t="shared" si="393"/>
        <v>0.83014112903225812</v>
      </c>
      <c r="M249" s="98" t="s">
        <v>218</v>
      </c>
      <c r="N249" s="330">
        <f>G249+G250</f>
        <v>10.582000000000001</v>
      </c>
      <c r="O249" s="330">
        <f t="shared" ref="O249" si="530">H249+H250</f>
        <v>0</v>
      </c>
      <c r="P249" s="330">
        <f t="shared" si="398"/>
        <v>10.582000000000001</v>
      </c>
      <c r="Q249" s="330">
        <f t="shared" ref="Q249" si="531">J249+J250</f>
        <v>8.343</v>
      </c>
      <c r="R249" s="330">
        <f t="shared" ref="R249" si="532">P249-Q249</f>
        <v>2.2390000000000008</v>
      </c>
      <c r="S249" s="332">
        <f t="shared" ref="S249" si="533">Q249/P249</f>
        <v>0.7884142884142884</v>
      </c>
      <c r="T249" s="140"/>
    </row>
    <row r="250" spans="2:20">
      <c r="B250" s="339"/>
      <c r="C250" s="345"/>
      <c r="D250" s="347"/>
      <c r="E250" s="350"/>
      <c r="F250" s="129" t="s">
        <v>10</v>
      </c>
      <c r="G250" s="172">
        <v>2.6459999999999999</v>
      </c>
      <c r="H250" s="172"/>
      <c r="I250" s="172">
        <f>K249+G250+H250</f>
        <v>3.9939999999999998</v>
      </c>
      <c r="J250" s="291">
        <v>1.7549999999999999</v>
      </c>
      <c r="K250" s="183">
        <f t="shared" si="392"/>
        <v>2.2389999999999999</v>
      </c>
      <c r="L250" s="154">
        <f t="shared" si="393"/>
        <v>0.43940911367050578</v>
      </c>
      <c r="M250" s="98" t="s">
        <v>218</v>
      </c>
      <c r="N250" s="330"/>
      <c r="O250" s="330"/>
      <c r="P250" s="330">
        <f t="shared" si="398"/>
        <v>0</v>
      </c>
      <c r="Q250" s="330"/>
      <c r="R250" s="330"/>
      <c r="S250" s="332" t="e">
        <f t="shared" ref="S250" si="534">+Q250/P250</f>
        <v>#DIV/0!</v>
      </c>
      <c r="T250" s="140"/>
    </row>
    <row r="251" spans="2:20">
      <c r="B251" s="339"/>
      <c r="C251" s="345"/>
      <c r="D251" s="347"/>
      <c r="E251" s="350" t="s">
        <v>398</v>
      </c>
      <c r="F251" s="129" t="s">
        <v>488</v>
      </c>
      <c r="G251" s="172">
        <v>5.2919999999999998</v>
      </c>
      <c r="H251" s="172"/>
      <c r="I251" s="172">
        <f>G251+H251</f>
        <v>5.2919999999999998</v>
      </c>
      <c r="J251" s="291">
        <v>4.266</v>
      </c>
      <c r="K251" s="183">
        <f t="shared" si="392"/>
        <v>1.0259999999999998</v>
      </c>
      <c r="L251" s="154">
        <f t="shared" si="393"/>
        <v>0.80612244897959184</v>
      </c>
      <c r="M251" s="98" t="s">
        <v>218</v>
      </c>
      <c r="N251" s="330">
        <f>G251+G252</f>
        <v>10.584</v>
      </c>
      <c r="O251" s="330">
        <f t="shared" ref="O251" si="535">H251+H252</f>
        <v>0</v>
      </c>
      <c r="P251" s="330">
        <f t="shared" si="398"/>
        <v>10.584</v>
      </c>
      <c r="Q251" s="330">
        <f t="shared" ref="Q251" si="536">J251+J252</f>
        <v>8.7240000000000002</v>
      </c>
      <c r="R251" s="330">
        <f t="shared" ref="R251" si="537">P251-Q251</f>
        <v>1.8599999999999994</v>
      </c>
      <c r="S251" s="332">
        <f t="shared" ref="S251" si="538">Q251/P251</f>
        <v>0.82426303854875294</v>
      </c>
      <c r="T251" s="140"/>
    </row>
    <row r="252" spans="2:20">
      <c r="B252" s="339"/>
      <c r="C252" s="345"/>
      <c r="D252" s="347"/>
      <c r="E252" s="350"/>
      <c r="F252" s="129" t="s">
        <v>10</v>
      </c>
      <c r="G252" s="172">
        <v>5.2919999999999998</v>
      </c>
      <c r="H252" s="172"/>
      <c r="I252" s="172">
        <f>K251+G252+H252</f>
        <v>6.3179999999999996</v>
      </c>
      <c r="J252" s="291">
        <v>4.4580000000000002</v>
      </c>
      <c r="K252" s="183">
        <f t="shared" si="392"/>
        <v>1.8599999999999994</v>
      </c>
      <c r="L252" s="154">
        <f t="shared" si="393"/>
        <v>0.70560303893637233</v>
      </c>
      <c r="M252" s="98" t="s">
        <v>218</v>
      </c>
      <c r="N252" s="330"/>
      <c r="O252" s="330"/>
      <c r="P252" s="330">
        <f t="shared" si="398"/>
        <v>0</v>
      </c>
      <c r="Q252" s="330"/>
      <c r="R252" s="330"/>
      <c r="S252" s="332" t="e">
        <f t="shared" ref="S252" si="539">+Q252/P252</f>
        <v>#DIV/0!</v>
      </c>
      <c r="T252" s="140"/>
    </row>
    <row r="253" spans="2:20">
      <c r="B253" s="339"/>
      <c r="C253" s="345"/>
      <c r="D253" s="347"/>
      <c r="E253" s="350" t="s">
        <v>399</v>
      </c>
      <c r="F253" s="129" t="s">
        <v>488</v>
      </c>
      <c r="G253" s="172">
        <v>5.2880000000000003</v>
      </c>
      <c r="H253" s="172"/>
      <c r="I253" s="172">
        <f>G253+H253</f>
        <v>5.2880000000000003</v>
      </c>
      <c r="J253" s="291">
        <v>4.589999999999999</v>
      </c>
      <c r="K253" s="183">
        <f t="shared" si="392"/>
        <v>0.69800000000000129</v>
      </c>
      <c r="L253" s="154">
        <f t="shared" si="393"/>
        <v>0.86800302571860788</v>
      </c>
      <c r="M253" s="98" t="s">
        <v>218</v>
      </c>
      <c r="N253" s="330">
        <f>G253+G254</f>
        <v>10.576000000000001</v>
      </c>
      <c r="O253" s="330">
        <f t="shared" ref="O253" si="540">H253+H254</f>
        <v>0</v>
      </c>
      <c r="P253" s="330">
        <f t="shared" si="398"/>
        <v>10.576000000000001</v>
      </c>
      <c r="Q253" s="330">
        <f t="shared" ref="Q253" si="541">J253+J254</f>
        <v>7.4789999999999992</v>
      </c>
      <c r="R253" s="330">
        <f t="shared" ref="R253" si="542">P253-Q253</f>
        <v>3.0970000000000013</v>
      </c>
      <c r="S253" s="332">
        <f t="shared" ref="S253" si="543">Q253/P253</f>
        <v>0.70716717095310122</v>
      </c>
      <c r="T253" s="140"/>
    </row>
    <row r="254" spans="2:20">
      <c r="B254" s="339"/>
      <c r="C254" s="345"/>
      <c r="D254" s="347"/>
      <c r="E254" s="350"/>
      <c r="F254" s="129" t="s">
        <v>10</v>
      </c>
      <c r="G254" s="172">
        <v>5.2880000000000003</v>
      </c>
      <c r="H254" s="172"/>
      <c r="I254" s="172">
        <f>K253+G254+H254</f>
        <v>5.9860000000000015</v>
      </c>
      <c r="J254" s="291">
        <v>2.8889999999999998</v>
      </c>
      <c r="K254" s="183">
        <f t="shared" si="392"/>
        <v>3.0970000000000018</v>
      </c>
      <c r="L254" s="154">
        <f t="shared" si="393"/>
        <v>0.48262612763113916</v>
      </c>
      <c r="M254" s="98" t="s">
        <v>218</v>
      </c>
      <c r="N254" s="330"/>
      <c r="O254" s="330"/>
      <c r="P254" s="330">
        <f t="shared" si="398"/>
        <v>0</v>
      </c>
      <c r="Q254" s="330"/>
      <c r="R254" s="330"/>
      <c r="S254" s="332" t="e">
        <f t="shared" ref="S254" si="544">+Q254/P254</f>
        <v>#DIV/0!</v>
      </c>
      <c r="T254" s="140"/>
    </row>
    <row r="255" spans="2:20">
      <c r="B255" s="339"/>
      <c r="C255" s="345"/>
      <c r="D255" s="347"/>
      <c r="E255" s="350" t="s">
        <v>400</v>
      </c>
      <c r="F255" s="129" t="s">
        <v>488</v>
      </c>
      <c r="G255" s="172">
        <v>7.9390000000000001</v>
      </c>
      <c r="H255" s="172"/>
      <c r="I255" s="172">
        <f>G255+H255</f>
        <v>7.9390000000000001</v>
      </c>
      <c r="J255" s="291">
        <v>6.0480000000000009</v>
      </c>
      <c r="K255" s="183">
        <f t="shared" si="392"/>
        <v>1.8909999999999991</v>
      </c>
      <c r="L255" s="154">
        <f t="shared" si="393"/>
        <v>0.76180879203929974</v>
      </c>
      <c r="M255" s="176" t="s">
        <v>218</v>
      </c>
      <c r="N255" s="330">
        <f>G255+G256</f>
        <v>10.586</v>
      </c>
      <c r="O255" s="330">
        <f t="shared" ref="O255" si="545">H255+H256</f>
        <v>0</v>
      </c>
      <c r="P255" s="330">
        <f t="shared" si="398"/>
        <v>10.586</v>
      </c>
      <c r="Q255" s="330">
        <f t="shared" ref="Q255" si="546">J255+J256</f>
        <v>9.2880000000000003</v>
      </c>
      <c r="R255" s="330">
        <f t="shared" ref="R255" si="547">P255-Q255</f>
        <v>1.298</v>
      </c>
      <c r="S255" s="332">
        <f t="shared" ref="S255" si="548">Q255/P255</f>
        <v>0.87738522576988476</v>
      </c>
      <c r="T255" s="140"/>
    </row>
    <row r="256" spans="2:20">
      <c r="B256" s="339"/>
      <c r="C256" s="345"/>
      <c r="D256" s="347"/>
      <c r="E256" s="350"/>
      <c r="F256" s="129" t="s">
        <v>10</v>
      </c>
      <c r="G256" s="172">
        <v>2.6469999999999998</v>
      </c>
      <c r="H256" s="172"/>
      <c r="I256" s="172">
        <f>K255+G256+H256</f>
        <v>4.5379999999999985</v>
      </c>
      <c r="J256" s="291">
        <v>3.24</v>
      </c>
      <c r="K256" s="183">
        <f t="shared" si="392"/>
        <v>1.2979999999999983</v>
      </c>
      <c r="L256" s="154">
        <f t="shared" si="393"/>
        <v>0.71397091229616605</v>
      </c>
      <c r="M256" s="98" t="s">
        <v>218</v>
      </c>
      <c r="N256" s="330"/>
      <c r="O256" s="330"/>
      <c r="P256" s="330">
        <f t="shared" si="398"/>
        <v>0</v>
      </c>
      <c r="Q256" s="330"/>
      <c r="R256" s="330"/>
      <c r="S256" s="332" t="e">
        <f t="shared" ref="S256" si="549">+Q256/P256</f>
        <v>#DIV/0!</v>
      </c>
      <c r="T256" s="140"/>
    </row>
    <row r="257" spans="2:20">
      <c r="B257" s="339"/>
      <c r="C257" s="345"/>
      <c r="D257" s="347"/>
      <c r="E257" s="350" t="s">
        <v>401</v>
      </c>
      <c r="F257" s="129" t="s">
        <v>488</v>
      </c>
      <c r="G257" s="172">
        <v>5.2869999999999999</v>
      </c>
      <c r="H257" s="172"/>
      <c r="I257" s="172">
        <f>G257+H257</f>
        <v>5.2869999999999999</v>
      </c>
      <c r="J257" s="291">
        <v>3.0779999999999998</v>
      </c>
      <c r="K257" s="183">
        <f t="shared" si="392"/>
        <v>2.2090000000000001</v>
      </c>
      <c r="L257" s="154">
        <f t="shared" si="393"/>
        <v>0.58218271231322105</v>
      </c>
      <c r="M257" s="98" t="s">
        <v>218</v>
      </c>
      <c r="N257" s="330">
        <f>G257+G258</f>
        <v>10.574</v>
      </c>
      <c r="O257" s="330">
        <f t="shared" ref="O257" si="550">H257+H258</f>
        <v>0</v>
      </c>
      <c r="P257" s="330">
        <f t="shared" si="398"/>
        <v>10.574</v>
      </c>
      <c r="Q257" s="330">
        <f t="shared" ref="Q257" si="551">J257+J258</f>
        <v>6.399</v>
      </c>
      <c r="R257" s="330">
        <f t="shared" ref="R257" si="552">P257-Q257</f>
        <v>4.1749999999999998</v>
      </c>
      <c r="S257" s="332">
        <f t="shared" ref="S257" si="553">Q257/P257</f>
        <v>0.6051636088519009</v>
      </c>
      <c r="T257" s="140"/>
    </row>
    <row r="258" spans="2:20">
      <c r="B258" s="339"/>
      <c r="C258" s="345"/>
      <c r="D258" s="347"/>
      <c r="E258" s="350"/>
      <c r="F258" s="129" t="s">
        <v>10</v>
      </c>
      <c r="G258" s="172">
        <v>5.2869999999999999</v>
      </c>
      <c r="H258" s="172"/>
      <c r="I258" s="172">
        <f>K257+G258+H258</f>
        <v>7.4960000000000004</v>
      </c>
      <c r="J258" s="291">
        <v>3.3210000000000002</v>
      </c>
      <c r="K258" s="183">
        <f t="shared" si="392"/>
        <v>4.1750000000000007</v>
      </c>
      <c r="L258" s="154">
        <f t="shared" si="393"/>
        <v>0.44303628601921025</v>
      </c>
      <c r="M258" s="98" t="s">
        <v>218</v>
      </c>
      <c r="N258" s="330"/>
      <c r="O258" s="330"/>
      <c r="P258" s="330">
        <f t="shared" si="398"/>
        <v>0</v>
      </c>
      <c r="Q258" s="330"/>
      <c r="R258" s="330"/>
      <c r="S258" s="332" t="e">
        <f t="shared" ref="S258" si="554">+Q258/P258</f>
        <v>#DIV/0!</v>
      </c>
      <c r="T258" s="140"/>
    </row>
    <row r="259" spans="2:20">
      <c r="B259" s="339"/>
      <c r="C259" s="345"/>
      <c r="D259" s="347"/>
      <c r="E259" s="350" t="s">
        <v>402</v>
      </c>
      <c r="F259" s="129" t="s">
        <v>488</v>
      </c>
      <c r="G259" s="172">
        <v>5.2930000000000001</v>
      </c>
      <c r="H259" s="172"/>
      <c r="I259" s="172">
        <f>G259+H259</f>
        <v>5.2930000000000001</v>
      </c>
      <c r="J259" s="291">
        <v>6.5610000000000044</v>
      </c>
      <c r="K259" s="183">
        <f t="shared" ref="K259:K314" si="555">I259-J259</f>
        <v>-1.2680000000000042</v>
      </c>
      <c r="L259" s="154">
        <f t="shared" ref="L259:L314" si="556">J259/I259</f>
        <v>1.2395616852446636</v>
      </c>
      <c r="M259" s="98" t="s">
        <v>218</v>
      </c>
      <c r="N259" s="330">
        <f>G259+G260</f>
        <v>10.586</v>
      </c>
      <c r="O259" s="330">
        <f t="shared" ref="O259" si="557">H259+H260</f>
        <v>0</v>
      </c>
      <c r="P259" s="330">
        <f t="shared" si="398"/>
        <v>10.586</v>
      </c>
      <c r="Q259" s="330">
        <f t="shared" ref="Q259" si="558">J259+J260</f>
        <v>8.6670000000000051</v>
      </c>
      <c r="R259" s="330">
        <f t="shared" ref="R259" si="559">P259-Q259</f>
        <v>1.9189999999999952</v>
      </c>
      <c r="S259" s="332">
        <f t="shared" ref="S259" si="560">Q259/P259</f>
        <v>0.81872284148875918</v>
      </c>
      <c r="T259" s="140"/>
    </row>
    <row r="260" spans="2:20">
      <c r="B260" s="339"/>
      <c r="C260" s="345"/>
      <c r="D260" s="347"/>
      <c r="E260" s="350"/>
      <c r="F260" s="129" t="s">
        <v>10</v>
      </c>
      <c r="G260" s="172">
        <v>5.2930000000000001</v>
      </c>
      <c r="H260" s="172"/>
      <c r="I260" s="172">
        <f>K259+G260+H260</f>
        <v>4.0249999999999959</v>
      </c>
      <c r="J260" s="291">
        <v>2.1059999999999999</v>
      </c>
      <c r="K260" s="183">
        <f t="shared" si="555"/>
        <v>1.918999999999996</v>
      </c>
      <c r="L260" s="154">
        <f t="shared" si="556"/>
        <v>0.52322981366459675</v>
      </c>
      <c r="M260" s="98" t="s">
        <v>218</v>
      </c>
      <c r="N260" s="330"/>
      <c r="O260" s="330"/>
      <c r="P260" s="330">
        <f t="shared" ref="P260:P314" si="561">+N260+O260</f>
        <v>0</v>
      </c>
      <c r="Q260" s="330"/>
      <c r="R260" s="330"/>
      <c r="S260" s="332" t="e">
        <f t="shared" ref="S260" si="562">+Q260/P260</f>
        <v>#DIV/0!</v>
      </c>
      <c r="T260" s="140"/>
    </row>
    <row r="261" spans="2:20">
      <c r="B261" s="339"/>
      <c r="C261" s="345"/>
      <c r="D261" s="347"/>
      <c r="E261" s="350" t="s">
        <v>403</v>
      </c>
      <c r="F261" s="129" t="s">
        <v>488</v>
      </c>
      <c r="G261" s="172">
        <v>5.2910000000000004</v>
      </c>
      <c r="H261" s="172"/>
      <c r="I261" s="172">
        <f>G261+H261</f>
        <v>5.2910000000000004</v>
      </c>
      <c r="J261" s="291">
        <v>6.2910000000000004</v>
      </c>
      <c r="K261" s="183">
        <f t="shared" si="555"/>
        <v>-1</v>
      </c>
      <c r="L261" s="154">
        <f t="shared" si="556"/>
        <v>1.1890001890001889</v>
      </c>
      <c r="M261" s="176">
        <v>44259</v>
      </c>
      <c r="N261" s="330">
        <f>G261+G262</f>
        <v>10.582000000000001</v>
      </c>
      <c r="O261" s="330">
        <f t="shared" ref="O261" si="563">H261+H262</f>
        <v>0</v>
      </c>
      <c r="P261" s="330">
        <f t="shared" si="561"/>
        <v>10.582000000000001</v>
      </c>
      <c r="Q261" s="330">
        <f t="shared" ref="Q261" si="564">J261+J262</f>
        <v>9.8279999999999994</v>
      </c>
      <c r="R261" s="330">
        <f t="shared" ref="R261" si="565">P261-Q261</f>
        <v>0.75400000000000134</v>
      </c>
      <c r="S261" s="332">
        <f t="shared" ref="S261" si="566">Q261/P261</f>
        <v>0.92874692874692866</v>
      </c>
      <c r="T261" s="140"/>
    </row>
    <row r="262" spans="2:20">
      <c r="B262" s="339"/>
      <c r="C262" s="345"/>
      <c r="D262" s="347"/>
      <c r="E262" s="350"/>
      <c r="F262" s="129" t="s">
        <v>10</v>
      </c>
      <c r="G262" s="172">
        <v>5.2910000000000004</v>
      </c>
      <c r="H262" s="172"/>
      <c r="I262" s="172">
        <f>K261+G262+H262</f>
        <v>4.2910000000000004</v>
      </c>
      <c r="J262" s="291">
        <v>3.5369999999999999</v>
      </c>
      <c r="K262" s="183">
        <f t="shared" si="555"/>
        <v>0.75400000000000045</v>
      </c>
      <c r="L262" s="154">
        <f t="shared" si="556"/>
        <v>0.8242833838266137</v>
      </c>
      <c r="M262" s="98" t="s">
        <v>218</v>
      </c>
      <c r="N262" s="330"/>
      <c r="O262" s="330"/>
      <c r="P262" s="330">
        <f t="shared" si="561"/>
        <v>0</v>
      </c>
      <c r="Q262" s="330"/>
      <c r="R262" s="330"/>
      <c r="S262" s="332" t="e">
        <f t="shared" ref="S262" si="567">+Q262/P262</f>
        <v>#DIV/0!</v>
      </c>
      <c r="T262" s="140"/>
    </row>
    <row r="263" spans="2:20">
      <c r="B263" s="339"/>
      <c r="C263" s="345"/>
      <c r="D263" s="347"/>
      <c r="E263" s="350" t="s">
        <v>404</v>
      </c>
      <c r="F263" s="129" t="s">
        <v>488</v>
      </c>
      <c r="G263" s="172">
        <v>5.2919999999999998</v>
      </c>
      <c r="H263" s="172"/>
      <c r="I263" s="172">
        <f>G263+H263</f>
        <v>5.2919999999999998</v>
      </c>
      <c r="J263" s="291">
        <v>3.9690000000000012</v>
      </c>
      <c r="K263" s="183">
        <f t="shared" si="555"/>
        <v>1.3229999999999986</v>
      </c>
      <c r="L263" s="154">
        <f t="shared" si="556"/>
        <v>0.75000000000000022</v>
      </c>
      <c r="M263" s="98" t="s">
        <v>218</v>
      </c>
      <c r="N263" s="330">
        <f>G263+G264</f>
        <v>10.584</v>
      </c>
      <c r="O263" s="330">
        <f t="shared" ref="O263" si="568">H263+H264</f>
        <v>0</v>
      </c>
      <c r="P263" s="330">
        <f t="shared" si="561"/>
        <v>10.584</v>
      </c>
      <c r="Q263" s="330">
        <f t="shared" ref="Q263" si="569">J263+J264</f>
        <v>8.463000000000001</v>
      </c>
      <c r="R263" s="330">
        <f t="shared" ref="R263" si="570">P263-Q263</f>
        <v>2.1209999999999987</v>
      </c>
      <c r="S263" s="332">
        <f t="shared" ref="S263" si="571">Q263/P263</f>
        <v>0.79960317460317476</v>
      </c>
      <c r="T263" s="140"/>
    </row>
    <row r="264" spans="2:20">
      <c r="B264" s="339"/>
      <c r="C264" s="345"/>
      <c r="D264" s="347"/>
      <c r="E264" s="350"/>
      <c r="F264" s="129" t="s">
        <v>10</v>
      </c>
      <c r="G264" s="172">
        <v>5.2919999999999998</v>
      </c>
      <c r="H264" s="172"/>
      <c r="I264" s="172">
        <f>K263+G264+H264</f>
        <v>6.6149999999999984</v>
      </c>
      <c r="J264" s="291">
        <v>4.4939999999999998</v>
      </c>
      <c r="K264" s="183">
        <f t="shared" si="555"/>
        <v>2.1209999999999987</v>
      </c>
      <c r="L264" s="154">
        <f t="shared" si="556"/>
        <v>0.67936507936507951</v>
      </c>
      <c r="M264" s="98" t="s">
        <v>218</v>
      </c>
      <c r="N264" s="330"/>
      <c r="O264" s="330"/>
      <c r="P264" s="330">
        <f t="shared" si="561"/>
        <v>0</v>
      </c>
      <c r="Q264" s="330"/>
      <c r="R264" s="330"/>
      <c r="S264" s="332" t="e">
        <f t="shared" ref="S264" si="572">+Q264/P264</f>
        <v>#DIV/0!</v>
      </c>
      <c r="T264" s="140"/>
    </row>
    <row r="265" spans="2:20">
      <c r="B265" s="339"/>
      <c r="C265" s="345"/>
      <c r="D265" s="347"/>
      <c r="E265" s="350" t="s">
        <v>405</v>
      </c>
      <c r="F265" s="129" t="s">
        <v>488</v>
      </c>
      <c r="G265" s="172">
        <v>5.2910000000000004</v>
      </c>
      <c r="H265" s="172"/>
      <c r="I265" s="172">
        <f>G265+H265</f>
        <v>5.2910000000000004</v>
      </c>
      <c r="J265" s="291">
        <v>2.6190000000000002</v>
      </c>
      <c r="K265" s="183">
        <f t="shared" si="555"/>
        <v>2.6720000000000002</v>
      </c>
      <c r="L265" s="154">
        <f t="shared" si="556"/>
        <v>0.49499149499149497</v>
      </c>
      <c r="M265" s="98" t="s">
        <v>218</v>
      </c>
      <c r="N265" s="330">
        <f>G265+G266</f>
        <v>10.582000000000001</v>
      </c>
      <c r="O265" s="330">
        <f t="shared" ref="O265" si="573">H265+H266</f>
        <v>0</v>
      </c>
      <c r="P265" s="330">
        <f t="shared" si="561"/>
        <v>10.582000000000001</v>
      </c>
      <c r="Q265" s="330">
        <f t="shared" ref="Q265" si="574">J265+J266</f>
        <v>7.2110000000000003</v>
      </c>
      <c r="R265" s="330">
        <f t="shared" ref="R265" si="575">P265-Q265</f>
        <v>3.3710000000000004</v>
      </c>
      <c r="S265" s="332">
        <f t="shared" ref="S265" si="576">Q265/P265</f>
        <v>0.68144018144018137</v>
      </c>
      <c r="T265" s="140"/>
    </row>
    <row r="266" spans="2:20">
      <c r="B266" s="339"/>
      <c r="C266" s="345"/>
      <c r="D266" s="347"/>
      <c r="E266" s="350"/>
      <c r="F266" s="129" t="s">
        <v>10</v>
      </c>
      <c r="G266" s="172">
        <v>5.2910000000000004</v>
      </c>
      <c r="H266" s="172"/>
      <c r="I266" s="172">
        <f>K265+G266+H266</f>
        <v>7.963000000000001</v>
      </c>
      <c r="J266" s="291">
        <v>4.5920000000000005</v>
      </c>
      <c r="K266" s="183">
        <f t="shared" si="555"/>
        <v>3.3710000000000004</v>
      </c>
      <c r="L266" s="154">
        <f t="shared" si="556"/>
        <v>0.57666708526937083</v>
      </c>
      <c r="M266" s="98" t="s">
        <v>218</v>
      </c>
      <c r="N266" s="330"/>
      <c r="O266" s="330"/>
      <c r="P266" s="330">
        <f t="shared" si="561"/>
        <v>0</v>
      </c>
      <c r="Q266" s="330"/>
      <c r="R266" s="330"/>
      <c r="S266" s="332" t="e">
        <f t="shared" ref="S266" si="577">+Q266/P266</f>
        <v>#DIV/0!</v>
      </c>
      <c r="T266" s="140"/>
    </row>
    <row r="267" spans="2:20">
      <c r="B267" s="339"/>
      <c r="C267" s="345"/>
      <c r="D267" s="347"/>
      <c r="E267" s="350" t="s">
        <v>601</v>
      </c>
      <c r="F267" s="129" t="s">
        <v>488</v>
      </c>
      <c r="G267" s="172">
        <v>7.9480000000000004</v>
      </c>
      <c r="H267" s="172"/>
      <c r="I267" s="172">
        <f>G267+H267</f>
        <v>7.9480000000000004</v>
      </c>
      <c r="J267" s="291">
        <v>5.2919999999999972</v>
      </c>
      <c r="K267" s="183">
        <f t="shared" si="555"/>
        <v>2.6560000000000032</v>
      </c>
      <c r="L267" s="154">
        <f t="shared" si="556"/>
        <v>0.66582788122798153</v>
      </c>
      <c r="M267" s="176" t="s">
        <v>218</v>
      </c>
      <c r="N267" s="330">
        <f>G267+G268</f>
        <v>10.598000000000001</v>
      </c>
      <c r="O267" s="330">
        <f t="shared" ref="O267" si="578">H267+H268</f>
        <v>0</v>
      </c>
      <c r="P267" s="330">
        <f t="shared" si="561"/>
        <v>10.598000000000001</v>
      </c>
      <c r="Q267" s="330">
        <f t="shared" ref="Q267" si="579">J267+J268</f>
        <v>8.1809999999999974</v>
      </c>
      <c r="R267" s="330">
        <f t="shared" ref="R267" si="580">P267-Q267</f>
        <v>2.4170000000000034</v>
      </c>
      <c r="S267" s="332">
        <f t="shared" ref="S267" si="581">Q267/P267</f>
        <v>0.77193810152858999</v>
      </c>
      <c r="T267" s="140"/>
    </row>
    <row r="268" spans="2:20">
      <c r="B268" s="339"/>
      <c r="C268" s="345"/>
      <c r="D268" s="347"/>
      <c r="E268" s="350"/>
      <c r="F268" s="129" t="s">
        <v>10</v>
      </c>
      <c r="G268" s="172">
        <v>2.65</v>
      </c>
      <c r="H268" s="172"/>
      <c r="I268" s="172">
        <f>K267+G268+H268</f>
        <v>5.3060000000000027</v>
      </c>
      <c r="J268" s="291">
        <v>2.8889999999999998</v>
      </c>
      <c r="K268" s="183">
        <f t="shared" si="555"/>
        <v>2.4170000000000029</v>
      </c>
      <c r="L268" s="154">
        <f t="shared" si="556"/>
        <v>0.54447794949114181</v>
      </c>
      <c r="M268" s="98" t="s">
        <v>218</v>
      </c>
      <c r="N268" s="330"/>
      <c r="O268" s="330"/>
      <c r="P268" s="330">
        <f t="shared" si="561"/>
        <v>0</v>
      </c>
      <c r="Q268" s="330"/>
      <c r="R268" s="330"/>
      <c r="S268" s="332" t="e">
        <f t="shared" ref="S268" si="582">+Q268/P268</f>
        <v>#DIV/0!</v>
      </c>
      <c r="T268" s="140"/>
    </row>
    <row r="269" spans="2:20">
      <c r="B269" s="339"/>
      <c r="C269" s="345"/>
      <c r="D269" s="347"/>
      <c r="E269" s="350" t="s">
        <v>478</v>
      </c>
      <c r="F269" s="129" t="s">
        <v>488</v>
      </c>
      <c r="G269" s="172">
        <v>5.2930000000000001</v>
      </c>
      <c r="H269" s="172"/>
      <c r="I269" s="172">
        <f>G269+H269</f>
        <v>5.2930000000000001</v>
      </c>
      <c r="J269" s="289">
        <v>0.29700000000000004</v>
      </c>
      <c r="K269" s="183">
        <f t="shared" si="555"/>
        <v>4.9960000000000004</v>
      </c>
      <c r="L269" s="154">
        <f t="shared" si="556"/>
        <v>5.6111845834120544E-2</v>
      </c>
      <c r="M269" s="98" t="s">
        <v>218</v>
      </c>
      <c r="N269" s="330">
        <f>G269+G270</f>
        <v>10.586</v>
      </c>
      <c r="O269" s="330">
        <f t="shared" ref="O269" si="583">H269+H270</f>
        <v>0</v>
      </c>
      <c r="P269" s="330">
        <f t="shared" si="561"/>
        <v>10.586</v>
      </c>
      <c r="Q269" s="330">
        <f t="shared" ref="Q269" si="584">J269+J270</f>
        <v>0.29700000000000004</v>
      </c>
      <c r="R269" s="330">
        <f t="shared" ref="R269" si="585">P269-Q269</f>
        <v>10.289</v>
      </c>
      <c r="S269" s="332">
        <f t="shared" ref="S269" si="586">Q269/P269</f>
        <v>2.8055922917060272E-2</v>
      </c>
      <c r="T269" s="140"/>
    </row>
    <row r="270" spans="2:20">
      <c r="B270" s="339"/>
      <c r="C270" s="345"/>
      <c r="D270" s="347"/>
      <c r="E270" s="350"/>
      <c r="F270" s="129" t="s">
        <v>10</v>
      </c>
      <c r="G270" s="172">
        <v>5.2930000000000001</v>
      </c>
      <c r="H270" s="172"/>
      <c r="I270" s="172">
        <f>K269+G270+H270</f>
        <v>10.289000000000001</v>
      </c>
      <c r="J270" s="289"/>
      <c r="K270" s="183">
        <f t="shared" si="555"/>
        <v>10.289000000000001</v>
      </c>
      <c r="L270" s="154">
        <f t="shared" si="556"/>
        <v>0</v>
      </c>
      <c r="M270" s="98" t="s">
        <v>218</v>
      </c>
      <c r="N270" s="330"/>
      <c r="O270" s="330"/>
      <c r="P270" s="330">
        <f t="shared" si="561"/>
        <v>0</v>
      </c>
      <c r="Q270" s="330"/>
      <c r="R270" s="330"/>
      <c r="S270" s="332" t="e">
        <f t="shared" ref="S270" si="587">+Q270/P270</f>
        <v>#DIV/0!</v>
      </c>
      <c r="T270" s="140"/>
    </row>
    <row r="271" spans="2:20">
      <c r="B271" s="339"/>
      <c r="C271" s="345"/>
      <c r="D271" s="347"/>
      <c r="E271" s="350" t="s">
        <v>406</v>
      </c>
      <c r="F271" s="129" t="s">
        <v>488</v>
      </c>
      <c r="G271" s="172">
        <v>5.29</v>
      </c>
      <c r="H271" s="172"/>
      <c r="I271" s="172">
        <f>G271+H271</f>
        <v>5.29</v>
      </c>
      <c r="J271" s="291">
        <v>4.32</v>
      </c>
      <c r="K271" s="183">
        <f t="shared" si="555"/>
        <v>0.96999999999999975</v>
      </c>
      <c r="L271" s="154">
        <f t="shared" si="556"/>
        <v>0.81663516068052933</v>
      </c>
      <c r="M271" s="98" t="s">
        <v>218</v>
      </c>
      <c r="N271" s="330">
        <f>G271+G272</f>
        <v>10.58</v>
      </c>
      <c r="O271" s="330">
        <f t="shared" ref="O271" si="588">H271+H272</f>
        <v>0</v>
      </c>
      <c r="P271" s="330">
        <f t="shared" si="561"/>
        <v>10.58</v>
      </c>
      <c r="Q271" s="330">
        <f t="shared" ref="Q271" si="589">J271+J272</f>
        <v>8.2350000000000012</v>
      </c>
      <c r="R271" s="330">
        <f t="shared" ref="R271" si="590">P271-Q271</f>
        <v>2.3449999999999989</v>
      </c>
      <c r="S271" s="332">
        <f t="shared" ref="S271" si="591">Q271/P271</f>
        <v>0.77835538752362965</v>
      </c>
      <c r="T271" s="140"/>
    </row>
    <row r="272" spans="2:20">
      <c r="B272" s="339"/>
      <c r="C272" s="345"/>
      <c r="D272" s="347"/>
      <c r="E272" s="350"/>
      <c r="F272" s="129" t="s">
        <v>10</v>
      </c>
      <c r="G272" s="172">
        <v>5.29</v>
      </c>
      <c r="H272" s="172"/>
      <c r="I272" s="172">
        <f>K271+G272+H272</f>
        <v>6.26</v>
      </c>
      <c r="J272" s="291">
        <v>3.9150000000000005</v>
      </c>
      <c r="K272" s="183">
        <f t="shared" si="555"/>
        <v>2.3449999999999993</v>
      </c>
      <c r="L272" s="154">
        <f t="shared" si="556"/>
        <v>0.62539936102236426</v>
      </c>
      <c r="M272" s="98" t="s">
        <v>218</v>
      </c>
      <c r="N272" s="330"/>
      <c r="O272" s="330"/>
      <c r="P272" s="330">
        <f t="shared" si="561"/>
        <v>0</v>
      </c>
      <c r="Q272" s="330"/>
      <c r="R272" s="330"/>
      <c r="S272" s="332" t="e">
        <f t="shared" ref="S272" si="592">+Q272/P272</f>
        <v>#DIV/0!</v>
      </c>
      <c r="T272" s="140"/>
    </row>
    <row r="273" spans="2:20">
      <c r="B273" s="339"/>
      <c r="C273" s="345"/>
      <c r="D273" s="347" t="s">
        <v>627</v>
      </c>
      <c r="E273" s="344" t="s">
        <v>407</v>
      </c>
      <c r="F273" s="129" t="s">
        <v>488</v>
      </c>
      <c r="G273" s="172">
        <v>5.2910000000000004</v>
      </c>
      <c r="H273" s="172"/>
      <c r="I273" s="172">
        <f>G273+H273</f>
        <v>5.2910000000000004</v>
      </c>
      <c r="J273" s="291">
        <v>3.15</v>
      </c>
      <c r="K273" s="183">
        <f t="shared" si="555"/>
        <v>2.1410000000000005</v>
      </c>
      <c r="L273" s="154">
        <f t="shared" si="556"/>
        <v>0.59535059535059531</v>
      </c>
      <c r="M273" s="98" t="s">
        <v>218</v>
      </c>
      <c r="N273" s="330">
        <f>G273+G274</f>
        <v>10.582000000000001</v>
      </c>
      <c r="O273" s="330">
        <f t="shared" ref="O273" si="593">H273+H274</f>
        <v>0</v>
      </c>
      <c r="P273" s="330">
        <f t="shared" si="561"/>
        <v>10.582000000000001</v>
      </c>
      <c r="Q273" s="330">
        <f t="shared" ref="Q273" si="594">J273+J274</f>
        <v>4.6500000000000004</v>
      </c>
      <c r="R273" s="330">
        <f t="shared" ref="R273" si="595">P273-Q273</f>
        <v>5.9320000000000004</v>
      </c>
      <c r="S273" s="332">
        <f t="shared" ref="S273" si="596">Q273/P273</f>
        <v>0.43942543942543943</v>
      </c>
      <c r="T273" s="140"/>
    </row>
    <row r="274" spans="2:20">
      <c r="B274" s="339"/>
      <c r="C274" s="345"/>
      <c r="D274" s="347"/>
      <c r="E274" s="344"/>
      <c r="F274" s="129" t="s">
        <v>10</v>
      </c>
      <c r="G274" s="172">
        <v>5.2910000000000004</v>
      </c>
      <c r="H274" s="172"/>
      <c r="I274" s="172">
        <f>K273+G274+H274</f>
        <v>7.4320000000000004</v>
      </c>
      <c r="J274" s="291">
        <v>1.5</v>
      </c>
      <c r="K274" s="183">
        <f t="shared" si="555"/>
        <v>5.9320000000000004</v>
      </c>
      <c r="L274" s="154">
        <f t="shared" si="556"/>
        <v>0.20182992465016145</v>
      </c>
      <c r="M274" s="98" t="s">
        <v>218</v>
      </c>
      <c r="N274" s="330"/>
      <c r="O274" s="330"/>
      <c r="P274" s="330">
        <f t="shared" si="561"/>
        <v>0</v>
      </c>
      <c r="Q274" s="330"/>
      <c r="R274" s="330"/>
      <c r="S274" s="332" t="e">
        <f t="shared" ref="S274" si="597">+Q274/P274</f>
        <v>#DIV/0!</v>
      </c>
      <c r="T274" s="140"/>
    </row>
    <row r="275" spans="2:20">
      <c r="B275" s="339"/>
      <c r="C275" s="345"/>
      <c r="D275" s="347"/>
      <c r="E275" s="344" t="s">
        <v>408</v>
      </c>
      <c r="F275" s="129" t="s">
        <v>488</v>
      </c>
      <c r="G275" s="172">
        <v>7.9370000000000003</v>
      </c>
      <c r="H275" s="172"/>
      <c r="I275" s="172">
        <f>G275+H275</f>
        <v>7.9370000000000003</v>
      </c>
      <c r="J275" s="291">
        <v>5.7310000000000008</v>
      </c>
      <c r="K275" s="183">
        <f t="shared" si="555"/>
        <v>2.2059999999999995</v>
      </c>
      <c r="L275" s="154">
        <f t="shared" si="556"/>
        <v>0.72206123220360341</v>
      </c>
      <c r="M275" s="176" t="s">
        <v>218</v>
      </c>
      <c r="N275" s="330">
        <f>G275+G276</f>
        <v>10.582000000000001</v>
      </c>
      <c r="O275" s="330">
        <f t="shared" ref="O275" si="598">H275+H276</f>
        <v>0</v>
      </c>
      <c r="P275" s="330">
        <f t="shared" si="561"/>
        <v>10.582000000000001</v>
      </c>
      <c r="Q275" s="330">
        <f t="shared" ref="Q275" si="599">J275+J276</f>
        <v>7.4500000000000011</v>
      </c>
      <c r="R275" s="330">
        <f t="shared" ref="R275" si="600">P275-Q275</f>
        <v>3.1319999999999997</v>
      </c>
      <c r="S275" s="332">
        <f t="shared" ref="S275" si="601">Q275/P275</f>
        <v>0.70402570402570408</v>
      </c>
      <c r="T275" s="140"/>
    </row>
    <row r="276" spans="2:20">
      <c r="B276" s="339"/>
      <c r="C276" s="345"/>
      <c r="D276" s="347"/>
      <c r="E276" s="344"/>
      <c r="F276" s="129" t="s">
        <v>10</v>
      </c>
      <c r="G276" s="172">
        <v>2.645</v>
      </c>
      <c r="H276" s="172"/>
      <c r="I276" s="172">
        <f>K275+G276+H276</f>
        <v>4.8509999999999991</v>
      </c>
      <c r="J276" s="291">
        <v>1.7190000000000001</v>
      </c>
      <c r="K276" s="183">
        <f t="shared" si="555"/>
        <v>3.1319999999999988</v>
      </c>
      <c r="L276" s="154">
        <f t="shared" si="556"/>
        <v>0.35435992578849729</v>
      </c>
      <c r="M276" s="98" t="s">
        <v>218</v>
      </c>
      <c r="N276" s="330"/>
      <c r="O276" s="330"/>
      <c r="P276" s="330">
        <f t="shared" si="561"/>
        <v>0</v>
      </c>
      <c r="Q276" s="330"/>
      <c r="R276" s="330"/>
      <c r="S276" s="332" t="e">
        <f t="shared" ref="S276" si="602">+Q276/P276</f>
        <v>#DIV/0!</v>
      </c>
      <c r="T276" s="140"/>
    </row>
    <row r="277" spans="2:20">
      <c r="B277" s="339"/>
      <c r="C277" s="345"/>
      <c r="D277" s="347"/>
      <c r="E277" s="344" t="s">
        <v>409</v>
      </c>
      <c r="F277" s="129" t="s">
        <v>488</v>
      </c>
      <c r="G277" s="172">
        <v>5.2910000000000004</v>
      </c>
      <c r="H277" s="172"/>
      <c r="I277" s="172">
        <f>G277+H277</f>
        <v>5.2910000000000004</v>
      </c>
      <c r="J277" s="291">
        <v>4.43</v>
      </c>
      <c r="K277" s="183">
        <f t="shared" si="555"/>
        <v>0.86100000000000065</v>
      </c>
      <c r="L277" s="154">
        <f t="shared" si="556"/>
        <v>0.83727083727083718</v>
      </c>
      <c r="M277" s="98" t="s">
        <v>218</v>
      </c>
      <c r="N277" s="330">
        <f>G277+G278</f>
        <v>10.582000000000001</v>
      </c>
      <c r="O277" s="330">
        <f t="shared" ref="O277" si="603">H277+H278</f>
        <v>0</v>
      </c>
      <c r="P277" s="330">
        <f t="shared" si="561"/>
        <v>10.582000000000001</v>
      </c>
      <c r="Q277" s="330">
        <f t="shared" ref="Q277" si="604">J277+J278</f>
        <v>5.8599999999999994</v>
      </c>
      <c r="R277" s="330">
        <f t="shared" ref="R277" si="605">P277-Q277</f>
        <v>4.7220000000000013</v>
      </c>
      <c r="S277" s="332">
        <f t="shared" ref="S277" si="606">Q277/P277</f>
        <v>0.55377055377055373</v>
      </c>
      <c r="T277" s="140"/>
    </row>
    <row r="278" spans="2:20">
      <c r="B278" s="339"/>
      <c r="C278" s="345"/>
      <c r="D278" s="347"/>
      <c r="E278" s="344"/>
      <c r="F278" s="129" t="s">
        <v>10</v>
      </c>
      <c r="G278" s="172">
        <v>5.2910000000000004</v>
      </c>
      <c r="H278" s="172"/>
      <c r="I278" s="172">
        <f>K277+G278+H278</f>
        <v>6.152000000000001</v>
      </c>
      <c r="J278" s="291">
        <v>1.4299999999999997</v>
      </c>
      <c r="K278" s="183">
        <f t="shared" si="555"/>
        <v>4.7220000000000013</v>
      </c>
      <c r="L278" s="154">
        <f t="shared" si="556"/>
        <v>0.23244473342002592</v>
      </c>
      <c r="M278" s="98" t="s">
        <v>218</v>
      </c>
      <c r="N278" s="330"/>
      <c r="O278" s="330"/>
      <c r="P278" s="330">
        <f t="shared" si="561"/>
        <v>0</v>
      </c>
      <c r="Q278" s="330"/>
      <c r="R278" s="330"/>
      <c r="S278" s="332" t="e">
        <f t="shared" ref="S278" si="607">+Q278/P278</f>
        <v>#DIV/0!</v>
      </c>
      <c r="T278" s="140"/>
    </row>
    <row r="279" spans="2:20">
      <c r="B279" s="339"/>
      <c r="C279" s="345"/>
      <c r="D279" s="347"/>
      <c r="E279" s="344" t="s">
        <v>493</v>
      </c>
      <c r="F279" s="129" t="s">
        <v>488</v>
      </c>
      <c r="G279" s="172">
        <v>5.2919999999999998</v>
      </c>
      <c r="H279" s="172"/>
      <c r="I279" s="172">
        <f>G279+H279</f>
        <v>5.2919999999999998</v>
      </c>
      <c r="J279" s="291">
        <v>4.8890000000000002</v>
      </c>
      <c r="K279" s="183">
        <f t="shared" si="555"/>
        <v>0.40299999999999958</v>
      </c>
      <c r="L279" s="154">
        <f t="shared" si="556"/>
        <v>0.92384731670445963</v>
      </c>
      <c r="M279" s="98" t="s">
        <v>218</v>
      </c>
      <c r="N279" s="330">
        <f>G279+G280</f>
        <v>10.584</v>
      </c>
      <c r="O279" s="330">
        <f t="shared" ref="O279" si="608">H279+H280</f>
        <v>0</v>
      </c>
      <c r="P279" s="330">
        <f t="shared" si="561"/>
        <v>10.584</v>
      </c>
      <c r="Q279" s="330">
        <f t="shared" ref="Q279" si="609">J279+J280</f>
        <v>8.7899999999999991</v>
      </c>
      <c r="R279" s="330">
        <f t="shared" ref="R279" si="610">P279-Q279</f>
        <v>1.7940000000000005</v>
      </c>
      <c r="S279" s="332">
        <f t="shared" ref="S279" si="611">Q279/P279</f>
        <v>0.83049886621315183</v>
      </c>
      <c r="T279" s="140"/>
    </row>
    <row r="280" spans="2:20">
      <c r="B280" s="339"/>
      <c r="C280" s="345"/>
      <c r="D280" s="347"/>
      <c r="E280" s="344"/>
      <c r="F280" s="129" t="s">
        <v>10</v>
      </c>
      <c r="G280" s="172">
        <v>5.2919999999999998</v>
      </c>
      <c r="H280" s="172"/>
      <c r="I280" s="172">
        <f>K279+G280+H280</f>
        <v>5.6949999999999994</v>
      </c>
      <c r="J280" s="291">
        <v>3.9009999999999998</v>
      </c>
      <c r="K280" s="183">
        <f t="shared" si="555"/>
        <v>1.7939999999999996</v>
      </c>
      <c r="L280" s="154">
        <f t="shared" si="556"/>
        <v>0.68498683055311682</v>
      </c>
      <c r="M280" s="98" t="s">
        <v>218</v>
      </c>
      <c r="N280" s="330"/>
      <c r="O280" s="330"/>
      <c r="P280" s="330">
        <f t="shared" si="561"/>
        <v>0</v>
      </c>
      <c r="Q280" s="330"/>
      <c r="R280" s="330"/>
      <c r="S280" s="332" t="e">
        <f t="shared" ref="S280" si="612">+Q280/P280</f>
        <v>#DIV/0!</v>
      </c>
      <c r="T280" s="140"/>
    </row>
    <row r="281" spans="2:20">
      <c r="B281" s="339"/>
      <c r="C281" s="345"/>
      <c r="D281" s="347"/>
      <c r="E281" s="344" t="s">
        <v>410</v>
      </c>
      <c r="F281" s="129" t="s">
        <v>488</v>
      </c>
      <c r="G281" s="172">
        <v>5.29</v>
      </c>
      <c r="H281" s="172"/>
      <c r="I281" s="172">
        <f>G281+H281</f>
        <v>5.29</v>
      </c>
      <c r="J281" s="291">
        <v>5.09</v>
      </c>
      <c r="K281" s="183">
        <f t="shared" si="555"/>
        <v>0.20000000000000018</v>
      </c>
      <c r="L281" s="154">
        <f t="shared" si="556"/>
        <v>0.96219281663516065</v>
      </c>
      <c r="M281" s="98" t="s">
        <v>218</v>
      </c>
      <c r="N281" s="330">
        <f>G281+G282</f>
        <v>10.58</v>
      </c>
      <c r="O281" s="330">
        <f t="shared" ref="O281" si="613">H281+H282</f>
        <v>0</v>
      </c>
      <c r="P281" s="330">
        <f t="shared" si="561"/>
        <v>10.58</v>
      </c>
      <c r="Q281" s="330">
        <f t="shared" ref="Q281" si="614">J281+J282</f>
        <v>10.603</v>
      </c>
      <c r="R281" s="331">
        <f t="shared" ref="R281" si="615">P281-Q281</f>
        <v>-2.2999999999999687E-2</v>
      </c>
      <c r="S281" s="332">
        <f t="shared" ref="S281" si="616">Q281/P281</f>
        <v>1.0021739130434781</v>
      </c>
      <c r="T281" s="140"/>
    </row>
    <row r="282" spans="2:20">
      <c r="B282" s="339"/>
      <c r="C282" s="345"/>
      <c r="D282" s="347"/>
      <c r="E282" s="344"/>
      <c r="F282" s="129" t="s">
        <v>10</v>
      </c>
      <c r="G282" s="172">
        <v>5.29</v>
      </c>
      <c r="H282" s="172"/>
      <c r="I282" s="172">
        <f>K281+G282+H282</f>
        <v>5.49</v>
      </c>
      <c r="J282" s="291">
        <v>5.5129999999999999</v>
      </c>
      <c r="K282" s="183">
        <f t="shared" si="555"/>
        <v>-2.2999999999999687E-2</v>
      </c>
      <c r="L282" s="154">
        <f t="shared" si="556"/>
        <v>1.0041894353369762</v>
      </c>
      <c r="M282" s="176">
        <v>44560</v>
      </c>
      <c r="N282" s="330"/>
      <c r="O282" s="330"/>
      <c r="P282" s="330">
        <f t="shared" si="561"/>
        <v>0</v>
      </c>
      <c r="Q282" s="330"/>
      <c r="R282" s="331"/>
      <c r="S282" s="332" t="e">
        <f t="shared" ref="S282" si="617">+Q282/P282</f>
        <v>#DIV/0!</v>
      </c>
      <c r="T282" s="140"/>
    </row>
    <row r="283" spans="2:20">
      <c r="B283" s="339"/>
      <c r="C283" s="345"/>
      <c r="D283" s="347"/>
      <c r="E283" s="344" t="s">
        <v>602</v>
      </c>
      <c r="F283" s="129" t="s">
        <v>488</v>
      </c>
      <c r="G283" s="172">
        <v>5.2919999999999998</v>
      </c>
      <c r="H283" s="172"/>
      <c r="I283" s="172">
        <f>G283+H283</f>
        <v>5.2919999999999998</v>
      </c>
      <c r="J283" s="291">
        <v>2.2050000000000001</v>
      </c>
      <c r="K283" s="183">
        <f t="shared" si="555"/>
        <v>3.0869999999999997</v>
      </c>
      <c r="L283" s="154">
        <f t="shared" si="556"/>
        <v>0.41666666666666669</v>
      </c>
      <c r="M283" s="98" t="s">
        <v>218</v>
      </c>
      <c r="N283" s="330">
        <f>G283+G284</f>
        <v>10.584</v>
      </c>
      <c r="O283" s="330">
        <f t="shared" ref="O283" si="618">H283+H284</f>
        <v>0</v>
      </c>
      <c r="P283" s="330">
        <f t="shared" si="561"/>
        <v>10.584</v>
      </c>
      <c r="Q283" s="330">
        <f t="shared" ref="Q283" si="619">J283+J284</f>
        <v>7.6</v>
      </c>
      <c r="R283" s="330">
        <f t="shared" ref="R283" si="620">P283-Q283</f>
        <v>2.984</v>
      </c>
      <c r="S283" s="332">
        <f t="shared" ref="S283" si="621">Q283/P283</f>
        <v>0.7180650037792895</v>
      </c>
      <c r="T283" s="140"/>
    </row>
    <row r="284" spans="2:20">
      <c r="B284" s="339"/>
      <c r="C284" s="345"/>
      <c r="D284" s="347"/>
      <c r="E284" s="344"/>
      <c r="F284" s="129" t="s">
        <v>10</v>
      </c>
      <c r="G284" s="172">
        <v>5.2919999999999998</v>
      </c>
      <c r="H284" s="172"/>
      <c r="I284" s="172">
        <f>K283+G284+H284</f>
        <v>8.3789999999999996</v>
      </c>
      <c r="J284" s="291">
        <v>5.3949999999999996</v>
      </c>
      <c r="K284" s="183">
        <f t="shared" si="555"/>
        <v>2.984</v>
      </c>
      <c r="L284" s="154">
        <f t="shared" si="556"/>
        <v>0.64387158372120779</v>
      </c>
      <c r="M284" s="98" t="s">
        <v>218</v>
      </c>
      <c r="N284" s="330"/>
      <c r="O284" s="330"/>
      <c r="P284" s="330">
        <f t="shared" si="561"/>
        <v>0</v>
      </c>
      <c r="Q284" s="330"/>
      <c r="R284" s="330"/>
      <c r="S284" s="332" t="e">
        <f t="shared" ref="S284" si="622">+Q284/P284</f>
        <v>#DIV/0!</v>
      </c>
      <c r="T284" s="140"/>
    </row>
    <row r="285" spans="2:20">
      <c r="B285" s="339"/>
      <c r="C285" s="345"/>
      <c r="D285" s="347"/>
      <c r="E285" s="344" t="s">
        <v>603</v>
      </c>
      <c r="F285" s="129" t="s">
        <v>488</v>
      </c>
      <c r="G285" s="172">
        <v>5.2910000000000004</v>
      </c>
      <c r="H285" s="172"/>
      <c r="I285" s="172">
        <f>G285+H285</f>
        <v>5.2910000000000004</v>
      </c>
      <c r="J285" s="291">
        <v>4.9650000000000007</v>
      </c>
      <c r="K285" s="183">
        <f t="shared" si="555"/>
        <v>0.32599999999999962</v>
      </c>
      <c r="L285" s="154">
        <f t="shared" si="556"/>
        <v>0.93838593838593842</v>
      </c>
      <c r="M285" s="98" t="s">
        <v>218</v>
      </c>
      <c r="N285" s="330">
        <f>G285+G286</f>
        <v>10.582000000000001</v>
      </c>
      <c r="O285" s="330">
        <f t="shared" ref="O285" si="623">H285+H286</f>
        <v>0</v>
      </c>
      <c r="P285" s="330">
        <f>+N285+O285</f>
        <v>10.582000000000001</v>
      </c>
      <c r="Q285" s="330">
        <f>J285+J286</f>
        <v>6.9050000000000011</v>
      </c>
      <c r="R285" s="330">
        <f t="shared" ref="R285" si="624">P285-Q285</f>
        <v>3.6769999999999996</v>
      </c>
      <c r="S285" s="332">
        <f t="shared" ref="S285" si="625">Q285/P285</f>
        <v>0.65252315252315263</v>
      </c>
      <c r="T285" s="140"/>
    </row>
    <row r="286" spans="2:20">
      <c r="B286" s="339"/>
      <c r="C286" s="345"/>
      <c r="D286" s="347"/>
      <c r="E286" s="344"/>
      <c r="F286" s="129" t="s">
        <v>10</v>
      </c>
      <c r="G286" s="172">
        <v>5.2910000000000004</v>
      </c>
      <c r="H286" s="172"/>
      <c r="I286" s="172">
        <f>K285+G286+H286</f>
        <v>5.617</v>
      </c>
      <c r="J286" s="291">
        <v>1.94</v>
      </c>
      <c r="K286" s="183">
        <f t="shared" si="555"/>
        <v>3.677</v>
      </c>
      <c r="L286" s="154">
        <f t="shared" si="556"/>
        <v>0.34538009613672777</v>
      </c>
      <c r="M286" s="98" t="s">
        <v>218</v>
      </c>
      <c r="N286" s="330"/>
      <c r="O286" s="330"/>
      <c r="P286" s="330">
        <f t="shared" si="561"/>
        <v>0</v>
      </c>
      <c r="Q286" s="330"/>
      <c r="R286" s="330"/>
      <c r="S286" s="332" t="e">
        <f t="shared" ref="S286" si="626">+Q286/P286</f>
        <v>#DIV/0!</v>
      </c>
      <c r="T286" s="140"/>
    </row>
    <row r="287" spans="2:20">
      <c r="B287" s="339"/>
      <c r="C287" s="345"/>
      <c r="D287" s="347"/>
      <c r="E287" s="344" t="s">
        <v>604</v>
      </c>
      <c r="F287" s="129" t="s">
        <v>488</v>
      </c>
      <c r="G287" s="172">
        <v>5.2919999999999998</v>
      </c>
      <c r="H287" s="172"/>
      <c r="I287" s="172">
        <f>G287+H287</f>
        <v>5.2919999999999998</v>
      </c>
      <c r="J287" s="291">
        <v>3.8919999999999999</v>
      </c>
      <c r="K287" s="183">
        <f t="shared" si="555"/>
        <v>1.4</v>
      </c>
      <c r="L287" s="154">
        <f t="shared" si="556"/>
        <v>0.73544973544973546</v>
      </c>
      <c r="M287" s="98" t="s">
        <v>218</v>
      </c>
      <c r="N287" s="330">
        <f>G287+G288</f>
        <v>10.584</v>
      </c>
      <c r="O287" s="330">
        <f t="shared" ref="O287" si="627">H287+H288</f>
        <v>0</v>
      </c>
      <c r="P287" s="330">
        <f t="shared" si="561"/>
        <v>10.584</v>
      </c>
      <c r="Q287" s="330">
        <f t="shared" ref="Q287" si="628">J287+J288</f>
        <v>6.9169999999999998</v>
      </c>
      <c r="R287" s="330">
        <f t="shared" ref="R287" si="629">P287-Q287</f>
        <v>3.6669999999999998</v>
      </c>
      <c r="S287" s="332">
        <f t="shared" ref="S287" si="630">Q287/P287</f>
        <v>0.65353363567649281</v>
      </c>
      <c r="T287" s="140"/>
    </row>
    <row r="288" spans="2:20">
      <c r="B288" s="339"/>
      <c r="C288" s="345"/>
      <c r="D288" s="347"/>
      <c r="E288" s="344"/>
      <c r="F288" s="129" t="s">
        <v>10</v>
      </c>
      <c r="G288" s="172">
        <v>5.2919999999999998</v>
      </c>
      <c r="H288" s="172"/>
      <c r="I288" s="172">
        <f>K287+G288+H288</f>
        <v>6.6920000000000002</v>
      </c>
      <c r="J288" s="291">
        <v>3.0249999999999999</v>
      </c>
      <c r="K288" s="183">
        <f t="shared" si="555"/>
        <v>3.6670000000000003</v>
      </c>
      <c r="L288" s="154">
        <f t="shared" si="556"/>
        <v>0.45203227734608487</v>
      </c>
      <c r="M288" s="98" t="s">
        <v>218</v>
      </c>
      <c r="N288" s="330"/>
      <c r="O288" s="330"/>
      <c r="P288" s="330">
        <f t="shared" si="561"/>
        <v>0</v>
      </c>
      <c r="Q288" s="330"/>
      <c r="R288" s="330"/>
      <c r="S288" s="332" t="e">
        <f t="shared" ref="S288" si="631">+Q288/P288</f>
        <v>#DIV/0!</v>
      </c>
      <c r="T288" s="140"/>
    </row>
    <row r="289" spans="2:20">
      <c r="B289" s="339"/>
      <c r="C289" s="345"/>
      <c r="D289" s="347"/>
      <c r="E289" s="344" t="s">
        <v>605</v>
      </c>
      <c r="F289" s="129" t="s">
        <v>488</v>
      </c>
      <c r="G289" s="172">
        <v>7.9340000000000002</v>
      </c>
      <c r="H289" s="172"/>
      <c r="I289" s="172">
        <f>G289+H289</f>
        <v>7.9340000000000002</v>
      </c>
      <c r="J289" s="291">
        <v>7.411999999999999</v>
      </c>
      <c r="K289" s="183">
        <f t="shared" si="555"/>
        <v>0.52200000000000113</v>
      </c>
      <c r="L289" s="154">
        <f t="shared" si="556"/>
        <v>0.93420720947819502</v>
      </c>
      <c r="M289" s="98" t="s">
        <v>218</v>
      </c>
      <c r="N289" s="330">
        <f>G289+G290</f>
        <v>10.577999999999999</v>
      </c>
      <c r="O289" s="330">
        <f t="shared" ref="O289" si="632">H289+H290</f>
        <v>0</v>
      </c>
      <c r="P289" s="330">
        <f t="shared" si="561"/>
        <v>10.577999999999999</v>
      </c>
      <c r="Q289" s="330">
        <f t="shared" ref="Q289" si="633">J289+J290</f>
        <v>10.335999999999999</v>
      </c>
      <c r="R289" s="330">
        <f t="shared" ref="R289" si="634">P289-Q289</f>
        <v>0.24200000000000088</v>
      </c>
      <c r="S289" s="332">
        <f t="shared" ref="S289" si="635">Q289/P289</f>
        <v>0.97712232936282839</v>
      </c>
      <c r="T289" s="140"/>
    </row>
    <row r="290" spans="2:20">
      <c r="B290" s="339"/>
      <c r="C290" s="345"/>
      <c r="D290" s="347"/>
      <c r="E290" s="344"/>
      <c r="F290" s="129" t="s">
        <v>10</v>
      </c>
      <c r="G290" s="172">
        <v>2.6440000000000001</v>
      </c>
      <c r="H290" s="172"/>
      <c r="I290" s="172">
        <f>K289+G290+H290</f>
        <v>3.1660000000000013</v>
      </c>
      <c r="J290" s="291">
        <v>2.9239999999999999</v>
      </c>
      <c r="K290" s="183">
        <f t="shared" si="555"/>
        <v>0.24200000000000133</v>
      </c>
      <c r="L290" s="154">
        <f t="shared" si="556"/>
        <v>0.92356285533796545</v>
      </c>
      <c r="M290" s="176">
        <v>44560</v>
      </c>
      <c r="N290" s="330"/>
      <c r="O290" s="330"/>
      <c r="P290" s="330">
        <f t="shared" si="561"/>
        <v>0</v>
      </c>
      <c r="Q290" s="330"/>
      <c r="R290" s="330"/>
      <c r="S290" s="332" t="e">
        <f t="shared" ref="S290" si="636">+Q290/P290</f>
        <v>#DIV/0!</v>
      </c>
      <c r="T290" s="140"/>
    </row>
    <row r="291" spans="2:20">
      <c r="B291" s="339"/>
      <c r="C291" s="345"/>
      <c r="D291" s="347"/>
      <c r="E291" s="344" t="s">
        <v>411</v>
      </c>
      <c r="F291" s="129" t="s">
        <v>488</v>
      </c>
      <c r="G291" s="172">
        <v>5.2919999999999998</v>
      </c>
      <c r="H291" s="172"/>
      <c r="I291" s="172">
        <f>G291+H291</f>
        <v>5.2919999999999998</v>
      </c>
      <c r="J291" s="291">
        <v>3.8769999999999998</v>
      </c>
      <c r="K291" s="183">
        <f t="shared" si="555"/>
        <v>1.415</v>
      </c>
      <c r="L291" s="154">
        <f t="shared" si="556"/>
        <v>0.73261526832955404</v>
      </c>
      <c r="M291" s="98" t="s">
        <v>218</v>
      </c>
      <c r="N291" s="330">
        <f>G291+G292</f>
        <v>10.584</v>
      </c>
      <c r="O291" s="330">
        <f t="shared" ref="O291" si="637">H291+H292</f>
        <v>20</v>
      </c>
      <c r="P291" s="330">
        <f t="shared" si="561"/>
        <v>30.584</v>
      </c>
      <c r="Q291" s="330">
        <f t="shared" ref="Q291" si="638">J291+J292</f>
        <v>15.088000000000001</v>
      </c>
      <c r="R291" s="330">
        <f t="shared" ref="R291" si="639">P291-Q291</f>
        <v>15.495999999999999</v>
      </c>
      <c r="S291" s="332">
        <f t="shared" ref="S291" si="640">Q291/P291</f>
        <v>0.49332984567093907</v>
      </c>
      <c r="T291" s="140"/>
    </row>
    <row r="292" spans="2:20">
      <c r="B292" s="339"/>
      <c r="C292" s="345"/>
      <c r="D292" s="347"/>
      <c r="E292" s="344"/>
      <c r="F292" s="129" t="s">
        <v>10</v>
      </c>
      <c r="G292" s="172">
        <v>5.2919999999999998</v>
      </c>
      <c r="H292" s="172">
        <f>20</f>
        <v>20</v>
      </c>
      <c r="I292" s="172">
        <f>K291+G292+H292</f>
        <v>26.707000000000001</v>
      </c>
      <c r="J292" s="291">
        <v>11.211</v>
      </c>
      <c r="K292" s="183">
        <f t="shared" si="555"/>
        <v>15.496</v>
      </c>
      <c r="L292" s="154">
        <f t="shared" si="556"/>
        <v>0.41977758640056911</v>
      </c>
      <c r="M292" s="98" t="s">
        <v>218</v>
      </c>
      <c r="N292" s="330"/>
      <c r="O292" s="330"/>
      <c r="P292" s="330">
        <f t="shared" si="561"/>
        <v>0</v>
      </c>
      <c r="Q292" s="330"/>
      <c r="R292" s="330"/>
      <c r="S292" s="332" t="e">
        <f t="shared" ref="S292" si="641">+Q292/P292</f>
        <v>#DIV/0!</v>
      </c>
      <c r="T292" s="140"/>
    </row>
    <row r="293" spans="2:20">
      <c r="B293" s="339"/>
      <c r="C293" s="345"/>
      <c r="D293" s="347"/>
      <c r="E293" s="344" t="s">
        <v>606</v>
      </c>
      <c r="F293" s="129" t="s">
        <v>488</v>
      </c>
      <c r="G293" s="172">
        <v>5.2869999999999999</v>
      </c>
      <c r="H293" s="172"/>
      <c r="I293" s="172">
        <f>G293+H293</f>
        <v>5.2869999999999999</v>
      </c>
      <c r="J293" s="291">
        <v>4.8230000000000004</v>
      </c>
      <c r="K293" s="183">
        <f t="shared" si="555"/>
        <v>0.46399999999999952</v>
      </c>
      <c r="L293" s="154">
        <f t="shared" si="556"/>
        <v>0.91223756383582377</v>
      </c>
      <c r="M293" s="98" t="s">
        <v>218</v>
      </c>
      <c r="N293" s="330">
        <f>G293+G294</f>
        <v>10.574</v>
      </c>
      <c r="O293" s="330">
        <f t="shared" ref="O293" si="642">H293+H294</f>
        <v>0</v>
      </c>
      <c r="P293" s="330">
        <f t="shared" si="561"/>
        <v>10.574</v>
      </c>
      <c r="Q293" s="330">
        <f t="shared" ref="Q293" si="643">J293+J294</f>
        <v>9.7379999999999995</v>
      </c>
      <c r="R293" s="330">
        <f t="shared" ref="R293" si="644">P293-Q293</f>
        <v>0.8360000000000003</v>
      </c>
      <c r="S293" s="332">
        <f t="shared" ref="S293" si="645">Q293/P293</f>
        <v>0.92093815017968594</v>
      </c>
      <c r="T293" s="140"/>
    </row>
    <row r="294" spans="2:20">
      <c r="B294" s="339"/>
      <c r="C294" s="345"/>
      <c r="D294" s="347"/>
      <c r="E294" s="344"/>
      <c r="F294" s="129" t="s">
        <v>10</v>
      </c>
      <c r="G294" s="172">
        <v>5.2869999999999999</v>
      </c>
      <c r="H294" s="172"/>
      <c r="I294" s="172">
        <f>K293+G294+H294</f>
        <v>5.7509999999999994</v>
      </c>
      <c r="J294" s="291">
        <v>4.915</v>
      </c>
      <c r="K294" s="183">
        <f t="shared" si="555"/>
        <v>0.83599999999999941</v>
      </c>
      <c r="L294" s="154">
        <f t="shared" si="556"/>
        <v>0.85463397669970453</v>
      </c>
      <c r="M294" s="98" t="s">
        <v>218</v>
      </c>
      <c r="N294" s="330"/>
      <c r="O294" s="330"/>
      <c r="P294" s="330">
        <f t="shared" si="561"/>
        <v>0</v>
      </c>
      <c r="Q294" s="330"/>
      <c r="R294" s="330"/>
      <c r="S294" s="332" t="e">
        <f t="shared" ref="S294" si="646">+Q294/P294</f>
        <v>#DIV/0!</v>
      </c>
      <c r="T294" s="140"/>
    </row>
    <row r="295" spans="2:20">
      <c r="B295" s="339"/>
      <c r="C295" s="345"/>
      <c r="D295" s="347"/>
      <c r="E295" s="344" t="s">
        <v>412</v>
      </c>
      <c r="F295" s="129" t="s">
        <v>488</v>
      </c>
      <c r="G295" s="172">
        <v>5.2919999999999998</v>
      </c>
      <c r="H295" s="172"/>
      <c r="I295" s="172">
        <f>G295+H295</f>
        <v>5.2919999999999998</v>
      </c>
      <c r="J295" s="291">
        <v>3.21</v>
      </c>
      <c r="K295" s="183">
        <f t="shared" si="555"/>
        <v>2.0819999999999999</v>
      </c>
      <c r="L295" s="154">
        <f t="shared" si="556"/>
        <v>0.60657596371882083</v>
      </c>
      <c r="M295" s="98" t="s">
        <v>218</v>
      </c>
      <c r="N295" s="330">
        <f>G295+G296</f>
        <v>10.584</v>
      </c>
      <c r="O295" s="330">
        <f t="shared" ref="O295" si="647">H295+H296</f>
        <v>0</v>
      </c>
      <c r="P295" s="330">
        <f t="shared" si="561"/>
        <v>10.584</v>
      </c>
      <c r="Q295" s="330">
        <f t="shared" ref="Q295" si="648">J295+J296</f>
        <v>8.8120000000000012</v>
      </c>
      <c r="R295" s="330">
        <f t="shared" ref="R295" si="649">P295-Q295</f>
        <v>1.7719999999999985</v>
      </c>
      <c r="S295" s="332">
        <f t="shared" ref="S295" si="650">Q295/P295</f>
        <v>0.83257747543461846</v>
      </c>
      <c r="T295" s="140"/>
    </row>
    <row r="296" spans="2:20">
      <c r="B296" s="339"/>
      <c r="C296" s="345"/>
      <c r="D296" s="347"/>
      <c r="E296" s="344"/>
      <c r="F296" s="129" t="s">
        <v>10</v>
      </c>
      <c r="G296" s="172">
        <v>5.2919999999999998</v>
      </c>
      <c r="H296" s="172"/>
      <c r="I296" s="172">
        <f>K295+G296+H296</f>
        <v>7.3739999999999997</v>
      </c>
      <c r="J296" s="291">
        <v>5.6020000000000003</v>
      </c>
      <c r="K296" s="183">
        <f t="shared" si="555"/>
        <v>1.7719999999999994</v>
      </c>
      <c r="L296" s="154">
        <f t="shared" si="556"/>
        <v>0.75969622999728781</v>
      </c>
      <c r="M296" s="98" t="s">
        <v>218</v>
      </c>
      <c r="N296" s="330"/>
      <c r="O296" s="330"/>
      <c r="P296" s="330">
        <f t="shared" si="561"/>
        <v>0</v>
      </c>
      <c r="Q296" s="330"/>
      <c r="R296" s="330"/>
      <c r="S296" s="332" t="e">
        <f t="shared" ref="S296" si="651">+Q296/P296</f>
        <v>#DIV/0!</v>
      </c>
      <c r="T296" s="140"/>
    </row>
    <row r="297" spans="2:20">
      <c r="B297" s="339"/>
      <c r="C297" s="345"/>
      <c r="D297" s="347"/>
      <c r="E297" s="344" t="s">
        <v>413</v>
      </c>
      <c r="F297" s="129" t="s">
        <v>488</v>
      </c>
      <c r="G297" s="172">
        <v>7.9379999999999997</v>
      </c>
      <c r="H297" s="172"/>
      <c r="I297" s="172">
        <f>G297+H297</f>
        <v>7.9379999999999997</v>
      </c>
      <c r="J297" s="291">
        <v>5.8109999999999991</v>
      </c>
      <c r="K297" s="183">
        <f t="shared" si="555"/>
        <v>2.1270000000000007</v>
      </c>
      <c r="L297" s="154">
        <f t="shared" si="556"/>
        <v>0.73204837490551766</v>
      </c>
      <c r="M297" s="176" t="s">
        <v>218</v>
      </c>
      <c r="N297" s="330">
        <f>G297+G298</f>
        <v>10.584</v>
      </c>
      <c r="O297" s="330">
        <f t="shared" ref="O297" si="652">H297+H298</f>
        <v>0</v>
      </c>
      <c r="P297" s="330">
        <f t="shared" si="561"/>
        <v>10.584</v>
      </c>
      <c r="Q297" s="330">
        <f t="shared" ref="Q297" si="653">J297+J298</f>
        <v>10.697999999999999</v>
      </c>
      <c r="R297" s="331">
        <f t="shared" ref="R297" si="654">P297-Q297</f>
        <v>-0.11399999999999899</v>
      </c>
      <c r="S297" s="332">
        <f t="shared" ref="S297" si="655">Q297/P297</f>
        <v>1.0107709750566893</v>
      </c>
      <c r="T297" s="140"/>
    </row>
    <row r="298" spans="2:20">
      <c r="B298" s="339"/>
      <c r="C298" s="345"/>
      <c r="D298" s="347"/>
      <c r="E298" s="344"/>
      <c r="F298" s="129" t="s">
        <v>10</v>
      </c>
      <c r="G298" s="172">
        <v>2.6459999999999999</v>
      </c>
      <c r="H298" s="172"/>
      <c r="I298" s="172">
        <f>K297+G298+H298</f>
        <v>4.7730000000000006</v>
      </c>
      <c r="J298" s="291">
        <v>4.8869999999999996</v>
      </c>
      <c r="K298" s="183">
        <f t="shared" si="555"/>
        <v>-0.11399999999999899</v>
      </c>
      <c r="L298" s="154">
        <f t="shared" si="556"/>
        <v>1.0238843494657446</v>
      </c>
      <c r="M298" s="176">
        <v>44560</v>
      </c>
      <c r="N298" s="330"/>
      <c r="O298" s="330"/>
      <c r="P298" s="330">
        <f t="shared" si="561"/>
        <v>0</v>
      </c>
      <c r="Q298" s="330"/>
      <c r="R298" s="331"/>
      <c r="S298" s="332" t="e">
        <f t="shared" ref="S298" si="656">+Q298/P298</f>
        <v>#DIV/0!</v>
      </c>
      <c r="T298" s="140"/>
    </row>
    <row r="299" spans="2:20">
      <c r="B299" s="339"/>
      <c r="C299" s="345"/>
      <c r="D299" s="347"/>
      <c r="E299" s="344" t="s">
        <v>414</v>
      </c>
      <c r="F299" s="129" t="s">
        <v>488</v>
      </c>
      <c r="G299" s="172">
        <v>7.9340000000000002</v>
      </c>
      <c r="H299" s="172"/>
      <c r="I299" s="172">
        <f>G299+H299</f>
        <v>7.9340000000000002</v>
      </c>
      <c r="J299" s="291">
        <v>5.2169999999999996</v>
      </c>
      <c r="K299" s="183">
        <f t="shared" si="555"/>
        <v>2.7170000000000005</v>
      </c>
      <c r="L299" s="154">
        <f t="shared" si="556"/>
        <v>0.65754978573229139</v>
      </c>
      <c r="M299" s="176" t="s">
        <v>218</v>
      </c>
      <c r="N299" s="330">
        <f>G299+G300</f>
        <v>10.577999999999999</v>
      </c>
      <c r="O299" s="330">
        <f t="shared" ref="O299" si="657">H299+H300</f>
        <v>0</v>
      </c>
      <c r="P299" s="330">
        <f t="shared" si="561"/>
        <v>10.577999999999999</v>
      </c>
      <c r="Q299" s="330">
        <f t="shared" ref="Q299" si="658">J299+J300</f>
        <v>7.1769999999999996</v>
      </c>
      <c r="R299" s="330">
        <f t="shared" ref="R299" si="659">P299-Q299</f>
        <v>3.4009999999999998</v>
      </c>
      <c r="S299" s="332">
        <f t="shared" ref="S299" si="660">Q299/P299</f>
        <v>0.67848364530156935</v>
      </c>
      <c r="T299" s="140"/>
    </row>
    <row r="300" spans="2:20">
      <c r="B300" s="339"/>
      <c r="C300" s="345"/>
      <c r="D300" s="347"/>
      <c r="E300" s="344"/>
      <c r="F300" s="129" t="s">
        <v>10</v>
      </c>
      <c r="G300" s="172">
        <v>2.6440000000000001</v>
      </c>
      <c r="H300" s="172"/>
      <c r="I300" s="172">
        <f>K299+G300+H300</f>
        <v>5.3610000000000007</v>
      </c>
      <c r="J300" s="291">
        <v>1.96</v>
      </c>
      <c r="K300" s="183">
        <f t="shared" si="555"/>
        <v>3.4010000000000007</v>
      </c>
      <c r="L300" s="154">
        <f t="shared" si="556"/>
        <v>0.36560343219548586</v>
      </c>
      <c r="M300" s="98" t="s">
        <v>218</v>
      </c>
      <c r="N300" s="330"/>
      <c r="O300" s="330"/>
      <c r="P300" s="330">
        <f t="shared" si="561"/>
        <v>0</v>
      </c>
      <c r="Q300" s="330"/>
      <c r="R300" s="330"/>
      <c r="S300" s="332" t="e">
        <f t="shared" ref="S300" si="661">+Q300/P300</f>
        <v>#DIV/0!</v>
      </c>
      <c r="T300" s="140"/>
    </row>
    <row r="301" spans="2:20">
      <c r="B301" s="339"/>
      <c r="C301" s="345"/>
      <c r="D301" s="347" t="s">
        <v>628</v>
      </c>
      <c r="E301" s="344" t="s">
        <v>415</v>
      </c>
      <c r="F301" s="129" t="s">
        <v>488</v>
      </c>
      <c r="G301" s="172">
        <v>5.2910000000000004</v>
      </c>
      <c r="H301" s="172"/>
      <c r="I301" s="172">
        <f>G301+H301</f>
        <v>5.2910000000000004</v>
      </c>
      <c r="J301" s="291">
        <v>5.1609999999999996</v>
      </c>
      <c r="K301" s="183">
        <f t="shared" si="555"/>
        <v>0.13000000000000078</v>
      </c>
      <c r="L301" s="154">
        <f t="shared" si="556"/>
        <v>0.97542997542997534</v>
      </c>
      <c r="M301" s="176">
        <v>44357</v>
      </c>
      <c r="N301" s="330">
        <f>G301+G302</f>
        <v>10.582000000000001</v>
      </c>
      <c r="O301" s="330">
        <f t="shared" ref="O301" si="662">H301+H302</f>
        <v>0</v>
      </c>
      <c r="P301" s="330">
        <f t="shared" si="561"/>
        <v>10.582000000000001</v>
      </c>
      <c r="Q301" s="330">
        <f t="shared" ref="Q301" si="663">J301+J302</f>
        <v>7.5129999999999999</v>
      </c>
      <c r="R301" s="330">
        <f t="shared" ref="R301" si="664">P301-Q301</f>
        <v>3.0690000000000008</v>
      </c>
      <c r="S301" s="332">
        <f t="shared" ref="S301" si="665">Q301/P301</f>
        <v>0.70997920997920994</v>
      </c>
      <c r="T301" s="140"/>
    </row>
    <row r="302" spans="2:20">
      <c r="B302" s="339"/>
      <c r="C302" s="345"/>
      <c r="D302" s="347"/>
      <c r="E302" s="344"/>
      <c r="F302" s="129" t="s">
        <v>10</v>
      </c>
      <c r="G302" s="172">
        <v>5.2910000000000004</v>
      </c>
      <c r="H302" s="172"/>
      <c r="I302" s="172">
        <f>K301+G302+H302</f>
        <v>5.4210000000000012</v>
      </c>
      <c r="J302" s="291">
        <v>2.3519999999999999</v>
      </c>
      <c r="K302" s="183">
        <f t="shared" si="555"/>
        <v>3.0690000000000013</v>
      </c>
      <c r="L302" s="154">
        <f t="shared" si="556"/>
        <v>0.43386828998339777</v>
      </c>
      <c r="M302" s="98" t="s">
        <v>218</v>
      </c>
      <c r="N302" s="330"/>
      <c r="O302" s="330"/>
      <c r="P302" s="330">
        <f t="shared" si="561"/>
        <v>0</v>
      </c>
      <c r="Q302" s="330"/>
      <c r="R302" s="330"/>
      <c r="S302" s="332" t="e">
        <f t="shared" ref="S302" si="666">+Q302/P302</f>
        <v>#DIV/0!</v>
      </c>
      <c r="T302" s="140"/>
    </row>
    <row r="303" spans="2:20">
      <c r="B303" s="339"/>
      <c r="C303" s="345"/>
      <c r="D303" s="347"/>
      <c r="E303" s="344" t="s">
        <v>416</v>
      </c>
      <c r="F303" s="129" t="s">
        <v>488</v>
      </c>
      <c r="G303" s="172">
        <v>7.9370000000000003</v>
      </c>
      <c r="H303" s="172"/>
      <c r="I303" s="172">
        <f>G303+H303</f>
        <v>7.9370000000000003</v>
      </c>
      <c r="J303" s="291">
        <v>5.2240000000000002</v>
      </c>
      <c r="K303" s="183">
        <f t="shared" si="555"/>
        <v>2.7130000000000001</v>
      </c>
      <c r="L303" s="154">
        <f t="shared" si="556"/>
        <v>0.65818319264205616</v>
      </c>
      <c r="M303" s="176" t="s">
        <v>218</v>
      </c>
      <c r="N303" s="330">
        <f>G303+G304</f>
        <v>10.582000000000001</v>
      </c>
      <c r="O303" s="330">
        <f t="shared" ref="O303" si="667">H303+H304</f>
        <v>0</v>
      </c>
      <c r="P303" s="330">
        <f t="shared" si="561"/>
        <v>10.582000000000001</v>
      </c>
      <c r="Q303" s="330">
        <f t="shared" ref="Q303" si="668">J303+J304</f>
        <v>6.6820000000000004</v>
      </c>
      <c r="R303" s="330">
        <f t="shared" ref="R303" si="669">P303-Q303</f>
        <v>3.9000000000000004</v>
      </c>
      <c r="S303" s="332">
        <f t="shared" ref="S303" si="670">Q303/P303</f>
        <v>0.6314496314496314</v>
      </c>
      <c r="T303" s="140"/>
    </row>
    <row r="304" spans="2:20">
      <c r="B304" s="339"/>
      <c r="C304" s="345"/>
      <c r="D304" s="347"/>
      <c r="E304" s="344"/>
      <c r="F304" s="129" t="s">
        <v>10</v>
      </c>
      <c r="G304" s="172">
        <v>2.645</v>
      </c>
      <c r="H304" s="172"/>
      <c r="I304" s="172">
        <f>K303+G304+H304</f>
        <v>5.3580000000000005</v>
      </c>
      <c r="J304" s="291">
        <v>1.458</v>
      </c>
      <c r="K304" s="183">
        <f t="shared" si="555"/>
        <v>3.9000000000000004</v>
      </c>
      <c r="L304" s="154">
        <f t="shared" si="556"/>
        <v>0.27211646136618139</v>
      </c>
      <c r="M304" s="98" t="s">
        <v>218</v>
      </c>
      <c r="N304" s="330"/>
      <c r="O304" s="330"/>
      <c r="P304" s="330">
        <f t="shared" si="561"/>
        <v>0</v>
      </c>
      <c r="Q304" s="330"/>
      <c r="R304" s="330"/>
      <c r="S304" s="332" t="e">
        <f t="shared" ref="S304" si="671">+Q304/P304</f>
        <v>#DIV/0!</v>
      </c>
      <c r="T304" s="140"/>
    </row>
    <row r="305" spans="1:20">
      <c r="B305" s="339"/>
      <c r="C305" s="345"/>
      <c r="D305" s="347"/>
      <c r="E305" s="344" t="s">
        <v>417</v>
      </c>
      <c r="F305" s="129" t="s">
        <v>488</v>
      </c>
      <c r="G305" s="172">
        <v>5.2930000000000001</v>
      </c>
      <c r="H305" s="252">
        <f>12+8</f>
        <v>20</v>
      </c>
      <c r="I305" s="172">
        <f>G305+H305</f>
        <v>25.292999999999999</v>
      </c>
      <c r="J305" s="291">
        <v>11.455</v>
      </c>
      <c r="K305" s="183">
        <f t="shared" si="555"/>
        <v>13.837999999999999</v>
      </c>
      <c r="L305" s="154">
        <f t="shared" si="556"/>
        <v>0.45289210453485157</v>
      </c>
      <c r="M305" s="176" t="s">
        <v>218</v>
      </c>
      <c r="N305" s="330">
        <f>G305+G306</f>
        <v>10.586</v>
      </c>
      <c r="O305" s="330">
        <f t="shared" ref="O305" si="672">H305+H306</f>
        <v>27</v>
      </c>
      <c r="P305" s="330">
        <f t="shared" si="561"/>
        <v>37.585999999999999</v>
      </c>
      <c r="Q305" s="330">
        <f t="shared" ref="Q305" si="673">J305+J306</f>
        <v>20.994999999999997</v>
      </c>
      <c r="R305" s="330">
        <f t="shared" ref="R305" si="674">P305-Q305</f>
        <v>16.591000000000001</v>
      </c>
      <c r="S305" s="332">
        <f t="shared" ref="S305" si="675">Q305/P305</f>
        <v>0.55858564359069862</v>
      </c>
      <c r="T305" s="140"/>
    </row>
    <row r="306" spans="1:20">
      <c r="B306" s="339"/>
      <c r="C306" s="345"/>
      <c r="D306" s="347"/>
      <c r="E306" s="344"/>
      <c r="F306" s="129" t="s">
        <v>10</v>
      </c>
      <c r="G306" s="172">
        <v>5.2930000000000001</v>
      </c>
      <c r="H306" s="172">
        <v>7</v>
      </c>
      <c r="I306" s="172">
        <f>K305+G306+H306</f>
        <v>26.131</v>
      </c>
      <c r="J306" s="291">
        <v>9.5399999999999991</v>
      </c>
      <c r="K306" s="183">
        <f t="shared" si="555"/>
        <v>16.591000000000001</v>
      </c>
      <c r="L306" s="154">
        <f t="shared" si="556"/>
        <v>0.36508361715969534</v>
      </c>
      <c r="M306" s="98" t="s">
        <v>218</v>
      </c>
      <c r="N306" s="330"/>
      <c r="O306" s="330"/>
      <c r="P306" s="330">
        <f t="shared" si="561"/>
        <v>0</v>
      </c>
      <c r="Q306" s="330"/>
      <c r="R306" s="330"/>
      <c r="S306" s="332" t="e">
        <f t="shared" ref="S306" si="676">+Q306/P306</f>
        <v>#DIV/0!</v>
      </c>
      <c r="T306" s="140"/>
    </row>
    <row r="307" spans="1:20">
      <c r="B307" s="339"/>
      <c r="C307" s="345"/>
      <c r="D307" s="347"/>
      <c r="E307" s="344" t="s">
        <v>607</v>
      </c>
      <c r="F307" s="129" t="s">
        <v>488</v>
      </c>
      <c r="G307" s="172">
        <v>5.2910000000000004</v>
      </c>
      <c r="H307" s="172"/>
      <c r="I307" s="172">
        <f>G307+H307</f>
        <v>5.2910000000000004</v>
      </c>
      <c r="J307" s="291">
        <v>4.92</v>
      </c>
      <c r="K307" s="183">
        <f t="shared" si="555"/>
        <v>0.37100000000000044</v>
      </c>
      <c r="L307" s="154">
        <f t="shared" si="556"/>
        <v>0.92988092988092985</v>
      </c>
      <c r="M307" s="98" t="s">
        <v>218</v>
      </c>
      <c r="N307" s="330">
        <f>G307+G308</f>
        <v>10.582000000000001</v>
      </c>
      <c r="O307" s="330">
        <f t="shared" ref="O307" si="677">H307+H308</f>
        <v>0</v>
      </c>
      <c r="P307" s="330">
        <f t="shared" si="561"/>
        <v>10.582000000000001</v>
      </c>
      <c r="Q307" s="330">
        <f t="shared" ref="Q307" si="678">J307+J308</f>
        <v>7.0350000000000001</v>
      </c>
      <c r="R307" s="330">
        <f t="shared" ref="R307" si="679">P307-Q307</f>
        <v>3.5470000000000006</v>
      </c>
      <c r="S307" s="332">
        <f t="shared" ref="S307" si="680">Q307/P307</f>
        <v>0.66480816480816474</v>
      </c>
      <c r="T307" s="140"/>
    </row>
    <row r="308" spans="1:20">
      <c r="B308" s="339"/>
      <c r="C308" s="345"/>
      <c r="D308" s="347"/>
      <c r="E308" s="344"/>
      <c r="F308" s="129" t="s">
        <v>10</v>
      </c>
      <c r="G308" s="172">
        <v>5.2910000000000004</v>
      </c>
      <c r="H308" s="172"/>
      <c r="I308" s="172">
        <f>K307+G308+H308</f>
        <v>5.6620000000000008</v>
      </c>
      <c r="J308" s="291">
        <v>2.1150000000000002</v>
      </c>
      <c r="K308" s="183">
        <f t="shared" si="555"/>
        <v>3.5470000000000006</v>
      </c>
      <c r="L308" s="154">
        <f t="shared" si="556"/>
        <v>0.37354291769692688</v>
      </c>
      <c r="M308" s="98" t="s">
        <v>218</v>
      </c>
      <c r="N308" s="330"/>
      <c r="O308" s="330"/>
      <c r="P308" s="330">
        <f t="shared" si="561"/>
        <v>0</v>
      </c>
      <c r="Q308" s="330"/>
      <c r="R308" s="330"/>
      <c r="S308" s="332" t="e">
        <f t="shared" ref="S308" si="681">+Q308/P308</f>
        <v>#DIV/0!</v>
      </c>
      <c r="T308" s="140"/>
    </row>
    <row r="309" spans="1:20">
      <c r="B309" s="339"/>
      <c r="C309" s="345"/>
      <c r="D309" s="347"/>
      <c r="E309" s="344" t="s">
        <v>418</v>
      </c>
      <c r="F309" s="129" t="s">
        <v>488</v>
      </c>
      <c r="G309" s="172">
        <v>5.29</v>
      </c>
      <c r="H309" s="172">
        <f>9.5+8</f>
        <v>17.5</v>
      </c>
      <c r="I309" s="172">
        <f>G309+H309</f>
        <v>22.79</v>
      </c>
      <c r="J309" s="291">
        <v>14.154999999999999</v>
      </c>
      <c r="K309" s="183">
        <f t="shared" si="555"/>
        <v>8.6349999999999998</v>
      </c>
      <c r="L309" s="154">
        <f t="shared" si="556"/>
        <v>0.62110574813514696</v>
      </c>
      <c r="M309" s="98" t="s">
        <v>218</v>
      </c>
      <c r="N309" s="330">
        <f>G309+G310</f>
        <v>10.58</v>
      </c>
      <c r="O309" s="330">
        <f t="shared" ref="O309" si="682">H309+H310</f>
        <v>24.5</v>
      </c>
      <c r="P309" s="330">
        <f t="shared" si="561"/>
        <v>35.08</v>
      </c>
      <c r="Q309" s="330">
        <f t="shared" ref="Q309" si="683">J309+J310</f>
        <v>27.128999999999998</v>
      </c>
      <c r="R309" s="330">
        <f t="shared" ref="R309" si="684">P309-Q309</f>
        <v>7.9510000000000005</v>
      </c>
      <c r="S309" s="332">
        <f t="shared" ref="S309" si="685">Q309/P309</f>
        <v>0.77334663625997713</v>
      </c>
      <c r="T309" s="140"/>
    </row>
    <row r="310" spans="1:20">
      <c r="B310" s="339"/>
      <c r="C310" s="345"/>
      <c r="D310" s="347"/>
      <c r="E310" s="344"/>
      <c r="F310" s="129" t="s">
        <v>10</v>
      </c>
      <c r="G310" s="172">
        <v>5.29</v>
      </c>
      <c r="H310" s="172">
        <f>7</f>
        <v>7</v>
      </c>
      <c r="I310" s="172">
        <f>K309+G310+H310</f>
        <v>20.925000000000001</v>
      </c>
      <c r="J310" s="291">
        <v>12.974</v>
      </c>
      <c r="K310" s="183">
        <f t="shared" si="555"/>
        <v>7.9510000000000005</v>
      </c>
      <c r="L310" s="154">
        <f t="shared" si="556"/>
        <v>0.62002389486260456</v>
      </c>
      <c r="M310" s="98" t="s">
        <v>218</v>
      </c>
      <c r="N310" s="330"/>
      <c r="O310" s="330"/>
      <c r="P310" s="330">
        <f t="shared" si="561"/>
        <v>0</v>
      </c>
      <c r="Q310" s="330"/>
      <c r="R310" s="330"/>
      <c r="S310" s="332" t="e">
        <f t="shared" ref="S310" si="686">+Q310/P310</f>
        <v>#DIV/0!</v>
      </c>
      <c r="T310" s="140"/>
    </row>
    <row r="311" spans="1:20">
      <c r="B311" s="339"/>
      <c r="C311" s="345"/>
      <c r="D311" s="347"/>
      <c r="E311" s="344" t="s">
        <v>419</v>
      </c>
      <c r="F311" s="129" t="s">
        <v>488</v>
      </c>
      <c r="G311" s="172">
        <v>7.9379999999999997</v>
      </c>
      <c r="H311" s="172"/>
      <c r="I311" s="172">
        <f>G311+H311</f>
        <v>7.9379999999999997</v>
      </c>
      <c r="J311" s="291">
        <v>5.5709999999999997</v>
      </c>
      <c r="K311" s="183">
        <f t="shared" si="555"/>
        <v>2.367</v>
      </c>
      <c r="L311" s="154">
        <f t="shared" si="556"/>
        <v>0.70181405895691606</v>
      </c>
      <c r="M311" s="176" t="s">
        <v>218</v>
      </c>
      <c r="N311" s="330">
        <f>G311+G312</f>
        <v>10.584</v>
      </c>
      <c r="O311" s="330">
        <f t="shared" ref="O311" si="687">H311+H312</f>
        <v>0</v>
      </c>
      <c r="P311" s="330">
        <f t="shared" si="561"/>
        <v>10.584</v>
      </c>
      <c r="Q311" s="330">
        <f t="shared" ref="Q311" si="688">J311+J312</f>
        <v>7.84</v>
      </c>
      <c r="R311" s="330">
        <f t="shared" ref="R311" si="689">P311-Q311</f>
        <v>2.7439999999999998</v>
      </c>
      <c r="S311" s="332">
        <f t="shared" ref="S311" si="690">Q311/P311</f>
        <v>0.7407407407407407</v>
      </c>
      <c r="T311" s="140"/>
    </row>
    <row r="312" spans="1:20">
      <c r="B312" s="339"/>
      <c r="C312" s="345"/>
      <c r="D312" s="347"/>
      <c r="E312" s="344"/>
      <c r="F312" s="129" t="s">
        <v>10</v>
      </c>
      <c r="G312" s="172">
        <v>2.6459999999999999</v>
      </c>
      <c r="H312" s="172"/>
      <c r="I312" s="172">
        <f>K311+G312+H312</f>
        <v>5.0129999999999999</v>
      </c>
      <c r="J312" s="291">
        <v>2.2690000000000001</v>
      </c>
      <c r="K312" s="183">
        <f t="shared" si="555"/>
        <v>2.7439999999999998</v>
      </c>
      <c r="L312" s="154">
        <f t="shared" si="556"/>
        <v>0.452623179732695</v>
      </c>
      <c r="M312" s="98" t="s">
        <v>218</v>
      </c>
      <c r="N312" s="330"/>
      <c r="O312" s="330"/>
      <c r="P312" s="330">
        <f t="shared" si="561"/>
        <v>0</v>
      </c>
      <c r="Q312" s="330"/>
      <c r="R312" s="330"/>
      <c r="S312" s="332" t="e">
        <f t="shared" ref="S312" si="691">+Q312/P312</f>
        <v>#DIV/0!</v>
      </c>
      <c r="T312" s="140"/>
    </row>
    <row r="313" spans="1:20">
      <c r="B313" s="339"/>
      <c r="C313" s="345"/>
      <c r="D313" s="347"/>
      <c r="E313" s="344" t="s">
        <v>420</v>
      </c>
      <c r="F313" s="129" t="s">
        <v>488</v>
      </c>
      <c r="G313" s="172">
        <v>7.9370000000000003</v>
      </c>
      <c r="H313" s="172"/>
      <c r="I313" s="172">
        <f>G313+H313</f>
        <v>7.9370000000000003</v>
      </c>
      <c r="J313" s="291">
        <v>5.7670000000000012</v>
      </c>
      <c r="K313" s="183">
        <f t="shared" si="555"/>
        <v>2.169999999999999</v>
      </c>
      <c r="L313" s="154">
        <f t="shared" si="556"/>
        <v>0.72659695098903876</v>
      </c>
      <c r="M313" s="176" t="s">
        <v>218</v>
      </c>
      <c r="N313" s="330">
        <f>G313+G314</f>
        <v>10.582000000000001</v>
      </c>
      <c r="O313" s="330">
        <f t="shared" ref="O313" si="692">H313+H314</f>
        <v>0</v>
      </c>
      <c r="P313" s="330">
        <f t="shared" si="561"/>
        <v>10.582000000000001</v>
      </c>
      <c r="Q313" s="330">
        <f t="shared" ref="Q313" si="693">J313+J314</f>
        <v>8.7910000000000004</v>
      </c>
      <c r="R313" s="330">
        <f t="shared" ref="R313" si="694">P313-Q313</f>
        <v>1.7910000000000004</v>
      </c>
      <c r="S313" s="332">
        <f t="shared" ref="S313" si="695">Q313/P313</f>
        <v>0.83075033075033078</v>
      </c>
      <c r="T313" s="140"/>
    </row>
    <row r="314" spans="1:20">
      <c r="A314" s="110" t="s">
        <v>336</v>
      </c>
      <c r="B314" s="339"/>
      <c r="C314" s="345"/>
      <c r="D314" s="347"/>
      <c r="E314" s="344"/>
      <c r="F314" s="129" t="s">
        <v>10</v>
      </c>
      <c r="G314" s="172">
        <v>2.645</v>
      </c>
      <c r="H314" s="172"/>
      <c r="I314" s="172">
        <f>K313+G314+H314</f>
        <v>4.8149999999999995</v>
      </c>
      <c r="J314" s="291">
        <v>3.024</v>
      </c>
      <c r="K314" s="183">
        <f t="shared" si="555"/>
        <v>1.7909999999999995</v>
      </c>
      <c r="L314" s="154">
        <f t="shared" si="556"/>
        <v>0.62803738317757019</v>
      </c>
      <c r="M314" s="98" t="s">
        <v>218</v>
      </c>
      <c r="N314" s="330"/>
      <c r="O314" s="330"/>
      <c r="P314" s="330">
        <f t="shared" si="561"/>
        <v>0</v>
      </c>
      <c r="Q314" s="330"/>
      <c r="R314" s="330"/>
      <c r="S314" s="332" t="e">
        <f t="shared" ref="S314" si="696">+Q314/P314</f>
        <v>#DIV/0!</v>
      </c>
      <c r="T314" s="140"/>
    </row>
    <row r="315" spans="1:20">
      <c r="B315" s="339"/>
      <c r="C315" s="345"/>
      <c r="D315" s="347"/>
      <c r="E315" s="344" t="s">
        <v>421</v>
      </c>
      <c r="F315" s="129" t="s">
        <v>488</v>
      </c>
      <c r="G315" s="172">
        <v>5.2930000000000001</v>
      </c>
      <c r="H315" s="172"/>
      <c r="I315" s="172">
        <f>G315+H315</f>
        <v>5.2930000000000001</v>
      </c>
      <c r="J315" s="291">
        <v>4.4619999999999997</v>
      </c>
      <c r="K315" s="183">
        <f t="shared" ref="K315:K370" si="697">I315-J315</f>
        <v>0.83100000000000041</v>
      </c>
      <c r="L315" s="154">
        <f t="shared" ref="L315:L370" si="698">J315/I315</f>
        <v>0.84300018892877382</v>
      </c>
      <c r="M315" s="98" t="s">
        <v>218</v>
      </c>
      <c r="N315" s="330">
        <f>G315+G316</f>
        <v>10.586</v>
      </c>
      <c r="O315" s="330">
        <f t="shared" ref="O315" si="699">H315+H316</f>
        <v>0</v>
      </c>
      <c r="P315" s="330">
        <f t="shared" ref="P315:P371" si="700">+N315+O315</f>
        <v>10.586</v>
      </c>
      <c r="Q315" s="330">
        <f t="shared" ref="Q315" si="701">J315+J316</f>
        <v>9.67</v>
      </c>
      <c r="R315" s="330">
        <f t="shared" ref="R315" si="702">P315-Q315</f>
        <v>0.91600000000000037</v>
      </c>
      <c r="S315" s="332">
        <f t="shared" ref="S315" si="703">Q315/P315</f>
        <v>0.91347062157566594</v>
      </c>
      <c r="T315" s="140"/>
    </row>
    <row r="316" spans="1:20">
      <c r="B316" s="339"/>
      <c r="C316" s="345"/>
      <c r="D316" s="347"/>
      <c r="E316" s="344"/>
      <c r="F316" s="129" t="s">
        <v>10</v>
      </c>
      <c r="G316" s="172">
        <v>5.2930000000000001</v>
      </c>
      <c r="H316" s="172"/>
      <c r="I316" s="172">
        <f>K315+G316+H316</f>
        <v>6.1240000000000006</v>
      </c>
      <c r="J316" s="291">
        <v>5.2080000000000002</v>
      </c>
      <c r="K316" s="183">
        <f t="shared" si="697"/>
        <v>0.91600000000000037</v>
      </c>
      <c r="L316" s="154">
        <f t="shared" si="698"/>
        <v>0.85042455911169168</v>
      </c>
      <c r="M316" s="98" t="s">
        <v>218</v>
      </c>
      <c r="N316" s="330"/>
      <c r="O316" s="330"/>
      <c r="P316" s="330">
        <f t="shared" si="700"/>
        <v>0</v>
      </c>
      <c r="Q316" s="330"/>
      <c r="R316" s="330"/>
      <c r="S316" s="332" t="e">
        <f t="shared" ref="S316" si="704">+Q316/P316</f>
        <v>#DIV/0!</v>
      </c>
      <c r="T316" s="140"/>
    </row>
    <row r="317" spans="1:20">
      <c r="B317" s="339"/>
      <c r="C317" s="345"/>
      <c r="D317" s="347"/>
      <c r="E317" s="344" t="s">
        <v>667</v>
      </c>
      <c r="F317" s="129" t="s">
        <v>488</v>
      </c>
      <c r="G317" s="172">
        <v>5.2919999999999998</v>
      </c>
      <c r="H317" s="172"/>
      <c r="I317" s="172">
        <f>G317+H317</f>
        <v>5.2919999999999998</v>
      </c>
      <c r="J317" s="291">
        <v>3.84</v>
      </c>
      <c r="K317" s="183">
        <f t="shared" si="697"/>
        <v>1.452</v>
      </c>
      <c r="L317" s="154">
        <f t="shared" si="698"/>
        <v>0.7256235827664399</v>
      </c>
      <c r="M317" s="98" t="s">
        <v>218</v>
      </c>
      <c r="N317" s="330">
        <f>G317+G318</f>
        <v>10.584</v>
      </c>
      <c r="O317" s="330">
        <f t="shared" ref="O317" si="705">H317+H318</f>
        <v>0</v>
      </c>
      <c r="P317" s="330">
        <f t="shared" si="700"/>
        <v>10.584</v>
      </c>
      <c r="Q317" s="330">
        <f t="shared" ref="Q317" si="706">J317+J318</f>
        <v>5.74</v>
      </c>
      <c r="R317" s="330">
        <f t="shared" ref="R317" si="707">P317-Q317</f>
        <v>4.8439999999999994</v>
      </c>
      <c r="S317" s="332">
        <f t="shared" ref="S317" si="708">Q317/P317</f>
        <v>0.54232804232804233</v>
      </c>
      <c r="T317" s="140"/>
    </row>
    <row r="318" spans="1:20">
      <c r="B318" s="339"/>
      <c r="C318" s="345"/>
      <c r="D318" s="347"/>
      <c r="E318" s="344"/>
      <c r="F318" s="129" t="s">
        <v>10</v>
      </c>
      <c r="G318" s="172">
        <v>5.2919999999999998</v>
      </c>
      <c r="H318" s="172"/>
      <c r="I318" s="172">
        <f>K317+G318+H318</f>
        <v>6.7439999999999998</v>
      </c>
      <c r="J318" s="291">
        <v>1.9</v>
      </c>
      <c r="K318" s="183">
        <f t="shared" si="697"/>
        <v>4.8439999999999994</v>
      </c>
      <c r="L318" s="154">
        <f t="shared" si="698"/>
        <v>0.28173190984578883</v>
      </c>
      <c r="M318" s="98" t="s">
        <v>218</v>
      </c>
      <c r="N318" s="330"/>
      <c r="O318" s="330"/>
      <c r="P318" s="330">
        <f t="shared" si="700"/>
        <v>0</v>
      </c>
      <c r="Q318" s="330"/>
      <c r="R318" s="330"/>
      <c r="S318" s="332" t="e">
        <f t="shared" ref="S318" si="709">+Q318/P318</f>
        <v>#DIV/0!</v>
      </c>
      <c r="T318" s="140"/>
    </row>
    <row r="319" spans="1:20">
      <c r="B319" s="339"/>
      <c r="C319" s="345"/>
      <c r="D319" s="347"/>
      <c r="E319" s="344" t="s">
        <v>422</v>
      </c>
      <c r="F319" s="129" t="s">
        <v>488</v>
      </c>
      <c r="G319" s="172">
        <v>5.2939999999999996</v>
      </c>
      <c r="H319" s="172"/>
      <c r="I319" s="172">
        <f>G319+H319</f>
        <v>5.2939999999999996</v>
      </c>
      <c r="J319" s="291">
        <v>5.6450000000000005</v>
      </c>
      <c r="K319" s="183">
        <f t="shared" si="697"/>
        <v>-0.35100000000000087</v>
      </c>
      <c r="L319" s="154">
        <f t="shared" si="698"/>
        <v>1.0663014733660749</v>
      </c>
      <c r="M319" s="176">
        <v>44321</v>
      </c>
      <c r="N319" s="330">
        <f>G319+G320</f>
        <v>10.587999999999999</v>
      </c>
      <c r="O319" s="330">
        <f t="shared" ref="O319" si="710">H319+H320</f>
        <v>20</v>
      </c>
      <c r="P319" s="330">
        <f t="shared" si="700"/>
        <v>30.588000000000001</v>
      </c>
      <c r="Q319" s="330">
        <f t="shared" ref="Q319" si="711">J319+J320</f>
        <v>13.964000000000002</v>
      </c>
      <c r="R319" s="330">
        <f t="shared" ref="R319" si="712">P319-Q319</f>
        <v>16.623999999999999</v>
      </c>
      <c r="S319" s="332">
        <f t="shared" ref="S319" si="713">Q319/P319</f>
        <v>0.45651889629920234</v>
      </c>
      <c r="T319" s="140"/>
    </row>
    <row r="320" spans="1:20">
      <c r="B320" s="339"/>
      <c r="C320" s="345"/>
      <c r="D320" s="347"/>
      <c r="E320" s="344"/>
      <c r="F320" s="129" t="s">
        <v>10</v>
      </c>
      <c r="G320" s="172">
        <v>5.2939999999999996</v>
      </c>
      <c r="H320" s="172">
        <f>20</f>
        <v>20</v>
      </c>
      <c r="I320" s="172">
        <f>K319+G320+H320</f>
        <v>24.942999999999998</v>
      </c>
      <c r="J320" s="291">
        <v>8.3190000000000008</v>
      </c>
      <c r="K320" s="183">
        <f t="shared" si="697"/>
        <v>16.623999999999995</v>
      </c>
      <c r="L320" s="154">
        <f t="shared" si="698"/>
        <v>0.33352042657258557</v>
      </c>
      <c r="M320" s="98" t="s">
        <v>218</v>
      </c>
      <c r="N320" s="330"/>
      <c r="O320" s="330"/>
      <c r="P320" s="330">
        <f t="shared" si="700"/>
        <v>0</v>
      </c>
      <c r="Q320" s="330"/>
      <c r="R320" s="330"/>
      <c r="S320" s="332" t="e">
        <f t="shared" ref="S320" si="714">+Q320/P320</f>
        <v>#DIV/0!</v>
      </c>
      <c r="T320" s="140"/>
    </row>
    <row r="321" spans="2:20">
      <c r="B321" s="339"/>
      <c r="C321" s="345"/>
      <c r="D321" s="347"/>
      <c r="E321" s="344" t="s">
        <v>608</v>
      </c>
      <c r="F321" s="129" t="s">
        <v>488</v>
      </c>
      <c r="G321" s="172">
        <v>7.9370000000000003</v>
      </c>
      <c r="H321" s="172"/>
      <c r="I321" s="172">
        <f>G321+H321</f>
        <v>7.9370000000000003</v>
      </c>
      <c r="J321" s="291">
        <v>5.1130000000000004</v>
      </c>
      <c r="K321" s="183">
        <f t="shared" si="697"/>
        <v>2.8239999999999998</v>
      </c>
      <c r="L321" s="154">
        <f t="shared" si="698"/>
        <v>0.64419805972029742</v>
      </c>
      <c r="M321" s="176" t="s">
        <v>218</v>
      </c>
      <c r="N321" s="330">
        <f>G321+G322</f>
        <v>10.582000000000001</v>
      </c>
      <c r="O321" s="330">
        <f t="shared" ref="O321" si="715">H321+H322</f>
        <v>0</v>
      </c>
      <c r="P321" s="330">
        <f t="shared" si="700"/>
        <v>10.582000000000001</v>
      </c>
      <c r="Q321" s="330">
        <f t="shared" ref="Q321" si="716">J321+J322</f>
        <v>9.0830000000000002</v>
      </c>
      <c r="R321" s="330">
        <f t="shared" ref="R321" si="717">P321-Q321</f>
        <v>1.4990000000000006</v>
      </c>
      <c r="S321" s="332">
        <f t="shared" ref="S321" si="718">Q321/P321</f>
        <v>0.85834435834435829</v>
      </c>
      <c r="T321" s="140"/>
    </row>
    <row r="322" spans="2:20">
      <c r="B322" s="339"/>
      <c r="C322" s="345"/>
      <c r="D322" s="347"/>
      <c r="E322" s="344"/>
      <c r="F322" s="129" t="s">
        <v>10</v>
      </c>
      <c r="G322" s="172">
        <v>2.645</v>
      </c>
      <c r="H322" s="172"/>
      <c r="I322" s="172">
        <f>K321+G322+H322</f>
        <v>5.4689999999999994</v>
      </c>
      <c r="J322" s="291">
        <v>3.9699999999999998</v>
      </c>
      <c r="K322" s="183">
        <f t="shared" si="697"/>
        <v>1.4989999999999997</v>
      </c>
      <c r="L322" s="154">
        <f t="shared" si="698"/>
        <v>0.72590967270067652</v>
      </c>
      <c r="M322" s="98" t="s">
        <v>218</v>
      </c>
      <c r="N322" s="330"/>
      <c r="O322" s="330"/>
      <c r="P322" s="330">
        <f t="shared" si="700"/>
        <v>0</v>
      </c>
      <c r="Q322" s="330"/>
      <c r="R322" s="330"/>
      <c r="S322" s="332" t="e">
        <f t="shared" ref="S322" si="719">+Q322/P322</f>
        <v>#DIV/0!</v>
      </c>
      <c r="T322" s="140"/>
    </row>
    <row r="323" spans="2:20">
      <c r="B323" s="339"/>
      <c r="C323" s="345"/>
      <c r="D323" s="347"/>
      <c r="E323" s="344" t="s">
        <v>423</v>
      </c>
      <c r="F323" s="129" t="s">
        <v>488</v>
      </c>
      <c r="G323" s="172">
        <v>5.29</v>
      </c>
      <c r="H323" s="172"/>
      <c r="I323" s="172">
        <f>G323+H323</f>
        <v>5.29</v>
      </c>
      <c r="J323" s="291">
        <v>5.21</v>
      </c>
      <c r="K323" s="183">
        <f t="shared" si="697"/>
        <v>8.0000000000000071E-2</v>
      </c>
      <c r="L323" s="154">
        <f t="shared" si="698"/>
        <v>0.98487712665406424</v>
      </c>
      <c r="M323" s="176">
        <v>44350</v>
      </c>
      <c r="N323" s="330">
        <f>G323+G324</f>
        <v>10.58</v>
      </c>
      <c r="O323" s="330">
        <f t="shared" ref="O323" si="720">H323+H324</f>
        <v>0</v>
      </c>
      <c r="P323" s="330">
        <f t="shared" si="700"/>
        <v>10.58</v>
      </c>
      <c r="Q323" s="330">
        <f t="shared" ref="Q323" si="721">J323+J324</f>
        <v>5.21</v>
      </c>
      <c r="R323" s="330">
        <f t="shared" ref="R323" si="722">P323-Q323</f>
        <v>5.37</v>
      </c>
      <c r="S323" s="332">
        <f t="shared" ref="S323" si="723">Q323/P323</f>
        <v>0.49243856332703212</v>
      </c>
      <c r="T323" s="140"/>
    </row>
    <row r="324" spans="2:20">
      <c r="B324" s="339"/>
      <c r="C324" s="345"/>
      <c r="D324" s="347"/>
      <c r="E324" s="344"/>
      <c r="F324" s="129" t="s">
        <v>10</v>
      </c>
      <c r="G324" s="172">
        <v>5.29</v>
      </c>
      <c r="H324" s="172"/>
      <c r="I324" s="172">
        <f>K323+G324+H324</f>
        <v>5.37</v>
      </c>
      <c r="J324" s="291"/>
      <c r="K324" s="183">
        <f t="shared" si="697"/>
        <v>5.37</v>
      </c>
      <c r="L324" s="154">
        <f t="shared" si="698"/>
        <v>0</v>
      </c>
      <c r="M324" s="98" t="s">
        <v>218</v>
      </c>
      <c r="N324" s="330"/>
      <c r="O324" s="330"/>
      <c r="P324" s="330">
        <f t="shared" si="700"/>
        <v>0</v>
      </c>
      <c r="Q324" s="330"/>
      <c r="R324" s="330"/>
      <c r="S324" s="332" t="e">
        <f t="shared" ref="S324" si="724">+Q324/P324</f>
        <v>#DIV/0!</v>
      </c>
      <c r="T324" s="140"/>
    </row>
    <row r="325" spans="2:20">
      <c r="B325" s="339"/>
      <c r="C325" s="345"/>
      <c r="D325" s="347"/>
      <c r="E325" s="344" t="s">
        <v>424</v>
      </c>
      <c r="F325" s="129" t="s">
        <v>488</v>
      </c>
      <c r="G325" s="172">
        <v>5.2859999999999996</v>
      </c>
      <c r="H325" s="172"/>
      <c r="I325" s="172">
        <f>G325+H325</f>
        <v>5.2859999999999996</v>
      </c>
      <c r="J325" s="291">
        <v>3.3889999999999998</v>
      </c>
      <c r="K325" s="183">
        <f t="shared" si="697"/>
        <v>1.8969999999999998</v>
      </c>
      <c r="L325" s="154">
        <f t="shared" si="698"/>
        <v>0.64112750662126372</v>
      </c>
      <c r="M325" s="98" t="s">
        <v>218</v>
      </c>
      <c r="N325" s="330">
        <f>G325+G326</f>
        <v>10.571999999999999</v>
      </c>
      <c r="O325" s="330">
        <f t="shared" ref="O325" si="725">H325+H326</f>
        <v>-0.28599999999999998</v>
      </c>
      <c r="P325" s="330">
        <f>+N325+O325</f>
        <v>10.286</v>
      </c>
      <c r="Q325" s="330">
        <f t="shared" ref="Q325" si="726">J325+J326</f>
        <v>4.782</v>
      </c>
      <c r="R325" s="330">
        <f t="shared" ref="R325" si="727">P325-Q325</f>
        <v>5.5039999999999996</v>
      </c>
      <c r="S325" s="332">
        <f t="shared" ref="S325" si="728">Q325/P325</f>
        <v>0.46490375267353684</v>
      </c>
      <c r="T325" s="140"/>
    </row>
    <row r="326" spans="2:20">
      <c r="B326" s="339"/>
      <c r="C326" s="345"/>
      <c r="D326" s="347"/>
      <c r="E326" s="344"/>
      <c r="F326" s="129" t="s">
        <v>10</v>
      </c>
      <c r="G326" s="172">
        <v>5.2859999999999996</v>
      </c>
      <c r="H326" s="172">
        <f>-0.286</f>
        <v>-0.28599999999999998</v>
      </c>
      <c r="I326" s="172">
        <f>K325+G326+H326</f>
        <v>6.8970000000000002</v>
      </c>
      <c r="J326" s="291">
        <v>1.393</v>
      </c>
      <c r="K326" s="183">
        <f t="shared" si="697"/>
        <v>5.5040000000000004</v>
      </c>
      <c r="L326" s="154">
        <f t="shared" si="698"/>
        <v>0.20197187182833115</v>
      </c>
      <c r="M326" s="98" t="s">
        <v>218</v>
      </c>
      <c r="N326" s="330"/>
      <c r="O326" s="330"/>
      <c r="P326" s="330">
        <f t="shared" si="700"/>
        <v>0</v>
      </c>
      <c r="Q326" s="330"/>
      <c r="R326" s="330"/>
      <c r="S326" s="332" t="e">
        <f t="shared" ref="S326" si="729">+Q326/P326</f>
        <v>#DIV/0!</v>
      </c>
      <c r="T326" s="140"/>
    </row>
    <row r="327" spans="2:20">
      <c r="B327" s="339"/>
      <c r="C327" s="345"/>
      <c r="D327" s="347"/>
      <c r="E327" s="344" t="s">
        <v>610</v>
      </c>
      <c r="F327" s="129" t="s">
        <v>488</v>
      </c>
      <c r="G327" s="172">
        <v>5.2919999999999998</v>
      </c>
      <c r="H327" s="172"/>
      <c r="I327" s="172">
        <f>G327+H327</f>
        <v>5.2919999999999998</v>
      </c>
      <c r="J327" s="291">
        <v>5.28</v>
      </c>
      <c r="K327" s="183">
        <f t="shared" si="697"/>
        <v>1.1999999999999567E-2</v>
      </c>
      <c r="L327" s="154">
        <f t="shared" si="698"/>
        <v>0.99773242630385495</v>
      </c>
      <c r="M327" s="176">
        <v>44371</v>
      </c>
      <c r="N327" s="330">
        <f>G327+G328</f>
        <v>10.584</v>
      </c>
      <c r="O327" s="330">
        <f t="shared" ref="O327" si="730">H327+H328</f>
        <v>0</v>
      </c>
      <c r="P327" s="330">
        <f t="shared" si="700"/>
        <v>10.584</v>
      </c>
      <c r="Q327" s="330">
        <f t="shared" ref="Q327" si="731">J327+J328</f>
        <v>8.6479999999999997</v>
      </c>
      <c r="R327" s="330">
        <f t="shared" ref="R327" si="732">P327-Q327</f>
        <v>1.9359999999999999</v>
      </c>
      <c r="S327" s="332">
        <f t="shared" ref="S327" si="733">Q327/P327</f>
        <v>0.81708238851095993</v>
      </c>
      <c r="T327" s="140"/>
    </row>
    <row r="328" spans="2:20">
      <c r="B328" s="339"/>
      <c r="C328" s="345"/>
      <c r="D328" s="347"/>
      <c r="E328" s="344"/>
      <c r="F328" s="129" t="s">
        <v>10</v>
      </c>
      <c r="G328" s="172">
        <v>5.2919999999999998</v>
      </c>
      <c r="H328" s="172"/>
      <c r="I328" s="172">
        <f>K327+G328+H328</f>
        <v>5.3039999999999994</v>
      </c>
      <c r="J328" s="291">
        <v>3.3679999999999994</v>
      </c>
      <c r="K328" s="183">
        <f t="shared" si="697"/>
        <v>1.9359999999999999</v>
      </c>
      <c r="L328" s="154">
        <f t="shared" si="698"/>
        <v>0.63499245852187025</v>
      </c>
      <c r="M328" s="98" t="s">
        <v>218</v>
      </c>
      <c r="N328" s="330"/>
      <c r="O328" s="330"/>
      <c r="P328" s="330">
        <f t="shared" si="700"/>
        <v>0</v>
      </c>
      <c r="Q328" s="330"/>
      <c r="R328" s="330"/>
      <c r="S328" s="332" t="e">
        <f t="shared" ref="S328" si="734">+Q328/P328</f>
        <v>#DIV/0!</v>
      </c>
      <c r="T328" s="140"/>
    </row>
    <row r="329" spans="2:20">
      <c r="B329" s="339"/>
      <c r="C329" s="345"/>
      <c r="D329" s="347"/>
      <c r="E329" s="344" t="s">
        <v>425</v>
      </c>
      <c r="F329" s="129" t="s">
        <v>488</v>
      </c>
      <c r="G329" s="172">
        <v>7.9379999999999997</v>
      </c>
      <c r="H329" s="172"/>
      <c r="I329" s="172">
        <f>G329+H329</f>
        <v>7.9379999999999997</v>
      </c>
      <c r="J329" s="291">
        <v>5.4370000000000003</v>
      </c>
      <c r="K329" s="183">
        <f t="shared" si="697"/>
        <v>2.5009999999999994</v>
      </c>
      <c r="L329" s="154">
        <f t="shared" si="698"/>
        <v>0.68493323255228022</v>
      </c>
      <c r="M329" s="176" t="s">
        <v>218</v>
      </c>
      <c r="N329" s="330">
        <f>G329+G330</f>
        <v>10.584</v>
      </c>
      <c r="O329" s="330">
        <f t="shared" ref="O329" si="735">H329+H330</f>
        <v>0</v>
      </c>
      <c r="P329" s="330">
        <f t="shared" si="700"/>
        <v>10.584</v>
      </c>
      <c r="Q329" s="330">
        <f t="shared" ref="Q329" si="736">J329+J330</f>
        <v>10.577999999999999</v>
      </c>
      <c r="R329" s="330">
        <f t="shared" ref="R329" si="737">P329-Q329</f>
        <v>6.0000000000002274E-3</v>
      </c>
      <c r="S329" s="332">
        <f t="shared" ref="S329" si="738">Q329/P329</f>
        <v>0.99943310657596374</v>
      </c>
      <c r="T329" s="140"/>
    </row>
    <row r="330" spans="2:20">
      <c r="B330" s="339"/>
      <c r="C330" s="345"/>
      <c r="D330" s="347"/>
      <c r="E330" s="344"/>
      <c r="F330" s="129" t="s">
        <v>10</v>
      </c>
      <c r="G330" s="172">
        <v>2.6459999999999999</v>
      </c>
      <c r="H330" s="172"/>
      <c r="I330" s="172">
        <f>K329+G330+H330</f>
        <v>5.1469999999999994</v>
      </c>
      <c r="J330" s="291">
        <v>5.141</v>
      </c>
      <c r="K330" s="183">
        <f t="shared" si="697"/>
        <v>5.9999999999993392E-3</v>
      </c>
      <c r="L330" s="154">
        <f t="shared" si="698"/>
        <v>0.99883427239168465</v>
      </c>
      <c r="M330" s="176">
        <v>44560</v>
      </c>
      <c r="N330" s="330"/>
      <c r="O330" s="330"/>
      <c r="P330" s="330">
        <f t="shared" si="700"/>
        <v>0</v>
      </c>
      <c r="Q330" s="330"/>
      <c r="R330" s="330"/>
      <c r="S330" s="332" t="e">
        <f t="shared" ref="S330" si="739">+Q330/P330</f>
        <v>#DIV/0!</v>
      </c>
      <c r="T330" s="140"/>
    </row>
    <row r="331" spans="2:20">
      <c r="B331" s="339"/>
      <c r="C331" s="345"/>
      <c r="D331" s="347"/>
      <c r="E331" s="344" t="s">
        <v>426</v>
      </c>
      <c r="F331" s="129" t="s">
        <v>488</v>
      </c>
      <c r="G331" s="172">
        <v>5.29</v>
      </c>
      <c r="H331" s="172"/>
      <c r="I331" s="172">
        <f>G331+H331</f>
        <v>5.29</v>
      </c>
      <c r="J331" s="291">
        <v>4.5090000000000003</v>
      </c>
      <c r="K331" s="183">
        <f t="shared" si="697"/>
        <v>0.78099999999999969</v>
      </c>
      <c r="L331" s="154">
        <f t="shared" si="698"/>
        <v>0.85236294896030251</v>
      </c>
      <c r="M331" s="98" t="s">
        <v>218</v>
      </c>
      <c r="N331" s="330">
        <f>G331+G332</f>
        <v>10.58</v>
      </c>
      <c r="O331" s="330">
        <f t="shared" ref="O331" si="740">H331+H332</f>
        <v>0</v>
      </c>
      <c r="P331" s="330">
        <f t="shared" si="700"/>
        <v>10.58</v>
      </c>
      <c r="Q331" s="330">
        <f t="shared" ref="Q331" si="741">J331+J332</f>
        <v>8.64</v>
      </c>
      <c r="R331" s="330">
        <f t="shared" ref="R331" si="742">P331-Q331</f>
        <v>1.9399999999999995</v>
      </c>
      <c r="S331" s="332">
        <f t="shared" ref="S331" si="743">Q331/P331</f>
        <v>0.81663516068052933</v>
      </c>
      <c r="T331" s="140"/>
    </row>
    <row r="332" spans="2:20">
      <c r="B332" s="339"/>
      <c r="C332" s="345"/>
      <c r="D332" s="347"/>
      <c r="E332" s="344"/>
      <c r="F332" s="129" t="s">
        <v>10</v>
      </c>
      <c r="G332" s="172">
        <v>5.29</v>
      </c>
      <c r="H332" s="172"/>
      <c r="I332" s="172">
        <f>K331+G332+H332</f>
        <v>6.0709999999999997</v>
      </c>
      <c r="J332" s="291">
        <v>4.1310000000000002</v>
      </c>
      <c r="K332" s="183">
        <f t="shared" si="697"/>
        <v>1.9399999999999995</v>
      </c>
      <c r="L332" s="154">
        <f t="shared" si="698"/>
        <v>0.68044803162576184</v>
      </c>
      <c r="M332" s="98" t="s">
        <v>218</v>
      </c>
      <c r="N332" s="330"/>
      <c r="O332" s="330"/>
      <c r="P332" s="330">
        <f t="shared" si="700"/>
        <v>0</v>
      </c>
      <c r="Q332" s="330"/>
      <c r="R332" s="330"/>
      <c r="S332" s="332" t="e">
        <f t="shared" ref="S332" si="744">+Q332/P332</f>
        <v>#DIV/0!</v>
      </c>
      <c r="T332" s="140"/>
    </row>
    <row r="333" spans="2:20">
      <c r="B333" s="339"/>
      <c r="C333" s="345"/>
      <c r="D333" s="347"/>
      <c r="E333" s="344" t="s">
        <v>427</v>
      </c>
      <c r="F333" s="129" t="s">
        <v>488</v>
      </c>
      <c r="G333" s="172">
        <v>5.2910000000000004</v>
      </c>
      <c r="H333" s="172"/>
      <c r="I333" s="172">
        <f>G333+H333</f>
        <v>5.2910000000000004</v>
      </c>
      <c r="J333" s="291">
        <v>4.9099999999999993</v>
      </c>
      <c r="K333" s="183">
        <f t="shared" si="697"/>
        <v>0.38100000000000112</v>
      </c>
      <c r="L333" s="154">
        <f t="shared" si="698"/>
        <v>0.92799092799092775</v>
      </c>
      <c r="M333" s="98" t="s">
        <v>218</v>
      </c>
      <c r="N333" s="330">
        <f>G333+G334</f>
        <v>10.582000000000001</v>
      </c>
      <c r="O333" s="330">
        <f t="shared" ref="O333" si="745">H333+H334</f>
        <v>0</v>
      </c>
      <c r="P333" s="330">
        <f t="shared" si="700"/>
        <v>10.582000000000001</v>
      </c>
      <c r="Q333" s="330">
        <f t="shared" ref="Q333" si="746">J333+J334</f>
        <v>10.565999999999999</v>
      </c>
      <c r="R333" s="330">
        <f t="shared" ref="R333" si="747">P333-Q333</f>
        <v>1.6000000000001791E-2</v>
      </c>
      <c r="S333" s="332">
        <f t="shared" ref="S333" si="748">Q333/P333</f>
        <v>0.9984879984879983</v>
      </c>
      <c r="T333" s="140"/>
    </row>
    <row r="334" spans="2:20">
      <c r="B334" s="339"/>
      <c r="C334" s="345"/>
      <c r="D334" s="347"/>
      <c r="E334" s="344"/>
      <c r="F334" s="129" t="s">
        <v>10</v>
      </c>
      <c r="G334" s="172">
        <v>5.2910000000000004</v>
      </c>
      <c r="H334" s="172"/>
      <c r="I334" s="172">
        <f>K333+G334+H334</f>
        <v>5.6720000000000015</v>
      </c>
      <c r="J334" s="291">
        <v>5.6559999999999997</v>
      </c>
      <c r="K334" s="183">
        <f t="shared" si="697"/>
        <v>1.6000000000001791E-2</v>
      </c>
      <c r="L334" s="154">
        <f t="shared" si="698"/>
        <v>0.99717912552891363</v>
      </c>
      <c r="M334" s="176">
        <v>44560</v>
      </c>
      <c r="N334" s="330"/>
      <c r="O334" s="330"/>
      <c r="P334" s="330">
        <f t="shared" si="700"/>
        <v>0</v>
      </c>
      <c r="Q334" s="330"/>
      <c r="R334" s="330"/>
      <c r="S334" s="332" t="e">
        <f t="shared" ref="S334" si="749">+Q334/P334</f>
        <v>#DIV/0!</v>
      </c>
      <c r="T334" s="140"/>
    </row>
    <row r="335" spans="2:20">
      <c r="B335" s="339"/>
      <c r="C335" s="345"/>
      <c r="D335" s="347"/>
      <c r="E335" s="344" t="s">
        <v>428</v>
      </c>
      <c r="F335" s="129" t="s">
        <v>488</v>
      </c>
      <c r="G335" s="172">
        <v>5.2910000000000004</v>
      </c>
      <c r="H335" s="172"/>
      <c r="I335" s="172">
        <f>G335+H335</f>
        <v>5.2910000000000004</v>
      </c>
      <c r="J335" s="291">
        <v>4.665</v>
      </c>
      <c r="K335" s="183">
        <f t="shared" si="697"/>
        <v>0.62600000000000033</v>
      </c>
      <c r="L335" s="154">
        <f t="shared" si="698"/>
        <v>0.88168588168588158</v>
      </c>
      <c r="M335" s="98" t="s">
        <v>218</v>
      </c>
      <c r="N335" s="330">
        <f>G335+G336</f>
        <v>10.582000000000001</v>
      </c>
      <c r="O335" s="330">
        <f t="shared" ref="O335" si="750">H335+H336</f>
        <v>0</v>
      </c>
      <c r="P335" s="330">
        <f t="shared" si="700"/>
        <v>10.582000000000001</v>
      </c>
      <c r="Q335" s="330">
        <f t="shared" ref="Q335" si="751">J335+J336</f>
        <v>10.414999999999999</v>
      </c>
      <c r="R335" s="330">
        <f t="shared" ref="R335" si="752">P335-Q335</f>
        <v>0.16700000000000159</v>
      </c>
      <c r="S335" s="332">
        <f t="shared" ref="S335" si="753">Q335/P335</f>
        <v>0.98421848421848412</v>
      </c>
      <c r="T335" s="140"/>
    </row>
    <row r="336" spans="2:20">
      <c r="B336" s="339"/>
      <c r="C336" s="345"/>
      <c r="D336" s="347"/>
      <c r="E336" s="344"/>
      <c r="F336" s="129" t="s">
        <v>10</v>
      </c>
      <c r="G336" s="172">
        <v>5.2910000000000004</v>
      </c>
      <c r="H336" s="172"/>
      <c r="I336" s="172">
        <f>K335+G336+H336</f>
        <v>5.9170000000000007</v>
      </c>
      <c r="J336" s="291">
        <v>5.75</v>
      </c>
      <c r="K336" s="183">
        <f t="shared" si="697"/>
        <v>0.1670000000000007</v>
      </c>
      <c r="L336" s="154">
        <f t="shared" si="698"/>
        <v>0.97177623795842472</v>
      </c>
      <c r="M336" s="176">
        <v>44560</v>
      </c>
      <c r="N336" s="330"/>
      <c r="O336" s="330"/>
      <c r="P336" s="330">
        <f t="shared" si="700"/>
        <v>0</v>
      </c>
      <c r="Q336" s="330"/>
      <c r="R336" s="330"/>
      <c r="S336" s="332" t="e">
        <f t="shared" ref="S336" si="754">+Q336/P336</f>
        <v>#DIV/0!</v>
      </c>
      <c r="T336" s="140"/>
    </row>
    <row r="337" spans="2:20">
      <c r="B337" s="339"/>
      <c r="C337" s="345"/>
      <c r="D337" s="347"/>
      <c r="E337" s="344" t="s">
        <v>429</v>
      </c>
      <c r="F337" s="129" t="s">
        <v>488</v>
      </c>
      <c r="G337" s="172">
        <v>5.2889999999999997</v>
      </c>
      <c r="H337" s="172"/>
      <c r="I337" s="172">
        <f>G337+H337</f>
        <v>5.2889999999999997</v>
      </c>
      <c r="J337" s="291">
        <v>6.9509999999999996</v>
      </c>
      <c r="K337" s="183">
        <f t="shared" si="697"/>
        <v>-1.6619999999999999</v>
      </c>
      <c r="L337" s="154">
        <f t="shared" si="698"/>
        <v>1.3142370958593308</v>
      </c>
      <c r="M337" s="176">
        <v>44364</v>
      </c>
      <c r="N337" s="330">
        <f>G337+G338</f>
        <v>10.577999999999999</v>
      </c>
      <c r="O337" s="330">
        <f t="shared" ref="O337" si="755">H337+H338</f>
        <v>0</v>
      </c>
      <c r="P337" s="330">
        <f t="shared" si="700"/>
        <v>10.577999999999999</v>
      </c>
      <c r="Q337" s="330">
        <f t="shared" ref="Q337" si="756">J337+J338</f>
        <v>9.3419999999999987</v>
      </c>
      <c r="R337" s="330">
        <f t="shared" ref="R337" si="757">P337-Q337</f>
        <v>1.2360000000000007</v>
      </c>
      <c r="S337" s="332">
        <f t="shared" ref="S337" si="758">Q337/P337</f>
        <v>0.88315371525808273</v>
      </c>
      <c r="T337" s="140"/>
    </row>
    <row r="338" spans="2:20">
      <c r="B338" s="339"/>
      <c r="C338" s="345"/>
      <c r="D338" s="347"/>
      <c r="E338" s="344"/>
      <c r="F338" s="129" t="s">
        <v>10</v>
      </c>
      <c r="G338" s="172">
        <v>5.2889999999999997</v>
      </c>
      <c r="H338" s="172"/>
      <c r="I338" s="172">
        <f>K337+G338+H338</f>
        <v>3.6269999999999998</v>
      </c>
      <c r="J338" s="291">
        <v>2.391</v>
      </c>
      <c r="K338" s="183">
        <f t="shared" si="697"/>
        <v>1.2359999999999998</v>
      </c>
      <c r="L338" s="154">
        <f t="shared" si="698"/>
        <v>0.65922249793217536</v>
      </c>
      <c r="M338" s="98" t="s">
        <v>218</v>
      </c>
      <c r="N338" s="330"/>
      <c r="O338" s="330"/>
      <c r="P338" s="330">
        <f t="shared" si="700"/>
        <v>0</v>
      </c>
      <c r="Q338" s="330"/>
      <c r="R338" s="330"/>
      <c r="S338" s="332" t="e">
        <f t="shared" ref="S338" si="759">+Q338/P338</f>
        <v>#DIV/0!</v>
      </c>
      <c r="T338" s="140"/>
    </row>
    <row r="339" spans="2:20">
      <c r="B339" s="339"/>
      <c r="C339" s="345"/>
      <c r="D339" s="347"/>
      <c r="E339" s="344" t="s">
        <v>430</v>
      </c>
      <c r="F339" s="129" t="s">
        <v>488</v>
      </c>
      <c r="G339" s="172">
        <v>5.29</v>
      </c>
      <c r="H339" s="172"/>
      <c r="I339" s="172">
        <f>G339+H339</f>
        <v>5.29</v>
      </c>
      <c r="J339" s="291">
        <v>3.42</v>
      </c>
      <c r="K339" s="183">
        <f t="shared" si="697"/>
        <v>1.87</v>
      </c>
      <c r="L339" s="154">
        <f t="shared" si="698"/>
        <v>0.64650283553875232</v>
      </c>
      <c r="M339" s="98" t="s">
        <v>218</v>
      </c>
      <c r="N339" s="330">
        <f>G339+G340</f>
        <v>10.58</v>
      </c>
      <c r="O339" s="330">
        <f t="shared" ref="O339" si="760">H339+H340</f>
        <v>0</v>
      </c>
      <c r="P339" s="330">
        <f t="shared" si="700"/>
        <v>10.58</v>
      </c>
      <c r="Q339" s="330">
        <f t="shared" ref="Q339" si="761">J339+J340</f>
        <v>5.9039999999999999</v>
      </c>
      <c r="R339" s="330">
        <f t="shared" ref="R339" si="762">P339-Q339</f>
        <v>4.6760000000000002</v>
      </c>
      <c r="S339" s="332">
        <f t="shared" ref="S339" si="763">Q339/P339</f>
        <v>0.55803402646502831</v>
      </c>
      <c r="T339" s="140"/>
    </row>
    <row r="340" spans="2:20">
      <c r="B340" s="339"/>
      <c r="C340" s="345"/>
      <c r="D340" s="347"/>
      <c r="E340" s="344"/>
      <c r="F340" s="129" t="s">
        <v>10</v>
      </c>
      <c r="G340" s="172">
        <v>5.29</v>
      </c>
      <c r="H340" s="172"/>
      <c r="I340" s="172">
        <f>K339+G340+H340</f>
        <v>7.16</v>
      </c>
      <c r="J340" s="291">
        <v>2.484</v>
      </c>
      <c r="K340" s="183">
        <f t="shared" si="697"/>
        <v>4.6760000000000002</v>
      </c>
      <c r="L340" s="154">
        <f t="shared" si="698"/>
        <v>0.34692737430167597</v>
      </c>
      <c r="M340" s="98" t="s">
        <v>218</v>
      </c>
      <c r="N340" s="330"/>
      <c r="O340" s="330"/>
      <c r="P340" s="330">
        <f t="shared" si="700"/>
        <v>0</v>
      </c>
      <c r="Q340" s="330"/>
      <c r="R340" s="330"/>
      <c r="S340" s="332" t="e">
        <f t="shared" ref="S340" si="764">+Q340/P340</f>
        <v>#DIV/0!</v>
      </c>
      <c r="T340" s="140"/>
    </row>
    <row r="341" spans="2:20">
      <c r="B341" s="339"/>
      <c r="C341" s="345"/>
      <c r="D341" s="347"/>
      <c r="E341" s="344" t="s">
        <v>635</v>
      </c>
      <c r="F341" s="129" t="s">
        <v>488</v>
      </c>
      <c r="G341" s="172">
        <v>7.9379999999999997</v>
      </c>
      <c r="H341" s="172">
        <f>8.75</f>
        <v>8.75</v>
      </c>
      <c r="I341" s="172">
        <f>G341+H341</f>
        <v>16.687999999999999</v>
      </c>
      <c r="J341" s="291">
        <v>5.4759999999999991</v>
      </c>
      <c r="K341" s="183">
        <f t="shared" si="697"/>
        <v>11.212</v>
      </c>
      <c r="L341" s="154">
        <f t="shared" si="698"/>
        <v>0.32813998082454454</v>
      </c>
      <c r="M341" s="176">
        <v>44334</v>
      </c>
      <c r="N341" s="330">
        <f>G341+G342</f>
        <v>10.584</v>
      </c>
      <c r="O341" s="330">
        <f t="shared" ref="O341" si="765">H341+H342</f>
        <v>28.75</v>
      </c>
      <c r="P341" s="330">
        <f t="shared" si="700"/>
        <v>39.334000000000003</v>
      </c>
      <c r="Q341" s="330">
        <f t="shared" ref="Q341" si="766">J341+J342</f>
        <v>28.728999999999999</v>
      </c>
      <c r="R341" s="330">
        <f t="shared" ref="R341" si="767">P341-Q341</f>
        <v>10.605000000000004</v>
      </c>
      <c r="S341" s="332">
        <f t="shared" ref="S341" si="768">Q341/P341</f>
        <v>0.73038592566227678</v>
      </c>
      <c r="T341" s="140"/>
    </row>
    <row r="342" spans="2:20">
      <c r="B342" s="339"/>
      <c r="C342" s="345"/>
      <c r="D342" s="347"/>
      <c r="E342" s="344"/>
      <c r="F342" s="129" t="s">
        <v>10</v>
      </c>
      <c r="G342" s="172">
        <v>2.6459999999999999</v>
      </c>
      <c r="H342" s="172">
        <f>20</f>
        <v>20</v>
      </c>
      <c r="I342" s="172">
        <f>K341+G342+H342</f>
        <v>33.858000000000004</v>
      </c>
      <c r="J342" s="291">
        <v>23.253</v>
      </c>
      <c r="K342" s="183">
        <f t="shared" si="697"/>
        <v>10.605000000000004</v>
      </c>
      <c r="L342" s="154">
        <f t="shared" si="698"/>
        <v>0.68678008151692349</v>
      </c>
      <c r="M342" s="98" t="s">
        <v>218</v>
      </c>
      <c r="N342" s="330"/>
      <c r="O342" s="330"/>
      <c r="P342" s="330">
        <f t="shared" si="700"/>
        <v>0</v>
      </c>
      <c r="Q342" s="330"/>
      <c r="R342" s="330"/>
      <c r="S342" s="332" t="e">
        <f t="shared" ref="S342" si="769">+Q342/P342</f>
        <v>#DIV/0!</v>
      </c>
      <c r="T342" s="140"/>
    </row>
    <row r="343" spans="2:20">
      <c r="B343" s="339"/>
      <c r="C343" s="345"/>
      <c r="D343" s="347"/>
      <c r="E343" s="344" t="s">
        <v>431</v>
      </c>
      <c r="F343" s="129" t="s">
        <v>488</v>
      </c>
      <c r="G343" s="172">
        <v>5.2919999999999998</v>
      </c>
      <c r="H343" s="172"/>
      <c r="I343" s="172">
        <f>G343+H343</f>
        <v>5.2919999999999998</v>
      </c>
      <c r="J343" s="291">
        <v>4.1300000000000008</v>
      </c>
      <c r="K343" s="183">
        <f t="shared" si="697"/>
        <v>1.161999999999999</v>
      </c>
      <c r="L343" s="154">
        <f t="shared" si="698"/>
        <v>0.78042328042328057</v>
      </c>
      <c r="M343" s="98" t="s">
        <v>218</v>
      </c>
      <c r="N343" s="330">
        <f>G343+G344</f>
        <v>10.584</v>
      </c>
      <c r="O343" s="330">
        <f t="shared" ref="O343" si="770">H343+H344</f>
        <v>22</v>
      </c>
      <c r="P343" s="330">
        <f t="shared" si="700"/>
        <v>32.584000000000003</v>
      </c>
      <c r="Q343" s="330">
        <f t="shared" ref="Q343" si="771">J343+J344</f>
        <v>25.658000000000001</v>
      </c>
      <c r="R343" s="330">
        <f t="shared" ref="R343" si="772">P343-Q343</f>
        <v>6.9260000000000019</v>
      </c>
      <c r="S343" s="332">
        <f t="shared" ref="S343" si="773">Q343/P343</f>
        <v>0.78744168917260005</v>
      </c>
      <c r="T343" s="140"/>
    </row>
    <row r="344" spans="2:20">
      <c r="B344" s="339"/>
      <c r="C344" s="345"/>
      <c r="D344" s="347"/>
      <c r="E344" s="344"/>
      <c r="F344" s="129" t="s">
        <v>10</v>
      </c>
      <c r="G344" s="172">
        <v>5.2919999999999998</v>
      </c>
      <c r="H344" s="172">
        <f>22</f>
        <v>22</v>
      </c>
      <c r="I344" s="172">
        <f>K343+G344+H344</f>
        <v>28.454000000000001</v>
      </c>
      <c r="J344" s="291">
        <v>21.527999999999999</v>
      </c>
      <c r="K344" s="183">
        <f t="shared" si="697"/>
        <v>6.9260000000000019</v>
      </c>
      <c r="L344" s="154">
        <f t="shared" si="698"/>
        <v>0.75658958318689806</v>
      </c>
      <c r="M344" s="98" t="s">
        <v>218</v>
      </c>
      <c r="N344" s="330"/>
      <c r="O344" s="330"/>
      <c r="P344" s="330">
        <f t="shared" si="700"/>
        <v>0</v>
      </c>
      <c r="Q344" s="330"/>
      <c r="R344" s="330"/>
      <c r="S344" s="332" t="e">
        <f t="shared" ref="S344" si="774">+Q344/P344</f>
        <v>#DIV/0!</v>
      </c>
      <c r="T344" s="140"/>
    </row>
    <row r="345" spans="2:20">
      <c r="B345" s="339"/>
      <c r="C345" s="345"/>
      <c r="D345" s="347"/>
      <c r="E345" s="344" t="s">
        <v>432</v>
      </c>
      <c r="F345" s="129" t="s">
        <v>488</v>
      </c>
      <c r="G345" s="172">
        <v>7.9379999999999997</v>
      </c>
      <c r="H345" s="172">
        <f>6</f>
        <v>6</v>
      </c>
      <c r="I345" s="172">
        <f>G345+H345</f>
        <v>13.937999999999999</v>
      </c>
      <c r="J345" s="291">
        <v>8.6999999999999993</v>
      </c>
      <c r="K345" s="183">
        <f t="shared" si="697"/>
        <v>5.2379999999999995</v>
      </c>
      <c r="L345" s="154">
        <f t="shared" si="698"/>
        <v>0.6241928540680155</v>
      </c>
      <c r="M345" s="98" t="s">
        <v>218</v>
      </c>
      <c r="N345" s="330">
        <f>G345+G346</f>
        <v>10.584</v>
      </c>
      <c r="O345" s="330">
        <f t="shared" ref="O345" si="775">H345+H346</f>
        <v>6</v>
      </c>
      <c r="P345" s="330">
        <f t="shared" si="700"/>
        <v>16.584</v>
      </c>
      <c r="Q345" s="330">
        <f t="shared" ref="Q345" si="776">J345+J346</f>
        <v>14.914999999999999</v>
      </c>
      <c r="R345" s="330">
        <f t="shared" ref="R345" si="777">P345-Q345</f>
        <v>1.6690000000000005</v>
      </c>
      <c r="S345" s="332">
        <f t="shared" ref="S345" si="778">Q345/P345</f>
        <v>0.89936082971538833</v>
      </c>
      <c r="T345" s="140"/>
    </row>
    <row r="346" spans="2:20">
      <c r="B346" s="339"/>
      <c r="C346" s="345"/>
      <c r="D346" s="347"/>
      <c r="E346" s="344"/>
      <c r="F346" s="129" t="s">
        <v>10</v>
      </c>
      <c r="G346" s="172">
        <v>2.6459999999999999</v>
      </c>
      <c r="H346" s="172"/>
      <c r="I346" s="172">
        <f>K345+G346+H346</f>
        <v>7.8839999999999995</v>
      </c>
      <c r="J346" s="291">
        <v>6.2149999999999999</v>
      </c>
      <c r="K346" s="183">
        <f t="shared" si="697"/>
        <v>1.6689999999999996</v>
      </c>
      <c r="L346" s="154">
        <f t="shared" si="698"/>
        <v>0.78830542871638765</v>
      </c>
      <c r="M346" s="98" t="s">
        <v>218</v>
      </c>
      <c r="N346" s="330"/>
      <c r="O346" s="330"/>
      <c r="P346" s="330">
        <f t="shared" si="700"/>
        <v>0</v>
      </c>
      <c r="Q346" s="330"/>
      <c r="R346" s="330"/>
      <c r="S346" s="332" t="e">
        <f t="shared" ref="S346" si="779">+Q346/P346</f>
        <v>#DIV/0!</v>
      </c>
      <c r="T346" s="140"/>
    </row>
    <row r="347" spans="2:20">
      <c r="B347" s="339"/>
      <c r="C347" s="345"/>
      <c r="D347" s="347"/>
      <c r="E347" s="344" t="s">
        <v>433</v>
      </c>
      <c r="F347" s="129" t="s">
        <v>488</v>
      </c>
      <c r="G347" s="172">
        <v>7.9379999999999997</v>
      </c>
      <c r="H347" s="172">
        <f>8.75</f>
        <v>8.75</v>
      </c>
      <c r="I347" s="172">
        <f>G347+H347</f>
        <v>16.687999999999999</v>
      </c>
      <c r="J347" s="291">
        <v>6.8849999999999998</v>
      </c>
      <c r="K347" s="183">
        <f t="shared" si="697"/>
        <v>9.802999999999999</v>
      </c>
      <c r="L347" s="154">
        <f t="shared" si="698"/>
        <v>0.41257190795781401</v>
      </c>
      <c r="M347" s="98" t="s">
        <v>218</v>
      </c>
      <c r="N347" s="330">
        <f>G347+G348</f>
        <v>10.584</v>
      </c>
      <c r="O347" s="330">
        <f t="shared" ref="O347" si="780">H347+H348</f>
        <v>18.75</v>
      </c>
      <c r="P347" s="330">
        <f t="shared" si="700"/>
        <v>29.334</v>
      </c>
      <c r="Q347" s="330">
        <f t="shared" ref="Q347" si="781">J347+J348</f>
        <v>21.128999999999998</v>
      </c>
      <c r="R347" s="330">
        <f t="shared" ref="R347" si="782">P347-Q347</f>
        <v>8.2050000000000018</v>
      </c>
      <c r="S347" s="332">
        <f t="shared" ref="S347" si="783">Q347/P347</f>
        <v>0.72029044794436481</v>
      </c>
      <c r="T347" s="140"/>
    </row>
    <row r="348" spans="2:20">
      <c r="B348" s="339"/>
      <c r="C348" s="345"/>
      <c r="D348" s="347"/>
      <c r="E348" s="344"/>
      <c r="F348" s="129" t="s">
        <v>10</v>
      </c>
      <c r="G348" s="172">
        <v>2.6459999999999999</v>
      </c>
      <c r="H348" s="172">
        <v>10</v>
      </c>
      <c r="I348" s="172">
        <f>K347+G348+H348</f>
        <v>22.448999999999998</v>
      </c>
      <c r="J348" s="291">
        <v>14.244</v>
      </c>
      <c r="K348" s="183">
        <f t="shared" si="697"/>
        <v>8.2049999999999983</v>
      </c>
      <c r="L348" s="154">
        <f t="shared" si="698"/>
        <v>0.63450487772283848</v>
      </c>
      <c r="M348" s="98" t="s">
        <v>218</v>
      </c>
      <c r="N348" s="330"/>
      <c r="O348" s="330"/>
      <c r="P348" s="330">
        <f t="shared" si="700"/>
        <v>0</v>
      </c>
      <c r="Q348" s="330"/>
      <c r="R348" s="330"/>
      <c r="S348" s="332" t="e">
        <f t="shared" ref="S348" si="784">+Q348/P348</f>
        <v>#DIV/0!</v>
      </c>
      <c r="T348" s="140"/>
    </row>
    <row r="349" spans="2:20">
      <c r="B349" s="339"/>
      <c r="C349" s="345"/>
      <c r="D349" s="347"/>
      <c r="E349" s="344" t="s">
        <v>434</v>
      </c>
      <c r="F349" s="129" t="s">
        <v>488</v>
      </c>
      <c r="G349" s="172">
        <v>5.2939999999999996</v>
      </c>
      <c r="H349" s="172"/>
      <c r="I349" s="172">
        <f>G349+H349</f>
        <v>5.2939999999999996</v>
      </c>
      <c r="J349" s="291">
        <v>2.1949999999999998</v>
      </c>
      <c r="K349" s="183">
        <f t="shared" si="697"/>
        <v>3.0989999999999998</v>
      </c>
      <c r="L349" s="154">
        <f t="shared" si="698"/>
        <v>0.41462032489610878</v>
      </c>
      <c r="M349" s="98" t="s">
        <v>218</v>
      </c>
      <c r="N349" s="330">
        <f>G349+G350</f>
        <v>10.587999999999999</v>
      </c>
      <c r="O349" s="330">
        <f t="shared" ref="O349" si="785">H349+H350</f>
        <v>0</v>
      </c>
      <c r="P349" s="330">
        <f t="shared" si="700"/>
        <v>10.587999999999999</v>
      </c>
      <c r="Q349" s="330">
        <f t="shared" ref="Q349" si="786">J349+J350</f>
        <v>5.6040000000000001</v>
      </c>
      <c r="R349" s="330">
        <f t="shared" ref="R349" si="787">P349-Q349</f>
        <v>4.9839999999999991</v>
      </c>
      <c r="S349" s="332">
        <f t="shared" ref="S349" si="788">Q349/P349</f>
        <v>0.52927842840952022</v>
      </c>
      <c r="T349" s="140"/>
    </row>
    <row r="350" spans="2:20">
      <c r="B350" s="339"/>
      <c r="C350" s="345"/>
      <c r="D350" s="347"/>
      <c r="E350" s="344"/>
      <c r="F350" s="129" t="s">
        <v>10</v>
      </c>
      <c r="G350" s="172">
        <v>5.2939999999999996</v>
      </c>
      <c r="H350" s="172"/>
      <c r="I350" s="172">
        <f>K349+G350+H350</f>
        <v>8.3929999999999989</v>
      </c>
      <c r="J350" s="291">
        <v>3.4090000000000003</v>
      </c>
      <c r="K350" s="183">
        <f t="shared" si="697"/>
        <v>4.9839999999999982</v>
      </c>
      <c r="L350" s="154">
        <f t="shared" si="698"/>
        <v>0.40617180984153467</v>
      </c>
      <c r="M350" s="98" t="s">
        <v>218</v>
      </c>
      <c r="N350" s="330"/>
      <c r="O350" s="330"/>
      <c r="P350" s="330">
        <f t="shared" si="700"/>
        <v>0</v>
      </c>
      <c r="Q350" s="330"/>
      <c r="R350" s="330"/>
      <c r="S350" s="332" t="e">
        <f t="shared" ref="S350" si="789">+Q350/P350</f>
        <v>#DIV/0!</v>
      </c>
      <c r="T350" s="140"/>
    </row>
    <row r="351" spans="2:20">
      <c r="B351" s="339"/>
      <c r="C351" s="345"/>
      <c r="D351" s="347"/>
      <c r="E351" s="344" t="s">
        <v>435</v>
      </c>
      <c r="F351" s="129" t="s">
        <v>488</v>
      </c>
      <c r="G351" s="172">
        <v>5.2910000000000004</v>
      </c>
      <c r="H351" s="172">
        <f>8</f>
        <v>8</v>
      </c>
      <c r="I351" s="172">
        <f>G351+H351</f>
        <v>13.291</v>
      </c>
      <c r="J351" s="291">
        <v>6.7410000000000005</v>
      </c>
      <c r="K351" s="183">
        <f t="shared" si="697"/>
        <v>6.55</v>
      </c>
      <c r="L351" s="154">
        <f t="shared" si="698"/>
        <v>0.50718531336994965</v>
      </c>
      <c r="M351" s="176" t="s">
        <v>218</v>
      </c>
      <c r="N351" s="330">
        <f>G351+G352</f>
        <v>10.582000000000001</v>
      </c>
      <c r="O351" s="330">
        <f t="shared" ref="O351" si="790">H351+H352</f>
        <v>14</v>
      </c>
      <c r="P351" s="330">
        <f t="shared" si="700"/>
        <v>24.582000000000001</v>
      </c>
      <c r="Q351" s="330">
        <f t="shared" ref="Q351" si="791">J351+J352</f>
        <v>13.801</v>
      </c>
      <c r="R351" s="330">
        <f t="shared" ref="R351" si="792">P351-Q351</f>
        <v>10.781000000000001</v>
      </c>
      <c r="S351" s="332">
        <f t="shared" ref="S351" si="793">Q351/P351</f>
        <v>0.56142706045073631</v>
      </c>
      <c r="T351" s="140"/>
    </row>
    <row r="352" spans="2:20">
      <c r="B352" s="339"/>
      <c r="C352" s="345"/>
      <c r="D352" s="347"/>
      <c r="E352" s="344"/>
      <c r="F352" s="129" t="s">
        <v>10</v>
      </c>
      <c r="G352" s="172">
        <v>5.2910000000000004</v>
      </c>
      <c r="H352" s="298">
        <f>6</f>
        <v>6</v>
      </c>
      <c r="I352" s="172">
        <f>K351+G352+H352</f>
        <v>17.841000000000001</v>
      </c>
      <c r="J352" s="291">
        <v>7.06</v>
      </c>
      <c r="K352" s="183">
        <f t="shared" si="697"/>
        <v>10.781000000000002</v>
      </c>
      <c r="L352" s="154">
        <f t="shared" si="698"/>
        <v>0.39571772882685946</v>
      </c>
      <c r="M352" s="98" t="s">
        <v>218</v>
      </c>
      <c r="N352" s="330"/>
      <c r="O352" s="330"/>
      <c r="P352" s="330">
        <f t="shared" si="700"/>
        <v>0</v>
      </c>
      <c r="Q352" s="330"/>
      <c r="R352" s="330"/>
      <c r="S352" s="332" t="e">
        <f t="shared" ref="S352" si="794">+Q352/P352</f>
        <v>#DIV/0!</v>
      </c>
      <c r="T352" s="140"/>
    </row>
    <row r="353" spans="2:20">
      <c r="B353" s="339"/>
      <c r="C353" s="345"/>
      <c r="D353" s="347"/>
      <c r="E353" s="344" t="s">
        <v>436</v>
      </c>
      <c r="F353" s="129" t="s">
        <v>488</v>
      </c>
      <c r="G353" s="172">
        <v>5.2919999999999998</v>
      </c>
      <c r="H353" s="172"/>
      <c r="I353" s="172">
        <f>G353+H353</f>
        <v>5.2919999999999998</v>
      </c>
      <c r="J353" s="291">
        <v>4.9500000000000011</v>
      </c>
      <c r="K353" s="183">
        <f t="shared" si="697"/>
        <v>0.34199999999999875</v>
      </c>
      <c r="L353" s="154">
        <f t="shared" si="698"/>
        <v>0.93537414965986421</v>
      </c>
      <c r="M353" s="98" t="s">
        <v>218</v>
      </c>
      <c r="N353" s="330">
        <f>G353+G354</f>
        <v>10.584</v>
      </c>
      <c r="O353" s="330">
        <f t="shared" ref="O353" si="795">H353+H354</f>
        <v>10</v>
      </c>
      <c r="P353" s="330">
        <f t="shared" si="700"/>
        <v>20.584</v>
      </c>
      <c r="Q353" s="330">
        <f t="shared" ref="Q353" si="796">J353+J354</f>
        <v>14.625000000000002</v>
      </c>
      <c r="R353" s="330">
        <f t="shared" ref="R353" si="797">P353-Q353</f>
        <v>5.9589999999999979</v>
      </c>
      <c r="S353" s="332">
        <f t="shared" ref="S353" si="798">Q353/P353</f>
        <v>0.71050330353672764</v>
      </c>
      <c r="T353" s="140"/>
    </row>
    <row r="354" spans="2:20">
      <c r="B354" s="339"/>
      <c r="C354" s="345"/>
      <c r="D354" s="347"/>
      <c r="E354" s="344"/>
      <c r="F354" s="129" t="s">
        <v>10</v>
      </c>
      <c r="G354" s="172">
        <v>5.2919999999999998</v>
      </c>
      <c r="H354" s="172">
        <f>10</f>
        <v>10</v>
      </c>
      <c r="I354" s="172">
        <f>K353+G354+H354</f>
        <v>15.633999999999999</v>
      </c>
      <c r="J354" s="291">
        <v>9.6750000000000007</v>
      </c>
      <c r="K354" s="183">
        <f t="shared" si="697"/>
        <v>5.9589999999999979</v>
      </c>
      <c r="L354" s="154">
        <f t="shared" si="698"/>
        <v>0.61884354611743642</v>
      </c>
      <c r="M354" s="98" t="s">
        <v>218</v>
      </c>
      <c r="N354" s="330"/>
      <c r="O354" s="330"/>
      <c r="P354" s="330">
        <f t="shared" si="700"/>
        <v>0</v>
      </c>
      <c r="Q354" s="330"/>
      <c r="R354" s="330"/>
      <c r="S354" s="332" t="e">
        <f t="shared" ref="S354" si="799">+Q354/P354</f>
        <v>#DIV/0!</v>
      </c>
      <c r="T354" s="140"/>
    </row>
    <row r="355" spans="2:20">
      <c r="B355" s="339"/>
      <c r="C355" s="345"/>
      <c r="D355" s="347"/>
      <c r="E355" s="344" t="s">
        <v>609</v>
      </c>
      <c r="F355" s="129" t="s">
        <v>488</v>
      </c>
      <c r="G355" s="172">
        <v>7.9349999999999996</v>
      </c>
      <c r="H355" s="172"/>
      <c r="I355" s="172">
        <f>G355+H355</f>
        <v>7.9349999999999996</v>
      </c>
      <c r="J355" s="291">
        <v>5.7710000000000008</v>
      </c>
      <c r="K355" s="183">
        <f t="shared" si="697"/>
        <v>2.1639999999999988</v>
      </c>
      <c r="L355" s="154">
        <f t="shared" si="698"/>
        <v>0.7272841839949592</v>
      </c>
      <c r="M355" s="176">
        <v>44334</v>
      </c>
      <c r="N355" s="330">
        <f>G355+G356</f>
        <v>10.58</v>
      </c>
      <c r="O355" s="330">
        <f t="shared" ref="O355" si="800">H355+H356</f>
        <v>0</v>
      </c>
      <c r="P355" s="330">
        <f t="shared" si="700"/>
        <v>10.58</v>
      </c>
      <c r="Q355" s="330">
        <f t="shared" ref="Q355" si="801">J355+J356</f>
        <v>6.6380000000000008</v>
      </c>
      <c r="R355" s="330">
        <f t="shared" ref="R355" si="802">P355-Q355</f>
        <v>3.9419999999999993</v>
      </c>
      <c r="S355" s="332">
        <f t="shared" ref="S355" si="803">Q355/P355</f>
        <v>0.62741020793950852</v>
      </c>
      <c r="T355" s="140"/>
    </row>
    <row r="356" spans="2:20">
      <c r="B356" s="339"/>
      <c r="C356" s="345"/>
      <c r="D356" s="347"/>
      <c r="E356" s="344"/>
      <c r="F356" s="129" t="s">
        <v>10</v>
      </c>
      <c r="G356" s="172">
        <v>2.645</v>
      </c>
      <c r="H356" s="172"/>
      <c r="I356" s="172">
        <f>K355+G356+H356</f>
        <v>4.8089999999999993</v>
      </c>
      <c r="J356" s="291">
        <v>0.86699999999999999</v>
      </c>
      <c r="K356" s="183">
        <f t="shared" si="697"/>
        <v>3.9419999999999993</v>
      </c>
      <c r="L356" s="154">
        <f t="shared" si="698"/>
        <v>0.1802869619463506</v>
      </c>
      <c r="M356" s="98" t="s">
        <v>218</v>
      </c>
      <c r="N356" s="330"/>
      <c r="O356" s="330"/>
      <c r="P356" s="330">
        <f t="shared" si="700"/>
        <v>0</v>
      </c>
      <c r="Q356" s="330"/>
      <c r="R356" s="330"/>
      <c r="S356" s="332" t="e">
        <f t="shared" ref="S356" si="804">+Q356/P356</f>
        <v>#DIV/0!</v>
      </c>
      <c r="T356" s="140"/>
    </row>
    <row r="357" spans="2:20">
      <c r="B357" s="339"/>
      <c r="C357" s="345"/>
      <c r="D357" s="347"/>
      <c r="E357" s="344" t="s">
        <v>437</v>
      </c>
      <c r="F357" s="129" t="s">
        <v>488</v>
      </c>
      <c r="G357" s="172">
        <v>7.9379999999999997</v>
      </c>
      <c r="H357" s="172"/>
      <c r="I357" s="172">
        <f>G357+H357</f>
        <v>7.9379999999999997</v>
      </c>
      <c r="J357" s="291">
        <v>6.0780000000000012</v>
      </c>
      <c r="K357" s="183">
        <f t="shared" si="697"/>
        <v>1.8599999999999985</v>
      </c>
      <c r="L357" s="154">
        <f t="shared" si="698"/>
        <v>0.76568405139833728</v>
      </c>
      <c r="M357" s="176" t="s">
        <v>218</v>
      </c>
      <c r="N357" s="330">
        <f>G357+G358</f>
        <v>10.584</v>
      </c>
      <c r="O357" s="330">
        <f t="shared" ref="O357" si="805">H357+H358</f>
        <v>0</v>
      </c>
      <c r="P357" s="330">
        <f t="shared" si="700"/>
        <v>10.584</v>
      </c>
      <c r="Q357" s="330">
        <f t="shared" ref="Q357" si="806">J357+J358</f>
        <v>9.104000000000001</v>
      </c>
      <c r="R357" s="330">
        <f t="shared" ref="R357" si="807">P357-Q357</f>
        <v>1.4799999999999986</v>
      </c>
      <c r="S357" s="332">
        <f t="shared" ref="S357" si="808">Q357/P357</f>
        <v>0.86016628873771739</v>
      </c>
      <c r="T357" s="140"/>
    </row>
    <row r="358" spans="2:20">
      <c r="B358" s="339"/>
      <c r="C358" s="345"/>
      <c r="D358" s="347"/>
      <c r="E358" s="344"/>
      <c r="F358" s="129" t="s">
        <v>10</v>
      </c>
      <c r="G358" s="172">
        <v>2.6459999999999999</v>
      </c>
      <c r="H358" s="172"/>
      <c r="I358" s="172">
        <f>K357+G358+H358</f>
        <v>4.5059999999999985</v>
      </c>
      <c r="J358" s="291">
        <v>3.0259999999999998</v>
      </c>
      <c r="K358" s="183">
        <f t="shared" si="697"/>
        <v>1.4799999999999986</v>
      </c>
      <c r="L358" s="154">
        <f t="shared" si="698"/>
        <v>0.67154904571682217</v>
      </c>
      <c r="M358" s="98" t="s">
        <v>218</v>
      </c>
      <c r="N358" s="330"/>
      <c r="O358" s="330"/>
      <c r="P358" s="330">
        <f t="shared" si="700"/>
        <v>0</v>
      </c>
      <c r="Q358" s="330"/>
      <c r="R358" s="330"/>
      <c r="S358" s="332" t="e">
        <f t="shared" ref="S358" si="809">+Q358/P358</f>
        <v>#DIV/0!</v>
      </c>
      <c r="T358" s="140"/>
    </row>
    <row r="359" spans="2:20">
      <c r="B359" s="339"/>
      <c r="C359" s="345"/>
      <c r="D359" s="347"/>
      <c r="E359" s="344" t="s">
        <v>438</v>
      </c>
      <c r="F359" s="129" t="s">
        <v>488</v>
      </c>
      <c r="G359" s="172">
        <v>5.2910000000000004</v>
      </c>
      <c r="H359" s="172"/>
      <c r="I359" s="172">
        <f>G359+H359</f>
        <v>5.2910000000000004</v>
      </c>
      <c r="J359" s="291">
        <v>4.4240000000000004</v>
      </c>
      <c r="K359" s="183">
        <f t="shared" si="697"/>
        <v>0.86699999999999999</v>
      </c>
      <c r="L359" s="154">
        <f t="shared" si="698"/>
        <v>0.8361368361368362</v>
      </c>
      <c r="M359" s="98" t="s">
        <v>218</v>
      </c>
      <c r="N359" s="330">
        <f>G359+G360</f>
        <v>10.582000000000001</v>
      </c>
      <c r="O359" s="330">
        <f t="shared" ref="O359" si="810">H359+H360</f>
        <v>0</v>
      </c>
      <c r="P359" s="330">
        <f t="shared" si="700"/>
        <v>10.582000000000001</v>
      </c>
      <c r="Q359" s="330">
        <f t="shared" ref="Q359" si="811">J359+J360</f>
        <v>10.419</v>
      </c>
      <c r="R359" s="330">
        <f t="shared" ref="R359" si="812">P359-Q359</f>
        <v>0.16300000000000026</v>
      </c>
      <c r="S359" s="332">
        <f t="shared" ref="S359" si="813">Q359/P359</f>
        <v>0.98459648459648452</v>
      </c>
      <c r="T359" s="140"/>
    </row>
    <row r="360" spans="2:20">
      <c r="B360" s="339"/>
      <c r="C360" s="345"/>
      <c r="D360" s="347"/>
      <c r="E360" s="344"/>
      <c r="F360" s="129" t="s">
        <v>10</v>
      </c>
      <c r="G360" s="172">
        <v>5.2910000000000004</v>
      </c>
      <c r="H360" s="172"/>
      <c r="I360" s="172">
        <f>K359+G360+H360</f>
        <v>6.1580000000000004</v>
      </c>
      <c r="J360" s="291">
        <v>5.9950000000000001</v>
      </c>
      <c r="K360" s="183">
        <f t="shared" si="697"/>
        <v>0.16300000000000026</v>
      </c>
      <c r="L360" s="154">
        <f t="shared" si="698"/>
        <v>0.97353036700227347</v>
      </c>
      <c r="M360" s="176">
        <v>44560</v>
      </c>
      <c r="N360" s="330"/>
      <c r="O360" s="330"/>
      <c r="P360" s="330">
        <f t="shared" si="700"/>
        <v>0</v>
      </c>
      <c r="Q360" s="330"/>
      <c r="R360" s="330"/>
      <c r="S360" s="332" t="e">
        <f t="shared" ref="S360" si="814">+Q360/P360</f>
        <v>#DIV/0!</v>
      </c>
      <c r="T360" s="140"/>
    </row>
    <row r="361" spans="2:20">
      <c r="B361" s="339"/>
      <c r="C361" s="345"/>
      <c r="D361" s="347"/>
      <c r="E361" s="344" t="s">
        <v>579</v>
      </c>
      <c r="F361" s="129" t="s">
        <v>488</v>
      </c>
      <c r="G361" s="172">
        <v>5.2910000000000004</v>
      </c>
      <c r="H361" s="172"/>
      <c r="I361" s="172">
        <f>G361+H361</f>
        <v>5.2910000000000004</v>
      </c>
      <c r="J361" s="291">
        <v>5.27</v>
      </c>
      <c r="K361" s="183">
        <f t="shared" si="697"/>
        <v>2.1000000000000796E-2</v>
      </c>
      <c r="L361" s="154">
        <f t="shared" si="698"/>
        <v>0.99603099603099587</v>
      </c>
      <c r="M361" s="98" t="s">
        <v>218</v>
      </c>
      <c r="N361" s="330">
        <f>G361+G362</f>
        <v>10.582000000000001</v>
      </c>
      <c r="O361" s="330">
        <f t="shared" ref="O361" si="815">H361+H362</f>
        <v>0</v>
      </c>
      <c r="P361" s="330">
        <f t="shared" si="700"/>
        <v>10.582000000000001</v>
      </c>
      <c r="Q361" s="330">
        <f t="shared" ref="Q361" si="816">J361+J362</f>
        <v>7.27</v>
      </c>
      <c r="R361" s="330">
        <f t="shared" ref="R361" si="817">P361-Q361</f>
        <v>3.3120000000000012</v>
      </c>
      <c r="S361" s="332">
        <f t="shared" ref="S361" si="818">Q361/P361</f>
        <v>0.68701568701568694</v>
      </c>
      <c r="T361" s="140"/>
    </row>
    <row r="362" spans="2:20">
      <c r="B362" s="339"/>
      <c r="C362" s="345"/>
      <c r="D362" s="347"/>
      <c r="E362" s="344"/>
      <c r="F362" s="129" t="s">
        <v>10</v>
      </c>
      <c r="G362" s="172">
        <v>5.2910000000000004</v>
      </c>
      <c r="H362" s="172"/>
      <c r="I362" s="172">
        <f>K361+G362+H362</f>
        <v>5.3120000000000012</v>
      </c>
      <c r="J362" s="291">
        <v>2</v>
      </c>
      <c r="K362" s="183">
        <f t="shared" si="697"/>
        <v>3.3120000000000012</v>
      </c>
      <c r="L362" s="154">
        <f t="shared" si="698"/>
        <v>0.37650602409638545</v>
      </c>
      <c r="M362" s="98" t="s">
        <v>218</v>
      </c>
      <c r="N362" s="330"/>
      <c r="O362" s="330"/>
      <c r="P362" s="330">
        <f t="shared" si="700"/>
        <v>0</v>
      </c>
      <c r="Q362" s="330"/>
      <c r="R362" s="330"/>
      <c r="S362" s="332" t="e">
        <f t="shared" ref="S362" si="819">+Q362/P362</f>
        <v>#DIV/0!</v>
      </c>
      <c r="T362" s="140"/>
    </row>
    <row r="363" spans="2:20">
      <c r="B363" s="339"/>
      <c r="C363" s="345"/>
      <c r="D363" s="347"/>
      <c r="E363" s="344" t="s">
        <v>479</v>
      </c>
      <c r="F363" s="129" t="s">
        <v>488</v>
      </c>
      <c r="G363" s="172">
        <v>5.29</v>
      </c>
      <c r="H363" s="172"/>
      <c r="I363" s="172">
        <f>G363+H363</f>
        <v>5.29</v>
      </c>
      <c r="J363" s="291">
        <v>5.5549999999999997</v>
      </c>
      <c r="K363" s="183">
        <f t="shared" si="697"/>
        <v>-0.26499999999999968</v>
      </c>
      <c r="L363" s="154">
        <f t="shared" si="698"/>
        <v>1.050094517958412</v>
      </c>
      <c r="M363" s="98" t="s">
        <v>218</v>
      </c>
      <c r="N363" s="330">
        <f>G363+G364</f>
        <v>10.58</v>
      </c>
      <c r="O363" s="330">
        <f t="shared" ref="O363" si="820">H363+H364</f>
        <v>0</v>
      </c>
      <c r="P363" s="330">
        <f t="shared" si="700"/>
        <v>10.58</v>
      </c>
      <c r="Q363" s="330">
        <f t="shared" ref="Q363" si="821">J363+J364</f>
        <v>7.6899999999999995</v>
      </c>
      <c r="R363" s="330">
        <f t="shared" ref="R363" si="822">P363-Q363</f>
        <v>2.8900000000000006</v>
      </c>
      <c r="S363" s="332">
        <f t="shared" ref="S363" si="823">Q363/P363</f>
        <v>0.72684310018903586</v>
      </c>
      <c r="T363" s="140"/>
    </row>
    <row r="364" spans="2:20">
      <c r="B364" s="339"/>
      <c r="C364" s="345"/>
      <c r="D364" s="347"/>
      <c r="E364" s="344"/>
      <c r="F364" s="129" t="s">
        <v>10</v>
      </c>
      <c r="G364" s="172">
        <v>5.29</v>
      </c>
      <c r="H364" s="172"/>
      <c r="I364" s="172">
        <f>K363+G364+H364</f>
        <v>5.0250000000000004</v>
      </c>
      <c r="J364" s="291">
        <v>2.1349999999999998</v>
      </c>
      <c r="K364" s="183">
        <f t="shared" si="697"/>
        <v>2.8900000000000006</v>
      </c>
      <c r="L364" s="154">
        <f t="shared" si="698"/>
        <v>0.42487562189054717</v>
      </c>
      <c r="M364" s="98" t="s">
        <v>218</v>
      </c>
      <c r="N364" s="330"/>
      <c r="O364" s="330"/>
      <c r="P364" s="330">
        <f t="shared" si="700"/>
        <v>0</v>
      </c>
      <c r="Q364" s="330"/>
      <c r="R364" s="330"/>
      <c r="S364" s="332" t="e">
        <f t="shared" ref="S364" si="824">+Q364/P364</f>
        <v>#DIV/0!</v>
      </c>
      <c r="T364" s="140"/>
    </row>
    <row r="365" spans="2:20">
      <c r="B365" s="339"/>
      <c r="C365" s="345"/>
      <c r="D365" s="347"/>
      <c r="E365" s="344" t="s">
        <v>480</v>
      </c>
      <c r="F365" s="129" t="s">
        <v>488</v>
      </c>
      <c r="G365" s="172">
        <v>5.2919999999999998</v>
      </c>
      <c r="H365" s="172"/>
      <c r="I365" s="172">
        <f>G365+H365</f>
        <v>5.2919999999999998</v>
      </c>
      <c r="J365" s="291">
        <v>4.0999999999999996</v>
      </c>
      <c r="K365" s="183">
        <f t="shared" si="697"/>
        <v>1.1920000000000002</v>
      </c>
      <c r="L365" s="154">
        <f t="shared" si="698"/>
        <v>0.77475434618291761</v>
      </c>
      <c r="M365" s="98" t="s">
        <v>218</v>
      </c>
      <c r="N365" s="330">
        <f>G365+G366</f>
        <v>10.584</v>
      </c>
      <c r="O365" s="330">
        <f t="shared" ref="O365" si="825">H365+H366</f>
        <v>0</v>
      </c>
      <c r="P365" s="330">
        <f t="shared" si="700"/>
        <v>10.584</v>
      </c>
      <c r="Q365" s="330">
        <f t="shared" ref="Q365" si="826">J365+J366</f>
        <v>4.0999999999999996</v>
      </c>
      <c r="R365" s="330">
        <f t="shared" ref="R365" si="827">P365-Q365</f>
        <v>6.484</v>
      </c>
      <c r="S365" s="332">
        <f t="shared" ref="S365" si="828">Q365/P365</f>
        <v>0.3873771730914588</v>
      </c>
      <c r="T365" s="140"/>
    </row>
    <row r="366" spans="2:20">
      <c r="B366" s="339"/>
      <c r="C366" s="345"/>
      <c r="D366" s="347"/>
      <c r="E366" s="344"/>
      <c r="F366" s="129" t="s">
        <v>10</v>
      </c>
      <c r="G366" s="172">
        <v>5.2919999999999998</v>
      </c>
      <c r="H366" s="172"/>
      <c r="I366" s="172">
        <f>K365+G366+H366</f>
        <v>6.484</v>
      </c>
      <c r="J366" s="291"/>
      <c r="K366" s="183">
        <f t="shared" si="697"/>
        <v>6.484</v>
      </c>
      <c r="L366" s="154">
        <f t="shared" si="698"/>
        <v>0</v>
      </c>
      <c r="M366" s="98" t="s">
        <v>218</v>
      </c>
      <c r="N366" s="330"/>
      <c r="O366" s="330"/>
      <c r="P366" s="330">
        <f t="shared" si="700"/>
        <v>0</v>
      </c>
      <c r="Q366" s="330"/>
      <c r="R366" s="330"/>
      <c r="S366" s="332" t="e">
        <f t="shared" ref="S366" si="829">+Q366/P366</f>
        <v>#DIV/0!</v>
      </c>
      <c r="T366" s="140"/>
    </row>
    <row r="367" spans="2:20">
      <c r="B367" s="339"/>
      <c r="C367" s="345"/>
      <c r="D367" s="347"/>
      <c r="E367" s="344" t="s">
        <v>481</v>
      </c>
      <c r="F367" s="129" t="s">
        <v>488</v>
      </c>
      <c r="G367" s="172">
        <v>7.9379999999999997</v>
      </c>
      <c r="H367" s="172"/>
      <c r="I367" s="172">
        <f>G367+H367</f>
        <v>7.9379999999999997</v>
      </c>
      <c r="J367" s="291">
        <v>5.13</v>
      </c>
      <c r="K367" s="183">
        <f t="shared" si="697"/>
        <v>2.8079999999999998</v>
      </c>
      <c r="L367" s="154">
        <f t="shared" si="698"/>
        <v>0.6462585034013606</v>
      </c>
      <c r="M367" s="176" t="s">
        <v>218</v>
      </c>
      <c r="N367" s="330">
        <f>G367+G368</f>
        <v>10.584</v>
      </c>
      <c r="O367" s="330">
        <f t="shared" ref="O367" si="830">H367+H368</f>
        <v>0</v>
      </c>
      <c r="P367" s="330">
        <f t="shared" si="700"/>
        <v>10.584</v>
      </c>
      <c r="Q367" s="330">
        <f t="shared" ref="Q367" si="831">J367+J368</f>
        <v>6.9960000000000004</v>
      </c>
      <c r="R367" s="330">
        <f t="shared" ref="R367" si="832">P367-Q367</f>
        <v>3.5879999999999992</v>
      </c>
      <c r="S367" s="332">
        <f t="shared" ref="S367" si="833">Q367/P367</f>
        <v>0.66099773242630389</v>
      </c>
      <c r="T367" s="140"/>
    </row>
    <row r="368" spans="2:20">
      <c r="B368" s="339"/>
      <c r="C368" s="345"/>
      <c r="D368" s="347"/>
      <c r="E368" s="344"/>
      <c r="F368" s="129" t="s">
        <v>10</v>
      </c>
      <c r="G368" s="172">
        <v>2.6459999999999999</v>
      </c>
      <c r="H368" s="172"/>
      <c r="I368" s="172">
        <f>K367+G368+H368</f>
        <v>5.4539999999999997</v>
      </c>
      <c r="J368" s="291">
        <v>1.8660000000000001</v>
      </c>
      <c r="K368" s="183">
        <f t="shared" si="697"/>
        <v>3.5879999999999996</v>
      </c>
      <c r="L368" s="154">
        <f t="shared" si="698"/>
        <v>0.34213421342134215</v>
      </c>
      <c r="M368" s="98" t="s">
        <v>218</v>
      </c>
      <c r="N368" s="330"/>
      <c r="O368" s="330"/>
      <c r="P368" s="330">
        <f t="shared" si="700"/>
        <v>0</v>
      </c>
      <c r="Q368" s="330"/>
      <c r="R368" s="330"/>
      <c r="S368" s="332" t="e">
        <f t="shared" ref="S368" si="834">+Q368/P368</f>
        <v>#DIV/0!</v>
      </c>
      <c r="T368" s="140"/>
    </row>
    <row r="369" spans="2:20">
      <c r="B369" s="339"/>
      <c r="C369" s="345"/>
      <c r="D369" s="347"/>
      <c r="E369" s="344" t="s">
        <v>482</v>
      </c>
      <c r="F369" s="129" t="s">
        <v>488</v>
      </c>
      <c r="G369" s="172">
        <v>5.2919999999999998</v>
      </c>
      <c r="H369" s="172">
        <f>8</f>
        <v>8</v>
      </c>
      <c r="I369" s="172">
        <f>G369+H369</f>
        <v>13.292</v>
      </c>
      <c r="J369" s="291">
        <v>6.9350000000000005</v>
      </c>
      <c r="K369" s="183">
        <f t="shared" si="697"/>
        <v>6.3569999999999993</v>
      </c>
      <c r="L369" s="154">
        <f t="shared" si="698"/>
        <v>0.52174240144447792</v>
      </c>
      <c r="M369" s="98" t="s">
        <v>218</v>
      </c>
      <c r="N369" s="330">
        <f>G369+G370</f>
        <v>10.584</v>
      </c>
      <c r="O369" s="330">
        <f t="shared" ref="O369" si="835">H369+H370</f>
        <v>14</v>
      </c>
      <c r="P369" s="330">
        <f t="shared" si="700"/>
        <v>24.584</v>
      </c>
      <c r="Q369" s="330">
        <f t="shared" ref="Q369" si="836">J369+J370</f>
        <v>15.089</v>
      </c>
      <c r="R369" s="330">
        <f t="shared" ref="R369" si="837">P369-Q369</f>
        <v>9.4949999999999992</v>
      </c>
      <c r="S369" s="332">
        <f t="shared" ref="S369" si="838">Q369/P369</f>
        <v>0.6137731858119102</v>
      </c>
      <c r="T369" s="140"/>
    </row>
    <row r="370" spans="2:20">
      <c r="B370" s="339"/>
      <c r="C370" s="345"/>
      <c r="D370" s="347"/>
      <c r="E370" s="344"/>
      <c r="F370" s="129" t="s">
        <v>10</v>
      </c>
      <c r="G370" s="172">
        <v>5.2919999999999998</v>
      </c>
      <c r="H370" s="298">
        <f>6</f>
        <v>6</v>
      </c>
      <c r="I370" s="172">
        <f>K369+G370+H370</f>
        <v>17.649000000000001</v>
      </c>
      <c r="J370" s="291">
        <v>8.1539999999999999</v>
      </c>
      <c r="K370" s="183">
        <f t="shared" si="697"/>
        <v>9.495000000000001</v>
      </c>
      <c r="L370" s="154">
        <f t="shared" si="698"/>
        <v>0.46200917899031102</v>
      </c>
      <c r="M370" s="98" t="s">
        <v>218</v>
      </c>
      <c r="N370" s="330"/>
      <c r="O370" s="330"/>
      <c r="P370" s="330">
        <f t="shared" si="700"/>
        <v>0</v>
      </c>
      <c r="Q370" s="330"/>
      <c r="R370" s="330"/>
      <c r="S370" s="332" t="e">
        <f t="shared" ref="S370" si="839">+Q370/P370</f>
        <v>#DIV/0!</v>
      </c>
      <c r="T370" s="140"/>
    </row>
    <row r="371" spans="2:20">
      <c r="B371" s="339"/>
      <c r="C371" s="345"/>
      <c r="D371" s="347"/>
      <c r="E371" s="344" t="s">
        <v>439</v>
      </c>
      <c r="F371" s="129" t="s">
        <v>488</v>
      </c>
      <c r="G371" s="172">
        <v>5.2919999999999998</v>
      </c>
      <c r="H371" s="172"/>
      <c r="I371" s="172">
        <f>G371+H371</f>
        <v>5.2919999999999998</v>
      </c>
      <c r="J371" s="291">
        <v>3.2730000000000001</v>
      </c>
      <c r="K371" s="183">
        <f t="shared" ref="K371:K434" si="840">I371-J371</f>
        <v>2.0189999999999997</v>
      </c>
      <c r="L371" s="154">
        <f t="shared" ref="L371:L434" si="841">J371/I371</f>
        <v>0.61848072562358281</v>
      </c>
      <c r="M371" s="98" t="s">
        <v>218</v>
      </c>
      <c r="N371" s="330">
        <f>G371+G372</f>
        <v>10.584</v>
      </c>
      <c r="O371" s="330">
        <f t="shared" ref="O371" si="842">H371+H372</f>
        <v>0</v>
      </c>
      <c r="P371" s="330">
        <f t="shared" si="700"/>
        <v>10.584</v>
      </c>
      <c r="Q371" s="330">
        <f t="shared" ref="Q371" si="843">J371+J372</f>
        <v>4.1980000000000004</v>
      </c>
      <c r="R371" s="330">
        <f t="shared" ref="R371" si="844">P371-Q371</f>
        <v>6.3859999999999992</v>
      </c>
      <c r="S371" s="332">
        <f t="shared" ref="S371" si="845">Q371/P371</f>
        <v>0.3966364323507181</v>
      </c>
      <c r="T371" s="140"/>
    </row>
    <row r="372" spans="2:20">
      <c r="B372" s="339"/>
      <c r="C372" s="345"/>
      <c r="D372" s="347"/>
      <c r="E372" s="344"/>
      <c r="F372" s="129" t="s">
        <v>10</v>
      </c>
      <c r="G372" s="172">
        <v>5.2919999999999998</v>
      </c>
      <c r="H372" s="172"/>
      <c r="I372" s="172">
        <f>K371+G372+H372</f>
        <v>7.3109999999999999</v>
      </c>
      <c r="J372" s="291">
        <v>0.92500000000000004</v>
      </c>
      <c r="K372" s="183">
        <f t="shared" si="840"/>
        <v>6.3860000000000001</v>
      </c>
      <c r="L372" s="154">
        <f t="shared" si="841"/>
        <v>0.12652167966078512</v>
      </c>
      <c r="M372" s="98" t="s">
        <v>218</v>
      </c>
      <c r="N372" s="330"/>
      <c r="O372" s="330"/>
      <c r="P372" s="330">
        <f t="shared" ref="P372:P435" si="846">+N372+O372</f>
        <v>0</v>
      </c>
      <c r="Q372" s="330"/>
      <c r="R372" s="330"/>
      <c r="S372" s="332" t="e">
        <f t="shared" ref="S372" si="847">+Q372/P372</f>
        <v>#DIV/0!</v>
      </c>
      <c r="T372" s="140"/>
    </row>
    <row r="373" spans="2:20">
      <c r="B373" s="339"/>
      <c r="C373" s="345"/>
      <c r="D373" s="347" t="s">
        <v>629</v>
      </c>
      <c r="E373" s="344" t="s">
        <v>440</v>
      </c>
      <c r="F373" s="129" t="s">
        <v>488</v>
      </c>
      <c r="G373" s="172">
        <v>5.2919999999999998</v>
      </c>
      <c r="H373" s="172"/>
      <c r="I373" s="172">
        <f>G373+H373</f>
        <v>5.2919999999999998</v>
      </c>
      <c r="J373" s="291">
        <v>4.9409999999999998</v>
      </c>
      <c r="K373" s="183">
        <f t="shared" si="840"/>
        <v>0.35099999999999998</v>
      </c>
      <c r="L373" s="154">
        <f t="shared" si="841"/>
        <v>0.93367346938775508</v>
      </c>
      <c r="M373" s="98" t="s">
        <v>218</v>
      </c>
      <c r="N373" s="330">
        <f>G373+G374</f>
        <v>10.584</v>
      </c>
      <c r="O373" s="330">
        <f t="shared" ref="O373" si="848">H373+H374</f>
        <v>0</v>
      </c>
      <c r="P373" s="330">
        <f t="shared" si="846"/>
        <v>10.584</v>
      </c>
      <c r="Q373" s="330">
        <f t="shared" ref="Q373" si="849">J373+J374</f>
        <v>5.3460000000000001</v>
      </c>
      <c r="R373" s="330">
        <f t="shared" ref="R373" si="850">P373-Q373</f>
        <v>5.2379999999999995</v>
      </c>
      <c r="S373" s="332">
        <f t="shared" ref="S373" si="851">Q373/P373</f>
        <v>0.50510204081632659</v>
      </c>
      <c r="T373" s="140"/>
    </row>
    <row r="374" spans="2:20">
      <c r="B374" s="339"/>
      <c r="C374" s="345"/>
      <c r="D374" s="347"/>
      <c r="E374" s="344"/>
      <c r="F374" s="129" t="s">
        <v>10</v>
      </c>
      <c r="G374" s="172">
        <v>5.2919999999999998</v>
      </c>
      <c r="H374" s="172"/>
      <c r="I374" s="172">
        <f>K373+G374+H374</f>
        <v>5.6429999999999998</v>
      </c>
      <c r="J374" s="291">
        <v>0.40500000000000003</v>
      </c>
      <c r="K374" s="183">
        <f t="shared" si="840"/>
        <v>5.2379999999999995</v>
      </c>
      <c r="L374" s="154">
        <f t="shared" si="841"/>
        <v>7.1770334928229679E-2</v>
      </c>
      <c r="M374" s="98" t="s">
        <v>218</v>
      </c>
      <c r="N374" s="330"/>
      <c r="O374" s="330"/>
      <c r="P374" s="330">
        <f t="shared" si="846"/>
        <v>0</v>
      </c>
      <c r="Q374" s="330"/>
      <c r="R374" s="330"/>
      <c r="S374" s="332" t="e">
        <f t="shared" ref="S374" si="852">+Q374/P374</f>
        <v>#DIV/0!</v>
      </c>
      <c r="T374" s="140"/>
    </row>
    <row r="375" spans="2:20">
      <c r="B375" s="339"/>
      <c r="C375" s="345"/>
      <c r="D375" s="347"/>
      <c r="E375" s="344" t="s">
        <v>441</v>
      </c>
      <c r="F375" s="129" t="s">
        <v>488</v>
      </c>
      <c r="G375" s="172">
        <v>5.2880000000000003</v>
      </c>
      <c r="H375" s="172"/>
      <c r="I375" s="172">
        <f>G375+H375</f>
        <v>5.2880000000000003</v>
      </c>
      <c r="J375" s="291">
        <v>0.27</v>
      </c>
      <c r="K375" s="183">
        <f t="shared" si="840"/>
        <v>5.0180000000000007</v>
      </c>
      <c r="L375" s="154">
        <f t="shared" si="841"/>
        <v>5.1059001512859303E-2</v>
      </c>
      <c r="M375" s="98" t="s">
        <v>218</v>
      </c>
      <c r="N375" s="330">
        <f>G375+G376</f>
        <v>10.576000000000001</v>
      </c>
      <c r="O375" s="330">
        <f t="shared" ref="O375" si="853">H375+H376</f>
        <v>0</v>
      </c>
      <c r="P375" s="330">
        <f t="shared" si="846"/>
        <v>10.576000000000001</v>
      </c>
      <c r="Q375" s="330">
        <f t="shared" ref="Q375" si="854">J375+J376</f>
        <v>2.5080000000000005</v>
      </c>
      <c r="R375" s="330">
        <f t="shared" ref="R375" si="855">P375-Q375</f>
        <v>8.0679999999999996</v>
      </c>
      <c r="S375" s="332">
        <f t="shared" ref="S375" si="856">Q375/P375</f>
        <v>0.23714069591527992</v>
      </c>
      <c r="T375" s="140"/>
    </row>
    <row r="376" spans="2:20">
      <c r="B376" s="339"/>
      <c r="C376" s="345"/>
      <c r="D376" s="347"/>
      <c r="E376" s="344"/>
      <c r="F376" s="129" t="s">
        <v>10</v>
      </c>
      <c r="G376" s="172">
        <v>5.2880000000000003</v>
      </c>
      <c r="H376" s="172"/>
      <c r="I376" s="172">
        <f>K375+G376+H376</f>
        <v>10.306000000000001</v>
      </c>
      <c r="J376" s="291">
        <v>2.2380000000000004</v>
      </c>
      <c r="K376" s="183">
        <f t="shared" si="840"/>
        <v>8.0680000000000014</v>
      </c>
      <c r="L376" s="154">
        <f t="shared" si="841"/>
        <v>0.21715505530758783</v>
      </c>
      <c r="M376" s="98" t="s">
        <v>218</v>
      </c>
      <c r="N376" s="330"/>
      <c r="O376" s="330"/>
      <c r="P376" s="330">
        <f t="shared" si="846"/>
        <v>0</v>
      </c>
      <c r="Q376" s="330"/>
      <c r="R376" s="330"/>
      <c r="S376" s="332" t="e">
        <f t="shared" ref="S376" si="857">+Q376/P376</f>
        <v>#DIV/0!</v>
      </c>
      <c r="T376" s="140"/>
    </row>
    <row r="377" spans="2:20">
      <c r="B377" s="339"/>
      <c r="C377" s="345"/>
      <c r="D377" s="347"/>
      <c r="E377" s="344" t="s">
        <v>442</v>
      </c>
      <c r="F377" s="129" t="s">
        <v>488</v>
      </c>
      <c r="G377" s="172">
        <v>5.29</v>
      </c>
      <c r="H377" s="172"/>
      <c r="I377" s="172">
        <f>G377+H377</f>
        <v>5.29</v>
      </c>
      <c r="J377" s="291">
        <v>1.33</v>
      </c>
      <c r="K377" s="183">
        <f t="shared" si="840"/>
        <v>3.96</v>
      </c>
      <c r="L377" s="154">
        <f t="shared" si="841"/>
        <v>0.25141776937618149</v>
      </c>
      <c r="M377" s="98" t="s">
        <v>218</v>
      </c>
      <c r="N377" s="330">
        <f>G377+G378</f>
        <v>10.58</v>
      </c>
      <c r="O377" s="330">
        <f t="shared" ref="O377" si="858">H377+H378</f>
        <v>0</v>
      </c>
      <c r="P377" s="330">
        <f t="shared" si="846"/>
        <v>10.58</v>
      </c>
      <c r="Q377" s="330">
        <f t="shared" ref="Q377" si="859">J377+J378</f>
        <v>1.9239999999999999</v>
      </c>
      <c r="R377" s="330">
        <f t="shared" ref="R377" si="860">P377-Q377</f>
        <v>8.6560000000000006</v>
      </c>
      <c r="S377" s="332">
        <f t="shared" ref="S377" si="861">Q377/P377</f>
        <v>0.18185255198487713</v>
      </c>
      <c r="T377" s="140"/>
    </row>
    <row r="378" spans="2:20">
      <c r="B378" s="339"/>
      <c r="C378" s="345"/>
      <c r="D378" s="347"/>
      <c r="E378" s="344"/>
      <c r="F378" s="129" t="s">
        <v>10</v>
      </c>
      <c r="G378" s="172">
        <v>5.29</v>
      </c>
      <c r="H378" s="172"/>
      <c r="I378" s="172">
        <f>K377+G378+H378</f>
        <v>9.25</v>
      </c>
      <c r="J378" s="291">
        <v>0.59399999999999997</v>
      </c>
      <c r="K378" s="183">
        <f t="shared" si="840"/>
        <v>8.6560000000000006</v>
      </c>
      <c r="L378" s="154">
        <f t="shared" si="841"/>
        <v>6.4216216216216218E-2</v>
      </c>
      <c r="M378" s="98" t="s">
        <v>218</v>
      </c>
      <c r="N378" s="330"/>
      <c r="O378" s="330"/>
      <c r="P378" s="330">
        <f t="shared" si="846"/>
        <v>0</v>
      </c>
      <c r="Q378" s="330"/>
      <c r="R378" s="330"/>
      <c r="S378" s="332" t="e">
        <f t="shared" ref="S378" si="862">+Q378/P378</f>
        <v>#DIV/0!</v>
      </c>
      <c r="T378" s="140"/>
    </row>
    <row r="379" spans="2:20">
      <c r="B379" s="339"/>
      <c r="C379" s="345"/>
      <c r="D379" s="347"/>
      <c r="E379" s="344" t="s">
        <v>443</v>
      </c>
      <c r="F379" s="129" t="s">
        <v>488</v>
      </c>
      <c r="G379" s="172">
        <v>5.2919999999999998</v>
      </c>
      <c r="H379" s="172"/>
      <c r="I379" s="172">
        <f>G379+H379</f>
        <v>5.2919999999999998</v>
      </c>
      <c r="J379" s="291">
        <v>1.9960000000000002</v>
      </c>
      <c r="K379" s="183">
        <f t="shared" si="840"/>
        <v>3.2959999999999994</v>
      </c>
      <c r="L379" s="154">
        <f t="shared" si="841"/>
        <v>0.37717309145880579</v>
      </c>
      <c r="M379" s="98" t="s">
        <v>218</v>
      </c>
      <c r="N379" s="330">
        <f>G379+G380</f>
        <v>10.584</v>
      </c>
      <c r="O379" s="330">
        <f t="shared" ref="O379" si="863">H379+H380</f>
        <v>0</v>
      </c>
      <c r="P379" s="330">
        <f t="shared" si="846"/>
        <v>10.584</v>
      </c>
      <c r="Q379" s="330">
        <f t="shared" ref="Q379" si="864">J379+J380</f>
        <v>5.1820000000000004</v>
      </c>
      <c r="R379" s="330">
        <f t="shared" ref="R379" si="865">P379-Q379</f>
        <v>5.4019999999999992</v>
      </c>
      <c r="S379" s="332">
        <f t="shared" ref="S379" si="866">Q379/P379</f>
        <v>0.48960695389266823</v>
      </c>
      <c r="T379" s="140"/>
    </row>
    <row r="380" spans="2:20">
      <c r="B380" s="339"/>
      <c r="C380" s="345"/>
      <c r="D380" s="347"/>
      <c r="E380" s="344"/>
      <c r="F380" s="129" t="s">
        <v>10</v>
      </c>
      <c r="G380" s="172">
        <v>5.2919999999999998</v>
      </c>
      <c r="H380" s="172"/>
      <c r="I380" s="172">
        <f>K379+G380+H380</f>
        <v>8.5879999999999992</v>
      </c>
      <c r="J380" s="291">
        <v>3.1859999999999999</v>
      </c>
      <c r="K380" s="183">
        <f t="shared" si="840"/>
        <v>5.4019999999999992</v>
      </c>
      <c r="L380" s="154">
        <f t="shared" si="841"/>
        <v>0.37098276665114116</v>
      </c>
      <c r="M380" s="98" t="s">
        <v>218</v>
      </c>
      <c r="N380" s="330"/>
      <c r="O380" s="330"/>
      <c r="P380" s="330">
        <f t="shared" si="846"/>
        <v>0</v>
      </c>
      <c r="Q380" s="330"/>
      <c r="R380" s="330"/>
      <c r="S380" s="332" t="e">
        <f t="shared" ref="S380" si="867">+Q380/P380</f>
        <v>#DIV/0!</v>
      </c>
      <c r="T380" s="140"/>
    </row>
    <row r="381" spans="2:20">
      <c r="B381" s="339"/>
      <c r="C381" s="345"/>
      <c r="D381" s="347"/>
      <c r="E381" s="344" t="s">
        <v>580</v>
      </c>
      <c r="F381" s="129" t="s">
        <v>488</v>
      </c>
      <c r="G381" s="172">
        <v>5.29</v>
      </c>
      <c r="H381" s="172"/>
      <c r="I381" s="172">
        <f>G381+H381</f>
        <v>5.29</v>
      </c>
      <c r="J381" s="291">
        <v>2.97</v>
      </c>
      <c r="K381" s="183">
        <f t="shared" si="840"/>
        <v>2.3199999999999998</v>
      </c>
      <c r="L381" s="154">
        <f t="shared" si="841"/>
        <v>0.56143667296786393</v>
      </c>
      <c r="M381" s="98" t="s">
        <v>218</v>
      </c>
      <c r="N381" s="330">
        <f>G381+G382</f>
        <v>10.58</v>
      </c>
      <c r="O381" s="330">
        <f t="shared" ref="O381" si="868">H381+H382</f>
        <v>0</v>
      </c>
      <c r="P381" s="330">
        <f t="shared" si="846"/>
        <v>10.58</v>
      </c>
      <c r="Q381" s="330">
        <f t="shared" ref="Q381" si="869">J381+J382</f>
        <v>8.7479999999999993</v>
      </c>
      <c r="R381" s="330">
        <f t="shared" ref="R381" si="870">P381-Q381</f>
        <v>1.8320000000000007</v>
      </c>
      <c r="S381" s="332">
        <f t="shared" ref="S381" si="871">Q381/P381</f>
        <v>0.82684310018903584</v>
      </c>
      <c r="T381" s="140"/>
    </row>
    <row r="382" spans="2:20">
      <c r="B382" s="339"/>
      <c r="C382" s="345"/>
      <c r="D382" s="347"/>
      <c r="E382" s="344"/>
      <c r="F382" s="129" t="s">
        <v>10</v>
      </c>
      <c r="G382" s="172">
        <v>5.29</v>
      </c>
      <c r="H382" s="172"/>
      <c r="I382" s="172">
        <f>K381+G382+H382</f>
        <v>7.6099999999999994</v>
      </c>
      <c r="J382" s="291">
        <v>5.7779999999999996</v>
      </c>
      <c r="K382" s="183">
        <f t="shared" si="840"/>
        <v>1.8319999999999999</v>
      </c>
      <c r="L382" s="154">
        <f t="shared" si="841"/>
        <v>0.75926412614980288</v>
      </c>
      <c r="M382" s="98" t="s">
        <v>218</v>
      </c>
      <c r="N382" s="330"/>
      <c r="O382" s="330"/>
      <c r="P382" s="330">
        <f t="shared" si="846"/>
        <v>0</v>
      </c>
      <c r="Q382" s="330"/>
      <c r="R382" s="330"/>
      <c r="S382" s="332" t="e">
        <f t="shared" ref="S382" si="872">+Q382/P382</f>
        <v>#DIV/0!</v>
      </c>
      <c r="T382" s="140"/>
    </row>
    <row r="383" spans="2:20">
      <c r="B383" s="339"/>
      <c r="C383" s="345"/>
      <c r="D383" s="347"/>
      <c r="E383" s="344" t="s">
        <v>581</v>
      </c>
      <c r="F383" s="129" t="s">
        <v>488</v>
      </c>
      <c r="G383" s="172">
        <v>7.9390000000000001</v>
      </c>
      <c r="H383" s="172"/>
      <c r="I383" s="172">
        <f>G383+H383</f>
        <v>7.9390000000000001</v>
      </c>
      <c r="J383" s="291">
        <v>7.987000000000001</v>
      </c>
      <c r="K383" s="183">
        <f t="shared" si="840"/>
        <v>-4.8000000000000931E-2</v>
      </c>
      <c r="L383" s="154">
        <f t="shared" si="841"/>
        <v>1.0060461015241215</v>
      </c>
      <c r="M383" s="176">
        <v>44350</v>
      </c>
      <c r="N383" s="330">
        <f>G383+G384</f>
        <v>10.586</v>
      </c>
      <c r="O383" s="330">
        <f t="shared" ref="O383" si="873">H383+H384</f>
        <v>0</v>
      </c>
      <c r="P383" s="330">
        <f t="shared" si="846"/>
        <v>10.586</v>
      </c>
      <c r="Q383" s="330">
        <f t="shared" ref="Q383" si="874">J383+J384</f>
        <v>11.281000000000001</v>
      </c>
      <c r="R383" s="331">
        <f t="shared" ref="R383" si="875">P383-Q383</f>
        <v>-0.69500000000000028</v>
      </c>
      <c r="S383" s="332">
        <f t="shared" ref="S383" si="876">Q383/P383</f>
        <v>1.0656527489136596</v>
      </c>
      <c r="T383" s="140"/>
    </row>
    <row r="384" spans="2:20">
      <c r="B384" s="339"/>
      <c r="C384" s="345"/>
      <c r="D384" s="347"/>
      <c r="E384" s="344"/>
      <c r="F384" s="129" t="s">
        <v>10</v>
      </c>
      <c r="G384" s="172">
        <v>2.6469999999999998</v>
      </c>
      <c r="H384" s="172"/>
      <c r="I384" s="172">
        <f>K383+G384+H384</f>
        <v>2.5989999999999989</v>
      </c>
      <c r="J384" s="291">
        <v>3.294</v>
      </c>
      <c r="K384" s="183">
        <f t="shared" si="840"/>
        <v>-0.69500000000000117</v>
      </c>
      <c r="L384" s="154">
        <f t="shared" si="841"/>
        <v>1.2674105425163531</v>
      </c>
      <c r="M384" s="176">
        <v>44560</v>
      </c>
      <c r="N384" s="330"/>
      <c r="O384" s="330"/>
      <c r="P384" s="330">
        <f t="shared" si="846"/>
        <v>0</v>
      </c>
      <c r="Q384" s="330"/>
      <c r="R384" s="331"/>
      <c r="S384" s="332" t="e">
        <f t="shared" ref="S384" si="877">+Q384/P384</f>
        <v>#DIV/0!</v>
      </c>
      <c r="T384" s="140"/>
    </row>
    <row r="385" spans="2:20">
      <c r="B385" s="339"/>
      <c r="C385" s="345"/>
      <c r="D385" s="347"/>
      <c r="E385" s="344" t="s">
        <v>444</v>
      </c>
      <c r="F385" s="129" t="s">
        <v>488</v>
      </c>
      <c r="G385" s="172">
        <v>5.2910000000000004</v>
      </c>
      <c r="H385" s="172"/>
      <c r="I385" s="172">
        <f>G385+H385</f>
        <v>5.2910000000000004</v>
      </c>
      <c r="J385" s="291">
        <v>4.1039999999999992</v>
      </c>
      <c r="K385" s="183">
        <f t="shared" si="840"/>
        <v>1.1870000000000012</v>
      </c>
      <c r="L385" s="154">
        <f t="shared" si="841"/>
        <v>0.77565677565677549</v>
      </c>
      <c r="M385" s="98" t="s">
        <v>218</v>
      </c>
      <c r="N385" s="330">
        <f>G385+G386</f>
        <v>10.582000000000001</v>
      </c>
      <c r="O385" s="330">
        <f t="shared" ref="O385" si="878">H385+H386</f>
        <v>0</v>
      </c>
      <c r="P385" s="330">
        <f t="shared" si="846"/>
        <v>10.582000000000001</v>
      </c>
      <c r="Q385" s="330">
        <f t="shared" ref="Q385" si="879">J385+J386</f>
        <v>6.1019999999999994</v>
      </c>
      <c r="R385" s="330">
        <f t="shared" ref="R385" si="880">P385-Q385</f>
        <v>4.4800000000000013</v>
      </c>
      <c r="S385" s="332">
        <f t="shared" ref="S385" si="881">Q385/P385</f>
        <v>0.57663957663957655</v>
      </c>
      <c r="T385" s="140"/>
    </row>
    <row r="386" spans="2:20">
      <c r="B386" s="339"/>
      <c r="C386" s="345"/>
      <c r="D386" s="347"/>
      <c r="E386" s="344"/>
      <c r="F386" s="129" t="s">
        <v>10</v>
      </c>
      <c r="G386" s="172">
        <v>5.2910000000000004</v>
      </c>
      <c r="H386" s="172"/>
      <c r="I386" s="172">
        <f>K385+G386+H386</f>
        <v>6.4780000000000015</v>
      </c>
      <c r="J386" s="291">
        <v>1.998</v>
      </c>
      <c r="K386" s="183">
        <f t="shared" si="840"/>
        <v>4.4800000000000013</v>
      </c>
      <c r="L386" s="154">
        <f t="shared" si="841"/>
        <v>0.30842852732324783</v>
      </c>
      <c r="M386" s="98" t="s">
        <v>218</v>
      </c>
      <c r="N386" s="330"/>
      <c r="O386" s="330"/>
      <c r="P386" s="330">
        <f t="shared" si="846"/>
        <v>0</v>
      </c>
      <c r="Q386" s="330"/>
      <c r="R386" s="330"/>
      <c r="S386" s="332" t="e">
        <f t="shared" ref="S386" si="882">+Q386/P386</f>
        <v>#DIV/0!</v>
      </c>
      <c r="T386" s="140"/>
    </row>
    <row r="387" spans="2:20">
      <c r="B387" s="339"/>
      <c r="C387" s="345"/>
      <c r="D387" s="347"/>
      <c r="E387" s="344" t="s">
        <v>445</v>
      </c>
      <c r="F387" s="129" t="s">
        <v>488</v>
      </c>
      <c r="G387" s="172">
        <v>5.2919999999999998</v>
      </c>
      <c r="H387" s="172"/>
      <c r="I387" s="172">
        <f>G387+H387</f>
        <v>5.2919999999999998</v>
      </c>
      <c r="J387" s="291">
        <v>3.02</v>
      </c>
      <c r="K387" s="183">
        <f t="shared" si="840"/>
        <v>2.2719999999999998</v>
      </c>
      <c r="L387" s="154">
        <f t="shared" si="841"/>
        <v>0.57067271352985638</v>
      </c>
      <c r="M387" s="98" t="s">
        <v>218</v>
      </c>
      <c r="N387" s="330">
        <f>G387+G388</f>
        <v>10.584</v>
      </c>
      <c r="O387" s="330">
        <f t="shared" ref="O387" si="883">H387+H388</f>
        <v>0</v>
      </c>
      <c r="P387" s="330">
        <f t="shared" si="846"/>
        <v>10.584</v>
      </c>
      <c r="Q387" s="330">
        <f t="shared" ref="Q387" si="884">J387+J388</f>
        <v>5.7119999999999997</v>
      </c>
      <c r="R387" s="330">
        <f t="shared" ref="R387" si="885">P387-Q387</f>
        <v>4.8719999999999999</v>
      </c>
      <c r="S387" s="332">
        <f t="shared" ref="S387" si="886">Q387/P387</f>
        <v>0.53968253968253965</v>
      </c>
      <c r="T387" s="140"/>
    </row>
    <row r="388" spans="2:20">
      <c r="B388" s="339"/>
      <c r="C388" s="345"/>
      <c r="D388" s="347"/>
      <c r="E388" s="344"/>
      <c r="F388" s="129" t="s">
        <v>10</v>
      </c>
      <c r="G388" s="172">
        <v>5.2919999999999998</v>
      </c>
      <c r="H388" s="172"/>
      <c r="I388" s="172">
        <f>K387+G388+H388</f>
        <v>7.5640000000000001</v>
      </c>
      <c r="J388" s="291">
        <v>2.6920000000000002</v>
      </c>
      <c r="K388" s="183">
        <f t="shared" si="840"/>
        <v>4.8719999999999999</v>
      </c>
      <c r="L388" s="154">
        <f t="shared" si="841"/>
        <v>0.35589635113696461</v>
      </c>
      <c r="M388" s="98" t="s">
        <v>218</v>
      </c>
      <c r="N388" s="330"/>
      <c r="O388" s="330"/>
      <c r="P388" s="330">
        <f t="shared" si="846"/>
        <v>0</v>
      </c>
      <c r="Q388" s="330"/>
      <c r="R388" s="330"/>
      <c r="S388" s="332" t="e">
        <f t="shared" ref="S388" si="887">+Q388/P388</f>
        <v>#DIV/0!</v>
      </c>
      <c r="T388" s="140"/>
    </row>
    <row r="389" spans="2:20">
      <c r="B389" s="339"/>
      <c r="C389" s="345"/>
      <c r="D389" s="347"/>
      <c r="E389" s="344" t="s">
        <v>446</v>
      </c>
      <c r="F389" s="129" t="s">
        <v>488</v>
      </c>
      <c r="G389" s="172">
        <v>5.2910000000000004</v>
      </c>
      <c r="H389" s="172"/>
      <c r="I389" s="172">
        <f>G389+H389</f>
        <v>5.2910000000000004</v>
      </c>
      <c r="J389" s="291">
        <v>4.88</v>
      </c>
      <c r="K389" s="183">
        <f t="shared" si="840"/>
        <v>0.41100000000000048</v>
      </c>
      <c r="L389" s="154">
        <f t="shared" si="841"/>
        <v>0.92232092232092222</v>
      </c>
      <c r="M389" s="98" t="s">
        <v>218</v>
      </c>
      <c r="N389" s="330">
        <f>G389+G390</f>
        <v>10.582000000000001</v>
      </c>
      <c r="O389" s="330">
        <f t="shared" ref="O389" si="888">H389+H390</f>
        <v>0</v>
      </c>
      <c r="P389" s="330">
        <f t="shared" si="846"/>
        <v>10.582000000000001</v>
      </c>
      <c r="Q389" s="330">
        <f t="shared" ref="Q389" si="889">J389+J390</f>
        <v>7.13</v>
      </c>
      <c r="R389" s="330">
        <f t="shared" ref="R389" si="890">P389-Q389</f>
        <v>3.4520000000000008</v>
      </c>
      <c r="S389" s="332">
        <f t="shared" ref="S389" si="891">Q389/P389</f>
        <v>0.67378567378567378</v>
      </c>
      <c r="T389" s="140"/>
    </row>
    <row r="390" spans="2:20">
      <c r="B390" s="339"/>
      <c r="C390" s="345"/>
      <c r="D390" s="347"/>
      <c r="E390" s="344"/>
      <c r="F390" s="129" t="s">
        <v>10</v>
      </c>
      <c r="G390" s="172">
        <v>5.2910000000000004</v>
      </c>
      <c r="H390" s="172"/>
      <c r="I390" s="172">
        <f>K389+G390+H390</f>
        <v>5.7020000000000008</v>
      </c>
      <c r="J390" s="291">
        <v>2.25</v>
      </c>
      <c r="K390" s="183">
        <f t="shared" si="840"/>
        <v>3.4520000000000008</v>
      </c>
      <c r="L390" s="154">
        <f t="shared" si="841"/>
        <v>0.39459838653104168</v>
      </c>
      <c r="M390" s="98" t="s">
        <v>218</v>
      </c>
      <c r="N390" s="330"/>
      <c r="O390" s="330"/>
      <c r="P390" s="330">
        <f t="shared" si="846"/>
        <v>0</v>
      </c>
      <c r="Q390" s="330"/>
      <c r="R390" s="330"/>
      <c r="S390" s="332" t="e">
        <f t="shared" ref="S390" si="892">+Q390/P390</f>
        <v>#DIV/0!</v>
      </c>
      <c r="T390" s="140"/>
    </row>
    <row r="391" spans="2:20">
      <c r="B391" s="339"/>
      <c r="C391" s="345"/>
      <c r="D391" s="347"/>
      <c r="E391" s="344" t="s">
        <v>447</v>
      </c>
      <c r="F391" s="129" t="s">
        <v>488</v>
      </c>
      <c r="G391" s="172">
        <v>5.2910000000000004</v>
      </c>
      <c r="H391" s="172"/>
      <c r="I391" s="172">
        <f>G391+H391</f>
        <v>5.2910000000000004</v>
      </c>
      <c r="J391" s="291">
        <v>5.0140000000000011</v>
      </c>
      <c r="K391" s="183">
        <f t="shared" si="840"/>
        <v>0.27699999999999925</v>
      </c>
      <c r="L391" s="154">
        <f t="shared" si="841"/>
        <v>0.94764694764694779</v>
      </c>
      <c r="M391" s="98" t="s">
        <v>218</v>
      </c>
      <c r="N391" s="330">
        <f>G391+G392</f>
        <v>10.582000000000001</v>
      </c>
      <c r="O391" s="330">
        <f t="shared" ref="O391" si="893">H391+H392</f>
        <v>0</v>
      </c>
      <c r="P391" s="330">
        <f t="shared" si="846"/>
        <v>10.582000000000001</v>
      </c>
      <c r="Q391" s="330">
        <f t="shared" ref="Q391" si="894">J391+J392</f>
        <v>5.0140000000000011</v>
      </c>
      <c r="R391" s="330">
        <f t="shared" ref="R391" si="895">P391-Q391</f>
        <v>5.5679999999999996</v>
      </c>
      <c r="S391" s="332">
        <f t="shared" ref="S391" si="896">Q391/P391</f>
        <v>0.4738234738234739</v>
      </c>
      <c r="T391" s="140"/>
    </row>
    <row r="392" spans="2:20">
      <c r="B392" s="339"/>
      <c r="C392" s="345"/>
      <c r="D392" s="347"/>
      <c r="E392" s="344"/>
      <c r="F392" s="129" t="s">
        <v>10</v>
      </c>
      <c r="G392" s="172">
        <v>5.2910000000000004</v>
      </c>
      <c r="H392" s="172"/>
      <c r="I392" s="172">
        <f>K391+G392+H392</f>
        <v>5.5679999999999996</v>
      </c>
      <c r="J392" s="291"/>
      <c r="K392" s="183">
        <f t="shared" si="840"/>
        <v>5.5679999999999996</v>
      </c>
      <c r="L392" s="154">
        <f t="shared" si="841"/>
        <v>0</v>
      </c>
      <c r="M392" s="98" t="s">
        <v>218</v>
      </c>
      <c r="N392" s="330"/>
      <c r="O392" s="330"/>
      <c r="P392" s="330">
        <f t="shared" si="846"/>
        <v>0</v>
      </c>
      <c r="Q392" s="330"/>
      <c r="R392" s="330"/>
      <c r="S392" s="332" t="e">
        <f t="shared" ref="S392" si="897">+Q392/P392</f>
        <v>#DIV/0!</v>
      </c>
      <c r="T392" s="140"/>
    </row>
    <row r="393" spans="2:20">
      <c r="B393" s="339"/>
      <c r="C393" s="345"/>
      <c r="D393" s="347"/>
      <c r="E393" s="344" t="s">
        <v>448</v>
      </c>
      <c r="F393" s="129" t="s">
        <v>488</v>
      </c>
      <c r="G393" s="172">
        <v>5.2919999999999998</v>
      </c>
      <c r="H393" s="172"/>
      <c r="I393" s="172">
        <f>G393+H393</f>
        <v>5.2919999999999998</v>
      </c>
      <c r="J393" s="291">
        <v>3.6720000000000002</v>
      </c>
      <c r="K393" s="183">
        <f t="shared" si="840"/>
        <v>1.6199999999999997</v>
      </c>
      <c r="L393" s="154">
        <f t="shared" si="841"/>
        <v>0.69387755102040827</v>
      </c>
      <c r="M393" s="98" t="s">
        <v>218</v>
      </c>
      <c r="N393" s="330">
        <f>G393+G394</f>
        <v>10.584</v>
      </c>
      <c r="O393" s="330">
        <f t="shared" ref="O393" si="898">H393+H394</f>
        <v>0</v>
      </c>
      <c r="P393" s="330">
        <f t="shared" si="846"/>
        <v>10.584</v>
      </c>
      <c r="Q393" s="330">
        <f t="shared" ref="Q393" si="899">J393+J394</f>
        <v>5.2810000000000006</v>
      </c>
      <c r="R393" s="330">
        <f t="shared" ref="R393" si="900">P393-Q393</f>
        <v>5.302999999999999</v>
      </c>
      <c r="S393" s="332">
        <f t="shared" ref="S393" si="901">Q393/P393</f>
        <v>0.49896069538926691</v>
      </c>
      <c r="T393" s="140"/>
    </row>
    <row r="394" spans="2:20">
      <c r="B394" s="339"/>
      <c r="C394" s="345"/>
      <c r="D394" s="347"/>
      <c r="E394" s="344"/>
      <c r="F394" s="129" t="s">
        <v>10</v>
      </c>
      <c r="G394" s="172">
        <v>5.2919999999999998</v>
      </c>
      <c r="H394" s="172"/>
      <c r="I394" s="172">
        <f>K393+G394+H394</f>
        <v>6.911999999999999</v>
      </c>
      <c r="J394" s="291">
        <v>1.609</v>
      </c>
      <c r="K394" s="183">
        <f t="shared" si="840"/>
        <v>5.302999999999999</v>
      </c>
      <c r="L394" s="154">
        <f t="shared" si="841"/>
        <v>0.23278356481481485</v>
      </c>
      <c r="M394" s="98" t="s">
        <v>218</v>
      </c>
      <c r="N394" s="330"/>
      <c r="O394" s="330"/>
      <c r="P394" s="330">
        <f t="shared" si="846"/>
        <v>0</v>
      </c>
      <c r="Q394" s="330"/>
      <c r="R394" s="330"/>
      <c r="S394" s="332" t="e">
        <f t="shared" ref="S394" si="902">+Q394/P394</f>
        <v>#DIV/0!</v>
      </c>
      <c r="T394" s="140"/>
    </row>
    <row r="395" spans="2:20">
      <c r="B395" s="339"/>
      <c r="C395" s="345"/>
      <c r="D395" s="347"/>
      <c r="E395" s="344" t="s">
        <v>483</v>
      </c>
      <c r="F395" s="129" t="s">
        <v>488</v>
      </c>
      <c r="G395" s="172">
        <v>5.2919999999999998</v>
      </c>
      <c r="H395" s="226">
        <f>5.811+8</f>
        <v>13.811</v>
      </c>
      <c r="I395" s="172">
        <f>G395+H395</f>
        <v>19.103000000000002</v>
      </c>
      <c r="J395" s="291">
        <v>8.8000000000000007</v>
      </c>
      <c r="K395" s="183">
        <f t="shared" si="840"/>
        <v>10.303000000000001</v>
      </c>
      <c r="L395" s="154">
        <f t="shared" si="841"/>
        <v>0.4606606292205413</v>
      </c>
      <c r="M395" s="98" t="s">
        <v>218</v>
      </c>
      <c r="N395" s="330">
        <f>G395+G396</f>
        <v>10.584</v>
      </c>
      <c r="O395" s="330">
        <f t="shared" ref="O395" si="903">H395+H396</f>
        <v>13.811</v>
      </c>
      <c r="P395" s="330">
        <f t="shared" si="846"/>
        <v>24.395</v>
      </c>
      <c r="Q395" s="330">
        <f t="shared" ref="Q395" si="904">J395+J396</f>
        <v>18.094999999999999</v>
      </c>
      <c r="R395" s="330">
        <f t="shared" ref="R395" si="905">P395-Q395</f>
        <v>6.3000000000000007</v>
      </c>
      <c r="S395" s="332">
        <f t="shared" ref="S395" si="906">Q395/P395</f>
        <v>0.74175035868005734</v>
      </c>
      <c r="T395" s="140"/>
    </row>
    <row r="396" spans="2:20">
      <c r="B396" s="339"/>
      <c r="C396" s="345"/>
      <c r="D396" s="347"/>
      <c r="E396" s="344"/>
      <c r="F396" s="129" t="s">
        <v>10</v>
      </c>
      <c r="G396" s="172">
        <v>5.2919999999999998</v>
      </c>
      <c r="H396" s="172"/>
      <c r="I396" s="172">
        <f>K395+G396+H396</f>
        <v>15.595000000000001</v>
      </c>
      <c r="J396" s="291">
        <v>9.2949999999999999</v>
      </c>
      <c r="K396" s="183">
        <f t="shared" si="840"/>
        <v>6.3000000000000007</v>
      </c>
      <c r="L396" s="154">
        <f t="shared" si="841"/>
        <v>0.59602436678422566</v>
      </c>
      <c r="M396" s="98" t="s">
        <v>218</v>
      </c>
      <c r="N396" s="330"/>
      <c r="O396" s="330"/>
      <c r="P396" s="330">
        <f t="shared" si="846"/>
        <v>0</v>
      </c>
      <c r="Q396" s="330"/>
      <c r="R396" s="330"/>
      <c r="S396" s="332" t="e">
        <f t="shared" ref="S396" si="907">+Q396/P396</f>
        <v>#DIV/0!</v>
      </c>
      <c r="T396" s="140"/>
    </row>
    <row r="397" spans="2:20">
      <c r="B397" s="339"/>
      <c r="C397" s="345"/>
      <c r="D397" s="347"/>
      <c r="E397" s="344" t="s">
        <v>484</v>
      </c>
      <c r="F397" s="129" t="s">
        <v>488</v>
      </c>
      <c r="G397" s="172">
        <v>7.9370000000000003</v>
      </c>
      <c r="H397" s="172"/>
      <c r="I397" s="172">
        <f>G397+H397</f>
        <v>7.9370000000000003</v>
      </c>
      <c r="J397" s="291">
        <v>5.5620000000000003</v>
      </c>
      <c r="K397" s="183">
        <f t="shared" si="840"/>
        <v>2.375</v>
      </c>
      <c r="L397" s="154">
        <f t="shared" si="841"/>
        <v>0.70076855234975433</v>
      </c>
      <c r="M397" s="176" t="s">
        <v>218</v>
      </c>
      <c r="N397" s="330">
        <f>G397+G398</f>
        <v>10.582000000000001</v>
      </c>
      <c r="O397" s="330">
        <f t="shared" ref="O397" si="908">H397+H398</f>
        <v>0</v>
      </c>
      <c r="P397" s="330">
        <f t="shared" si="846"/>
        <v>10.582000000000001</v>
      </c>
      <c r="Q397" s="330">
        <f t="shared" ref="Q397" si="909">J397+J398</f>
        <v>8.7210000000000001</v>
      </c>
      <c r="R397" s="330">
        <f t="shared" ref="R397" si="910">P397-Q397</f>
        <v>1.8610000000000007</v>
      </c>
      <c r="S397" s="332">
        <f t="shared" ref="S397" si="911">Q397/P397</f>
        <v>0.82413532413532409</v>
      </c>
      <c r="T397" s="140"/>
    </row>
    <row r="398" spans="2:20">
      <c r="B398" s="339"/>
      <c r="C398" s="345"/>
      <c r="D398" s="347"/>
      <c r="E398" s="344"/>
      <c r="F398" s="129" t="s">
        <v>10</v>
      </c>
      <c r="G398" s="172">
        <v>2.645</v>
      </c>
      <c r="H398" s="172"/>
      <c r="I398" s="172">
        <f>K397+G398+H398</f>
        <v>5.0199999999999996</v>
      </c>
      <c r="J398" s="291">
        <v>3.1589999999999998</v>
      </c>
      <c r="K398" s="183">
        <f t="shared" si="840"/>
        <v>1.8609999999999998</v>
      </c>
      <c r="L398" s="154">
        <f t="shared" si="841"/>
        <v>0.62928286852589643</v>
      </c>
      <c r="M398" s="98" t="s">
        <v>218</v>
      </c>
      <c r="N398" s="330"/>
      <c r="O398" s="330"/>
      <c r="P398" s="330">
        <f t="shared" si="846"/>
        <v>0</v>
      </c>
      <c r="Q398" s="330"/>
      <c r="R398" s="330"/>
      <c r="S398" s="332" t="e">
        <f t="shared" ref="S398" si="912">+Q398/P398</f>
        <v>#DIV/0!</v>
      </c>
      <c r="T398" s="140"/>
    </row>
    <row r="399" spans="2:20">
      <c r="B399" s="339"/>
      <c r="C399" s="345"/>
      <c r="D399" s="347"/>
      <c r="E399" s="344" t="s">
        <v>485</v>
      </c>
      <c r="F399" s="129" t="s">
        <v>488</v>
      </c>
      <c r="G399" s="172">
        <v>5.2919999999999998</v>
      </c>
      <c r="H399" s="172"/>
      <c r="I399" s="172">
        <f>G399+H399</f>
        <v>5.2919999999999998</v>
      </c>
      <c r="J399" s="291">
        <v>4.08</v>
      </c>
      <c r="K399" s="183">
        <f t="shared" si="840"/>
        <v>1.2119999999999997</v>
      </c>
      <c r="L399" s="154">
        <f t="shared" si="841"/>
        <v>0.77097505668934241</v>
      </c>
      <c r="M399" s="98" t="s">
        <v>218</v>
      </c>
      <c r="N399" s="330">
        <f>G399+G400</f>
        <v>10.584</v>
      </c>
      <c r="O399" s="330">
        <f t="shared" ref="O399" si="913">H399+H400</f>
        <v>0</v>
      </c>
      <c r="P399" s="330">
        <f t="shared" si="846"/>
        <v>10.584</v>
      </c>
      <c r="Q399" s="330">
        <f t="shared" ref="Q399" si="914">J399+J400</f>
        <v>4.08</v>
      </c>
      <c r="R399" s="330">
        <f t="shared" ref="R399" si="915">P399-Q399</f>
        <v>6.5039999999999996</v>
      </c>
      <c r="S399" s="332">
        <f t="shared" ref="S399" si="916">Q399/P399</f>
        <v>0.3854875283446712</v>
      </c>
      <c r="T399" s="140"/>
    </row>
    <row r="400" spans="2:20">
      <c r="B400" s="339"/>
      <c r="C400" s="345"/>
      <c r="D400" s="347"/>
      <c r="E400" s="344"/>
      <c r="F400" s="129" t="s">
        <v>10</v>
      </c>
      <c r="G400" s="172">
        <v>5.2919999999999998</v>
      </c>
      <c r="H400" s="172"/>
      <c r="I400" s="172">
        <f>K399+G400+H400</f>
        <v>6.5039999999999996</v>
      </c>
      <c r="J400" s="291"/>
      <c r="K400" s="183">
        <f t="shared" si="840"/>
        <v>6.5039999999999996</v>
      </c>
      <c r="L400" s="154">
        <f t="shared" si="841"/>
        <v>0</v>
      </c>
      <c r="M400" s="98" t="s">
        <v>218</v>
      </c>
      <c r="N400" s="330"/>
      <c r="O400" s="330"/>
      <c r="P400" s="330">
        <f t="shared" si="846"/>
        <v>0</v>
      </c>
      <c r="Q400" s="330"/>
      <c r="R400" s="330"/>
      <c r="S400" s="332" t="e">
        <f t="shared" ref="S400" si="917">+Q400/P400</f>
        <v>#DIV/0!</v>
      </c>
      <c r="T400" s="140"/>
    </row>
    <row r="401" spans="2:20">
      <c r="B401" s="339"/>
      <c r="C401" s="345"/>
      <c r="D401" s="347"/>
      <c r="E401" s="344" t="s">
        <v>449</v>
      </c>
      <c r="F401" s="129" t="s">
        <v>488</v>
      </c>
      <c r="G401" s="172">
        <v>5.2889999999999997</v>
      </c>
      <c r="H401" s="172"/>
      <c r="I401" s="172">
        <f>G401+H401</f>
        <v>5.2889999999999997</v>
      </c>
      <c r="J401" s="291">
        <v>3.0150000000000001</v>
      </c>
      <c r="K401" s="183">
        <f t="shared" si="840"/>
        <v>2.2739999999999996</v>
      </c>
      <c r="L401" s="154">
        <f t="shared" si="841"/>
        <v>0.57005104934770279</v>
      </c>
      <c r="M401" s="98" t="s">
        <v>218</v>
      </c>
      <c r="N401" s="330">
        <f>G401+G402</f>
        <v>10.577999999999999</v>
      </c>
      <c r="O401" s="330">
        <f t="shared" ref="O401" si="918">H401+H402</f>
        <v>0</v>
      </c>
      <c r="P401" s="330">
        <f t="shared" si="846"/>
        <v>10.577999999999999</v>
      </c>
      <c r="Q401" s="330">
        <f t="shared" ref="Q401" si="919">J401+J402</f>
        <v>3.0150000000000001</v>
      </c>
      <c r="R401" s="330">
        <f t="shared" ref="R401" si="920">P401-Q401</f>
        <v>7.5629999999999988</v>
      </c>
      <c r="S401" s="332">
        <f t="shared" ref="S401" si="921">Q401/P401</f>
        <v>0.28502552467385139</v>
      </c>
      <c r="T401" s="140"/>
    </row>
    <row r="402" spans="2:20">
      <c r="B402" s="339"/>
      <c r="C402" s="345"/>
      <c r="D402" s="347"/>
      <c r="E402" s="344"/>
      <c r="F402" s="129" t="s">
        <v>10</v>
      </c>
      <c r="G402" s="172">
        <v>5.2889999999999997</v>
      </c>
      <c r="H402" s="172"/>
      <c r="I402" s="172">
        <f>K401+G402+H402</f>
        <v>7.5629999999999988</v>
      </c>
      <c r="J402" s="291"/>
      <c r="K402" s="183">
        <f t="shared" si="840"/>
        <v>7.5629999999999988</v>
      </c>
      <c r="L402" s="154">
        <f t="shared" si="841"/>
        <v>0</v>
      </c>
      <c r="M402" s="98" t="s">
        <v>218</v>
      </c>
      <c r="N402" s="330"/>
      <c r="O402" s="330"/>
      <c r="P402" s="330">
        <f t="shared" si="846"/>
        <v>0</v>
      </c>
      <c r="Q402" s="330"/>
      <c r="R402" s="330"/>
      <c r="S402" s="332" t="e">
        <f t="shared" ref="S402" si="922">+Q402/P402</f>
        <v>#DIV/0!</v>
      </c>
      <c r="T402" s="140"/>
    </row>
    <row r="403" spans="2:20">
      <c r="B403" s="339"/>
      <c r="C403" s="345"/>
      <c r="D403" s="345" t="s">
        <v>630</v>
      </c>
      <c r="E403" s="344" t="s">
        <v>494</v>
      </c>
      <c r="F403" s="129" t="s">
        <v>488</v>
      </c>
      <c r="G403" s="172">
        <v>5.2889999999999997</v>
      </c>
      <c r="H403" s="172"/>
      <c r="I403" s="172">
        <f>G403+H403</f>
        <v>5.2889999999999997</v>
      </c>
      <c r="J403" s="291">
        <v>4.1310000000000002</v>
      </c>
      <c r="K403" s="183">
        <f t="shared" si="840"/>
        <v>1.1579999999999995</v>
      </c>
      <c r="L403" s="154">
        <f t="shared" si="841"/>
        <v>0.78105501985252423</v>
      </c>
      <c r="M403" s="98" t="s">
        <v>218</v>
      </c>
      <c r="N403" s="330">
        <f>G403+G404</f>
        <v>10.577999999999999</v>
      </c>
      <c r="O403" s="330">
        <f t="shared" ref="O403" si="923">H403+H404</f>
        <v>0</v>
      </c>
      <c r="P403" s="330">
        <f t="shared" si="846"/>
        <v>10.577999999999999</v>
      </c>
      <c r="Q403" s="330">
        <f t="shared" ref="Q403" si="924">J403+J404</f>
        <v>8.2620000000000005</v>
      </c>
      <c r="R403" s="330">
        <f t="shared" ref="R403" si="925">P403-Q403</f>
        <v>2.3159999999999989</v>
      </c>
      <c r="S403" s="332">
        <f t="shared" ref="S403" si="926">Q403/P403</f>
        <v>0.78105501985252423</v>
      </c>
      <c r="T403" s="140"/>
    </row>
    <row r="404" spans="2:20">
      <c r="B404" s="339"/>
      <c r="C404" s="345"/>
      <c r="D404" s="346"/>
      <c r="E404" s="344"/>
      <c r="F404" s="129" t="s">
        <v>10</v>
      </c>
      <c r="G404" s="172">
        <v>5.2889999999999997</v>
      </c>
      <c r="H404" s="172"/>
      <c r="I404" s="172">
        <f>K403+G404+H404</f>
        <v>6.4469999999999992</v>
      </c>
      <c r="J404" s="291">
        <v>4.1310000000000002</v>
      </c>
      <c r="K404" s="183">
        <f t="shared" si="840"/>
        <v>2.3159999999999989</v>
      </c>
      <c r="L404" s="154">
        <f t="shared" si="841"/>
        <v>0.64076314564913928</v>
      </c>
      <c r="M404" s="98" t="s">
        <v>218</v>
      </c>
      <c r="N404" s="330"/>
      <c r="O404" s="330"/>
      <c r="P404" s="330">
        <f t="shared" si="846"/>
        <v>0</v>
      </c>
      <c r="Q404" s="330"/>
      <c r="R404" s="330"/>
      <c r="S404" s="332" t="e">
        <f t="shared" ref="S404" si="927">+Q404/P404</f>
        <v>#DIV/0!</v>
      </c>
      <c r="T404" s="140"/>
    </row>
    <row r="405" spans="2:20">
      <c r="B405" s="339"/>
      <c r="C405" s="345"/>
      <c r="D405" s="308" t="s">
        <v>631</v>
      </c>
      <c r="E405" s="350" t="s">
        <v>450</v>
      </c>
      <c r="F405" s="129" t="s">
        <v>488</v>
      </c>
      <c r="G405" s="172">
        <v>5.2930000000000001</v>
      </c>
      <c r="H405" s="172"/>
      <c r="I405" s="172">
        <f>G405+H405</f>
        <v>5.2930000000000001</v>
      </c>
      <c r="J405" s="291">
        <v>0.8640000000000001</v>
      </c>
      <c r="K405" s="183">
        <f t="shared" si="840"/>
        <v>4.4290000000000003</v>
      </c>
      <c r="L405" s="154">
        <f t="shared" si="841"/>
        <v>0.16323446060835067</v>
      </c>
      <c r="M405" s="98" t="s">
        <v>218</v>
      </c>
      <c r="N405" s="330">
        <f>G405+G406</f>
        <v>10.586</v>
      </c>
      <c r="O405" s="330">
        <f t="shared" ref="O405" si="928">H405+H406</f>
        <v>0</v>
      </c>
      <c r="P405" s="330">
        <f t="shared" si="846"/>
        <v>10.586</v>
      </c>
      <c r="Q405" s="330">
        <f t="shared" ref="Q405" si="929">J405+J406</f>
        <v>6.1830000000000007</v>
      </c>
      <c r="R405" s="330">
        <f t="shared" ref="R405" si="930">P405-Q405</f>
        <v>4.4029999999999996</v>
      </c>
      <c r="S405" s="332">
        <f t="shared" ref="S405" si="931">Q405/P405</f>
        <v>0.58407330436425475</v>
      </c>
      <c r="T405" s="140"/>
    </row>
    <row r="406" spans="2:20">
      <c r="B406" s="339"/>
      <c r="C406" s="345"/>
      <c r="D406" s="308"/>
      <c r="E406" s="350"/>
      <c r="F406" s="129" t="s">
        <v>10</v>
      </c>
      <c r="G406" s="172">
        <v>5.2930000000000001</v>
      </c>
      <c r="H406" s="172"/>
      <c r="I406" s="172">
        <f>K405+G406+H406</f>
        <v>9.7220000000000013</v>
      </c>
      <c r="J406" s="291">
        <v>5.3190000000000008</v>
      </c>
      <c r="K406" s="183">
        <f t="shared" si="840"/>
        <v>4.4030000000000005</v>
      </c>
      <c r="L406" s="154">
        <f t="shared" si="841"/>
        <v>0.54710964822053076</v>
      </c>
      <c r="M406" s="98" t="s">
        <v>218</v>
      </c>
      <c r="N406" s="330"/>
      <c r="O406" s="330"/>
      <c r="P406" s="330">
        <f t="shared" si="846"/>
        <v>0</v>
      </c>
      <c r="Q406" s="330"/>
      <c r="R406" s="330"/>
      <c r="S406" s="332" t="e">
        <f t="shared" ref="S406" si="932">+Q406/P406</f>
        <v>#DIV/0!</v>
      </c>
      <c r="T406" s="140"/>
    </row>
    <row r="407" spans="2:20">
      <c r="B407" s="339"/>
      <c r="C407" s="345"/>
      <c r="D407" s="308"/>
      <c r="E407" s="350" t="s">
        <v>451</v>
      </c>
      <c r="F407" s="129" t="s">
        <v>488</v>
      </c>
      <c r="G407" s="172">
        <v>5.2869999999999999</v>
      </c>
      <c r="H407" s="172"/>
      <c r="I407" s="172">
        <f>G407+H407</f>
        <v>5.2869999999999999</v>
      </c>
      <c r="J407" s="291">
        <v>5.1570000000000009</v>
      </c>
      <c r="K407" s="183">
        <f t="shared" si="840"/>
        <v>0.12999999999999901</v>
      </c>
      <c r="L407" s="154">
        <f t="shared" si="841"/>
        <v>0.97541138641951974</v>
      </c>
      <c r="M407" s="98" t="s">
        <v>218</v>
      </c>
      <c r="N407" s="330">
        <f>G407+G408</f>
        <v>10.574</v>
      </c>
      <c r="O407" s="330">
        <f t="shared" ref="O407" si="933">H407+H408</f>
        <v>0</v>
      </c>
      <c r="P407" s="330">
        <f t="shared" si="846"/>
        <v>10.574</v>
      </c>
      <c r="Q407" s="330">
        <f t="shared" ref="Q407" si="934">J407+J408</f>
        <v>8.8830000000000009</v>
      </c>
      <c r="R407" s="330">
        <f t="shared" ref="R407" si="935">P407-Q407</f>
        <v>1.6909999999999989</v>
      </c>
      <c r="S407" s="332">
        <f t="shared" ref="S407" si="936">Q407/P407</f>
        <v>0.84007944013618319</v>
      </c>
      <c r="T407" s="140"/>
    </row>
    <row r="408" spans="2:20">
      <c r="B408" s="339"/>
      <c r="C408" s="345"/>
      <c r="D408" s="308"/>
      <c r="E408" s="350"/>
      <c r="F408" s="129" t="s">
        <v>10</v>
      </c>
      <c r="G408" s="172">
        <v>5.2869999999999999</v>
      </c>
      <c r="H408" s="172"/>
      <c r="I408" s="172">
        <f>K407+G408+H408</f>
        <v>5.4169999999999989</v>
      </c>
      <c r="J408" s="291">
        <v>3.7260000000000004</v>
      </c>
      <c r="K408" s="183">
        <f t="shared" si="840"/>
        <v>1.6909999999999985</v>
      </c>
      <c r="L408" s="154">
        <f t="shared" si="841"/>
        <v>0.68783459479416675</v>
      </c>
      <c r="M408" s="98" t="s">
        <v>218</v>
      </c>
      <c r="N408" s="330"/>
      <c r="O408" s="330"/>
      <c r="P408" s="330">
        <f t="shared" si="846"/>
        <v>0</v>
      </c>
      <c r="Q408" s="330"/>
      <c r="R408" s="330"/>
      <c r="S408" s="332" t="e">
        <f t="shared" ref="S408" si="937">+Q408/P408</f>
        <v>#DIV/0!</v>
      </c>
      <c r="T408" s="140"/>
    </row>
    <row r="409" spans="2:20">
      <c r="B409" s="339"/>
      <c r="C409" s="345"/>
      <c r="D409" s="308"/>
      <c r="E409" s="350" t="s">
        <v>452</v>
      </c>
      <c r="F409" s="129" t="s">
        <v>488</v>
      </c>
      <c r="G409" s="172">
        <v>5.2910000000000004</v>
      </c>
      <c r="H409" s="172"/>
      <c r="I409" s="172">
        <f>G409+H409</f>
        <v>5.2910000000000004</v>
      </c>
      <c r="J409" s="291">
        <v>3.5469999999999997</v>
      </c>
      <c r="K409" s="183">
        <f t="shared" si="840"/>
        <v>1.7440000000000007</v>
      </c>
      <c r="L409" s="154">
        <f t="shared" si="841"/>
        <v>0.6703836703836703</v>
      </c>
      <c r="M409" s="98" t="s">
        <v>218</v>
      </c>
      <c r="N409" s="330">
        <f>G409+G410</f>
        <v>10.582000000000001</v>
      </c>
      <c r="O409" s="330">
        <f t="shared" ref="O409" si="938">H409+H410</f>
        <v>0</v>
      </c>
      <c r="P409" s="330">
        <f t="shared" si="846"/>
        <v>10.582000000000001</v>
      </c>
      <c r="Q409" s="330">
        <f t="shared" ref="Q409" si="939">J409+J410</f>
        <v>5.9499999999999993</v>
      </c>
      <c r="R409" s="330">
        <f t="shared" ref="R409" si="940">P409-Q409</f>
        <v>4.6320000000000014</v>
      </c>
      <c r="S409" s="332">
        <f t="shared" ref="S409" si="941">Q409/P409</f>
        <v>0.56227556227556219</v>
      </c>
      <c r="T409" s="140"/>
    </row>
    <row r="410" spans="2:20">
      <c r="B410" s="339"/>
      <c r="C410" s="345"/>
      <c r="D410" s="308"/>
      <c r="E410" s="350"/>
      <c r="F410" s="129" t="s">
        <v>10</v>
      </c>
      <c r="G410" s="172">
        <v>5.2910000000000004</v>
      </c>
      <c r="H410" s="172"/>
      <c r="I410" s="172">
        <f>K409+G410+H410</f>
        <v>7.035000000000001</v>
      </c>
      <c r="J410" s="291">
        <v>2.4029999999999996</v>
      </c>
      <c r="K410" s="183">
        <f t="shared" si="840"/>
        <v>4.6320000000000014</v>
      </c>
      <c r="L410" s="154">
        <f t="shared" si="841"/>
        <v>0.34157782515991458</v>
      </c>
      <c r="M410" s="98" t="s">
        <v>218</v>
      </c>
      <c r="N410" s="330"/>
      <c r="O410" s="330"/>
      <c r="P410" s="330">
        <f t="shared" si="846"/>
        <v>0</v>
      </c>
      <c r="Q410" s="330"/>
      <c r="R410" s="330"/>
      <c r="S410" s="332" t="e">
        <f t="shared" ref="S410" si="942">+Q410/P410</f>
        <v>#DIV/0!</v>
      </c>
      <c r="T410" s="140"/>
    </row>
    <row r="411" spans="2:20">
      <c r="B411" s="339"/>
      <c r="C411" s="345"/>
      <c r="D411" s="308"/>
      <c r="E411" s="350" t="s">
        <v>453</v>
      </c>
      <c r="F411" s="129" t="s">
        <v>488</v>
      </c>
      <c r="G411" s="172">
        <v>5.2919999999999998</v>
      </c>
      <c r="H411" s="172"/>
      <c r="I411" s="172">
        <f>G411+H411</f>
        <v>5.2919999999999998</v>
      </c>
      <c r="J411" s="291">
        <v>3.8340000000000001</v>
      </c>
      <c r="K411" s="183">
        <f t="shared" si="840"/>
        <v>1.4579999999999997</v>
      </c>
      <c r="L411" s="154">
        <f t="shared" si="841"/>
        <v>0.72448979591836737</v>
      </c>
      <c r="M411" s="98" t="s">
        <v>218</v>
      </c>
      <c r="N411" s="330">
        <f>G411+G412</f>
        <v>10.584</v>
      </c>
      <c r="O411" s="330">
        <f t="shared" ref="O411" si="943">H411+H412</f>
        <v>0</v>
      </c>
      <c r="P411" s="330">
        <f t="shared" si="846"/>
        <v>10.584</v>
      </c>
      <c r="Q411" s="330">
        <f t="shared" ref="Q411" si="944">J411+J412</f>
        <v>7.6140000000000008</v>
      </c>
      <c r="R411" s="330">
        <f t="shared" ref="R411" si="945">P411-Q411</f>
        <v>2.9699999999999989</v>
      </c>
      <c r="S411" s="332">
        <f t="shared" ref="S411" si="946">Q411/P411</f>
        <v>0.71938775510204089</v>
      </c>
      <c r="T411" s="140"/>
    </row>
    <row r="412" spans="2:20">
      <c r="B412" s="339"/>
      <c r="C412" s="345"/>
      <c r="D412" s="308"/>
      <c r="E412" s="350"/>
      <c r="F412" s="129" t="s">
        <v>10</v>
      </c>
      <c r="G412" s="172">
        <v>5.2919999999999998</v>
      </c>
      <c r="H412" s="172"/>
      <c r="I412" s="172">
        <f>K411+G412+H412</f>
        <v>6.75</v>
      </c>
      <c r="J412" s="291">
        <v>3.7800000000000002</v>
      </c>
      <c r="K412" s="183">
        <f t="shared" si="840"/>
        <v>2.9699999999999998</v>
      </c>
      <c r="L412" s="154">
        <f t="shared" si="841"/>
        <v>0.56000000000000005</v>
      </c>
      <c r="M412" s="98" t="s">
        <v>218</v>
      </c>
      <c r="N412" s="330"/>
      <c r="O412" s="330"/>
      <c r="P412" s="330">
        <f t="shared" si="846"/>
        <v>0</v>
      </c>
      <c r="Q412" s="330"/>
      <c r="R412" s="330"/>
      <c r="S412" s="332" t="e">
        <f t="shared" ref="S412" si="947">+Q412/P412</f>
        <v>#DIV/0!</v>
      </c>
      <c r="T412" s="140"/>
    </row>
    <row r="413" spans="2:20">
      <c r="B413" s="339"/>
      <c r="C413" s="345"/>
      <c r="D413" s="308"/>
      <c r="E413" s="350" t="s">
        <v>454</v>
      </c>
      <c r="F413" s="129" t="s">
        <v>488</v>
      </c>
      <c r="G413" s="172">
        <v>5.2910000000000004</v>
      </c>
      <c r="H413" s="172"/>
      <c r="I413" s="172">
        <f>G413+H413</f>
        <v>5.2910000000000004</v>
      </c>
      <c r="J413" s="291">
        <v>1.377</v>
      </c>
      <c r="K413" s="183">
        <f t="shared" si="840"/>
        <v>3.9140000000000006</v>
      </c>
      <c r="L413" s="154">
        <f t="shared" si="841"/>
        <v>0.26025326025326023</v>
      </c>
      <c r="M413" s="98" t="s">
        <v>218</v>
      </c>
      <c r="N413" s="330">
        <f>G413+G414</f>
        <v>10.582000000000001</v>
      </c>
      <c r="O413" s="330">
        <f t="shared" ref="O413" si="948">H413+H414</f>
        <v>0</v>
      </c>
      <c r="P413" s="330">
        <f t="shared" si="846"/>
        <v>10.582000000000001</v>
      </c>
      <c r="Q413" s="330">
        <f t="shared" ref="Q413" si="949">J413+J414</f>
        <v>6.9119999999999999</v>
      </c>
      <c r="R413" s="330">
        <f t="shared" ref="R413" si="950">P413-Q413</f>
        <v>3.6700000000000008</v>
      </c>
      <c r="S413" s="332">
        <f t="shared" ref="S413" si="951">Q413/P413</f>
        <v>0.65318465318465313</v>
      </c>
      <c r="T413" s="140"/>
    </row>
    <row r="414" spans="2:20">
      <c r="B414" s="339"/>
      <c r="C414" s="345"/>
      <c r="D414" s="308"/>
      <c r="E414" s="350"/>
      <c r="F414" s="129" t="s">
        <v>10</v>
      </c>
      <c r="G414" s="172">
        <v>5.2910000000000004</v>
      </c>
      <c r="H414" s="172"/>
      <c r="I414" s="172">
        <f>K413+G414+H414</f>
        <v>9.2050000000000018</v>
      </c>
      <c r="J414" s="291">
        <v>5.5350000000000001</v>
      </c>
      <c r="K414" s="183">
        <f t="shared" si="840"/>
        <v>3.6700000000000017</v>
      </c>
      <c r="L414" s="154">
        <f t="shared" si="841"/>
        <v>0.60130363932645292</v>
      </c>
      <c r="M414" s="98" t="s">
        <v>218</v>
      </c>
      <c r="N414" s="330"/>
      <c r="O414" s="330"/>
      <c r="P414" s="330">
        <f t="shared" si="846"/>
        <v>0</v>
      </c>
      <c r="Q414" s="330"/>
      <c r="R414" s="330"/>
      <c r="S414" s="332" t="e">
        <f t="shared" ref="S414" si="952">+Q414/P414</f>
        <v>#DIV/0!</v>
      </c>
      <c r="T414" s="140"/>
    </row>
    <row r="415" spans="2:20">
      <c r="B415" s="339"/>
      <c r="C415" s="345"/>
      <c r="D415" s="308"/>
      <c r="E415" s="350" t="s">
        <v>611</v>
      </c>
      <c r="F415" s="129" t="s">
        <v>488</v>
      </c>
      <c r="G415" s="172">
        <v>5.2939999999999996</v>
      </c>
      <c r="H415" s="172"/>
      <c r="I415" s="172">
        <f>G415+H415</f>
        <v>5.2939999999999996</v>
      </c>
      <c r="J415" s="291">
        <v>1.863</v>
      </c>
      <c r="K415" s="183">
        <f t="shared" si="840"/>
        <v>3.4309999999999996</v>
      </c>
      <c r="L415" s="154">
        <f t="shared" si="841"/>
        <v>0.35190782017378164</v>
      </c>
      <c r="M415" s="98" t="s">
        <v>218</v>
      </c>
      <c r="N415" s="330">
        <f>G415+G416</f>
        <v>10.587999999999999</v>
      </c>
      <c r="O415" s="330">
        <f t="shared" ref="O415" si="953">H415+H416</f>
        <v>0</v>
      </c>
      <c r="P415" s="330">
        <f t="shared" si="846"/>
        <v>10.587999999999999</v>
      </c>
      <c r="Q415" s="330">
        <f t="shared" ref="Q415" si="954">J415+J416</f>
        <v>5.0489999999999995</v>
      </c>
      <c r="R415" s="330">
        <f t="shared" ref="R415" si="955">P415-Q415</f>
        <v>5.5389999999999997</v>
      </c>
      <c r="S415" s="332">
        <f t="shared" ref="S415" si="956">Q415/P415</f>
        <v>0.47686059690215338</v>
      </c>
      <c r="T415" s="140"/>
    </row>
    <row r="416" spans="2:20">
      <c r="B416" s="339"/>
      <c r="C416" s="345"/>
      <c r="D416" s="308"/>
      <c r="E416" s="350"/>
      <c r="F416" s="129" t="s">
        <v>10</v>
      </c>
      <c r="G416" s="172">
        <v>5.2939999999999996</v>
      </c>
      <c r="H416" s="172"/>
      <c r="I416" s="172">
        <f>K415+G416+H416</f>
        <v>8.7249999999999996</v>
      </c>
      <c r="J416" s="291">
        <v>3.1859999999999999</v>
      </c>
      <c r="K416" s="183">
        <f t="shared" si="840"/>
        <v>5.5389999999999997</v>
      </c>
      <c r="L416" s="154">
        <f t="shared" si="841"/>
        <v>0.36515759312320917</v>
      </c>
      <c r="M416" s="98" t="s">
        <v>218</v>
      </c>
      <c r="N416" s="330"/>
      <c r="O416" s="330"/>
      <c r="P416" s="330">
        <f t="shared" si="846"/>
        <v>0</v>
      </c>
      <c r="Q416" s="330"/>
      <c r="R416" s="330"/>
      <c r="S416" s="332" t="e">
        <f t="shared" ref="S416" si="957">+Q416/P416</f>
        <v>#DIV/0!</v>
      </c>
      <c r="T416" s="140"/>
    </row>
    <row r="417" spans="2:20">
      <c r="B417" s="339"/>
      <c r="C417" s="345"/>
      <c r="D417" s="308"/>
      <c r="E417" s="350" t="s">
        <v>455</v>
      </c>
      <c r="F417" s="129" t="s">
        <v>488</v>
      </c>
      <c r="G417" s="172">
        <v>5.3029999999999999</v>
      </c>
      <c r="H417" s="172"/>
      <c r="I417" s="172">
        <f>G417+H417</f>
        <v>5.3029999999999999</v>
      </c>
      <c r="J417" s="291">
        <v>1.8359999999999999</v>
      </c>
      <c r="K417" s="183">
        <f t="shared" si="840"/>
        <v>3.4670000000000001</v>
      </c>
      <c r="L417" s="154">
        <f t="shared" si="841"/>
        <v>0.3462191212521214</v>
      </c>
      <c r="M417" s="98" t="s">
        <v>218</v>
      </c>
      <c r="N417" s="330">
        <f>G417+G418</f>
        <v>10.606</v>
      </c>
      <c r="O417" s="330">
        <f t="shared" ref="O417" si="958">H417+H418</f>
        <v>0</v>
      </c>
      <c r="P417" s="330">
        <f t="shared" si="846"/>
        <v>10.606</v>
      </c>
      <c r="Q417" s="330">
        <f t="shared" ref="Q417" si="959">J417+J418</f>
        <v>5.508</v>
      </c>
      <c r="R417" s="330">
        <f t="shared" ref="R417" si="960">P417-Q417</f>
        <v>5.0979999999999999</v>
      </c>
      <c r="S417" s="332">
        <f t="shared" ref="S417" si="961">Q417/P417</f>
        <v>0.51932868187818215</v>
      </c>
      <c r="T417" s="140"/>
    </row>
    <row r="418" spans="2:20">
      <c r="B418" s="339"/>
      <c r="C418" s="345"/>
      <c r="D418" s="308"/>
      <c r="E418" s="350"/>
      <c r="F418" s="129" t="s">
        <v>10</v>
      </c>
      <c r="G418" s="172">
        <v>5.3029999999999999</v>
      </c>
      <c r="H418" s="172"/>
      <c r="I418" s="172">
        <f>K417+G418+H418</f>
        <v>8.77</v>
      </c>
      <c r="J418" s="291">
        <v>3.6720000000000002</v>
      </c>
      <c r="K418" s="183">
        <f t="shared" si="840"/>
        <v>5.097999999999999</v>
      </c>
      <c r="L418" s="154">
        <f t="shared" si="841"/>
        <v>0.41870011402508556</v>
      </c>
      <c r="M418" s="98" t="s">
        <v>218</v>
      </c>
      <c r="N418" s="330"/>
      <c r="O418" s="330"/>
      <c r="P418" s="330">
        <f t="shared" si="846"/>
        <v>0</v>
      </c>
      <c r="Q418" s="330"/>
      <c r="R418" s="330"/>
      <c r="S418" s="332" t="e">
        <f t="shared" ref="S418" si="962">+Q418/P418</f>
        <v>#DIV/0!</v>
      </c>
      <c r="T418" s="140"/>
    </row>
    <row r="419" spans="2:20">
      <c r="B419" s="339"/>
      <c r="C419" s="345"/>
      <c r="D419" s="308"/>
      <c r="E419" s="350" t="s">
        <v>456</v>
      </c>
      <c r="F419" s="129" t="s">
        <v>488</v>
      </c>
      <c r="G419" s="172">
        <v>7.9370000000000003</v>
      </c>
      <c r="H419" s="172"/>
      <c r="I419" s="172">
        <f>G419+H419</f>
        <v>7.9370000000000003</v>
      </c>
      <c r="J419" s="291">
        <v>6.75</v>
      </c>
      <c r="K419" s="183">
        <f t="shared" si="840"/>
        <v>1.1870000000000003</v>
      </c>
      <c r="L419" s="154">
        <f t="shared" si="841"/>
        <v>0.85044727226911931</v>
      </c>
      <c r="M419" s="98" t="s">
        <v>218</v>
      </c>
      <c r="N419" s="330">
        <f>G419+G420</f>
        <v>10.582000000000001</v>
      </c>
      <c r="O419" s="330">
        <f t="shared" ref="O419" si="963">H419+H420</f>
        <v>0</v>
      </c>
      <c r="P419" s="330">
        <f t="shared" si="846"/>
        <v>10.582000000000001</v>
      </c>
      <c r="Q419" s="330">
        <f t="shared" ref="Q419" si="964">J419+J420</f>
        <v>9.0449999999999999</v>
      </c>
      <c r="R419" s="330">
        <f t="shared" ref="R419" si="965">P419-Q419</f>
        <v>1.5370000000000008</v>
      </c>
      <c r="S419" s="332">
        <f t="shared" ref="S419" si="966">Q419/P419</f>
        <v>0.85475335475335468</v>
      </c>
      <c r="T419" s="140"/>
    </row>
    <row r="420" spans="2:20">
      <c r="B420" s="339"/>
      <c r="C420" s="345"/>
      <c r="D420" s="308"/>
      <c r="E420" s="350"/>
      <c r="F420" s="129" t="s">
        <v>10</v>
      </c>
      <c r="G420" s="172">
        <v>2.645</v>
      </c>
      <c r="H420" s="172"/>
      <c r="I420" s="172">
        <f>K419+G420+H420</f>
        <v>3.8320000000000003</v>
      </c>
      <c r="J420" s="291">
        <v>2.2950000000000004</v>
      </c>
      <c r="K420" s="183">
        <f t="shared" si="840"/>
        <v>1.5369999999999999</v>
      </c>
      <c r="L420" s="154">
        <f t="shared" si="841"/>
        <v>0.59890396659707734</v>
      </c>
      <c r="M420" s="98" t="s">
        <v>218</v>
      </c>
      <c r="N420" s="330"/>
      <c r="O420" s="330"/>
      <c r="P420" s="330">
        <f t="shared" si="846"/>
        <v>0</v>
      </c>
      <c r="Q420" s="330"/>
      <c r="R420" s="330"/>
      <c r="S420" s="332" t="e">
        <f t="shared" ref="S420" si="967">+Q420/P420</f>
        <v>#DIV/0!</v>
      </c>
      <c r="T420" s="140"/>
    </row>
    <row r="421" spans="2:20">
      <c r="B421" s="339"/>
      <c r="C421" s="345"/>
      <c r="D421" s="308"/>
      <c r="E421" s="350" t="s">
        <v>457</v>
      </c>
      <c r="F421" s="129" t="s">
        <v>488</v>
      </c>
      <c r="G421" s="172">
        <v>5.29</v>
      </c>
      <c r="H421" s="172"/>
      <c r="I421" s="172">
        <f>G421+H421</f>
        <v>5.29</v>
      </c>
      <c r="J421" s="291">
        <v>3.0780000000000003</v>
      </c>
      <c r="K421" s="183">
        <f t="shared" si="840"/>
        <v>2.2119999999999997</v>
      </c>
      <c r="L421" s="154">
        <f t="shared" si="841"/>
        <v>0.58185255198487718</v>
      </c>
      <c r="M421" s="98" t="s">
        <v>218</v>
      </c>
      <c r="N421" s="330">
        <f>G421+G422</f>
        <v>10.58</v>
      </c>
      <c r="O421" s="330">
        <f t="shared" ref="O421" si="968">H421+H422</f>
        <v>0</v>
      </c>
      <c r="P421" s="330">
        <f t="shared" si="846"/>
        <v>10.58</v>
      </c>
      <c r="Q421" s="330">
        <f t="shared" ref="Q421" si="969">J421+J422</f>
        <v>7.1280000000000001</v>
      </c>
      <c r="R421" s="330">
        <f t="shared" ref="R421" si="970">P421-Q421</f>
        <v>3.452</v>
      </c>
      <c r="S421" s="332">
        <f t="shared" ref="S421" si="971">Q421/P421</f>
        <v>0.67372400756143669</v>
      </c>
      <c r="T421" s="140"/>
    </row>
    <row r="422" spans="2:20">
      <c r="B422" s="339"/>
      <c r="C422" s="345"/>
      <c r="D422" s="308"/>
      <c r="E422" s="350"/>
      <c r="F422" s="129" t="s">
        <v>10</v>
      </c>
      <c r="G422" s="172">
        <v>5.29</v>
      </c>
      <c r="H422" s="172"/>
      <c r="I422" s="172">
        <f>K421+G422+H422</f>
        <v>7.5019999999999998</v>
      </c>
      <c r="J422" s="291">
        <v>4.05</v>
      </c>
      <c r="K422" s="183">
        <f t="shared" si="840"/>
        <v>3.452</v>
      </c>
      <c r="L422" s="154">
        <f t="shared" si="841"/>
        <v>0.5398560383897627</v>
      </c>
      <c r="M422" s="98" t="s">
        <v>218</v>
      </c>
      <c r="N422" s="330"/>
      <c r="O422" s="330"/>
      <c r="P422" s="330">
        <f t="shared" si="846"/>
        <v>0</v>
      </c>
      <c r="Q422" s="330"/>
      <c r="R422" s="330"/>
      <c r="S422" s="332" t="e">
        <f t="shared" ref="S422" si="972">+Q422/P422</f>
        <v>#DIV/0!</v>
      </c>
      <c r="T422" s="140"/>
    </row>
    <row r="423" spans="2:20">
      <c r="B423" s="339"/>
      <c r="C423" s="345"/>
      <c r="D423" s="308"/>
      <c r="E423" s="350" t="s">
        <v>458</v>
      </c>
      <c r="F423" s="129" t="s">
        <v>488</v>
      </c>
      <c r="G423" s="172">
        <v>5.2919999999999998</v>
      </c>
      <c r="H423" s="172"/>
      <c r="I423" s="172">
        <f>G423+H423</f>
        <v>5.2919999999999998</v>
      </c>
      <c r="J423" s="291">
        <v>0.27</v>
      </c>
      <c r="K423" s="183">
        <f t="shared" si="840"/>
        <v>5.0220000000000002</v>
      </c>
      <c r="L423" s="154">
        <f t="shared" si="841"/>
        <v>5.1020408163265314E-2</v>
      </c>
      <c r="M423" s="98" t="s">
        <v>218</v>
      </c>
      <c r="N423" s="330">
        <f>G423+G424</f>
        <v>10.584</v>
      </c>
      <c r="O423" s="330">
        <f t="shared" ref="O423" si="973">H423+H424</f>
        <v>0</v>
      </c>
      <c r="P423" s="330">
        <f t="shared" si="846"/>
        <v>10.584</v>
      </c>
      <c r="Q423" s="330">
        <f t="shared" ref="Q423" si="974">J423+J424</f>
        <v>4.0500000000000007</v>
      </c>
      <c r="R423" s="330">
        <f t="shared" ref="R423" si="975">P423-Q423</f>
        <v>6.5339999999999989</v>
      </c>
      <c r="S423" s="332">
        <f t="shared" ref="S423" si="976">Q423/P423</f>
        <v>0.38265306122448989</v>
      </c>
      <c r="T423" s="140"/>
    </row>
    <row r="424" spans="2:20">
      <c r="B424" s="339"/>
      <c r="C424" s="345"/>
      <c r="D424" s="308"/>
      <c r="E424" s="350"/>
      <c r="F424" s="129" t="s">
        <v>10</v>
      </c>
      <c r="G424" s="172">
        <v>5.2919999999999998</v>
      </c>
      <c r="H424" s="172"/>
      <c r="I424" s="172">
        <f>K423+G424+H424</f>
        <v>10.314</v>
      </c>
      <c r="J424" s="291">
        <v>3.7800000000000002</v>
      </c>
      <c r="K424" s="183">
        <f t="shared" si="840"/>
        <v>6.5339999999999998</v>
      </c>
      <c r="L424" s="154">
        <f t="shared" si="841"/>
        <v>0.36649214659685864</v>
      </c>
      <c r="M424" s="98" t="s">
        <v>218</v>
      </c>
      <c r="N424" s="330"/>
      <c r="O424" s="330"/>
      <c r="P424" s="330">
        <f t="shared" si="846"/>
        <v>0</v>
      </c>
      <c r="Q424" s="330"/>
      <c r="R424" s="330"/>
      <c r="S424" s="332" t="e">
        <f t="shared" ref="S424" si="977">+Q424/P424</f>
        <v>#DIV/0!</v>
      </c>
      <c r="T424" s="140"/>
    </row>
    <row r="425" spans="2:20">
      <c r="B425" s="339"/>
      <c r="C425" s="345"/>
      <c r="D425" s="308"/>
      <c r="E425" s="350" t="s">
        <v>459</v>
      </c>
      <c r="F425" s="129" t="s">
        <v>488</v>
      </c>
      <c r="G425" s="172">
        <v>5.2910000000000004</v>
      </c>
      <c r="H425" s="172"/>
      <c r="I425" s="172">
        <f>G425+H425</f>
        <v>5.2910000000000004</v>
      </c>
      <c r="J425" s="291">
        <v>0.91800000000000004</v>
      </c>
      <c r="K425" s="183">
        <f t="shared" si="840"/>
        <v>4.3730000000000002</v>
      </c>
      <c r="L425" s="154">
        <f t="shared" si="841"/>
        <v>0.17350217350217351</v>
      </c>
      <c r="M425" s="98" t="s">
        <v>218</v>
      </c>
      <c r="N425" s="330">
        <f>G425+G426</f>
        <v>10.582000000000001</v>
      </c>
      <c r="O425" s="330">
        <f t="shared" ref="O425" si="978">H425+H426</f>
        <v>0</v>
      </c>
      <c r="P425" s="330">
        <f t="shared" si="846"/>
        <v>10.582000000000001</v>
      </c>
      <c r="Q425" s="330">
        <f t="shared" ref="Q425" si="979">J425+J426</f>
        <v>6.6420000000000003</v>
      </c>
      <c r="R425" s="330">
        <f t="shared" ref="R425" si="980">P425-Q425</f>
        <v>3.9400000000000004</v>
      </c>
      <c r="S425" s="332">
        <f t="shared" ref="S425" si="981">Q425/P425</f>
        <v>0.62766962766962764</v>
      </c>
      <c r="T425" s="140"/>
    </row>
    <row r="426" spans="2:20">
      <c r="B426" s="339"/>
      <c r="C426" s="345"/>
      <c r="D426" s="308"/>
      <c r="E426" s="350"/>
      <c r="F426" s="129" t="s">
        <v>10</v>
      </c>
      <c r="G426" s="172">
        <v>5.2910000000000004</v>
      </c>
      <c r="H426" s="172"/>
      <c r="I426" s="172">
        <f>K425+G426+H426</f>
        <v>9.6640000000000015</v>
      </c>
      <c r="J426" s="291">
        <v>5.7240000000000002</v>
      </c>
      <c r="K426" s="183">
        <f t="shared" si="840"/>
        <v>3.9400000000000013</v>
      </c>
      <c r="L426" s="154">
        <f t="shared" si="841"/>
        <v>0.59230132450331119</v>
      </c>
      <c r="M426" s="98" t="s">
        <v>218</v>
      </c>
      <c r="N426" s="330"/>
      <c r="O426" s="330"/>
      <c r="P426" s="330">
        <f t="shared" si="846"/>
        <v>0</v>
      </c>
      <c r="Q426" s="330"/>
      <c r="R426" s="330"/>
      <c r="S426" s="332" t="e">
        <f t="shared" ref="S426" si="982">+Q426/P426</f>
        <v>#DIV/0!</v>
      </c>
      <c r="T426" s="140"/>
    </row>
    <row r="427" spans="2:20">
      <c r="B427" s="339"/>
      <c r="C427" s="345"/>
      <c r="D427" s="308"/>
      <c r="E427" s="350" t="s">
        <v>460</v>
      </c>
      <c r="F427" s="129" t="s">
        <v>488</v>
      </c>
      <c r="G427" s="172">
        <v>5.29</v>
      </c>
      <c r="H427" s="172"/>
      <c r="I427" s="172">
        <f>G427+H427</f>
        <v>5.29</v>
      </c>
      <c r="J427" s="291">
        <v>5.3190000000000008</v>
      </c>
      <c r="K427" s="183">
        <f t="shared" si="840"/>
        <v>-2.9000000000000803E-2</v>
      </c>
      <c r="L427" s="154">
        <f t="shared" si="841"/>
        <v>1.0054820415879018</v>
      </c>
      <c r="M427" s="176">
        <v>44371</v>
      </c>
      <c r="N427" s="330">
        <f>G427+G428</f>
        <v>10.58</v>
      </c>
      <c r="O427" s="330">
        <f t="shared" ref="O427" si="983">H427+H428</f>
        <v>0</v>
      </c>
      <c r="P427" s="330">
        <f t="shared" si="846"/>
        <v>10.58</v>
      </c>
      <c r="Q427" s="330">
        <f t="shared" ref="Q427" si="984">J427+J428</f>
        <v>8.4510000000000005</v>
      </c>
      <c r="R427" s="330">
        <f t="shared" ref="R427" si="985">P427-Q427</f>
        <v>2.1289999999999996</v>
      </c>
      <c r="S427" s="332">
        <f t="shared" ref="S427" si="986">Q427/P427</f>
        <v>0.79877126654064279</v>
      </c>
      <c r="T427" s="140"/>
    </row>
    <row r="428" spans="2:20">
      <c r="B428" s="339"/>
      <c r="C428" s="345"/>
      <c r="D428" s="308"/>
      <c r="E428" s="350"/>
      <c r="F428" s="129" t="s">
        <v>10</v>
      </c>
      <c r="G428" s="172">
        <v>5.29</v>
      </c>
      <c r="H428" s="172"/>
      <c r="I428" s="172">
        <f>K427+G428+H428</f>
        <v>5.2609999999999992</v>
      </c>
      <c r="J428" s="291">
        <v>3.1320000000000001</v>
      </c>
      <c r="K428" s="183">
        <f t="shared" si="840"/>
        <v>2.1289999999999991</v>
      </c>
      <c r="L428" s="154">
        <f t="shared" si="841"/>
        <v>0.59532408287397842</v>
      </c>
      <c r="M428" s="98" t="s">
        <v>218</v>
      </c>
      <c r="N428" s="330"/>
      <c r="O428" s="330"/>
      <c r="P428" s="330">
        <f t="shared" si="846"/>
        <v>0</v>
      </c>
      <c r="Q428" s="330"/>
      <c r="R428" s="330"/>
      <c r="S428" s="332" t="e">
        <f t="shared" ref="S428" si="987">+Q428/P428</f>
        <v>#DIV/0!</v>
      </c>
      <c r="T428" s="140"/>
    </row>
    <row r="429" spans="2:20">
      <c r="B429" s="339"/>
      <c r="C429" s="345"/>
      <c r="D429" s="308"/>
      <c r="E429" s="350" t="s">
        <v>612</v>
      </c>
      <c r="F429" s="129" t="s">
        <v>488</v>
      </c>
      <c r="G429" s="172">
        <v>5.2880000000000003</v>
      </c>
      <c r="H429" s="172"/>
      <c r="I429" s="172">
        <f>G429+H429</f>
        <v>5.2880000000000003</v>
      </c>
      <c r="J429" s="291">
        <v>3.9419999999999997</v>
      </c>
      <c r="K429" s="183">
        <f t="shared" si="840"/>
        <v>1.3460000000000005</v>
      </c>
      <c r="L429" s="154">
        <f t="shared" si="841"/>
        <v>0.7454614220877458</v>
      </c>
      <c r="M429" s="98" t="s">
        <v>218</v>
      </c>
      <c r="N429" s="330">
        <f>G429+G430</f>
        <v>10.576000000000001</v>
      </c>
      <c r="O429" s="330">
        <f t="shared" ref="O429" si="988">H429+H430</f>
        <v>0</v>
      </c>
      <c r="P429" s="330">
        <f t="shared" si="846"/>
        <v>10.576000000000001</v>
      </c>
      <c r="Q429" s="330">
        <f t="shared" ref="Q429" si="989">J429+J430</f>
        <v>7.0470000000000006</v>
      </c>
      <c r="R429" s="330">
        <f t="shared" ref="R429" si="990">P429-Q429</f>
        <v>3.5289999999999999</v>
      </c>
      <c r="S429" s="332">
        <f t="shared" ref="S429" si="991">Q429/P429</f>
        <v>0.66631996974281393</v>
      </c>
      <c r="T429" s="140"/>
    </row>
    <row r="430" spans="2:20">
      <c r="B430" s="339"/>
      <c r="C430" s="345"/>
      <c r="D430" s="308"/>
      <c r="E430" s="350"/>
      <c r="F430" s="129" t="s">
        <v>10</v>
      </c>
      <c r="G430" s="172">
        <v>5.2880000000000003</v>
      </c>
      <c r="H430" s="172"/>
      <c r="I430" s="172">
        <f>K429+G430+H430</f>
        <v>6.6340000000000003</v>
      </c>
      <c r="J430" s="291">
        <v>3.1050000000000004</v>
      </c>
      <c r="K430" s="183">
        <f t="shared" si="840"/>
        <v>3.5289999999999999</v>
      </c>
      <c r="L430" s="154">
        <f t="shared" si="841"/>
        <v>0.46804341272233951</v>
      </c>
      <c r="M430" s="98" t="s">
        <v>218</v>
      </c>
      <c r="N430" s="330"/>
      <c r="O430" s="330"/>
      <c r="P430" s="330">
        <f t="shared" si="846"/>
        <v>0</v>
      </c>
      <c r="Q430" s="330"/>
      <c r="R430" s="330"/>
      <c r="S430" s="332" t="e">
        <f t="shared" ref="S430" si="992">+Q430/P430</f>
        <v>#DIV/0!</v>
      </c>
      <c r="T430" s="140"/>
    </row>
    <row r="431" spans="2:20">
      <c r="B431" s="339"/>
      <c r="C431" s="345"/>
      <c r="D431" s="308"/>
      <c r="E431" s="350" t="s">
        <v>613</v>
      </c>
      <c r="F431" s="129" t="s">
        <v>488</v>
      </c>
      <c r="G431" s="172">
        <v>5.2919999999999998</v>
      </c>
      <c r="H431" s="172"/>
      <c r="I431" s="172">
        <f>G431+H431</f>
        <v>5.2919999999999998</v>
      </c>
      <c r="J431" s="291">
        <v>4.0430000000000001</v>
      </c>
      <c r="K431" s="183">
        <f t="shared" si="840"/>
        <v>1.2489999999999997</v>
      </c>
      <c r="L431" s="154">
        <f t="shared" si="841"/>
        <v>0.76398337112622827</v>
      </c>
      <c r="M431" s="98" t="s">
        <v>218</v>
      </c>
      <c r="N431" s="330">
        <f>G431+G432</f>
        <v>10.584</v>
      </c>
      <c r="O431" s="330">
        <f t="shared" ref="O431" si="993">H431+H432</f>
        <v>0</v>
      </c>
      <c r="P431" s="330">
        <f t="shared" si="846"/>
        <v>10.584</v>
      </c>
      <c r="Q431" s="330">
        <f t="shared" ref="Q431" si="994">J431+J432</f>
        <v>7.04</v>
      </c>
      <c r="R431" s="330">
        <f t="shared" ref="R431" si="995">P431-Q431</f>
        <v>3.5439999999999996</v>
      </c>
      <c r="S431" s="332">
        <f t="shared" ref="S431" si="996">Q431/P431</f>
        <v>0.66515495086923659</v>
      </c>
      <c r="T431" s="140"/>
    </row>
    <row r="432" spans="2:20">
      <c r="B432" s="339"/>
      <c r="C432" s="345"/>
      <c r="D432" s="308"/>
      <c r="E432" s="350"/>
      <c r="F432" s="129" t="s">
        <v>10</v>
      </c>
      <c r="G432" s="172">
        <v>5.2919999999999998</v>
      </c>
      <c r="H432" s="172"/>
      <c r="I432" s="172">
        <f>K431+G432+H432</f>
        <v>6.5409999999999995</v>
      </c>
      <c r="J432" s="291">
        <v>2.9969999999999999</v>
      </c>
      <c r="K432" s="183">
        <f t="shared" si="840"/>
        <v>3.5439999999999996</v>
      </c>
      <c r="L432" s="154">
        <f t="shared" si="841"/>
        <v>0.45818682158691332</v>
      </c>
      <c r="M432" s="98" t="s">
        <v>218</v>
      </c>
      <c r="N432" s="330"/>
      <c r="O432" s="330"/>
      <c r="P432" s="330">
        <f t="shared" si="846"/>
        <v>0</v>
      </c>
      <c r="Q432" s="330"/>
      <c r="R432" s="330"/>
      <c r="S432" s="332" t="e">
        <f t="shared" ref="S432" si="997">+Q432/P432</f>
        <v>#DIV/0!</v>
      </c>
      <c r="T432" s="140"/>
    </row>
    <row r="433" spans="2:20">
      <c r="B433" s="339"/>
      <c r="C433" s="345"/>
      <c r="D433" s="308"/>
      <c r="E433" s="350" t="s">
        <v>461</v>
      </c>
      <c r="F433" s="129" t="s">
        <v>488</v>
      </c>
      <c r="G433" s="172">
        <v>5.2869999999999999</v>
      </c>
      <c r="H433" s="172">
        <f>36.37</f>
        <v>36.369999999999997</v>
      </c>
      <c r="I433" s="172">
        <f>G433+H433</f>
        <v>41.656999999999996</v>
      </c>
      <c r="J433" s="291">
        <v>3.294</v>
      </c>
      <c r="K433" s="183">
        <f t="shared" si="840"/>
        <v>38.363</v>
      </c>
      <c r="L433" s="154">
        <f t="shared" si="841"/>
        <v>7.9074345248097561E-2</v>
      </c>
      <c r="M433" s="98" t="s">
        <v>218</v>
      </c>
      <c r="N433" s="330">
        <f>G433+G434</f>
        <v>10.574</v>
      </c>
      <c r="O433" s="330">
        <f t="shared" ref="O433" si="998">H433+H434</f>
        <v>36.369999999999997</v>
      </c>
      <c r="P433" s="330">
        <f t="shared" si="846"/>
        <v>46.943999999999996</v>
      </c>
      <c r="Q433" s="330">
        <f t="shared" ref="Q433" si="999">J433+J434</f>
        <v>13.743</v>
      </c>
      <c r="R433" s="330">
        <f t="shared" ref="R433" si="1000">P433-Q433</f>
        <v>33.200999999999993</v>
      </c>
      <c r="S433" s="332">
        <f t="shared" ref="S433" si="1001">Q433/P433</f>
        <v>0.29275306748466262</v>
      </c>
      <c r="T433" s="140"/>
    </row>
    <row r="434" spans="2:20">
      <c r="B434" s="339"/>
      <c r="C434" s="345"/>
      <c r="D434" s="308"/>
      <c r="E434" s="350"/>
      <c r="F434" s="129" t="s">
        <v>10</v>
      </c>
      <c r="G434" s="172">
        <v>5.2869999999999999</v>
      </c>
      <c r="H434" s="172"/>
      <c r="I434" s="172">
        <f>K433+G434+H434</f>
        <v>43.65</v>
      </c>
      <c r="J434" s="291">
        <v>10.449</v>
      </c>
      <c r="K434" s="183">
        <f t="shared" si="840"/>
        <v>33.201000000000001</v>
      </c>
      <c r="L434" s="154">
        <f t="shared" si="841"/>
        <v>0.23938144329896907</v>
      </c>
      <c r="M434" s="98" t="s">
        <v>218</v>
      </c>
      <c r="N434" s="330"/>
      <c r="O434" s="330"/>
      <c r="P434" s="330">
        <f t="shared" si="846"/>
        <v>0</v>
      </c>
      <c r="Q434" s="330"/>
      <c r="R434" s="330"/>
      <c r="S434" s="332" t="e">
        <f t="shared" ref="S434" si="1002">+Q434/P434</f>
        <v>#DIV/0!</v>
      </c>
      <c r="T434" s="140"/>
    </row>
    <row r="435" spans="2:20">
      <c r="B435" s="339"/>
      <c r="C435" s="345"/>
      <c r="D435" s="308"/>
      <c r="E435" s="350" t="s">
        <v>462</v>
      </c>
      <c r="F435" s="129" t="s">
        <v>488</v>
      </c>
      <c r="G435" s="172">
        <v>5.2919999999999998</v>
      </c>
      <c r="H435" s="172"/>
      <c r="I435" s="172">
        <f>G435+H435</f>
        <v>5.2919999999999998</v>
      </c>
      <c r="J435" s="291">
        <v>3.8879999999999995</v>
      </c>
      <c r="K435" s="183">
        <f t="shared" ref="K435:K492" si="1003">I435-J435</f>
        <v>1.4040000000000004</v>
      </c>
      <c r="L435" s="154">
        <f t="shared" ref="L435:L493" si="1004">J435/I435</f>
        <v>0.73469387755102034</v>
      </c>
      <c r="M435" s="98" t="s">
        <v>218</v>
      </c>
      <c r="N435" s="330">
        <f>G435+G436</f>
        <v>10.584</v>
      </c>
      <c r="O435" s="330">
        <f t="shared" ref="O435" si="1005">H435+H436</f>
        <v>0</v>
      </c>
      <c r="P435" s="330">
        <f t="shared" si="846"/>
        <v>10.584</v>
      </c>
      <c r="Q435" s="330">
        <f t="shared" ref="Q435" si="1006">J435+J436</f>
        <v>7.9109999999999996</v>
      </c>
      <c r="R435" s="330">
        <f t="shared" ref="R435" si="1007">P435-Q435</f>
        <v>2.673</v>
      </c>
      <c r="S435" s="332">
        <f t="shared" ref="S435" si="1008">Q435/P435</f>
        <v>0.74744897959183676</v>
      </c>
      <c r="T435" s="140"/>
    </row>
    <row r="436" spans="2:20">
      <c r="B436" s="339"/>
      <c r="C436" s="345"/>
      <c r="D436" s="308"/>
      <c r="E436" s="350"/>
      <c r="F436" s="129" t="s">
        <v>10</v>
      </c>
      <c r="G436" s="172">
        <v>5.2919999999999998</v>
      </c>
      <c r="H436" s="172"/>
      <c r="I436" s="172">
        <f>K435+G436+H436</f>
        <v>6.6959999999999997</v>
      </c>
      <c r="J436" s="291">
        <v>4.0229999999999997</v>
      </c>
      <c r="K436" s="183">
        <f t="shared" si="1003"/>
        <v>2.673</v>
      </c>
      <c r="L436" s="154">
        <f t="shared" si="1004"/>
        <v>0.60080645161290325</v>
      </c>
      <c r="M436" s="98" t="s">
        <v>218</v>
      </c>
      <c r="N436" s="330"/>
      <c r="O436" s="330"/>
      <c r="P436" s="330">
        <f t="shared" ref="P436:P494" si="1009">+N436+O436</f>
        <v>0</v>
      </c>
      <c r="Q436" s="330"/>
      <c r="R436" s="330"/>
      <c r="S436" s="332" t="e">
        <f t="shared" ref="S436" si="1010">+Q436/P436</f>
        <v>#DIV/0!</v>
      </c>
      <c r="T436" s="140"/>
    </row>
    <row r="437" spans="2:20">
      <c r="B437" s="339"/>
      <c r="C437" s="345"/>
      <c r="D437" s="308"/>
      <c r="E437" s="350" t="s">
        <v>582</v>
      </c>
      <c r="F437" s="129" t="s">
        <v>488</v>
      </c>
      <c r="G437" s="172">
        <v>5.2910000000000004</v>
      </c>
      <c r="H437" s="172"/>
      <c r="I437" s="172">
        <f>G437+H437</f>
        <v>5.2910000000000004</v>
      </c>
      <c r="J437" s="291">
        <v>2.673</v>
      </c>
      <c r="K437" s="183">
        <f t="shared" si="1003"/>
        <v>2.6180000000000003</v>
      </c>
      <c r="L437" s="154">
        <f t="shared" si="1004"/>
        <v>0.50519750519750517</v>
      </c>
      <c r="M437" s="98" t="s">
        <v>218</v>
      </c>
      <c r="N437" s="330">
        <f>G437+G438</f>
        <v>10.582000000000001</v>
      </c>
      <c r="O437" s="330">
        <f t="shared" ref="O437" si="1011">H437+H438</f>
        <v>0</v>
      </c>
      <c r="P437" s="330">
        <f t="shared" si="1009"/>
        <v>10.582000000000001</v>
      </c>
      <c r="Q437" s="330">
        <f t="shared" ref="Q437" si="1012">J437+J438</f>
        <v>8.1539999999999999</v>
      </c>
      <c r="R437" s="330">
        <f t="shared" ref="R437" si="1013">P437-Q437</f>
        <v>2.4280000000000008</v>
      </c>
      <c r="S437" s="332">
        <f t="shared" ref="S437" si="1014">Q437/P437</f>
        <v>0.7705537705537705</v>
      </c>
      <c r="T437" s="140"/>
    </row>
    <row r="438" spans="2:20">
      <c r="B438" s="339"/>
      <c r="C438" s="345"/>
      <c r="D438" s="308"/>
      <c r="E438" s="350"/>
      <c r="F438" s="129" t="s">
        <v>10</v>
      </c>
      <c r="G438" s="172">
        <v>5.2910000000000004</v>
      </c>
      <c r="H438" s="172"/>
      <c r="I438" s="172">
        <f>K437+G438+H438</f>
        <v>7.9090000000000007</v>
      </c>
      <c r="J438" s="291">
        <v>5.4810000000000008</v>
      </c>
      <c r="K438" s="183">
        <f t="shared" si="1003"/>
        <v>2.4279999999999999</v>
      </c>
      <c r="L438" s="154">
        <f t="shared" si="1004"/>
        <v>0.69300796560880018</v>
      </c>
      <c r="M438" s="98" t="s">
        <v>218</v>
      </c>
      <c r="N438" s="330"/>
      <c r="O438" s="330"/>
      <c r="P438" s="330">
        <f t="shared" si="1009"/>
        <v>0</v>
      </c>
      <c r="Q438" s="330"/>
      <c r="R438" s="330"/>
      <c r="S438" s="332" t="e">
        <f t="shared" ref="S438" si="1015">+Q438/P438</f>
        <v>#DIV/0!</v>
      </c>
      <c r="T438" s="140"/>
    </row>
    <row r="439" spans="2:20">
      <c r="B439" s="339"/>
      <c r="C439" s="345"/>
      <c r="D439" s="308"/>
      <c r="E439" s="350" t="s">
        <v>463</v>
      </c>
      <c r="F439" s="129" t="s">
        <v>488</v>
      </c>
      <c r="G439" s="172">
        <v>5.2910000000000004</v>
      </c>
      <c r="H439" s="172"/>
      <c r="I439" s="172">
        <f>G439+H439</f>
        <v>5.2910000000000004</v>
      </c>
      <c r="J439" s="291">
        <v>2.5920000000000001</v>
      </c>
      <c r="K439" s="183">
        <f t="shared" si="1003"/>
        <v>2.6990000000000003</v>
      </c>
      <c r="L439" s="154">
        <f t="shared" si="1004"/>
        <v>0.48988848988848988</v>
      </c>
      <c r="M439" s="98" t="s">
        <v>218</v>
      </c>
      <c r="N439" s="330">
        <f>G439+G440</f>
        <v>10.582000000000001</v>
      </c>
      <c r="O439" s="330">
        <f t="shared" ref="O439" si="1016">H439+H440</f>
        <v>0</v>
      </c>
      <c r="P439" s="330">
        <f t="shared" si="1009"/>
        <v>10.582000000000001</v>
      </c>
      <c r="Q439" s="330">
        <f t="shared" ref="Q439" si="1017">J439+J440</f>
        <v>6.2639999999999993</v>
      </c>
      <c r="R439" s="330">
        <f t="shared" ref="R439" si="1018">P439-Q439</f>
        <v>4.3180000000000014</v>
      </c>
      <c r="S439" s="332">
        <f t="shared" ref="S439" si="1019">Q439/P439</f>
        <v>0.59194859194859184</v>
      </c>
      <c r="T439" s="140"/>
    </row>
    <row r="440" spans="2:20">
      <c r="B440" s="339"/>
      <c r="C440" s="345"/>
      <c r="D440" s="308"/>
      <c r="E440" s="350"/>
      <c r="F440" s="129" t="s">
        <v>10</v>
      </c>
      <c r="G440" s="172">
        <v>5.2910000000000004</v>
      </c>
      <c r="H440" s="172"/>
      <c r="I440" s="172">
        <f>K439+G440+H440</f>
        <v>7.99</v>
      </c>
      <c r="J440" s="291">
        <v>3.6719999999999997</v>
      </c>
      <c r="K440" s="183">
        <f t="shared" si="1003"/>
        <v>4.3180000000000005</v>
      </c>
      <c r="L440" s="154">
        <f t="shared" si="1004"/>
        <v>0.45957446808510632</v>
      </c>
      <c r="M440" s="98" t="s">
        <v>218</v>
      </c>
      <c r="N440" s="330"/>
      <c r="O440" s="330"/>
      <c r="P440" s="330">
        <f t="shared" si="1009"/>
        <v>0</v>
      </c>
      <c r="Q440" s="330"/>
      <c r="R440" s="330"/>
      <c r="S440" s="332" t="e">
        <f t="shared" ref="S440" si="1020">+Q440/P440</f>
        <v>#DIV/0!</v>
      </c>
      <c r="T440" s="140"/>
    </row>
    <row r="441" spans="2:20">
      <c r="B441" s="339"/>
      <c r="C441" s="345"/>
      <c r="D441" s="308"/>
      <c r="E441" s="350" t="s">
        <v>614</v>
      </c>
      <c r="F441" s="129" t="s">
        <v>488</v>
      </c>
      <c r="G441" s="172">
        <v>5.2919999999999998</v>
      </c>
      <c r="H441" s="172"/>
      <c r="I441" s="172">
        <f>G441+H441</f>
        <v>5.2919999999999998</v>
      </c>
      <c r="J441" s="291">
        <v>4.8059999999999992</v>
      </c>
      <c r="K441" s="183">
        <f t="shared" si="1003"/>
        <v>0.48600000000000065</v>
      </c>
      <c r="L441" s="154">
        <f t="shared" si="1004"/>
        <v>0.90816326530612235</v>
      </c>
      <c r="M441" s="98" t="s">
        <v>218</v>
      </c>
      <c r="N441" s="330">
        <f>G441+G442</f>
        <v>10.584</v>
      </c>
      <c r="O441" s="330">
        <f t="shared" ref="O441" si="1021">H441+H442</f>
        <v>0</v>
      </c>
      <c r="P441" s="330">
        <f t="shared" si="1009"/>
        <v>10.584</v>
      </c>
      <c r="Q441" s="330">
        <f t="shared" ref="Q441" si="1022">J441+J442</f>
        <v>8.9639999999999986</v>
      </c>
      <c r="R441" s="330">
        <f t="shared" ref="R441" si="1023">P441-Q441</f>
        <v>1.620000000000001</v>
      </c>
      <c r="S441" s="332">
        <f t="shared" ref="S441" si="1024">Q441/P441</f>
        <v>0.84693877551020402</v>
      </c>
      <c r="T441" s="140"/>
    </row>
    <row r="442" spans="2:20">
      <c r="B442" s="339"/>
      <c r="C442" s="345"/>
      <c r="D442" s="308"/>
      <c r="E442" s="350"/>
      <c r="F442" s="129" t="s">
        <v>10</v>
      </c>
      <c r="G442" s="172">
        <v>5.2919999999999998</v>
      </c>
      <c r="H442" s="172"/>
      <c r="I442" s="172">
        <f>K441+G442+H442</f>
        <v>5.7780000000000005</v>
      </c>
      <c r="J442" s="291">
        <v>4.1580000000000004</v>
      </c>
      <c r="K442" s="183">
        <f t="shared" si="1003"/>
        <v>1.62</v>
      </c>
      <c r="L442" s="154">
        <f t="shared" si="1004"/>
        <v>0.71962616822429903</v>
      </c>
      <c r="M442" s="98" t="s">
        <v>218</v>
      </c>
      <c r="N442" s="330"/>
      <c r="O442" s="330"/>
      <c r="P442" s="330">
        <f t="shared" si="1009"/>
        <v>0</v>
      </c>
      <c r="Q442" s="330"/>
      <c r="R442" s="330"/>
      <c r="S442" s="332" t="e">
        <f t="shared" ref="S442" si="1025">+Q442/P442</f>
        <v>#DIV/0!</v>
      </c>
      <c r="T442" s="140"/>
    </row>
    <row r="443" spans="2:20">
      <c r="B443" s="339"/>
      <c r="C443" s="345"/>
      <c r="D443" s="308"/>
      <c r="E443" s="350" t="s">
        <v>615</v>
      </c>
      <c r="F443" s="129" t="s">
        <v>488</v>
      </c>
      <c r="G443" s="172">
        <v>5.2919999999999998</v>
      </c>
      <c r="H443" s="172"/>
      <c r="I443" s="172">
        <f>G443+H443</f>
        <v>5.2919999999999998</v>
      </c>
      <c r="J443" s="291">
        <v>4.1850000000000005</v>
      </c>
      <c r="K443" s="183">
        <f t="shared" si="1003"/>
        <v>1.1069999999999993</v>
      </c>
      <c r="L443" s="154">
        <f t="shared" si="1004"/>
        <v>0.7908163265306124</v>
      </c>
      <c r="M443" s="98" t="s">
        <v>218</v>
      </c>
      <c r="N443" s="330">
        <f>G443+G444</f>
        <v>10.584</v>
      </c>
      <c r="O443" s="330">
        <f t="shared" ref="O443" si="1026">H443+H444</f>
        <v>0</v>
      </c>
      <c r="P443" s="330">
        <f t="shared" si="1009"/>
        <v>10.584</v>
      </c>
      <c r="Q443" s="330">
        <f t="shared" ref="Q443" si="1027">J443+J444</f>
        <v>8.2989999999999995</v>
      </c>
      <c r="R443" s="330">
        <f t="shared" ref="R443" si="1028">P443-Q443</f>
        <v>2.2850000000000001</v>
      </c>
      <c r="S443" s="332">
        <f t="shared" ref="S443" si="1029">Q443/P443</f>
        <v>0.78410808767951623</v>
      </c>
      <c r="T443" s="140"/>
    </row>
    <row r="444" spans="2:20">
      <c r="B444" s="339"/>
      <c r="C444" s="345"/>
      <c r="D444" s="308"/>
      <c r="E444" s="350"/>
      <c r="F444" s="129" t="s">
        <v>10</v>
      </c>
      <c r="G444" s="172">
        <v>5.2919999999999998</v>
      </c>
      <c r="H444" s="172"/>
      <c r="I444" s="172">
        <f>K443+G444+H444</f>
        <v>6.3989999999999991</v>
      </c>
      <c r="J444" s="291">
        <v>4.1139999999999999</v>
      </c>
      <c r="K444" s="183">
        <f t="shared" si="1003"/>
        <v>2.2849999999999993</v>
      </c>
      <c r="L444" s="154">
        <f t="shared" si="1004"/>
        <v>0.64291295514924218</v>
      </c>
      <c r="M444" s="98" t="s">
        <v>218</v>
      </c>
      <c r="N444" s="330"/>
      <c r="O444" s="330"/>
      <c r="P444" s="330">
        <f t="shared" si="1009"/>
        <v>0</v>
      </c>
      <c r="Q444" s="330"/>
      <c r="R444" s="330"/>
      <c r="S444" s="332" t="e">
        <f t="shared" ref="S444" si="1030">+Q444/P444</f>
        <v>#DIV/0!</v>
      </c>
      <c r="T444" s="140"/>
    </row>
    <row r="445" spans="2:20">
      <c r="B445" s="339"/>
      <c r="C445" s="345"/>
      <c r="D445" s="308"/>
      <c r="E445" s="350" t="s">
        <v>464</v>
      </c>
      <c r="F445" s="129" t="s">
        <v>488</v>
      </c>
      <c r="G445" s="172">
        <v>5.2919999999999998</v>
      </c>
      <c r="H445" s="172"/>
      <c r="I445" s="172">
        <f>G445+H445</f>
        <v>5.2919999999999998</v>
      </c>
      <c r="J445" s="291">
        <v>5.2649999999999997</v>
      </c>
      <c r="K445" s="183">
        <f t="shared" si="1003"/>
        <v>2.7000000000000135E-2</v>
      </c>
      <c r="L445" s="154">
        <f t="shared" si="1004"/>
        <v>0.99489795918367341</v>
      </c>
      <c r="M445" s="176">
        <v>44357</v>
      </c>
      <c r="N445" s="330">
        <f>G445+G446</f>
        <v>10.584</v>
      </c>
      <c r="O445" s="330">
        <f t="shared" ref="O445" si="1031">H445+H446</f>
        <v>0</v>
      </c>
      <c r="P445" s="330">
        <f t="shared" si="1009"/>
        <v>10.584</v>
      </c>
      <c r="Q445" s="330">
        <f t="shared" ref="Q445" si="1032">J445+J446</f>
        <v>8.7749999999999986</v>
      </c>
      <c r="R445" s="330">
        <f t="shared" ref="R445" si="1033">P445-Q445</f>
        <v>1.8090000000000011</v>
      </c>
      <c r="S445" s="332">
        <f t="shared" ref="S445" si="1034">Q445/P445</f>
        <v>0.82908163265306112</v>
      </c>
      <c r="T445" s="140"/>
    </row>
    <row r="446" spans="2:20">
      <c r="B446" s="339"/>
      <c r="C446" s="345"/>
      <c r="D446" s="308"/>
      <c r="E446" s="350"/>
      <c r="F446" s="129" t="s">
        <v>10</v>
      </c>
      <c r="G446" s="172">
        <v>5.2919999999999998</v>
      </c>
      <c r="H446" s="172"/>
      <c r="I446" s="172">
        <f>K445+G446+H446</f>
        <v>5.319</v>
      </c>
      <c r="J446" s="291">
        <v>3.51</v>
      </c>
      <c r="K446" s="183">
        <f t="shared" si="1003"/>
        <v>1.8090000000000002</v>
      </c>
      <c r="L446" s="154">
        <f t="shared" si="1004"/>
        <v>0.65989847715736039</v>
      </c>
      <c r="M446" s="98" t="s">
        <v>218</v>
      </c>
      <c r="N446" s="330"/>
      <c r="O446" s="330"/>
      <c r="P446" s="330">
        <f t="shared" si="1009"/>
        <v>0</v>
      </c>
      <c r="Q446" s="330"/>
      <c r="R446" s="330"/>
      <c r="S446" s="332" t="e">
        <f t="shared" ref="S446" si="1035">+Q446/P446</f>
        <v>#DIV/0!</v>
      </c>
      <c r="T446" s="140"/>
    </row>
    <row r="447" spans="2:20">
      <c r="B447" s="339"/>
      <c r="C447" s="345"/>
      <c r="D447" s="308"/>
      <c r="E447" s="350" t="s">
        <v>465</v>
      </c>
      <c r="F447" s="129" t="s">
        <v>488</v>
      </c>
      <c r="G447" s="172">
        <v>5.2919999999999998</v>
      </c>
      <c r="H447" s="172"/>
      <c r="I447" s="172">
        <f>G447+H447</f>
        <v>5.2919999999999998</v>
      </c>
      <c r="J447" s="291">
        <v>3.6450000000000005</v>
      </c>
      <c r="K447" s="183">
        <f t="shared" si="1003"/>
        <v>1.6469999999999994</v>
      </c>
      <c r="L447" s="154">
        <f t="shared" si="1004"/>
        <v>0.68877551020408179</v>
      </c>
      <c r="M447" s="98" t="s">
        <v>218</v>
      </c>
      <c r="N447" s="330">
        <f>G447+G448</f>
        <v>10.584</v>
      </c>
      <c r="O447" s="330">
        <f t="shared" ref="O447" si="1036">H447+H448</f>
        <v>0</v>
      </c>
      <c r="P447" s="330">
        <f t="shared" si="1009"/>
        <v>10.584</v>
      </c>
      <c r="Q447" s="330">
        <f t="shared" ref="Q447" si="1037">J447+J448</f>
        <v>5.94</v>
      </c>
      <c r="R447" s="330">
        <f t="shared" ref="R447" si="1038">P447-Q447</f>
        <v>4.6439999999999992</v>
      </c>
      <c r="S447" s="332">
        <f t="shared" ref="S447" si="1039">Q447/P447</f>
        <v>0.56122448979591844</v>
      </c>
      <c r="T447" s="140"/>
    </row>
    <row r="448" spans="2:20">
      <c r="B448" s="339"/>
      <c r="C448" s="345"/>
      <c r="D448" s="308"/>
      <c r="E448" s="350"/>
      <c r="F448" s="129" t="s">
        <v>10</v>
      </c>
      <c r="G448" s="172">
        <v>5.2919999999999998</v>
      </c>
      <c r="H448" s="172"/>
      <c r="I448" s="172">
        <f>K447+G448+H448</f>
        <v>6.9389999999999992</v>
      </c>
      <c r="J448" s="291">
        <v>2.2949999999999999</v>
      </c>
      <c r="K448" s="183">
        <f t="shared" si="1003"/>
        <v>4.6439999999999992</v>
      </c>
      <c r="L448" s="154">
        <f t="shared" si="1004"/>
        <v>0.33073929961089499</v>
      </c>
      <c r="M448" s="98" t="s">
        <v>218</v>
      </c>
      <c r="N448" s="330"/>
      <c r="O448" s="330"/>
      <c r="P448" s="330">
        <f t="shared" si="1009"/>
        <v>0</v>
      </c>
      <c r="Q448" s="330"/>
      <c r="R448" s="330"/>
      <c r="S448" s="332" t="e">
        <f t="shared" ref="S448" si="1040">+Q448/P448</f>
        <v>#DIV/0!</v>
      </c>
      <c r="T448" s="140"/>
    </row>
    <row r="449" spans="2:20">
      <c r="B449" s="339"/>
      <c r="C449" s="345"/>
      <c r="D449" s="308"/>
      <c r="E449" s="350" t="s">
        <v>616</v>
      </c>
      <c r="F449" s="129" t="s">
        <v>488</v>
      </c>
      <c r="G449" s="172">
        <v>5.2910000000000004</v>
      </c>
      <c r="H449" s="172"/>
      <c r="I449" s="172">
        <f>G449+H449</f>
        <v>5.2910000000000004</v>
      </c>
      <c r="J449" s="291">
        <v>2.8350000000000004</v>
      </c>
      <c r="K449" s="183">
        <f t="shared" si="1003"/>
        <v>2.456</v>
      </c>
      <c r="L449" s="154">
        <f t="shared" si="1004"/>
        <v>0.53581553581553587</v>
      </c>
      <c r="M449" s="98" t="s">
        <v>218</v>
      </c>
      <c r="N449" s="330">
        <f>G449+G450</f>
        <v>10.582000000000001</v>
      </c>
      <c r="O449" s="330">
        <f t="shared" ref="O449" si="1041">H449+H450</f>
        <v>0</v>
      </c>
      <c r="P449" s="330">
        <f t="shared" si="1009"/>
        <v>10.582000000000001</v>
      </c>
      <c r="Q449" s="330">
        <f t="shared" ref="Q449" si="1042">J449+J450</f>
        <v>4.4009999999999998</v>
      </c>
      <c r="R449" s="330">
        <f t="shared" ref="R449" si="1043">P449-Q449</f>
        <v>6.1810000000000009</v>
      </c>
      <c r="S449" s="332">
        <f t="shared" ref="S449" si="1044">Q449/P449</f>
        <v>0.41589491589491584</v>
      </c>
      <c r="T449" s="140"/>
    </row>
    <row r="450" spans="2:20">
      <c r="B450" s="339"/>
      <c r="C450" s="345"/>
      <c r="D450" s="308"/>
      <c r="E450" s="350"/>
      <c r="F450" s="129" t="s">
        <v>10</v>
      </c>
      <c r="G450" s="172">
        <v>5.2910000000000004</v>
      </c>
      <c r="H450" s="172"/>
      <c r="I450" s="172">
        <f>K449+G450+H450</f>
        <v>7.7469999999999999</v>
      </c>
      <c r="J450" s="291">
        <v>1.5659999999999998</v>
      </c>
      <c r="K450" s="183">
        <f t="shared" si="1003"/>
        <v>6.181</v>
      </c>
      <c r="L450" s="154">
        <f t="shared" si="1004"/>
        <v>0.20214276494126757</v>
      </c>
      <c r="M450" s="98" t="s">
        <v>218</v>
      </c>
      <c r="N450" s="330"/>
      <c r="O450" s="330"/>
      <c r="P450" s="330">
        <f t="shared" si="1009"/>
        <v>0</v>
      </c>
      <c r="Q450" s="330"/>
      <c r="R450" s="330"/>
      <c r="S450" s="332" t="e">
        <f t="shared" ref="S450" si="1045">+Q450/P450</f>
        <v>#DIV/0!</v>
      </c>
      <c r="T450" s="140"/>
    </row>
    <row r="451" spans="2:20">
      <c r="B451" s="339"/>
      <c r="C451" s="345"/>
      <c r="D451" s="308"/>
      <c r="E451" s="350" t="s">
        <v>466</v>
      </c>
      <c r="F451" s="129" t="s">
        <v>488</v>
      </c>
      <c r="G451" s="172">
        <v>5.29</v>
      </c>
      <c r="H451" s="172"/>
      <c r="I451" s="172">
        <f>G451+H451</f>
        <v>5.29</v>
      </c>
      <c r="J451" s="291">
        <v>5.2919999999999998</v>
      </c>
      <c r="K451" s="183">
        <f t="shared" si="1003"/>
        <v>-1.9999999999997797E-3</v>
      </c>
      <c r="L451" s="154">
        <f t="shared" si="1004"/>
        <v>1.0003780718336484</v>
      </c>
      <c r="M451" s="176">
        <v>44357</v>
      </c>
      <c r="N451" s="330">
        <f>G451+G452</f>
        <v>10.58</v>
      </c>
      <c r="O451" s="330">
        <f t="shared" ref="O451" si="1046">H451+H452</f>
        <v>0</v>
      </c>
      <c r="P451" s="330">
        <f t="shared" si="1009"/>
        <v>10.58</v>
      </c>
      <c r="Q451" s="330">
        <f t="shared" ref="Q451" si="1047">J451+J452</f>
        <v>5.319</v>
      </c>
      <c r="R451" s="330">
        <f t="shared" ref="R451" si="1048">P451-Q451</f>
        <v>5.2610000000000001</v>
      </c>
      <c r="S451" s="332">
        <f t="shared" ref="S451" si="1049">Q451/P451</f>
        <v>0.50274102079395089</v>
      </c>
      <c r="T451" s="140"/>
    </row>
    <row r="452" spans="2:20">
      <c r="B452" s="339"/>
      <c r="C452" s="345"/>
      <c r="D452" s="308"/>
      <c r="E452" s="350"/>
      <c r="F452" s="129" t="s">
        <v>10</v>
      </c>
      <c r="G452" s="172">
        <v>5.29</v>
      </c>
      <c r="H452" s="172"/>
      <c r="I452" s="172">
        <f>K451+G452+H452</f>
        <v>5.2880000000000003</v>
      </c>
      <c r="J452" s="291">
        <v>2.7E-2</v>
      </c>
      <c r="K452" s="183">
        <f t="shared" si="1003"/>
        <v>5.2610000000000001</v>
      </c>
      <c r="L452" s="154">
        <f t="shared" si="1004"/>
        <v>5.10590015128593E-3</v>
      </c>
      <c r="M452" s="98" t="s">
        <v>218</v>
      </c>
      <c r="N452" s="330"/>
      <c r="O452" s="330"/>
      <c r="P452" s="330">
        <f t="shared" si="1009"/>
        <v>0</v>
      </c>
      <c r="Q452" s="330"/>
      <c r="R452" s="330"/>
      <c r="S452" s="332" t="e">
        <f t="shared" ref="S452" si="1050">+Q452/P452</f>
        <v>#DIV/0!</v>
      </c>
      <c r="T452" s="140"/>
    </row>
    <row r="453" spans="2:20">
      <c r="B453" s="339"/>
      <c r="C453" s="345"/>
      <c r="D453" s="308"/>
      <c r="E453" s="350" t="s">
        <v>467</v>
      </c>
      <c r="F453" s="129" t="s">
        <v>488</v>
      </c>
      <c r="G453" s="172">
        <v>5.29</v>
      </c>
      <c r="H453" s="172"/>
      <c r="I453" s="172">
        <f>G453+H453</f>
        <v>5.29</v>
      </c>
      <c r="J453" s="291">
        <v>3.1859999999999999</v>
      </c>
      <c r="K453" s="183">
        <f t="shared" si="1003"/>
        <v>2.1040000000000001</v>
      </c>
      <c r="L453" s="154">
        <f t="shared" si="1004"/>
        <v>0.60226843100189031</v>
      </c>
      <c r="M453" s="98" t="s">
        <v>218</v>
      </c>
      <c r="N453" s="330">
        <f>G453+G454</f>
        <v>10.58</v>
      </c>
      <c r="O453" s="330">
        <f t="shared" ref="O453" si="1051">H453+H454</f>
        <v>0</v>
      </c>
      <c r="P453" s="330">
        <f t="shared" si="1009"/>
        <v>10.58</v>
      </c>
      <c r="Q453" s="330">
        <f t="shared" ref="Q453" si="1052">J453+J454</f>
        <v>8.0459999999999994</v>
      </c>
      <c r="R453" s="330">
        <f t="shared" ref="R453" si="1053">P453-Q453</f>
        <v>2.5340000000000007</v>
      </c>
      <c r="S453" s="332">
        <f t="shared" ref="S453" si="1054">Q453/P453</f>
        <v>0.76049149338374289</v>
      </c>
      <c r="T453" s="140"/>
    </row>
    <row r="454" spans="2:20">
      <c r="B454" s="339"/>
      <c r="C454" s="345"/>
      <c r="D454" s="308"/>
      <c r="E454" s="350"/>
      <c r="F454" s="129" t="s">
        <v>10</v>
      </c>
      <c r="G454" s="172">
        <v>5.29</v>
      </c>
      <c r="H454" s="172"/>
      <c r="I454" s="172">
        <f>K453+G454+H454</f>
        <v>7.3940000000000001</v>
      </c>
      <c r="J454" s="291">
        <v>4.8599999999999994</v>
      </c>
      <c r="K454" s="183">
        <f t="shared" si="1003"/>
        <v>2.5340000000000007</v>
      </c>
      <c r="L454" s="154">
        <f t="shared" si="1004"/>
        <v>0.65728969434676754</v>
      </c>
      <c r="M454" s="98" t="s">
        <v>218</v>
      </c>
      <c r="N454" s="330"/>
      <c r="O454" s="330"/>
      <c r="P454" s="330">
        <f t="shared" si="1009"/>
        <v>0</v>
      </c>
      <c r="Q454" s="330"/>
      <c r="R454" s="330"/>
      <c r="S454" s="332" t="e">
        <f t="shared" ref="S454" si="1055">+Q454/P454</f>
        <v>#DIV/0!</v>
      </c>
      <c r="T454" s="140"/>
    </row>
    <row r="455" spans="2:20">
      <c r="B455" s="339"/>
      <c r="C455" s="345"/>
      <c r="D455" s="308"/>
      <c r="E455" s="350" t="s">
        <v>666</v>
      </c>
      <c r="F455" s="129" t="s">
        <v>488</v>
      </c>
      <c r="G455" s="172">
        <v>5.2910000000000004</v>
      </c>
      <c r="H455" s="172"/>
      <c r="I455" s="172">
        <f>G455+H455</f>
        <v>5.2910000000000004</v>
      </c>
      <c r="J455" s="291">
        <v>4.7790000000000008</v>
      </c>
      <c r="K455" s="183">
        <f t="shared" si="1003"/>
        <v>0.51199999999999957</v>
      </c>
      <c r="L455" s="154">
        <f t="shared" si="1004"/>
        <v>0.90323190323190328</v>
      </c>
      <c r="M455" s="98" t="s">
        <v>218</v>
      </c>
      <c r="N455" s="330">
        <f>G455+G456</f>
        <v>10.582000000000001</v>
      </c>
      <c r="O455" s="330">
        <f t="shared" ref="O455" si="1056">H455+H456</f>
        <v>0</v>
      </c>
      <c r="P455" s="330">
        <f t="shared" si="1009"/>
        <v>10.582000000000001</v>
      </c>
      <c r="Q455" s="330">
        <f t="shared" ref="Q455" si="1057">J455+J456</f>
        <v>9.1260000000000012</v>
      </c>
      <c r="R455" s="330">
        <f t="shared" ref="R455" si="1058">P455-Q455</f>
        <v>1.4559999999999995</v>
      </c>
      <c r="S455" s="332">
        <f t="shared" ref="S455" si="1059">Q455/P455</f>
        <v>0.86240786240786249</v>
      </c>
      <c r="T455" s="140"/>
    </row>
    <row r="456" spans="2:20">
      <c r="B456" s="339"/>
      <c r="C456" s="345"/>
      <c r="D456" s="308"/>
      <c r="E456" s="350"/>
      <c r="F456" s="129" t="s">
        <v>10</v>
      </c>
      <c r="G456" s="172">
        <v>5.2910000000000004</v>
      </c>
      <c r="H456" s="172"/>
      <c r="I456" s="172">
        <f>K455+G456+H456</f>
        <v>5.8029999999999999</v>
      </c>
      <c r="J456" s="291">
        <v>4.3470000000000013</v>
      </c>
      <c r="K456" s="183">
        <f t="shared" si="1003"/>
        <v>1.4559999999999986</v>
      </c>
      <c r="L456" s="154">
        <f t="shared" si="1004"/>
        <v>0.74909529553679155</v>
      </c>
      <c r="M456" s="98" t="s">
        <v>218</v>
      </c>
      <c r="N456" s="330"/>
      <c r="O456" s="330"/>
      <c r="P456" s="330">
        <f t="shared" si="1009"/>
        <v>0</v>
      </c>
      <c r="Q456" s="330"/>
      <c r="R456" s="330"/>
      <c r="S456" s="332" t="e">
        <f t="shared" ref="S456" si="1060">+Q456/P456</f>
        <v>#DIV/0!</v>
      </c>
      <c r="T456" s="140"/>
    </row>
    <row r="457" spans="2:20">
      <c r="B457" s="339"/>
      <c r="C457" s="345"/>
      <c r="D457" s="308"/>
      <c r="E457" s="350" t="s">
        <v>468</v>
      </c>
      <c r="F457" s="129" t="s">
        <v>488</v>
      </c>
      <c r="G457" s="172">
        <v>5.2919999999999998</v>
      </c>
      <c r="H457" s="172"/>
      <c r="I457" s="172">
        <f>G457+H457</f>
        <v>5.2919999999999998</v>
      </c>
      <c r="J457" s="291">
        <v>4.6439999999999992</v>
      </c>
      <c r="K457" s="183">
        <f t="shared" si="1003"/>
        <v>0.64800000000000058</v>
      </c>
      <c r="L457" s="154">
        <f t="shared" si="1004"/>
        <v>0.87755102040816313</v>
      </c>
      <c r="M457" s="98" t="s">
        <v>218</v>
      </c>
      <c r="N457" s="330">
        <f>G457+G458</f>
        <v>10.584</v>
      </c>
      <c r="O457" s="330">
        <f t="shared" ref="O457" si="1061">H457+H458</f>
        <v>0</v>
      </c>
      <c r="P457" s="330">
        <f t="shared" si="1009"/>
        <v>10.584</v>
      </c>
      <c r="Q457" s="330">
        <f t="shared" ref="Q457" si="1062">J457+J458</f>
        <v>9.5309999999999988</v>
      </c>
      <c r="R457" s="330">
        <f t="shared" ref="R457" si="1063">P457-Q457</f>
        <v>1.0530000000000008</v>
      </c>
      <c r="S457" s="332">
        <f t="shared" ref="S457" si="1064">Q457/P457</f>
        <v>0.90051020408163263</v>
      </c>
      <c r="T457" s="140"/>
    </row>
    <row r="458" spans="2:20">
      <c r="B458" s="339"/>
      <c r="C458" s="345"/>
      <c r="D458" s="308"/>
      <c r="E458" s="350"/>
      <c r="F458" s="129" t="s">
        <v>10</v>
      </c>
      <c r="G458" s="172">
        <v>5.2919999999999998</v>
      </c>
      <c r="H458" s="172"/>
      <c r="I458" s="172">
        <f>K457+G458+H458</f>
        <v>5.94</v>
      </c>
      <c r="J458" s="291">
        <v>4.8869999999999996</v>
      </c>
      <c r="K458" s="183">
        <f t="shared" si="1003"/>
        <v>1.0530000000000008</v>
      </c>
      <c r="L458" s="154">
        <f t="shared" si="1004"/>
        <v>0.82272727272727264</v>
      </c>
      <c r="M458" s="98" t="s">
        <v>218</v>
      </c>
      <c r="N458" s="330"/>
      <c r="O458" s="330"/>
      <c r="P458" s="330">
        <f t="shared" si="1009"/>
        <v>0</v>
      </c>
      <c r="Q458" s="330"/>
      <c r="R458" s="330"/>
      <c r="S458" s="332" t="e">
        <f t="shared" ref="S458" si="1065">+Q458/P458</f>
        <v>#DIV/0!</v>
      </c>
      <c r="T458" s="140"/>
    </row>
    <row r="459" spans="2:20">
      <c r="B459" s="339"/>
      <c r="C459" s="345"/>
      <c r="D459" s="308"/>
      <c r="E459" s="350" t="s">
        <v>469</v>
      </c>
      <c r="F459" s="129" t="s">
        <v>488</v>
      </c>
      <c r="G459" s="172">
        <v>5.2910000000000004</v>
      </c>
      <c r="H459" s="172"/>
      <c r="I459" s="172">
        <f>G459+H459</f>
        <v>5.2910000000000004</v>
      </c>
      <c r="J459" s="291">
        <v>4.4820000000000002</v>
      </c>
      <c r="K459" s="183">
        <f t="shared" si="1003"/>
        <v>0.80900000000000016</v>
      </c>
      <c r="L459" s="154">
        <f t="shared" si="1004"/>
        <v>0.84709884709884709</v>
      </c>
      <c r="M459" s="98" t="s">
        <v>218</v>
      </c>
      <c r="N459" s="330">
        <f>G459+G460</f>
        <v>10.582000000000001</v>
      </c>
      <c r="O459" s="330">
        <f t="shared" ref="O459" si="1066">H459+H460</f>
        <v>0</v>
      </c>
      <c r="P459" s="330">
        <f t="shared" si="1009"/>
        <v>10.582000000000001</v>
      </c>
      <c r="Q459" s="330">
        <f t="shared" ref="Q459" si="1067">J459+J460</f>
        <v>9.8820000000000014</v>
      </c>
      <c r="R459" s="330">
        <f t="shared" ref="R459" si="1068">P459-Q459</f>
        <v>0.69999999999999929</v>
      </c>
      <c r="S459" s="332">
        <f t="shared" ref="S459" si="1069">Q459/P459</f>
        <v>0.93384993384993387</v>
      </c>
      <c r="T459" s="140"/>
    </row>
    <row r="460" spans="2:20">
      <c r="B460" s="339"/>
      <c r="C460" s="345"/>
      <c r="D460" s="308"/>
      <c r="E460" s="350"/>
      <c r="F460" s="129" t="s">
        <v>10</v>
      </c>
      <c r="G460" s="172">
        <v>5.2910000000000004</v>
      </c>
      <c r="H460" s="172"/>
      <c r="I460" s="172">
        <f>K459+G460+H460</f>
        <v>6.1000000000000005</v>
      </c>
      <c r="J460" s="291">
        <v>5.4000000000000012</v>
      </c>
      <c r="K460" s="183">
        <f t="shared" si="1003"/>
        <v>0.69999999999999929</v>
      </c>
      <c r="L460" s="154">
        <f t="shared" si="1004"/>
        <v>0.88524590163934436</v>
      </c>
      <c r="M460" s="98" t="s">
        <v>218</v>
      </c>
      <c r="N460" s="330"/>
      <c r="O460" s="330"/>
      <c r="P460" s="330">
        <f t="shared" si="1009"/>
        <v>0</v>
      </c>
      <c r="Q460" s="330"/>
      <c r="R460" s="330"/>
      <c r="S460" s="332" t="e">
        <f t="shared" ref="S460" si="1070">+Q460/P460</f>
        <v>#DIV/0!</v>
      </c>
      <c r="T460" s="140"/>
    </row>
    <row r="461" spans="2:20">
      <c r="B461" s="339"/>
      <c r="C461" s="345"/>
      <c r="D461" s="308"/>
      <c r="E461" s="350" t="s">
        <v>617</v>
      </c>
      <c r="F461" s="129" t="s">
        <v>488</v>
      </c>
      <c r="G461" s="172">
        <v>5.2919999999999998</v>
      </c>
      <c r="H461" s="172"/>
      <c r="I461" s="172">
        <f>G461+H461</f>
        <v>5.2919999999999998</v>
      </c>
      <c r="J461" s="291">
        <v>5.1569999999999974</v>
      </c>
      <c r="K461" s="183">
        <f t="shared" si="1003"/>
        <v>0.13500000000000245</v>
      </c>
      <c r="L461" s="154">
        <f t="shared" si="1004"/>
        <v>0.97448979591836693</v>
      </c>
      <c r="M461" s="98" t="s">
        <v>218</v>
      </c>
      <c r="N461" s="330">
        <f>G461+G462</f>
        <v>10.584</v>
      </c>
      <c r="O461" s="330">
        <f t="shared" ref="O461" si="1071">H461+H462</f>
        <v>0</v>
      </c>
      <c r="P461" s="330">
        <f t="shared" si="1009"/>
        <v>10.584</v>
      </c>
      <c r="Q461" s="330">
        <f t="shared" ref="Q461" si="1072">J461+J462</f>
        <v>9.0719999999999974</v>
      </c>
      <c r="R461" s="330">
        <f t="shared" ref="R461" si="1073">P461-Q461</f>
        <v>1.5120000000000022</v>
      </c>
      <c r="S461" s="332">
        <f t="shared" ref="S461" si="1074">Q461/P461</f>
        <v>0.85714285714285687</v>
      </c>
      <c r="T461" s="140"/>
    </row>
    <row r="462" spans="2:20">
      <c r="B462" s="339"/>
      <c r="C462" s="345"/>
      <c r="D462" s="308"/>
      <c r="E462" s="350"/>
      <c r="F462" s="129" t="s">
        <v>10</v>
      </c>
      <c r="G462" s="172">
        <v>5.2919999999999998</v>
      </c>
      <c r="H462" s="172"/>
      <c r="I462" s="172">
        <f>K461+G462+H462</f>
        <v>5.4270000000000023</v>
      </c>
      <c r="J462" s="291">
        <v>3.9150000000000005</v>
      </c>
      <c r="K462" s="183">
        <f t="shared" si="1003"/>
        <v>1.5120000000000018</v>
      </c>
      <c r="L462" s="154">
        <f t="shared" si="1004"/>
        <v>0.72139303482587047</v>
      </c>
      <c r="M462" s="98" t="s">
        <v>218</v>
      </c>
      <c r="N462" s="330"/>
      <c r="O462" s="330"/>
      <c r="P462" s="330">
        <f t="shared" si="1009"/>
        <v>0</v>
      </c>
      <c r="Q462" s="330"/>
      <c r="R462" s="330"/>
      <c r="S462" s="332" t="e">
        <f t="shared" ref="S462" si="1075">+Q462/P462</f>
        <v>#DIV/0!</v>
      </c>
      <c r="T462" s="140"/>
    </row>
    <row r="463" spans="2:20">
      <c r="B463" s="339"/>
      <c r="C463" s="345"/>
      <c r="D463" s="308"/>
      <c r="E463" s="350" t="s">
        <v>470</v>
      </c>
      <c r="F463" s="129" t="s">
        <v>488</v>
      </c>
      <c r="G463" s="172">
        <v>7.9349999999999996</v>
      </c>
      <c r="H463" s="172"/>
      <c r="I463" s="172">
        <f>G463+H463</f>
        <v>7.9349999999999996</v>
      </c>
      <c r="J463" s="291">
        <v>5.319</v>
      </c>
      <c r="K463" s="183">
        <f t="shared" si="1003"/>
        <v>2.6159999999999997</v>
      </c>
      <c r="L463" s="154">
        <f t="shared" si="1004"/>
        <v>0.67032136105860118</v>
      </c>
      <c r="M463" s="98" t="s">
        <v>218</v>
      </c>
      <c r="N463" s="330">
        <f>G463+G464</f>
        <v>10.58</v>
      </c>
      <c r="O463" s="330">
        <f t="shared" ref="O463" si="1076">H463+H464</f>
        <v>0</v>
      </c>
      <c r="P463" s="330">
        <f t="shared" si="1009"/>
        <v>10.58</v>
      </c>
      <c r="Q463" s="330">
        <f t="shared" ref="Q463" si="1077">J463+J464</f>
        <v>8.64</v>
      </c>
      <c r="R463" s="330">
        <f t="shared" ref="R463" si="1078">P463-Q463</f>
        <v>1.9399999999999995</v>
      </c>
      <c r="S463" s="332">
        <f t="shared" ref="S463" si="1079">Q463/P463</f>
        <v>0.81663516068052933</v>
      </c>
      <c r="T463" s="140"/>
    </row>
    <row r="464" spans="2:20">
      <c r="B464" s="339"/>
      <c r="C464" s="345"/>
      <c r="D464" s="308"/>
      <c r="E464" s="350"/>
      <c r="F464" s="129" t="s">
        <v>10</v>
      </c>
      <c r="G464" s="172">
        <v>2.645</v>
      </c>
      <c r="H464" s="172"/>
      <c r="I464" s="172">
        <f>K463+G464+H464</f>
        <v>5.2609999999999992</v>
      </c>
      <c r="J464" s="291">
        <v>3.3210000000000002</v>
      </c>
      <c r="K464" s="183">
        <f t="shared" si="1003"/>
        <v>1.9399999999999991</v>
      </c>
      <c r="L464" s="154">
        <f t="shared" si="1004"/>
        <v>0.63124881201292538</v>
      </c>
      <c r="M464" s="98" t="s">
        <v>218</v>
      </c>
      <c r="N464" s="330"/>
      <c r="O464" s="330"/>
      <c r="P464" s="330">
        <f t="shared" si="1009"/>
        <v>0</v>
      </c>
      <c r="Q464" s="330"/>
      <c r="R464" s="330"/>
      <c r="S464" s="332" t="e">
        <f t="shared" ref="S464" si="1080">+Q464/P464</f>
        <v>#DIV/0!</v>
      </c>
      <c r="T464" s="140"/>
    </row>
    <row r="465" spans="2:20">
      <c r="B465" s="339"/>
      <c r="C465" s="345"/>
      <c r="D465" s="308"/>
      <c r="E465" s="350" t="s">
        <v>471</v>
      </c>
      <c r="F465" s="129" t="s">
        <v>488</v>
      </c>
      <c r="G465" s="172">
        <v>5.2919999999999998</v>
      </c>
      <c r="H465" s="172"/>
      <c r="I465" s="172">
        <f>G465+H465</f>
        <v>5.2919999999999998</v>
      </c>
      <c r="J465" s="291">
        <v>3.8880000000000003</v>
      </c>
      <c r="K465" s="183">
        <f t="shared" si="1003"/>
        <v>1.4039999999999995</v>
      </c>
      <c r="L465" s="154">
        <f t="shared" si="1004"/>
        <v>0.73469387755102045</v>
      </c>
      <c r="M465" s="98" t="s">
        <v>218</v>
      </c>
      <c r="N465" s="330">
        <f>G465+G466</f>
        <v>10.584</v>
      </c>
      <c r="O465" s="330">
        <f t="shared" ref="O465" si="1081">H465+H466</f>
        <v>0</v>
      </c>
      <c r="P465" s="330">
        <f t="shared" si="1009"/>
        <v>10.584</v>
      </c>
      <c r="Q465" s="330">
        <f t="shared" ref="Q465" si="1082">J465+J466</f>
        <v>6.5609999999999999</v>
      </c>
      <c r="R465" s="330">
        <f t="shared" ref="R465" si="1083">P465-Q465</f>
        <v>4.0229999999999997</v>
      </c>
      <c r="S465" s="332">
        <f t="shared" ref="S465" si="1084">Q465/P465</f>
        <v>0.61989795918367352</v>
      </c>
      <c r="T465" s="140"/>
    </row>
    <row r="466" spans="2:20">
      <c r="B466" s="339"/>
      <c r="C466" s="345"/>
      <c r="D466" s="308"/>
      <c r="E466" s="350"/>
      <c r="F466" s="129" t="s">
        <v>10</v>
      </c>
      <c r="G466" s="172">
        <v>5.2919999999999998</v>
      </c>
      <c r="H466" s="172"/>
      <c r="I466" s="172">
        <f>K465+G466+H466</f>
        <v>6.6959999999999997</v>
      </c>
      <c r="J466" s="291">
        <v>2.673</v>
      </c>
      <c r="K466" s="183">
        <f t="shared" si="1003"/>
        <v>4.0229999999999997</v>
      </c>
      <c r="L466" s="154">
        <f t="shared" si="1004"/>
        <v>0.39919354838709681</v>
      </c>
      <c r="M466" s="98" t="s">
        <v>218</v>
      </c>
      <c r="N466" s="330"/>
      <c r="O466" s="330"/>
      <c r="P466" s="330">
        <f t="shared" si="1009"/>
        <v>0</v>
      </c>
      <c r="Q466" s="330"/>
      <c r="R466" s="330"/>
      <c r="S466" s="332" t="e">
        <f t="shared" ref="S466" si="1085">+Q466/P466</f>
        <v>#DIV/0!</v>
      </c>
      <c r="T466" s="140"/>
    </row>
    <row r="467" spans="2:20">
      <c r="B467" s="339"/>
      <c r="C467" s="345"/>
      <c r="D467" s="308"/>
      <c r="E467" s="350" t="s">
        <v>472</v>
      </c>
      <c r="F467" s="129" t="s">
        <v>488</v>
      </c>
      <c r="G467" s="172">
        <v>5.2919999999999998</v>
      </c>
      <c r="H467" s="172"/>
      <c r="I467" s="172">
        <f>G467+H467</f>
        <v>5.2919999999999998</v>
      </c>
      <c r="J467" s="291">
        <v>5.8739999999999997</v>
      </c>
      <c r="K467" s="183">
        <f t="shared" si="1003"/>
        <v>-0.58199999999999985</v>
      </c>
      <c r="L467" s="154">
        <f t="shared" si="1004"/>
        <v>1.1099773242630386</v>
      </c>
      <c r="M467" s="176">
        <v>44357</v>
      </c>
      <c r="N467" s="330">
        <f>G467+G468</f>
        <v>10.584</v>
      </c>
      <c r="O467" s="330">
        <f t="shared" ref="O467" si="1086">H467+H468</f>
        <v>0</v>
      </c>
      <c r="P467" s="330">
        <f t="shared" si="1009"/>
        <v>10.584</v>
      </c>
      <c r="Q467" s="330">
        <f t="shared" ref="Q467" si="1087">J467+J468</f>
        <v>9.9489999999999998</v>
      </c>
      <c r="R467" s="330">
        <f t="shared" ref="R467" si="1088">P467-Q467</f>
        <v>0.63499999999999979</v>
      </c>
      <c r="S467" s="332">
        <f t="shared" ref="S467" si="1089">Q467/P467</f>
        <v>0.94000377928949364</v>
      </c>
      <c r="T467" s="140"/>
    </row>
    <row r="468" spans="2:20">
      <c r="B468" s="339"/>
      <c r="C468" s="345"/>
      <c r="D468" s="308"/>
      <c r="E468" s="350"/>
      <c r="F468" s="129" t="s">
        <v>10</v>
      </c>
      <c r="G468" s="172">
        <v>5.2919999999999998</v>
      </c>
      <c r="H468" s="172"/>
      <c r="I468" s="172">
        <f>K467+G468+H468</f>
        <v>4.71</v>
      </c>
      <c r="J468" s="291">
        <v>4.0750000000000002</v>
      </c>
      <c r="K468" s="183">
        <f t="shared" si="1003"/>
        <v>0.63499999999999979</v>
      </c>
      <c r="L468" s="154">
        <f t="shared" si="1004"/>
        <v>0.86518046709129515</v>
      </c>
      <c r="M468" s="98" t="s">
        <v>218</v>
      </c>
      <c r="N468" s="330"/>
      <c r="O468" s="330"/>
      <c r="P468" s="330">
        <f t="shared" si="1009"/>
        <v>0</v>
      </c>
      <c r="Q468" s="330"/>
      <c r="R468" s="330"/>
      <c r="S468" s="332" t="e">
        <f t="shared" ref="S468" si="1090">+Q468/P468</f>
        <v>#DIV/0!</v>
      </c>
      <c r="T468" s="140"/>
    </row>
    <row r="469" spans="2:20">
      <c r="B469" s="339"/>
      <c r="C469" s="345"/>
      <c r="D469" s="308"/>
      <c r="E469" s="350" t="s">
        <v>473</v>
      </c>
      <c r="F469" s="129" t="s">
        <v>488</v>
      </c>
      <c r="G469" s="172">
        <v>5.2919999999999998</v>
      </c>
      <c r="H469" s="172"/>
      <c r="I469" s="172">
        <f>G469+H469</f>
        <v>5.2919999999999998</v>
      </c>
      <c r="J469" s="291">
        <v>4.9140000000000006</v>
      </c>
      <c r="K469" s="183">
        <f t="shared" si="1003"/>
        <v>0.37799999999999923</v>
      </c>
      <c r="L469" s="154">
        <f t="shared" si="1004"/>
        <v>0.92857142857142871</v>
      </c>
      <c r="M469" s="98" t="s">
        <v>218</v>
      </c>
      <c r="N469" s="330">
        <f>G469+G470</f>
        <v>10.584</v>
      </c>
      <c r="O469" s="330">
        <f t="shared" ref="O469" si="1091">H469+H470</f>
        <v>0</v>
      </c>
      <c r="P469" s="330">
        <f t="shared" si="1009"/>
        <v>10.584</v>
      </c>
      <c r="Q469" s="330">
        <f t="shared" ref="Q469" si="1092">J469+J470</f>
        <v>8.0190000000000019</v>
      </c>
      <c r="R469" s="330">
        <f t="shared" ref="R469" si="1093">P469-Q469</f>
        <v>2.5649999999999977</v>
      </c>
      <c r="S469" s="332">
        <f t="shared" ref="S469" si="1094">Q469/P469</f>
        <v>0.75765306122449005</v>
      </c>
      <c r="T469" s="140"/>
    </row>
    <row r="470" spans="2:20">
      <c r="B470" s="339"/>
      <c r="C470" s="345"/>
      <c r="D470" s="308"/>
      <c r="E470" s="350"/>
      <c r="F470" s="129" t="s">
        <v>10</v>
      </c>
      <c r="G470" s="172">
        <v>5.2919999999999998</v>
      </c>
      <c r="H470" s="172"/>
      <c r="I470" s="172">
        <f>K469+G470+H470</f>
        <v>5.669999999999999</v>
      </c>
      <c r="J470" s="291">
        <v>3.1050000000000004</v>
      </c>
      <c r="K470" s="183">
        <f t="shared" si="1003"/>
        <v>2.5649999999999986</v>
      </c>
      <c r="L470" s="154">
        <f t="shared" si="1004"/>
        <v>0.54761904761904778</v>
      </c>
      <c r="M470" s="98" t="s">
        <v>218</v>
      </c>
      <c r="N470" s="330"/>
      <c r="O470" s="330"/>
      <c r="P470" s="330">
        <f t="shared" si="1009"/>
        <v>0</v>
      </c>
      <c r="Q470" s="330"/>
      <c r="R470" s="330"/>
      <c r="S470" s="332" t="e">
        <f t="shared" ref="S470" si="1095">+Q470/P470</f>
        <v>#DIV/0!</v>
      </c>
      <c r="T470" s="140"/>
    </row>
    <row r="471" spans="2:20">
      <c r="B471" s="339"/>
      <c r="C471" s="345"/>
      <c r="D471" s="308"/>
      <c r="E471" s="350" t="s">
        <v>618</v>
      </c>
      <c r="F471" s="129" t="s">
        <v>488</v>
      </c>
      <c r="G471" s="172">
        <v>5.2880000000000003</v>
      </c>
      <c r="H471" s="172"/>
      <c r="I471" s="172">
        <f>G471+H471</f>
        <v>5.2880000000000003</v>
      </c>
      <c r="J471" s="291">
        <v>5.1840000000000011</v>
      </c>
      <c r="K471" s="183">
        <f t="shared" si="1003"/>
        <v>0.1039999999999992</v>
      </c>
      <c r="L471" s="154">
        <f t="shared" si="1004"/>
        <v>0.98033282904689878</v>
      </c>
      <c r="M471" s="98" t="s">
        <v>218</v>
      </c>
      <c r="N471" s="330">
        <f>G471+G472</f>
        <v>10.576000000000001</v>
      </c>
      <c r="O471" s="330">
        <f t="shared" ref="O471" si="1096">H471+H472</f>
        <v>0</v>
      </c>
      <c r="P471" s="330">
        <f t="shared" si="1009"/>
        <v>10.576000000000001</v>
      </c>
      <c r="Q471" s="330">
        <f t="shared" ref="Q471" si="1097">J471+J472</f>
        <v>9.6120000000000019</v>
      </c>
      <c r="R471" s="330">
        <f>P471-Q471</f>
        <v>0.96399999999999864</v>
      </c>
      <c r="S471" s="332">
        <f>Q471/P471</f>
        <v>0.90885022692889572</v>
      </c>
      <c r="T471" s="140"/>
    </row>
    <row r="472" spans="2:20">
      <c r="B472" s="339"/>
      <c r="C472" s="345"/>
      <c r="D472" s="308"/>
      <c r="E472" s="350"/>
      <c r="F472" s="129" t="s">
        <v>10</v>
      </c>
      <c r="G472" s="172">
        <v>5.2880000000000003</v>
      </c>
      <c r="H472" s="172"/>
      <c r="I472" s="172">
        <f>K471+G472+H472</f>
        <v>5.3919999999999995</v>
      </c>
      <c r="J472" s="291">
        <v>4.4279999999999999</v>
      </c>
      <c r="K472" s="183">
        <f t="shared" si="1003"/>
        <v>0.96399999999999952</v>
      </c>
      <c r="L472" s="154">
        <f t="shared" si="1004"/>
        <v>0.82121661721068251</v>
      </c>
      <c r="M472" s="98" t="s">
        <v>218</v>
      </c>
      <c r="N472" s="330"/>
      <c r="O472" s="330"/>
      <c r="P472" s="330">
        <f t="shared" si="1009"/>
        <v>0</v>
      </c>
      <c r="Q472" s="330"/>
      <c r="R472" s="330"/>
      <c r="S472" s="332" t="e">
        <f t="shared" ref="S472:S492" si="1098">+Q472/P472</f>
        <v>#DIV/0!</v>
      </c>
      <c r="T472" s="140"/>
    </row>
    <row r="473" spans="2:20">
      <c r="B473" s="339"/>
      <c r="C473" s="345"/>
      <c r="D473" s="308" t="s">
        <v>495</v>
      </c>
      <c r="E473" s="335" t="s">
        <v>542</v>
      </c>
      <c r="F473" s="301" t="s">
        <v>488</v>
      </c>
      <c r="G473" s="299">
        <v>7.9320000000000004</v>
      </c>
      <c r="H473" s="299"/>
      <c r="I473" s="299">
        <f>G473+H473</f>
        <v>7.9320000000000004</v>
      </c>
      <c r="J473" s="299">
        <v>5.7100000000000009</v>
      </c>
      <c r="K473" s="302">
        <f t="shared" si="1003"/>
        <v>2.2219999999999995</v>
      </c>
      <c r="L473" s="303">
        <f t="shared" si="1004"/>
        <v>0.71986888552697936</v>
      </c>
      <c r="M473" s="304" t="s">
        <v>218</v>
      </c>
      <c r="N473" s="331">
        <f>G473+G474</f>
        <v>10.576000000000001</v>
      </c>
      <c r="O473" s="331">
        <f t="shared" ref="O473" si="1099">H473+H474</f>
        <v>0</v>
      </c>
      <c r="P473" s="331">
        <f t="shared" si="1009"/>
        <v>10.576000000000001</v>
      </c>
      <c r="Q473" s="331">
        <f>J473+J474</f>
        <v>9.6670000000000016</v>
      </c>
      <c r="R473" s="331">
        <f>P473-Q473</f>
        <v>0.90899999999999892</v>
      </c>
      <c r="S473" s="333">
        <f t="shared" ref="S473" si="1100">Q473/P473</f>
        <v>0.91405068078668694</v>
      </c>
      <c r="T473" s="300"/>
    </row>
    <row r="474" spans="2:20">
      <c r="B474" s="339"/>
      <c r="C474" s="345"/>
      <c r="D474" s="308"/>
      <c r="E474" s="336"/>
      <c r="F474" s="301" t="s">
        <v>10</v>
      </c>
      <c r="G474" s="299">
        <v>2.6440000000000001</v>
      </c>
      <c r="H474" s="299"/>
      <c r="I474" s="299">
        <f>K473+G474+H474</f>
        <v>4.8659999999999997</v>
      </c>
      <c r="J474" s="299">
        <v>3.9569999999999999</v>
      </c>
      <c r="K474" s="302">
        <f t="shared" si="1003"/>
        <v>0.90899999999999981</v>
      </c>
      <c r="L474" s="303">
        <f t="shared" si="1004"/>
        <v>0.81319358816276199</v>
      </c>
      <c r="M474" s="305" t="s">
        <v>218</v>
      </c>
      <c r="N474" s="331"/>
      <c r="O474" s="331"/>
      <c r="P474" s="331">
        <f t="shared" si="1009"/>
        <v>0</v>
      </c>
      <c r="Q474" s="331"/>
      <c r="R474" s="331"/>
      <c r="S474" s="333" t="e">
        <f t="shared" si="1098"/>
        <v>#DIV/0!</v>
      </c>
      <c r="T474" s="140"/>
    </row>
    <row r="475" spans="2:20">
      <c r="B475" s="339"/>
      <c r="C475" s="345"/>
      <c r="D475" s="308"/>
      <c r="E475" s="335" t="s">
        <v>543</v>
      </c>
      <c r="F475" s="301" t="s">
        <v>488</v>
      </c>
      <c r="G475" s="299">
        <v>5.29</v>
      </c>
      <c r="H475" s="299"/>
      <c r="I475" s="299">
        <f>G475+H475</f>
        <v>5.29</v>
      </c>
      <c r="J475" s="299">
        <v>5.6489999999999991</v>
      </c>
      <c r="K475" s="302">
        <f t="shared" si="1003"/>
        <v>-0.3589999999999991</v>
      </c>
      <c r="L475" s="303">
        <f t="shared" si="1004"/>
        <v>1.0678638941398864</v>
      </c>
      <c r="M475" s="304">
        <v>44350</v>
      </c>
      <c r="N475" s="331">
        <f>G475+G476</f>
        <v>10.58</v>
      </c>
      <c r="O475" s="331">
        <f t="shared" ref="O475" si="1101">H475+H476</f>
        <v>0</v>
      </c>
      <c r="P475" s="331">
        <f t="shared" si="1009"/>
        <v>10.58</v>
      </c>
      <c r="Q475" s="331">
        <f>J475+J476</f>
        <v>10.579999999999998</v>
      </c>
      <c r="R475" s="331">
        <f>P475-Q475</f>
        <v>0</v>
      </c>
      <c r="S475" s="333">
        <f t="shared" ref="S475" si="1102">Q475/P475</f>
        <v>0.99999999999999978</v>
      </c>
      <c r="T475" s="140"/>
    </row>
    <row r="476" spans="2:20">
      <c r="B476" s="339"/>
      <c r="C476" s="345"/>
      <c r="D476" s="308"/>
      <c r="E476" s="336"/>
      <c r="F476" s="301" t="s">
        <v>10</v>
      </c>
      <c r="G476" s="299">
        <v>5.29</v>
      </c>
      <c r="H476" s="299"/>
      <c r="I476" s="299">
        <f>K475+G476+H476</f>
        <v>4.9310000000000009</v>
      </c>
      <c r="J476" s="299">
        <v>4.931</v>
      </c>
      <c r="K476" s="302">
        <f>I476-J476</f>
        <v>0</v>
      </c>
      <c r="L476" s="303">
        <f t="shared" si="1004"/>
        <v>0.99999999999999978</v>
      </c>
      <c r="M476" s="304">
        <v>44560</v>
      </c>
      <c r="N476" s="331"/>
      <c r="O476" s="331"/>
      <c r="P476" s="331">
        <f t="shared" si="1009"/>
        <v>0</v>
      </c>
      <c r="Q476" s="331"/>
      <c r="R476" s="331"/>
      <c r="S476" s="333" t="e">
        <f t="shared" si="1098"/>
        <v>#DIV/0!</v>
      </c>
      <c r="T476" s="140"/>
    </row>
    <row r="477" spans="2:20">
      <c r="B477" s="339"/>
      <c r="C477" s="345"/>
      <c r="D477" s="308"/>
      <c r="E477" s="335" t="s">
        <v>620</v>
      </c>
      <c r="F477" s="301" t="s">
        <v>488</v>
      </c>
      <c r="G477" s="299">
        <v>5.2930000000000001</v>
      </c>
      <c r="H477" s="299"/>
      <c r="I477" s="299">
        <f>G477+H477</f>
        <v>5.2930000000000001</v>
      </c>
      <c r="J477" s="299">
        <v>3.8610000000000002</v>
      </c>
      <c r="K477" s="302">
        <f t="shared" si="1003"/>
        <v>1.4319999999999999</v>
      </c>
      <c r="L477" s="303">
        <f t="shared" si="1004"/>
        <v>0.72945399584356696</v>
      </c>
      <c r="M477" s="305" t="s">
        <v>218</v>
      </c>
      <c r="N477" s="331">
        <f>G477+G478</f>
        <v>10.586</v>
      </c>
      <c r="O477" s="331">
        <f t="shared" ref="O477" si="1103">H477+H478</f>
        <v>0</v>
      </c>
      <c r="P477" s="331">
        <f t="shared" si="1009"/>
        <v>10.586</v>
      </c>
      <c r="Q477" s="331">
        <f>J477+J478</f>
        <v>5.886000000000001</v>
      </c>
      <c r="R477" s="331">
        <f>P477-Q477</f>
        <v>4.6999999999999993</v>
      </c>
      <c r="S477" s="333">
        <f t="shared" ref="S477" si="1104">Q477/P477</f>
        <v>0.55601738144719448</v>
      </c>
      <c r="T477" s="140"/>
    </row>
    <row r="478" spans="2:20">
      <c r="B478" s="339"/>
      <c r="C478" s="345"/>
      <c r="D478" s="308"/>
      <c r="E478" s="336"/>
      <c r="F478" s="301" t="s">
        <v>10</v>
      </c>
      <c r="G478" s="299">
        <v>5.2930000000000001</v>
      </c>
      <c r="H478" s="299"/>
      <c r="I478" s="299">
        <f>K477+G478+H478</f>
        <v>6.7249999999999996</v>
      </c>
      <c r="J478" s="299">
        <v>2.0250000000000004</v>
      </c>
      <c r="K478" s="302">
        <f t="shared" si="1003"/>
        <v>4.6999999999999993</v>
      </c>
      <c r="L478" s="303">
        <f t="shared" si="1004"/>
        <v>0.30111524163568781</v>
      </c>
      <c r="M478" s="305" t="s">
        <v>218</v>
      </c>
      <c r="N478" s="331"/>
      <c r="O478" s="331"/>
      <c r="P478" s="331">
        <f t="shared" si="1009"/>
        <v>0</v>
      </c>
      <c r="Q478" s="331"/>
      <c r="R478" s="331"/>
      <c r="S478" s="333" t="e">
        <f t="shared" si="1098"/>
        <v>#DIV/0!</v>
      </c>
      <c r="T478" s="140"/>
    </row>
    <row r="479" spans="2:20">
      <c r="B479" s="339"/>
      <c r="C479" s="345"/>
      <c r="D479" s="308"/>
      <c r="E479" s="335" t="s">
        <v>544</v>
      </c>
      <c r="F479" s="301" t="s">
        <v>488</v>
      </c>
      <c r="G479" s="299">
        <v>5.2919999999999998</v>
      </c>
      <c r="H479" s="299"/>
      <c r="I479" s="299">
        <f>G479+H479</f>
        <v>5.2919999999999998</v>
      </c>
      <c r="J479" s="299">
        <v>4.2170000000000005</v>
      </c>
      <c r="K479" s="302">
        <f t="shared" si="1003"/>
        <v>1.0749999999999993</v>
      </c>
      <c r="L479" s="303">
        <f t="shared" si="1004"/>
        <v>0.79686318972033265</v>
      </c>
      <c r="M479" s="305" t="s">
        <v>218</v>
      </c>
      <c r="N479" s="331">
        <f>G479+G480</f>
        <v>10.584</v>
      </c>
      <c r="O479" s="331">
        <f t="shared" ref="O479" si="1105">H479+H480</f>
        <v>0</v>
      </c>
      <c r="P479" s="331">
        <f t="shared" si="1009"/>
        <v>10.584</v>
      </c>
      <c r="Q479" s="331">
        <f>J479+J480</f>
        <v>7.3130000000000006</v>
      </c>
      <c r="R479" s="331">
        <f>P479-Q479</f>
        <v>3.270999999999999</v>
      </c>
      <c r="S479" s="333">
        <f t="shared" ref="S479" si="1106">Q479/P479</f>
        <v>0.69094860166288741</v>
      </c>
      <c r="T479" s="140"/>
    </row>
    <row r="480" spans="2:20">
      <c r="B480" s="339"/>
      <c r="C480" s="345"/>
      <c r="D480" s="308"/>
      <c r="E480" s="336"/>
      <c r="F480" s="301" t="s">
        <v>10</v>
      </c>
      <c r="G480" s="299">
        <v>5.2919999999999998</v>
      </c>
      <c r="H480" s="299"/>
      <c r="I480" s="299">
        <f>K479+G480+H480</f>
        <v>6.3669999999999991</v>
      </c>
      <c r="J480" s="299">
        <v>3.0960000000000001</v>
      </c>
      <c r="K480" s="302">
        <f t="shared" si="1003"/>
        <v>3.270999999999999</v>
      </c>
      <c r="L480" s="303">
        <f t="shared" si="1004"/>
        <v>0.48625726401759078</v>
      </c>
      <c r="M480" s="305" t="s">
        <v>218</v>
      </c>
      <c r="N480" s="331"/>
      <c r="O480" s="331"/>
      <c r="P480" s="331">
        <f t="shared" si="1009"/>
        <v>0</v>
      </c>
      <c r="Q480" s="331"/>
      <c r="R480" s="331"/>
      <c r="S480" s="333" t="e">
        <f t="shared" si="1098"/>
        <v>#DIV/0!</v>
      </c>
      <c r="T480" s="140"/>
    </row>
    <row r="481" spans="1:20">
      <c r="B481" s="339"/>
      <c r="C481" s="345"/>
      <c r="D481" s="308"/>
      <c r="E481" s="335" t="s">
        <v>545</v>
      </c>
      <c r="F481" s="301" t="s">
        <v>488</v>
      </c>
      <c r="G481" s="299">
        <v>5.2919999999999998</v>
      </c>
      <c r="H481" s="299">
        <v>12</v>
      </c>
      <c r="I481" s="299">
        <f>G481+H481</f>
        <v>17.292000000000002</v>
      </c>
      <c r="J481" s="299">
        <v>16.600999999999999</v>
      </c>
      <c r="K481" s="302">
        <f t="shared" si="1003"/>
        <v>0.6910000000000025</v>
      </c>
      <c r="L481" s="303">
        <f t="shared" si="1004"/>
        <v>0.96003932454314123</v>
      </c>
      <c r="M481" s="305" t="s">
        <v>218</v>
      </c>
      <c r="N481" s="331">
        <f>G481+G482</f>
        <v>10.584</v>
      </c>
      <c r="O481" s="331">
        <f t="shared" ref="O481" si="1107">H481+H482</f>
        <v>12</v>
      </c>
      <c r="P481" s="331">
        <f t="shared" si="1009"/>
        <v>22.584</v>
      </c>
      <c r="Q481" s="331">
        <f>J481+J482</f>
        <v>21.712</v>
      </c>
      <c r="R481" s="331">
        <f>P481-Q481</f>
        <v>0.87199999999999989</v>
      </c>
      <c r="S481" s="333">
        <f t="shared" ref="S481" si="1108">Q481/P481</f>
        <v>0.96138859369465113</v>
      </c>
      <c r="T481" s="140"/>
    </row>
    <row r="482" spans="1:20">
      <c r="B482" s="339"/>
      <c r="C482" s="345"/>
      <c r="D482" s="308"/>
      <c r="E482" s="336"/>
      <c r="F482" s="301" t="s">
        <v>10</v>
      </c>
      <c r="G482" s="299">
        <v>5.2919999999999998</v>
      </c>
      <c r="H482" s="299"/>
      <c r="I482" s="299">
        <f>K481+G482+H482</f>
        <v>5.9830000000000023</v>
      </c>
      <c r="J482" s="299">
        <v>5.1109999999999998</v>
      </c>
      <c r="K482" s="302">
        <f t="shared" si="1003"/>
        <v>0.87200000000000255</v>
      </c>
      <c r="L482" s="303">
        <f t="shared" si="1004"/>
        <v>0.85425371887013168</v>
      </c>
      <c r="M482" s="305" t="s">
        <v>218</v>
      </c>
      <c r="N482" s="331"/>
      <c r="O482" s="331"/>
      <c r="P482" s="331">
        <f t="shared" si="1009"/>
        <v>0</v>
      </c>
      <c r="Q482" s="331"/>
      <c r="R482" s="331"/>
      <c r="S482" s="333" t="e">
        <f t="shared" si="1098"/>
        <v>#DIV/0!</v>
      </c>
      <c r="T482" s="140"/>
    </row>
    <row r="483" spans="1:20">
      <c r="B483" s="339"/>
      <c r="C483" s="345"/>
      <c r="D483" s="308"/>
      <c r="E483" s="335" t="s">
        <v>546</v>
      </c>
      <c r="F483" s="301" t="s">
        <v>488</v>
      </c>
      <c r="G483" s="299">
        <v>5.2910000000000004</v>
      </c>
      <c r="H483" s="299">
        <f>20+50</f>
        <v>70</v>
      </c>
      <c r="I483" s="299">
        <f>G483+H483</f>
        <v>75.290999999999997</v>
      </c>
      <c r="J483" s="299">
        <v>48.974999999999994</v>
      </c>
      <c r="K483" s="302">
        <f t="shared" si="1003"/>
        <v>26.316000000000003</v>
      </c>
      <c r="L483" s="303">
        <f t="shared" si="1004"/>
        <v>0.65047615252819058</v>
      </c>
      <c r="M483" s="305" t="s">
        <v>218</v>
      </c>
      <c r="N483" s="331">
        <f>G483+G484</f>
        <v>10.582000000000001</v>
      </c>
      <c r="O483" s="331">
        <f t="shared" ref="O483" si="1109">H483+H484</f>
        <v>90</v>
      </c>
      <c r="P483" s="331">
        <f t="shared" si="1009"/>
        <v>100.58199999999999</v>
      </c>
      <c r="Q483" s="331">
        <f>J483+J484</f>
        <v>87.402999999999992</v>
      </c>
      <c r="R483" s="331">
        <f>P483-Q483</f>
        <v>13.179000000000002</v>
      </c>
      <c r="S483" s="333">
        <f t="shared" ref="S483" si="1110">Q483/P483</f>
        <v>0.86897257958680474</v>
      </c>
      <c r="T483" s="140"/>
    </row>
    <row r="484" spans="1:20">
      <c r="B484" s="339"/>
      <c r="C484" s="345"/>
      <c r="D484" s="308"/>
      <c r="E484" s="336"/>
      <c r="F484" s="301" t="s">
        <v>10</v>
      </c>
      <c r="G484" s="299">
        <v>5.2910000000000004</v>
      </c>
      <c r="H484" s="299">
        <f>20</f>
        <v>20</v>
      </c>
      <c r="I484" s="299">
        <f>K483+G484+H484</f>
        <v>51.606999999999999</v>
      </c>
      <c r="J484" s="299">
        <v>38.427999999999997</v>
      </c>
      <c r="K484" s="302">
        <f t="shared" si="1003"/>
        <v>13.179000000000002</v>
      </c>
      <c r="L484" s="303">
        <f t="shared" si="1004"/>
        <v>0.74462766678938896</v>
      </c>
      <c r="M484" s="305" t="s">
        <v>218</v>
      </c>
      <c r="N484" s="331"/>
      <c r="O484" s="331"/>
      <c r="P484" s="331">
        <f t="shared" si="1009"/>
        <v>0</v>
      </c>
      <c r="Q484" s="331"/>
      <c r="R484" s="331"/>
      <c r="S484" s="333" t="e">
        <f t="shared" si="1098"/>
        <v>#DIV/0!</v>
      </c>
      <c r="T484" s="140"/>
    </row>
    <row r="485" spans="1:20">
      <c r="B485" s="339"/>
      <c r="C485" s="345"/>
      <c r="D485" s="308"/>
      <c r="E485" s="335" t="s">
        <v>672</v>
      </c>
      <c r="F485" s="301" t="s">
        <v>488</v>
      </c>
      <c r="G485" s="299">
        <v>5.2910000000000004</v>
      </c>
      <c r="H485" s="299"/>
      <c r="I485" s="299">
        <f>G485+H485</f>
        <v>5.2910000000000004</v>
      </c>
      <c r="J485" s="299">
        <v>5.2910000000000004</v>
      </c>
      <c r="K485" s="302">
        <f t="shared" si="1003"/>
        <v>0</v>
      </c>
      <c r="L485" s="303">
        <f t="shared" si="1004"/>
        <v>1</v>
      </c>
      <c r="M485" s="304">
        <v>44363</v>
      </c>
      <c r="N485" s="331">
        <f>G485+G486</f>
        <v>10.582000000000001</v>
      </c>
      <c r="O485" s="331">
        <f t="shared" ref="O485" si="1111">H485+H486</f>
        <v>0</v>
      </c>
      <c r="P485" s="331">
        <f t="shared" si="1009"/>
        <v>10.582000000000001</v>
      </c>
      <c r="Q485" s="331">
        <f>J485+J486</f>
        <v>11.225999999999999</v>
      </c>
      <c r="R485" s="331">
        <f>P485-Q485</f>
        <v>-0.64399999999999835</v>
      </c>
      <c r="S485" s="333">
        <f t="shared" ref="S485" si="1112">Q485/P485</f>
        <v>1.0608580608580607</v>
      </c>
      <c r="T485" s="140"/>
    </row>
    <row r="486" spans="1:20">
      <c r="B486" s="339"/>
      <c r="C486" s="345"/>
      <c r="D486" s="308"/>
      <c r="E486" s="336"/>
      <c r="F486" s="301" t="s">
        <v>10</v>
      </c>
      <c r="G486" s="299">
        <v>5.2910000000000004</v>
      </c>
      <c r="H486" s="299"/>
      <c r="I486" s="299">
        <f>K485+G486+H486</f>
        <v>5.2910000000000004</v>
      </c>
      <c r="J486" s="299">
        <v>5.9349999999999996</v>
      </c>
      <c r="K486" s="302">
        <f t="shared" si="1003"/>
        <v>-0.64399999999999924</v>
      </c>
      <c r="L486" s="303">
        <f t="shared" si="1004"/>
        <v>1.1217161217161216</v>
      </c>
      <c r="M486" s="304">
        <v>44560</v>
      </c>
      <c r="N486" s="331"/>
      <c r="O486" s="331"/>
      <c r="P486" s="331">
        <f t="shared" si="1009"/>
        <v>0</v>
      </c>
      <c r="Q486" s="331"/>
      <c r="R486" s="331"/>
      <c r="S486" s="333" t="e">
        <f t="shared" si="1098"/>
        <v>#DIV/0!</v>
      </c>
      <c r="T486" s="140"/>
    </row>
    <row r="487" spans="1:20">
      <c r="B487" s="339"/>
      <c r="C487" s="345"/>
      <c r="D487" s="308"/>
      <c r="E487" s="335" t="s">
        <v>547</v>
      </c>
      <c r="F487" s="301" t="s">
        <v>488</v>
      </c>
      <c r="G487" s="299">
        <v>7.9379999999999997</v>
      </c>
      <c r="H487" s="299"/>
      <c r="I487" s="299">
        <f>G487+H487</f>
        <v>7.9379999999999997</v>
      </c>
      <c r="J487" s="299">
        <v>5.2409999999999997</v>
      </c>
      <c r="K487" s="302">
        <f t="shared" si="1003"/>
        <v>2.6970000000000001</v>
      </c>
      <c r="L487" s="303">
        <f t="shared" si="1004"/>
        <v>0.66024187452758876</v>
      </c>
      <c r="M487" s="304" t="s">
        <v>218</v>
      </c>
      <c r="N487" s="331">
        <f>G487+G488</f>
        <v>10.584</v>
      </c>
      <c r="O487" s="331">
        <f t="shared" ref="O487" si="1113">H487+H488</f>
        <v>10</v>
      </c>
      <c r="P487" s="331">
        <f t="shared" si="1009"/>
        <v>20.584</v>
      </c>
      <c r="Q487" s="331">
        <f>J487+J488</f>
        <v>14.121</v>
      </c>
      <c r="R487" s="331">
        <f>P487-Q487</f>
        <v>6.4629999999999992</v>
      </c>
      <c r="S487" s="333">
        <f t="shared" ref="S487" si="1114">Q487/P487</f>
        <v>0.68601826661484655</v>
      </c>
      <c r="T487" s="140"/>
    </row>
    <row r="488" spans="1:20">
      <c r="B488" s="339"/>
      <c r="C488" s="345"/>
      <c r="D488" s="308"/>
      <c r="E488" s="336"/>
      <c r="F488" s="301" t="s">
        <v>10</v>
      </c>
      <c r="G488" s="299">
        <v>2.6459999999999999</v>
      </c>
      <c r="H488" s="299">
        <f>10</f>
        <v>10</v>
      </c>
      <c r="I488" s="299">
        <f>K487+G488+H488</f>
        <v>15.343</v>
      </c>
      <c r="J488" s="299">
        <v>8.8800000000000008</v>
      </c>
      <c r="K488" s="302">
        <f t="shared" si="1003"/>
        <v>6.4629999999999992</v>
      </c>
      <c r="L488" s="303">
        <f t="shared" si="1004"/>
        <v>0.57876556084207786</v>
      </c>
      <c r="M488" s="305" t="s">
        <v>218</v>
      </c>
      <c r="N488" s="331"/>
      <c r="O488" s="331"/>
      <c r="P488" s="331">
        <f t="shared" si="1009"/>
        <v>0</v>
      </c>
      <c r="Q488" s="331"/>
      <c r="R488" s="331"/>
      <c r="S488" s="333" t="e">
        <f t="shared" si="1098"/>
        <v>#DIV/0!</v>
      </c>
      <c r="T488" s="140"/>
    </row>
    <row r="489" spans="1:20">
      <c r="B489" s="339"/>
      <c r="C489" s="345"/>
      <c r="D489" s="308"/>
      <c r="E489" s="335" t="s">
        <v>548</v>
      </c>
      <c r="F489" s="301" t="s">
        <v>488</v>
      </c>
      <c r="G489" s="299">
        <v>7.9349999999999996</v>
      </c>
      <c r="H489" s="299"/>
      <c r="I489" s="299">
        <f>G489+H489</f>
        <v>7.9349999999999996</v>
      </c>
      <c r="J489" s="299">
        <v>5.8850000000000007</v>
      </c>
      <c r="K489" s="302">
        <f t="shared" si="1003"/>
        <v>2.0499999999999989</v>
      </c>
      <c r="L489" s="303">
        <f t="shared" si="1004"/>
        <v>0.74165091367359814</v>
      </c>
      <c r="M489" s="304" t="s">
        <v>218</v>
      </c>
      <c r="N489" s="331">
        <f>G489+G490</f>
        <v>10.58</v>
      </c>
      <c r="O489" s="331">
        <f t="shared" ref="O489" si="1115">H489+H490</f>
        <v>0</v>
      </c>
      <c r="P489" s="331">
        <f t="shared" si="1009"/>
        <v>10.58</v>
      </c>
      <c r="Q489" s="331">
        <f>J489+J490</f>
        <v>9.197000000000001</v>
      </c>
      <c r="R489" s="331">
        <f>P489-Q489</f>
        <v>1.3829999999999991</v>
      </c>
      <c r="S489" s="333">
        <f t="shared" ref="S489" si="1116">Q489/P489</f>
        <v>0.86928166351606817</v>
      </c>
      <c r="T489" s="140"/>
    </row>
    <row r="490" spans="1:20">
      <c r="B490" s="339"/>
      <c r="C490" s="345"/>
      <c r="D490" s="308"/>
      <c r="E490" s="336"/>
      <c r="F490" s="301" t="s">
        <v>10</v>
      </c>
      <c r="G490" s="299">
        <v>2.645</v>
      </c>
      <c r="H490" s="299"/>
      <c r="I490" s="299">
        <f>K489+G490+H490</f>
        <v>4.6949999999999985</v>
      </c>
      <c r="J490" s="299">
        <v>3.3119999999999998</v>
      </c>
      <c r="K490" s="302">
        <f t="shared" si="1003"/>
        <v>1.3829999999999987</v>
      </c>
      <c r="L490" s="303">
        <f t="shared" si="1004"/>
        <v>0.70543130990415359</v>
      </c>
      <c r="M490" s="305" t="s">
        <v>218</v>
      </c>
      <c r="N490" s="331"/>
      <c r="O490" s="331"/>
      <c r="P490" s="331">
        <f t="shared" si="1009"/>
        <v>0</v>
      </c>
      <c r="Q490" s="331"/>
      <c r="R490" s="331"/>
      <c r="S490" s="333" t="e">
        <f t="shared" si="1098"/>
        <v>#DIV/0!</v>
      </c>
      <c r="T490" s="140"/>
    </row>
    <row r="491" spans="1:20">
      <c r="B491" s="339"/>
      <c r="C491" s="345"/>
      <c r="D491" s="308"/>
      <c r="E491" s="337" t="s">
        <v>619</v>
      </c>
      <c r="F491" s="129" t="s">
        <v>488</v>
      </c>
      <c r="G491" s="190">
        <v>21.155999999999999</v>
      </c>
      <c r="H491" s="190"/>
      <c r="I491" s="190">
        <f>G491+H491</f>
        <v>21.155999999999999</v>
      </c>
      <c r="J491" s="291">
        <v>19.363999999999997</v>
      </c>
      <c r="K491" s="183">
        <f t="shared" si="1003"/>
        <v>1.7920000000000016</v>
      </c>
      <c r="L491" s="154">
        <f t="shared" si="1004"/>
        <v>0.91529589714501791</v>
      </c>
      <c r="M491" s="191" t="s">
        <v>218</v>
      </c>
      <c r="N491" s="330">
        <f>G491+G492</f>
        <v>42.311999999999998</v>
      </c>
      <c r="O491" s="330">
        <f t="shared" ref="O491" si="1117">H491+H492</f>
        <v>0</v>
      </c>
      <c r="P491" s="330">
        <f t="shared" si="1009"/>
        <v>42.311999999999998</v>
      </c>
      <c r="Q491" s="330">
        <f>J491+J492</f>
        <v>28.116999999999997</v>
      </c>
      <c r="R491" s="331">
        <f>P491-Q491</f>
        <v>14.195</v>
      </c>
      <c r="S491" s="332">
        <f t="shared" ref="S491" si="1118">Q491/P491</f>
        <v>0.66451597655511441</v>
      </c>
      <c r="T491" s="140"/>
    </row>
    <row r="492" spans="1:20">
      <c r="B492" s="339"/>
      <c r="C492" s="345"/>
      <c r="D492" s="308"/>
      <c r="E492" s="338"/>
      <c r="F492" s="129" t="s">
        <v>10</v>
      </c>
      <c r="G492" s="172">
        <v>21.155999999999999</v>
      </c>
      <c r="H492" s="172"/>
      <c r="I492" s="190">
        <f>K491+G492+H492</f>
        <v>22.948</v>
      </c>
      <c r="J492" s="291">
        <v>8.7530000000000001</v>
      </c>
      <c r="K492" s="183">
        <f t="shared" si="1003"/>
        <v>14.195</v>
      </c>
      <c r="L492" s="154">
        <f t="shared" si="1004"/>
        <v>0.38142757538783334</v>
      </c>
      <c r="M492" s="98" t="s">
        <v>218</v>
      </c>
      <c r="N492" s="330"/>
      <c r="O492" s="330"/>
      <c r="P492" s="330">
        <f t="shared" si="1009"/>
        <v>0</v>
      </c>
      <c r="Q492" s="330"/>
      <c r="R492" s="331"/>
      <c r="S492" s="332" t="e">
        <f t="shared" si="1098"/>
        <v>#DIV/0!</v>
      </c>
      <c r="T492" s="140"/>
    </row>
    <row r="493" spans="1:20">
      <c r="A493" s="119"/>
      <c r="B493" s="339"/>
      <c r="C493" s="342" t="s">
        <v>87</v>
      </c>
      <c r="D493" s="342"/>
      <c r="E493" s="342"/>
      <c r="F493" s="177" t="s">
        <v>488</v>
      </c>
      <c r="G493" s="109">
        <f>G129+G131+G133+G135+G137+G139+G141+G143+G145+G147+G149+G151+G153+G155+G157+G159+G161+G163+G165+G167+G169+G171+G173+G175+G177+G179+G181+G183+G185+G187+G189+G191+G193+G195+G197+G199+G201+G203+G205+G207+G209+G211+G213+G215+G217+G219+G221+G223+G225+G227+G229+G231+G233+G235+G237+G239+G241+G243+G245+G247+G249+G251+G253+G255+G257+G259+G261+G263+G265+G267+G269+G271+G273+G275+G277+G279+G281+G283+G285+G287+G289+G291+G293+G295+G297+G299+G301+G303+G305+G307+G309+G311+G313+G315+G317+G319+G321+G323+G325+G327+G329+G331+G333+G335+G337+G339+G341+G343+G345+G347+G349+G351+G353+G355+G357+G359+G361+G363+G365+G367+G369+G371+G373+G375+G377+G379+G381+G383+G385+G387+G389+G391+G393+G395+G397+G399+G401+G403+G405+G407+G409+G411+G413+G415+G417+G419+G421+G423+G425+G427+G429+G431+G433+G435+G437+G439+G441+G443+G445+G447+G449+G451+G453+G455+G457+G459+G461+G463+G465+G467+G469+G471+G473+G475+G477+G479+G481+G483+G485+G487+G489+G491</f>
        <v>2092.4109999999941</v>
      </c>
      <c r="H493" s="109">
        <f>H129+H131+H133+H135+H137+H139+H141+H143+H145+H147+H149+H151+H153+H155+H157+H159+H161+H163+H165+H167+H169+H171+H173+H175+H177+H179+H181+H183+H185+H187+H189+H191+H193+H195+H197+H199+H201+H203+H205+H207+H209+H211+H213+H215+H217+H219+H221+H223+H225+H227+H229+H231+H233+H235+H237+H239+H241+H243+H245+H247+H249+H251+H253+H255+H257+H259+H261+H263+H265+H267+H269+H271+H273+H275+H277+H279+H281+H283+H285+H287+H289+H291+H293+H295+H297+H299+H301+H303+H305+H307+H309+H311+H313+H315+H317+H319+H321+H323+H325+H327+H329+H331+H333+H335+H337+H339+H341+H343+H345+H347+H349+H351+H353+H355+H357+H359+H361+H363+H365+H367+H369+H371+H373+H375+H377+H379+H381+H383+H385+H387+H389+H391+H393+H395+H397+H399+H401+H403+H405+H407+H409+H411+H413+H415+H417+H419+H421+H423+H425+H427+H429+H431+H433+H435+H437+H439+H441+H443+H445+H447+H449+H451+H453+H455+H457+H459+H461+H463+H465+H467+H469+H471+H473+H475+H477+H479+H481+H483+H485+H487+H489+H491</f>
        <v>237.74370000000002</v>
      </c>
      <c r="I493" s="109">
        <f>G493+H493</f>
        <v>2330.1546999999941</v>
      </c>
      <c r="J493" s="295">
        <f>J129+J131+J133+J135+J137+J139+J141+J143+J145+J147+J149+J151+J153+J155+J157+J159+J161+J163+J165+J167+J169+J171+J173+J175+J177+J179+J181+J183+J185+J187+J189+J191+J193+J195+J197+J199+J201+J203+J205+J207+J209+J211+J213+J215+J217+J219+J221+J223+J225+J227+J229+J231+J233+J235+J237+J239+J241+J243+J245+J247+J249+J251+J253+J255+J257+J259+J261+J263+J265+J267+J269+J271+J273+J275+J277+J279+J281+J283+J285+J287+J289+J291+J293+J295+J297+J299+J301+J303+J305+J307+J309+J311+J313+J315+J317+J319+J321+J323+J325+J327+J329+J331+J333+J335+J337+J339+J341+J343+J345+J347+J349+J351+J353+J355+J357+J359+J361+J363+J365+J367+J369+J371+J373+J375+J377+J379+J381+J383+J385+J387+J389+J391+J393+J395+J397+J399+J401+J403+J405+J407+J409+J411+J413+J415+J417+J419+J421+J423+J425+J427+J429+J431+J433+J435+J437+J439+J441+J443+J445+J447+J449+J451+J453+J455+J457+J459+J461+J463+J465+J467+J469+J471+J473+J475+J477+J479+J481+J483+J485+J487+J489+J491</f>
        <v>1625.3119999999994</v>
      </c>
      <c r="K493" s="183">
        <f>I493-J493</f>
        <v>704.84269999999469</v>
      </c>
      <c r="L493" s="182">
        <f t="shared" si="1004"/>
        <v>0.6975124870464624</v>
      </c>
      <c r="M493" s="105" t="s">
        <v>218</v>
      </c>
      <c r="N493" s="372">
        <f>G493+G494</f>
        <v>4014.5169999999871</v>
      </c>
      <c r="O493" s="372">
        <f>H493+H494</f>
        <v>427.57770000000005</v>
      </c>
      <c r="P493" s="372">
        <f>+N493+O493</f>
        <v>4442.0946999999869</v>
      </c>
      <c r="Q493" s="372">
        <f>J493+J494</f>
        <v>3453.567</v>
      </c>
      <c r="R493" s="372">
        <f t="shared" ref="R493" si="1119">P493-Q493</f>
        <v>988.52769999998691</v>
      </c>
      <c r="S493" s="349">
        <f t="shared" ref="S493" si="1120">Q493/P493</f>
        <v>0.77746361418184318</v>
      </c>
      <c r="T493" s="140"/>
    </row>
    <row r="494" spans="1:20">
      <c r="A494" s="119"/>
      <c r="B494" s="339"/>
      <c r="C494" s="342"/>
      <c r="D494" s="342"/>
      <c r="E494" s="342"/>
      <c r="F494" s="177" t="s">
        <v>10</v>
      </c>
      <c r="G494" s="109">
        <f>G130+G132+G134+G136+G138+G140+G142+G144+G146+G148+G150+G152+G154+G156+G158+G160+G162+G164+G166+G168+G170+G172+G174+G176+G178+G180+G182+G184+G186+G188+G190+G192+G194+G196+G198+G200+G202+G204+G206+G208+G210+G212+G214+G216+G218+G220+G222+G224+G226+G228+G230+G232+G234+G236+G238+G240+G242+G244+G246+G248+G250+G252+G254+G256+G258+G260+G262+G264+G266+G268+G270+G272+G274+G276+G278+G280+G282+G284+G286+G288+G290+G292+G294+G296+G298+G300+G302+G304+G306+G308+G310+G312+G314+G316+G318+G320+G322+G324+G326+G328+G330+G332+G334+G336+G338+G340+G342+G344+G346+G348+G350+G352+G354+G356+G358+G360+G362+G364+G366+G368+G370+G372+G374+G376+G378+G380+G382+G384+G386+G388+G390+G392+G394+G396+G398+G400+G402+G404+G406+G408+G410+G412+G414+G416+G418+G420+G422+G424+G426+G428+G430+G432+G434+G436+G438+G440+G442+G444+G446+G448+G450+G452+G454+G456+G458+G460+G462+G464+G466+G468+G470+G472+G474+G476+G478+G480+G482+G484+G486+G488+G490+G492</f>
        <v>1922.1059999999927</v>
      </c>
      <c r="H494" s="109">
        <f>H130+H132+H134+H136+H138+H140+H142+H144+H146+H148+H150+H152+H154+H156+H158+H160+H162+H164+H166+H168+H170+H172+H174+H176+H178+H180+H182+H184+H186+H188+H190+H192+H194+H196+H198+H200+H202+H204+H206+H208+H210+H212+H214+H216+H218+H220+H222+H224+H226+H228+H230+H232+H234+H236+H238+H240+H242+H244+H246+H248+H250+H252+H254+H256+H258+H260+H262+H264+H266+H268+H270+H272+H274+H276+H278+H280+H282+H284+H286+H288+H290+H292+H294+H296+H298+H300+H302+H304+H306+H308+H310+H312+H314+H316+H318+H320+H322+H324+H326+H328+H330+H332+H334+H336+H338+H340+H342+H344+H346+H348+H350+H352+H354+H356+H358+H360+H362+H364+H366+H368+H370+H372+H374+H376+H378+H380+H382+H384+H386+H388+H390+H392+H394+H396+H398+H400+H402+H404+H406+H408+H410+H412+H414+H416+H418+H420+H422+H424+H426+H428+H430+H432+H434+H436+H438+H440+H442+H444+H446+H448+H450+H452+H454+H456+H458+H460+H462+H464+H466+H468+H470+H472+H474+H476+H478+H480+H482+H484+H486+H488+H490+H492</f>
        <v>189.834</v>
      </c>
      <c r="I494" s="109">
        <f>+H494+K493+G494</f>
        <v>2816.7826999999875</v>
      </c>
      <c r="J494" s="295">
        <f>J130+J132+J134+J136+J138+J140+J142+J144+J146+J148+J150+J152+J154+J156+J158+J160+J162+J164+J166+J168+J170+J172+J174+J176+J178+J180+J182+J184+J186+J188+J190+J192+J194+J196+J198+J200+J202+J204+J206+J208+J210+J212+J214+J216+J218+J220+J222+J224+J226+J228+J230+J232+J234+J236+J238+J240+J242+J244+J246+J248+J250+J252+J254+J256+J258+J260+J262+J264+J266+J268+J270+J272+J274+J276+J278+J280+J282+J284+J286+J288+J290+J292+J294+J296+J298+J300+J302+J304+J306+J308+J310+J312+J314+J316+J318+J320+J322+J324+J326+J328+J330+J332+J334+J336+J338+J340+J342+J344+J346+J348+J350+J352+J354+J356+J358+J360+J362+J364+J366+J368+J370+J372+J374+J376+J378+J380+J382+J384+J386+J388+J390+J392+J394+J396+J398+J400+J402+J404+J406+J408+J410+J412+J414+J416+J418+J420+J422+J424+J426+J428+J430+J432+J434+J436+J438+J440+J442+J444+J446+J448+J450+J452+J454+J456+J458+J460+J462+J464+J466+J468+J470+J472+J474+J476+J478+J480+J482+J484+J486+J488+J490+J492</f>
        <v>1828.2550000000003</v>
      </c>
      <c r="K494" s="109">
        <f>I494-J494</f>
        <v>988.52769999998714</v>
      </c>
      <c r="L494" s="182">
        <f>J494/I494</f>
        <v>0.64905787727253805</v>
      </c>
      <c r="M494" s="105" t="s">
        <v>218</v>
      </c>
      <c r="N494" s="372"/>
      <c r="O494" s="372"/>
      <c r="P494" s="372">
        <f t="shared" si="1009"/>
        <v>0</v>
      </c>
      <c r="Q494" s="372"/>
      <c r="R494" s="372"/>
      <c r="S494" s="349" t="e">
        <f t="shared" ref="S494" si="1121">+Q494/P494</f>
        <v>#DIV/0!</v>
      </c>
      <c r="T494" s="140"/>
    </row>
    <row r="495" spans="1:20" ht="19.899999999999999" customHeight="1">
      <c r="A495" s="119"/>
      <c r="B495" s="120"/>
      <c r="C495" s="121"/>
      <c r="D495" s="146"/>
      <c r="E495" s="122"/>
      <c r="F495" s="119"/>
      <c r="G495" s="135"/>
      <c r="H495" s="173"/>
      <c r="I495" s="138"/>
      <c r="J495" s="173"/>
      <c r="K495" s="147"/>
      <c r="L495" s="139"/>
      <c r="M495" s="123"/>
      <c r="N495" s="148"/>
      <c r="O495" s="148"/>
      <c r="P495" s="148"/>
      <c r="Q495" s="148"/>
      <c r="R495" s="148"/>
      <c r="S495" s="128"/>
      <c r="T495" s="140"/>
    </row>
    <row r="496" spans="1:20" ht="19.899999999999999" customHeight="1">
      <c r="A496" s="119"/>
      <c r="B496" s="120"/>
      <c r="C496" s="121"/>
      <c r="D496" s="146"/>
      <c r="E496" s="122"/>
      <c r="F496" s="119"/>
      <c r="G496" s="135"/>
      <c r="H496" s="173"/>
      <c r="I496" s="138"/>
      <c r="J496" s="173"/>
      <c r="K496" s="147"/>
      <c r="L496" s="139"/>
      <c r="M496" s="123"/>
      <c r="N496" s="148"/>
      <c r="O496" s="148"/>
      <c r="P496" s="148"/>
      <c r="Q496" s="148"/>
      <c r="R496" s="148"/>
      <c r="S496" s="128"/>
      <c r="T496" s="140"/>
    </row>
    <row r="497" spans="1:26" ht="19.899999999999999" customHeight="1">
      <c r="A497" s="119"/>
      <c r="B497" s="119"/>
      <c r="C497" s="131"/>
      <c r="D497" s="131"/>
      <c r="E497" s="149"/>
      <c r="F497" s="118"/>
      <c r="G497" s="150"/>
      <c r="H497" s="150"/>
      <c r="I497" s="150"/>
      <c r="J497" s="150"/>
      <c r="K497" s="122"/>
      <c r="L497" s="139"/>
      <c r="M497" s="123"/>
      <c r="N497" s="150"/>
      <c r="O497" s="151"/>
      <c r="P497" s="151"/>
      <c r="Q497" s="151"/>
      <c r="R497" s="151"/>
      <c r="S497" s="136"/>
      <c r="T497" s="140"/>
      <c r="U497" s="152"/>
      <c r="V497" s="152"/>
      <c r="W497" s="152"/>
      <c r="X497" s="141"/>
      <c r="Y497" s="141"/>
      <c r="Z497" s="153"/>
    </row>
    <row r="498" spans="1:26" ht="12" customHeight="1">
      <c r="A498" s="367"/>
      <c r="B498" s="339" t="s">
        <v>361</v>
      </c>
      <c r="C498" s="345"/>
      <c r="D498" s="355" t="s">
        <v>253</v>
      </c>
      <c r="E498" s="344" t="s">
        <v>281</v>
      </c>
      <c r="F498" s="129" t="s">
        <v>488</v>
      </c>
      <c r="G498" s="285">
        <f>572.15+500</f>
        <v>1072.1500000000001</v>
      </c>
      <c r="H498" s="172"/>
      <c r="I498" s="172">
        <f>G498+H498</f>
        <v>1072.1500000000001</v>
      </c>
      <c r="J498" s="292">
        <v>685.89</v>
      </c>
      <c r="K498" s="172">
        <f t="shared" ref="K498:K538" si="1122">I498-J498</f>
        <v>386.2600000000001</v>
      </c>
      <c r="L498" s="154">
        <f>J498/I498</f>
        <v>0.6397332462808375</v>
      </c>
      <c r="M498" s="98" t="s">
        <v>218</v>
      </c>
      <c r="N498" s="334">
        <f>+G498+G499</f>
        <v>1144.3000000000002</v>
      </c>
      <c r="O498" s="334">
        <f>+H498+H499</f>
        <v>0</v>
      </c>
      <c r="P498" s="334">
        <f>N498+O498</f>
        <v>1144.3000000000002</v>
      </c>
      <c r="Q498" s="334">
        <f>+J498+J499</f>
        <v>868.08600000000001</v>
      </c>
      <c r="R498" s="334">
        <f>P498-Q498</f>
        <v>276.21400000000017</v>
      </c>
      <c r="S498" s="332">
        <f>Q498/P498</f>
        <v>0.75861749541204215</v>
      </c>
      <c r="T498" s="140"/>
      <c r="U498" s="141"/>
      <c r="V498" s="141"/>
      <c r="W498" s="141"/>
      <c r="X498" s="141"/>
      <c r="Y498" s="141"/>
      <c r="Z498" s="141"/>
    </row>
    <row r="499" spans="1:26">
      <c r="A499" s="367"/>
      <c r="B499" s="339"/>
      <c r="C499" s="345"/>
      <c r="D499" s="356"/>
      <c r="E499" s="344"/>
      <c r="F499" s="129" t="s">
        <v>10</v>
      </c>
      <c r="G499" s="285">
        <f>572.15-500</f>
        <v>72.149999999999977</v>
      </c>
      <c r="H499" s="172"/>
      <c r="I499" s="172">
        <f>G499+H499+K498</f>
        <v>458.41000000000008</v>
      </c>
      <c r="J499" s="292">
        <v>182.196</v>
      </c>
      <c r="K499" s="172">
        <f t="shared" si="1122"/>
        <v>276.21400000000006</v>
      </c>
      <c r="L499" s="154">
        <f t="shared" ref="L499:L502" si="1123">J499/I499</f>
        <v>0.39745206256408011</v>
      </c>
      <c r="M499" s="98" t="s">
        <v>218</v>
      </c>
      <c r="N499" s="334"/>
      <c r="O499" s="334"/>
      <c r="P499" s="334"/>
      <c r="Q499" s="334"/>
      <c r="R499" s="334"/>
      <c r="S499" s="332"/>
      <c r="T499" s="140"/>
      <c r="U499" s="141"/>
      <c r="V499" s="141"/>
      <c r="W499" s="141"/>
      <c r="X499" s="141"/>
      <c r="Y499" s="141"/>
      <c r="Z499" s="141"/>
    </row>
    <row r="500" spans="1:26">
      <c r="A500" s="367"/>
      <c r="B500" s="339"/>
      <c r="C500" s="345"/>
      <c r="D500" s="356"/>
      <c r="E500" s="344" t="s">
        <v>282</v>
      </c>
      <c r="F500" s="129" t="s">
        <v>488</v>
      </c>
      <c r="G500" s="285">
        <v>34.264000000000003</v>
      </c>
      <c r="H500" s="172"/>
      <c r="I500" s="224">
        <f>G500+H500</f>
        <v>34.264000000000003</v>
      </c>
      <c r="J500" s="292">
        <v>12.734</v>
      </c>
      <c r="K500" s="172">
        <f t="shared" si="1122"/>
        <v>21.53</v>
      </c>
      <c r="L500" s="154">
        <f t="shared" si="1123"/>
        <v>0.3716437076815316</v>
      </c>
      <c r="M500" s="98" t="s">
        <v>218</v>
      </c>
      <c r="N500" s="334">
        <f t="shared" ref="N500" si="1124">+G500+G501</f>
        <v>68.528000000000006</v>
      </c>
      <c r="O500" s="334">
        <f t="shared" ref="O500" si="1125">+H500+H501</f>
        <v>0</v>
      </c>
      <c r="P500" s="334">
        <f t="shared" ref="P500" si="1126">N500+O500</f>
        <v>68.528000000000006</v>
      </c>
      <c r="Q500" s="334">
        <f t="shared" ref="Q500" si="1127">+J500+J501</f>
        <v>19.169</v>
      </c>
      <c r="R500" s="334">
        <f t="shared" ref="R500" si="1128">P500-Q500</f>
        <v>49.359000000000009</v>
      </c>
      <c r="S500" s="332">
        <f t="shared" ref="S500" si="1129">Q500/P500</f>
        <v>0.27972507588139151</v>
      </c>
      <c r="T500" s="140"/>
      <c r="U500" s="141"/>
      <c r="V500" s="141"/>
      <c r="W500" s="141"/>
      <c r="X500" s="141"/>
      <c r="Y500" s="141"/>
      <c r="Z500" s="141"/>
    </row>
    <row r="501" spans="1:26">
      <c r="A501" s="367"/>
      <c r="B501" s="339"/>
      <c r="C501" s="345"/>
      <c r="D501" s="356"/>
      <c r="E501" s="344"/>
      <c r="F501" s="129" t="s">
        <v>10</v>
      </c>
      <c r="G501" s="285">
        <v>34.264000000000003</v>
      </c>
      <c r="H501" s="172"/>
      <c r="I501" s="224">
        <f>G501+H501+K500</f>
        <v>55.794000000000004</v>
      </c>
      <c r="J501" s="292">
        <v>6.4349999999999996</v>
      </c>
      <c r="K501" s="172">
        <f>I501-J501</f>
        <v>49.359000000000002</v>
      </c>
      <c r="L501" s="154">
        <f t="shared" si="1123"/>
        <v>0.11533498225615656</v>
      </c>
      <c r="M501" s="98" t="s">
        <v>218</v>
      </c>
      <c r="N501" s="334"/>
      <c r="O501" s="334"/>
      <c r="P501" s="334"/>
      <c r="Q501" s="334"/>
      <c r="R501" s="334"/>
      <c r="S501" s="332"/>
      <c r="T501" s="140"/>
      <c r="U501" s="141"/>
      <c r="V501" s="141"/>
      <c r="W501" s="141"/>
      <c r="X501" s="141"/>
      <c r="Y501" s="141"/>
      <c r="Z501" s="141"/>
    </row>
    <row r="502" spans="1:26">
      <c r="A502" s="367"/>
      <c r="B502" s="339"/>
      <c r="C502" s="345"/>
      <c r="D502" s="356"/>
      <c r="E502" s="344" t="s">
        <v>283</v>
      </c>
      <c r="F502" s="129" t="s">
        <v>488</v>
      </c>
      <c r="G502" s="285">
        <v>81.049000000000007</v>
      </c>
      <c r="H502" s="172"/>
      <c r="I502" s="224">
        <f>G502+H502</f>
        <v>81.049000000000007</v>
      </c>
      <c r="J502" s="292">
        <v>61.656999999999996</v>
      </c>
      <c r="K502" s="172">
        <f t="shared" si="1122"/>
        <v>19.39200000000001</v>
      </c>
      <c r="L502" s="154">
        <f t="shared" si="1123"/>
        <v>0.76073733173759073</v>
      </c>
      <c r="M502" s="98" t="s">
        <v>218</v>
      </c>
      <c r="N502" s="334">
        <f t="shared" ref="N502" si="1130">+G502+G503</f>
        <v>162.09800000000001</v>
      </c>
      <c r="O502" s="334">
        <f t="shared" ref="O502" si="1131">+H502+H503</f>
        <v>0</v>
      </c>
      <c r="P502" s="334">
        <f t="shared" ref="P502" si="1132">N502+O502</f>
        <v>162.09800000000001</v>
      </c>
      <c r="Q502" s="334">
        <f t="shared" ref="Q502" si="1133">+J502+J503</f>
        <v>69.24499999999999</v>
      </c>
      <c r="R502" s="334">
        <f t="shared" ref="R502" si="1134">P502-Q502</f>
        <v>92.853000000000023</v>
      </c>
      <c r="S502" s="332">
        <f t="shared" ref="S502" si="1135">Q502/P502</f>
        <v>0.42717985416229681</v>
      </c>
    </row>
    <row r="503" spans="1:26">
      <c r="A503" s="367"/>
      <c r="B503" s="339"/>
      <c r="C503" s="345"/>
      <c r="D503" s="356"/>
      <c r="E503" s="344"/>
      <c r="F503" s="129" t="s">
        <v>10</v>
      </c>
      <c r="G503" s="285">
        <v>81.049000000000007</v>
      </c>
      <c r="H503" s="172"/>
      <c r="I503" s="224">
        <f>G503+H503+K502</f>
        <v>100.44100000000002</v>
      </c>
      <c r="J503" s="292">
        <v>7.5880000000000001</v>
      </c>
      <c r="K503" s="172">
        <f t="shared" si="1122"/>
        <v>92.853000000000023</v>
      </c>
      <c r="L503" s="154">
        <f t="shared" ref="L503:L544" si="1136">J503/I503</f>
        <v>7.5546838442468706E-2</v>
      </c>
      <c r="M503" s="98" t="s">
        <v>218</v>
      </c>
      <c r="N503" s="334"/>
      <c r="O503" s="334"/>
      <c r="P503" s="334"/>
      <c r="Q503" s="334"/>
      <c r="R503" s="334"/>
      <c r="S503" s="332"/>
    </row>
    <row r="504" spans="1:26">
      <c r="A504" s="367"/>
      <c r="B504" s="339"/>
      <c r="C504" s="345"/>
      <c r="D504" s="356"/>
      <c r="E504" s="344" t="s">
        <v>284</v>
      </c>
      <c r="F504" s="129" t="s">
        <v>488</v>
      </c>
      <c r="G504" s="285">
        <v>16.288</v>
      </c>
      <c r="H504" s="172"/>
      <c r="I504" s="224">
        <f>G504+H504</f>
        <v>16.288</v>
      </c>
      <c r="J504" s="292">
        <v>14.294</v>
      </c>
      <c r="K504" s="172">
        <f t="shared" si="1122"/>
        <v>1.9939999999999998</v>
      </c>
      <c r="L504" s="154">
        <f t="shared" si="1136"/>
        <v>0.87757858546168965</v>
      </c>
      <c r="M504" s="98" t="s">
        <v>218</v>
      </c>
      <c r="N504" s="334">
        <f t="shared" ref="N504" si="1137">+G504+G505</f>
        <v>32.576000000000001</v>
      </c>
      <c r="O504" s="334">
        <f t="shared" ref="O504" si="1138">+H504+H505</f>
        <v>0</v>
      </c>
      <c r="P504" s="334">
        <f t="shared" ref="P504" si="1139">N504+O504</f>
        <v>32.576000000000001</v>
      </c>
      <c r="Q504" s="334">
        <f t="shared" ref="Q504" si="1140">+J504+J505</f>
        <v>15.094000000000001</v>
      </c>
      <c r="R504" s="334">
        <f t="shared" ref="R504" si="1141">P504-Q504</f>
        <v>17.481999999999999</v>
      </c>
      <c r="S504" s="332">
        <f t="shared" ref="S504" si="1142">Q504/P504</f>
        <v>0.46334724950884087</v>
      </c>
    </row>
    <row r="505" spans="1:26">
      <c r="A505" s="367"/>
      <c r="B505" s="339"/>
      <c r="C505" s="345"/>
      <c r="D505" s="356"/>
      <c r="E505" s="344"/>
      <c r="F505" s="129" t="s">
        <v>10</v>
      </c>
      <c r="G505" s="285">
        <v>16.288</v>
      </c>
      <c r="H505" s="172"/>
      <c r="I505" s="224">
        <f>G505+H505+K504</f>
        <v>18.282</v>
      </c>
      <c r="J505" s="292">
        <v>0.8</v>
      </c>
      <c r="K505" s="172">
        <f t="shared" si="1122"/>
        <v>17.481999999999999</v>
      </c>
      <c r="L505" s="154">
        <f t="shared" si="1136"/>
        <v>4.3758888524231487E-2</v>
      </c>
      <c r="M505" s="98" t="s">
        <v>218</v>
      </c>
      <c r="N505" s="334"/>
      <c r="O505" s="334"/>
      <c r="P505" s="334"/>
      <c r="Q505" s="334"/>
      <c r="R505" s="334"/>
      <c r="S505" s="332"/>
    </row>
    <row r="506" spans="1:26">
      <c r="A506" s="367"/>
      <c r="B506" s="339"/>
      <c r="C506" s="345"/>
      <c r="D506" s="356"/>
      <c r="E506" s="344" t="s">
        <v>285</v>
      </c>
      <c r="F506" s="129" t="s">
        <v>488</v>
      </c>
      <c r="G506" s="285">
        <f>45.967+30</f>
        <v>75.966999999999999</v>
      </c>
      <c r="H506" s="172"/>
      <c r="I506" s="224">
        <f>G506+H506</f>
        <v>75.966999999999999</v>
      </c>
      <c r="J506" s="292">
        <v>45.844000000000001</v>
      </c>
      <c r="K506" s="172">
        <f t="shared" si="1122"/>
        <v>30.122999999999998</v>
      </c>
      <c r="L506" s="154">
        <f t="shared" si="1136"/>
        <v>0.60347256045388131</v>
      </c>
      <c r="M506" s="98" t="s">
        <v>218</v>
      </c>
      <c r="N506" s="334">
        <f t="shared" ref="N506" si="1143">+G506+G507</f>
        <v>91.933999999999997</v>
      </c>
      <c r="O506" s="334">
        <f t="shared" ref="O506" si="1144">+H506+H507</f>
        <v>0</v>
      </c>
      <c r="P506" s="334">
        <f t="shared" ref="P506" si="1145">N506+O506</f>
        <v>91.933999999999997</v>
      </c>
      <c r="Q506" s="334">
        <f t="shared" ref="Q506" si="1146">+J506+J507</f>
        <v>59.415999999999997</v>
      </c>
      <c r="R506" s="334">
        <f t="shared" ref="R506" si="1147">P506-Q506</f>
        <v>32.518000000000001</v>
      </c>
      <c r="S506" s="332">
        <f t="shared" ref="S506" si="1148">Q506/P506</f>
        <v>0.64628972958861786</v>
      </c>
    </row>
    <row r="507" spans="1:26">
      <c r="A507" s="367"/>
      <c r="B507" s="339"/>
      <c r="C507" s="345"/>
      <c r="D507" s="356"/>
      <c r="E507" s="344"/>
      <c r="F507" s="129" t="s">
        <v>10</v>
      </c>
      <c r="G507" s="285">
        <f>45.967-30</f>
        <v>15.966999999999999</v>
      </c>
      <c r="H507" s="172"/>
      <c r="I507" s="224">
        <f>G507+H507+K506</f>
        <v>46.089999999999996</v>
      </c>
      <c r="J507" s="292">
        <v>13.571999999999999</v>
      </c>
      <c r="K507" s="172">
        <f t="shared" si="1122"/>
        <v>32.518000000000001</v>
      </c>
      <c r="L507" s="154">
        <f t="shared" si="1136"/>
        <v>0.2944673464959861</v>
      </c>
      <c r="M507" s="98" t="s">
        <v>218</v>
      </c>
      <c r="N507" s="334"/>
      <c r="O507" s="334"/>
      <c r="P507" s="334"/>
      <c r="Q507" s="334"/>
      <c r="R507" s="334"/>
      <c r="S507" s="332"/>
    </row>
    <row r="508" spans="1:26">
      <c r="A508" s="367"/>
      <c r="B508" s="339"/>
      <c r="C508" s="345"/>
      <c r="D508" s="356"/>
      <c r="E508" s="344" t="s">
        <v>286</v>
      </c>
      <c r="F508" s="129" t="s">
        <v>488</v>
      </c>
      <c r="G508" s="285">
        <v>30.893000000000001</v>
      </c>
      <c r="H508" s="172">
        <f>-13</f>
        <v>-13</v>
      </c>
      <c r="I508" s="224">
        <f>G508+H508</f>
        <v>17.893000000000001</v>
      </c>
      <c r="J508" s="292">
        <v>10.722</v>
      </c>
      <c r="K508" s="172">
        <f t="shared" si="1122"/>
        <v>7.1710000000000012</v>
      </c>
      <c r="L508" s="154">
        <f t="shared" si="1136"/>
        <v>0.59922874867266529</v>
      </c>
      <c r="M508" s="98" t="s">
        <v>218</v>
      </c>
      <c r="N508" s="334">
        <f t="shared" ref="N508" si="1149">+G508+G509</f>
        <v>61.786000000000001</v>
      </c>
      <c r="O508" s="334">
        <f t="shared" ref="O508" si="1150">+H508+H509</f>
        <v>-21.119999999999997</v>
      </c>
      <c r="P508" s="334">
        <f t="shared" ref="P508" si="1151">N508+O508</f>
        <v>40.666000000000004</v>
      </c>
      <c r="Q508" s="334">
        <f t="shared" ref="Q508" si="1152">+J508+J509</f>
        <v>18.076999999999998</v>
      </c>
      <c r="R508" s="334">
        <f t="shared" ref="R508" si="1153">P508-Q508</f>
        <v>22.589000000000006</v>
      </c>
      <c r="S508" s="332">
        <f t="shared" ref="S508" si="1154">Q508/P508</f>
        <v>0.44452368071607723</v>
      </c>
    </row>
    <row r="509" spans="1:26">
      <c r="A509" s="367"/>
      <c r="B509" s="339"/>
      <c r="C509" s="345"/>
      <c r="D509" s="356"/>
      <c r="E509" s="344"/>
      <c r="F509" s="129" t="s">
        <v>10</v>
      </c>
      <c r="G509" s="285">
        <v>30.893000000000001</v>
      </c>
      <c r="H509" s="93">
        <f>-8.12</f>
        <v>-8.1199999999999992</v>
      </c>
      <c r="I509" s="224">
        <f>G509+H509+K508</f>
        <v>29.944000000000003</v>
      </c>
      <c r="J509" s="292">
        <v>7.3550000000000004</v>
      </c>
      <c r="K509" s="172">
        <f t="shared" si="1122"/>
        <v>22.589000000000002</v>
      </c>
      <c r="L509" s="154">
        <f t="shared" si="1136"/>
        <v>0.24562516697835959</v>
      </c>
      <c r="M509" s="98" t="s">
        <v>218</v>
      </c>
      <c r="N509" s="334"/>
      <c r="O509" s="334"/>
      <c r="P509" s="334"/>
      <c r="Q509" s="334"/>
      <c r="R509" s="334"/>
      <c r="S509" s="332"/>
    </row>
    <row r="510" spans="1:26">
      <c r="A510" s="367"/>
      <c r="B510" s="339"/>
      <c r="C510" s="345"/>
      <c r="D510" s="356"/>
      <c r="E510" s="344" t="s">
        <v>316</v>
      </c>
      <c r="F510" s="129" t="s">
        <v>488</v>
      </c>
      <c r="G510" s="285">
        <v>17.614999999999998</v>
      </c>
      <c r="H510" s="172"/>
      <c r="I510" s="224">
        <f>G510+H510</f>
        <v>17.614999999999998</v>
      </c>
      <c r="J510" s="292"/>
      <c r="K510" s="172">
        <f t="shared" si="1122"/>
        <v>17.614999999999998</v>
      </c>
      <c r="L510" s="154">
        <f t="shared" si="1136"/>
        <v>0</v>
      </c>
      <c r="M510" s="98" t="s">
        <v>218</v>
      </c>
      <c r="N510" s="334">
        <f t="shared" ref="N510" si="1155">+G510+G511</f>
        <v>35.229999999999997</v>
      </c>
      <c r="O510" s="334">
        <f t="shared" ref="O510" si="1156">+H510+H511</f>
        <v>-35</v>
      </c>
      <c r="P510" s="334">
        <f t="shared" ref="P510" si="1157">N510+O510</f>
        <v>0.22999999999999687</v>
      </c>
      <c r="Q510" s="334">
        <f t="shared" ref="Q510" si="1158">+J510+J511</f>
        <v>0</v>
      </c>
      <c r="R510" s="334">
        <f t="shared" ref="R510" si="1159">P510-Q510</f>
        <v>0.22999999999999687</v>
      </c>
      <c r="S510" s="332">
        <f t="shared" ref="S510" si="1160">Q510/P510</f>
        <v>0</v>
      </c>
    </row>
    <row r="511" spans="1:26">
      <c r="A511" s="367"/>
      <c r="B511" s="339"/>
      <c r="C511" s="345"/>
      <c r="D511" s="356"/>
      <c r="E511" s="344"/>
      <c r="F511" s="129" t="s">
        <v>10</v>
      </c>
      <c r="G511" s="285">
        <v>17.614999999999998</v>
      </c>
      <c r="H511" s="172">
        <f>-35</f>
        <v>-35</v>
      </c>
      <c r="I511" s="224">
        <f>G511+H511+K510</f>
        <v>0.22999999999999687</v>
      </c>
      <c r="J511" s="292"/>
      <c r="K511" s="172">
        <f t="shared" si="1122"/>
        <v>0.22999999999999687</v>
      </c>
      <c r="L511" s="154">
        <f t="shared" si="1136"/>
        <v>0</v>
      </c>
      <c r="M511" s="176">
        <v>44470</v>
      </c>
      <c r="N511" s="334"/>
      <c r="O511" s="334"/>
      <c r="P511" s="334"/>
      <c r="Q511" s="334"/>
      <c r="R511" s="334"/>
      <c r="S511" s="332"/>
    </row>
    <row r="512" spans="1:26">
      <c r="A512" s="367"/>
      <c r="B512" s="339"/>
      <c r="C512" s="345"/>
      <c r="D512" s="356"/>
      <c r="E512" s="344" t="s">
        <v>287</v>
      </c>
      <c r="F512" s="129" t="s">
        <v>488</v>
      </c>
      <c r="G512" s="285">
        <v>36.588999999999999</v>
      </c>
      <c r="H512" s="172">
        <f>-8-9.5-40</f>
        <v>-57.5</v>
      </c>
      <c r="I512" s="224">
        <f>G512+H512</f>
        <v>-20.911000000000001</v>
      </c>
      <c r="J512" s="292"/>
      <c r="K512" s="172">
        <f t="shared" si="1122"/>
        <v>-20.911000000000001</v>
      </c>
      <c r="L512" s="154">
        <f t="shared" si="1136"/>
        <v>0</v>
      </c>
      <c r="M512" s="98" t="s">
        <v>218</v>
      </c>
      <c r="N512" s="334">
        <f t="shared" ref="N512" si="1161">+G512+G513</f>
        <v>73.177999999999997</v>
      </c>
      <c r="O512" s="334">
        <f t="shared" ref="O512" si="1162">+H512+H513</f>
        <v>-66.5</v>
      </c>
      <c r="P512" s="334">
        <f t="shared" ref="P512" si="1163">N512+O512</f>
        <v>6.6779999999999973</v>
      </c>
      <c r="Q512" s="334">
        <f t="shared" ref="Q512" si="1164">+J512+J513</f>
        <v>1.875</v>
      </c>
      <c r="R512" s="334">
        <f t="shared" ref="R512" si="1165">P512-Q512</f>
        <v>4.8029999999999973</v>
      </c>
      <c r="S512" s="332">
        <f t="shared" ref="S512" si="1166">Q512/P512</f>
        <v>0.28077268643306391</v>
      </c>
    </row>
    <row r="513" spans="1:19">
      <c r="A513" s="367"/>
      <c r="B513" s="339"/>
      <c r="C513" s="345"/>
      <c r="D513" s="356"/>
      <c r="E513" s="344"/>
      <c r="F513" s="129" t="s">
        <v>10</v>
      </c>
      <c r="G513" s="285">
        <v>36.588999999999999</v>
      </c>
      <c r="H513" s="172">
        <f>-5-4</f>
        <v>-9</v>
      </c>
      <c r="I513" s="224">
        <f>G513+H513+K512</f>
        <v>6.6779999999999973</v>
      </c>
      <c r="J513" s="292">
        <v>1.875</v>
      </c>
      <c r="K513" s="172">
        <f t="shared" si="1122"/>
        <v>4.8029999999999973</v>
      </c>
      <c r="L513" s="154">
        <f t="shared" si="1136"/>
        <v>0.28077268643306391</v>
      </c>
      <c r="M513" s="98" t="s">
        <v>218</v>
      </c>
      <c r="N513" s="334"/>
      <c r="O513" s="334"/>
      <c r="P513" s="334"/>
      <c r="Q513" s="334"/>
      <c r="R513" s="334"/>
      <c r="S513" s="332"/>
    </row>
    <row r="514" spans="1:19">
      <c r="A514" s="367"/>
      <c r="B514" s="339"/>
      <c r="C514" s="345"/>
      <c r="D514" s="356"/>
      <c r="E514" s="344" t="s">
        <v>317</v>
      </c>
      <c r="F514" s="129" t="s">
        <v>488</v>
      </c>
      <c r="G514" s="285">
        <f>62.649+40</f>
        <v>102.649</v>
      </c>
      <c r="H514" s="172">
        <f>-20-40+20-5</f>
        <v>-45</v>
      </c>
      <c r="I514" s="224">
        <f>G514+H514</f>
        <v>57.649000000000001</v>
      </c>
      <c r="J514" s="292">
        <v>18.134</v>
      </c>
      <c r="K514" s="172">
        <f t="shared" si="1122"/>
        <v>39.515000000000001</v>
      </c>
      <c r="L514" s="154">
        <f t="shared" si="1136"/>
        <v>0.31455879546913218</v>
      </c>
      <c r="M514" s="98" t="s">
        <v>218</v>
      </c>
      <c r="N514" s="334">
        <f t="shared" ref="N514" si="1167">+G514+G515</f>
        <v>125.298</v>
      </c>
      <c r="O514" s="334">
        <f t="shared" ref="O514" si="1168">+H514+H515</f>
        <v>-56.6</v>
      </c>
      <c r="P514" s="334">
        <f t="shared" ref="P514" si="1169">N514+O514</f>
        <v>68.698000000000008</v>
      </c>
      <c r="Q514" s="334">
        <f t="shared" ref="Q514" si="1170">+J514+J515</f>
        <v>33.728999999999999</v>
      </c>
      <c r="R514" s="334">
        <f t="shared" ref="R514" si="1171">P514-Q514</f>
        <v>34.969000000000008</v>
      </c>
      <c r="S514" s="332">
        <f t="shared" ref="S514" si="1172">Q514/P514</f>
        <v>0.49097499199394445</v>
      </c>
    </row>
    <row r="515" spans="1:19">
      <c r="A515" s="367"/>
      <c r="B515" s="339"/>
      <c r="C515" s="345"/>
      <c r="D515" s="356"/>
      <c r="E515" s="344"/>
      <c r="F515" s="129" t="s">
        <v>10</v>
      </c>
      <c r="G515" s="285">
        <f>62.649-40</f>
        <v>22.649000000000001</v>
      </c>
      <c r="H515" s="172">
        <f>-5-6.6</f>
        <v>-11.6</v>
      </c>
      <c r="I515" s="224">
        <f>G515+H515+K514</f>
        <v>50.564</v>
      </c>
      <c r="J515" s="292">
        <v>15.595000000000001</v>
      </c>
      <c r="K515" s="172">
        <f t="shared" si="1122"/>
        <v>34.969000000000001</v>
      </c>
      <c r="L515" s="154">
        <f t="shared" si="1136"/>
        <v>0.30842101099596553</v>
      </c>
      <c r="M515" s="98" t="s">
        <v>218</v>
      </c>
      <c r="N515" s="334"/>
      <c r="O515" s="334"/>
      <c r="P515" s="334"/>
      <c r="Q515" s="334"/>
      <c r="R515" s="334"/>
      <c r="S515" s="332"/>
    </row>
    <row r="516" spans="1:19">
      <c r="A516" s="367"/>
      <c r="B516" s="339"/>
      <c r="C516" s="345"/>
      <c r="D516" s="356"/>
      <c r="E516" s="344" t="s">
        <v>318</v>
      </c>
      <c r="F516" s="129" t="s">
        <v>488</v>
      </c>
      <c r="G516" s="285">
        <v>11.069000000000001</v>
      </c>
      <c r="H516" s="172"/>
      <c r="I516" s="224">
        <f>G516+H516</f>
        <v>11.069000000000001</v>
      </c>
      <c r="J516" s="292"/>
      <c r="K516" s="172">
        <f t="shared" si="1122"/>
        <v>11.069000000000001</v>
      </c>
      <c r="L516" s="154">
        <f t="shared" si="1136"/>
        <v>0</v>
      </c>
      <c r="M516" s="98" t="s">
        <v>218</v>
      </c>
      <c r="N516" s="334">
        <f t="shared" ref="N516" si="1173">+G516+G517</f>
        <v>22.138000000000002</v>
      </c>
      <c r="O516" s="334">
        <f t="shared" ref="O516" si="1174">+H516+H517</f>
        <v>-19.5</v>
      </c>
      <c r="P516" s="334">
        <f t="shared" ref="P516" si="1175">N516+O516</f>
        <v>2.6380000000000017</v>
      </c>
      <c r="Q516" s="334">
        <f t="shared" ref="Q516" si="1176">+J516+J517</f>
        <v>2.2919999999999998</v>
      </c>
      <c r="R516" s="334">
        <f t="shared" ref="R516" si="1177">P516-Q516</f>
        <v>0.34600000000000186</v>
      </c>
      <c r="S516" s="332">
        <f t="shared" ref="S516" si="1178">Q516/P516</f>
        <v>0.86884003032600388</v>
      </c>
    </row>
    <row r="517" spans="1:19">
      <c r="A517" s="367"/>
      <c r="B517" s="339"/>
      <c r="C517" s="345"/>
      <c r="D517" s="356"/>
      <c r="E517" s="344"/>
      <c r="F517" s="129" t="s">
        <v>10</v>
      </c>
      <c r="G517" s="285">
        <v>11.069000000000001</v>
      </c>
      <c r="H517" s="155">
        <f>-19.5</f>
        <v>-19.5</v>
      </c>
      <c r="I517" s="224">
        <f>G517+H517+K516</f>
        <v>2.6380000000000017</v>
      </c>
      <c r="J517" s="292">
        <v>2.2919999999999998</v>
      </c>
      <c r="K517" s="172">
        <f t="shared" si="1122"/>
        <v>0.34600000000000186</v>
      </c>
      <c r="L517" s="154">
        <f t="shared" si="1136"/>
        <v>0.86884003032600388</v>
      </c>
      <c r="M517" s="98" t="s">
        <v>218</v>
      </c>
      <c r="N517" s="334"/>
      <c r="O517" s="334"/>
      <c r="P517" s="334"/>
      <c r="Q517" s="334"/>
      <c r="R517" s="334"/>
      <c r="S517" s="332"/>
    </row>
    <row r="518" spans="1:19">
      <c r="A518" s="367"/>
      <c r="B518" s="339"/>
      <c r="C518" s="345"/>
      <c r="D518" s="356"/>
      <c r="E518" s="362" t="s">
        <v>319</v>
      </c>
      <c r="F518" s="129" t="s">
        <v>488</v>
      </c>
      <c r="G518" s="285">
        <v>10.48</v>
      </c>
      <c r="H518" s="172">
        <f>-9.6</f>
        <v>-9.6</v>
      </c>
      <c r="I518" s="224">
        <f>G518+H518</f>
        <v>0.88000000000000078</v>
      </c>
      <c r="J518" s="292">
        <v>0.85599999999999998</v>
      </c>
      <c r="K518" s="172">
        <f t="shared" si="1122"/>
        <v>2.4000000000000798E-2</v>
      </c>
      <c r="L518" s="154">
        <f t="shared" si="1136"/>
        <v>0.97272727272727189</v>
      </c>
      <c r="M518" s="98" t="s">
        <v>218</v>
      </c>
      <c r="N518" s="334">
        <f t="shared" ref="N518" si="1179">+G518+G519</f>
        <v>20.96</v>
      </c>
      <c r="O518" s="334">
        <f t="shared" ref="O518" si="1180">+H518+H519</f>
        <v>-9.6</v>
      </c>
      <c r="P518" s="334">
        <f t="shared" ref="P518" si="1181">N518+O518</f>
        <v>11.360000000000001</v>
      </c>
      <c r="Q518" s="334">
        <f t="shared" ref="Q518" si="1182">+J518+J519</f>
        <v>1.1619999999999999</v>
      </c>
      <c r="R518" s="334">
        <f t="shared" ref="R518" si="1183">P518-Q518</f>
        <v>10.198</v>
      </c>
      <c r="S518" s="332">
        <f t="shared" ref="S518" si="1184">Q518/P518</f>
        <v>0.10228873239436619</v>
      </c>
    </row>
    <row r="519" spans="1:19">
      <c r="A519" s="367"/>
      <c r="B519" s="339"/>
      <c r="C519" s="345"/>
      <c r="D519" s="356"/>
      <c r="E519" s="362"/>
      <c r="F519" s="129" t="s">
        <v>10</v>
      </c>
      <c r="G519" s="285">
        <v>10.48</v>
      </c>
      <c r="H519" s="172"/>
      <c r="I519" s="224">
        <f>G519+H519+K518</f>
        <v>10.504000000000001</v>
      </c>
      <c r="J519" s="292">
        <v>0.30599999999999999</v>
      </c>
      <c r="K519" s="172">
        <f t="shared" si="1122"/>
        <v>10.198000000000002</v>
      </c>
      <c r="L519" s="154">
        <f t="shared" si="1136"/>
        <v>2.9131759329779128E-2</v>
      </c>
      <c r="M519" s="98" t="s">
        <v>218</v>
      </c>
      <c r="N519" s="334"/>
      <c r="O519" s="334"/>
      <c r="P519" s="334"/>
      <c r="Q519" s="334"/>
      <c r="R519" s="334"/>
      <c r="S519" s="332"/>
    </row>
    <row r="520" spans="1:19">
      <c r="A520" s="367"/>
      <c r="B520" s="339"/>
      <c r="C520" s="345"/>
      <c r="D520" s="356"/>
      <c r="E520" s="344" t="s">
        <v>320</v>
      </c>
      <c r="F520" s="129" t="s">
        <v>488</v>
      </c>
      <c r="G520" s="285">
        <v>4.47</v>
      </c>
      <c r="H520" s="172"/>
      <c r="I520" s="224">
        <f>G520+H520</f>
        <v>4.47</v>
      </c>
      <c r="J520" s="292"/>
      <c r="K520" s="172">
        <f t="shared" si="1122"/>
        <v>4.47</v>
      </c>
      <c r="L520" s="154">
        <f t="shared" si="1136"/>
        <v>0</v>
      </c>
      <c r="M520" s="98" t="s">
        <v>218</v>
      </c>
      <c r="N520" s="334">
        <f t="shared" ref="N520" si="1185">+G520+G521</f>
        <v>8.94</v>
      </c>
      <c r="O520" s="334">
        <f t="shared" ref="O520" si="1186">+H520+H521</f>
        <v>0</v>
      </c>
      <c r="P520" s="334">
        <f t="shared" ref="P520" si="1187">N520+O520</f>
        <v>8.94</v>
      </c>
      <c r="Q520" s="334">
        <f t="shared" ref="Q520" si="1188">+J520+J521</f>
        <v>0</v>
      </c>
      <c r="R520" s="334">
        <f t="shared" ref="R520" si="1189">P520-Q520</f>
        <v>8.94</v>
      </c>
      <c r="S520" s="332">
        <f t="shared" ref="S520" si="1190">Q520/P520</f>
        <v>0</v>
      </c>
    </row>
    <row r="521" spans="1:19">
      <c r="A521" s="367"/>
      <c r="B521" s="339"/>
      <c r="C521" s="345"/>
      <c r="D521" s="356"/>
      <c r="E521" s="344"/>
      <c r="F521" s="129" t="s">
        <v>10</v>
      </c>
      <c r="G521" s="285">
        <v>4.47</v>
      </c>
      <c r="H521" s="172"/>
      <c r="I521" s="224">
        <f>G521+H521+K520</f>
        <v>8.94</v>
      </c>
      <c r="J521" s="292"/>
      <c r="K521" s="172">
        <f t="shared" si="1122"/>
        <v>8.94</v>
      </c>
      <c r="L521" s="154">
        <f t="shared" si="1136"/>
        <v>0</v>
      </c>
      <c r="M521" s="98" t="s">
        <v>218</v>
      </c>
      <c r="N521" s="334"/>
      <c r="O521" s="334"/>
      <c r="P521" s="334"/>
      <c r="Q521" s="334"/>
      <c r="R521" s="334"/>
      <c r="S521" s="332"/>
    </row>
    <row r="522" spans="1:19">
      <c r="A522" s="367"/>
      <c r="B522" s="339"/>
      <c r="C522" s="345"/>
      <c r="D522" s="356"/>
      <c r="E522" s="344" t="s">
        <v>321</v>
      </c>
      <c r="F522" s="129" t="s">
        <v>488</v>
      </c>
      <c r="G522" s="285">
        <v>5.5979999999999999</v>
      </c>
      <c r="H522" s="172"/>
      <c r="I522" s="224">
        <f>G522+H522</f>
        <v>5.5979999999999999</v>
      </c>
      <c r="J522" s="292">
        <v>1.7250000000000001</v>
      </c>
      <c r="K522" s="172">
        <f t="shared" si="1122"/>
        <v>3.8729999999999998</v>
      </c>
      <c r="L522" s="154">
        <f t="shared" si="1136"/>
        <v>0.30814576634512331</v>
      </c>
      <c r="M522" s="98" t="s">
        <v>218</v>
      </c>
      <c r="N522" s="334">
        <f t="shared" ref="N522" si="1191">+G522+G523</f>
        <v>11.196</v>
      </c>
      <c r="O522" s="334">
        <f t="shared" ref="O522" si="1192">+H522+H523</f>
        <v>0</v>
      </c>
      <c r="P522" s="334">
        <f t="shared" ref="P522" si="1193">N522+O522</f>
        <v>11.196</v>
      </c>
      <c r="Q522" s="334">
        <f t="shared" ref="Q522" si="1194">+J522+J523</f>
        <v>2.75</v>
      </c>
      <c r="R522" s="334">
        <f t="shared" ref="R522" si="1195">P522-Q522</f>
        <v>8.4459999999999997</v>
      </c>
      <c r="S522" s="332">
        <f t="shared" ref="S522" si="1196">Q522/P522</f>
        <v>0.24562343694176492</v>
      </c>
    </row>
    <row r="523" spans="1:19">
      <c r="A523" s="367"/>
      <c r="B523" s="339"/>
      <c r="C523" s="345"/>
      <c r="D523" s="356"/>
      <c r="E523" s="344"/>
      <c r="F523" s="129" t="s">
        <v>10</v>
      </c>
      <c r="G523" s="285">
        <v>5.5979999999999999</v>
      </c>
      <c r="H523" s="172"/>
      <c r="I523" s="224">
        <f>G523+H523+K522</f>
        <v>9.4710000000000001</v>
      </c>
      <c r="J523" s="292">
        <v>1.0249999999999999</v>
      </c>
      <c r="K523" s="172">
        <f t="shared" si="1122"/>
        <v>8.4459999999999997</v>
      </c>
      <c r="L523" s="154">
        <f t="shared" si="1136"/>
        <v>0.10822510822510821</v>
      </c>
      <c r="M523" s="98" t="s">
        <v>218</v>
      </c>
      <c r="N523" s="334"/>
      <c r="O523" s="334"/>
      <c r="P523" s="334"/>
      <c r="Q523" s="334"/>
      <c r="R523" s="334"/>
      <c r="S523" s="332"/>
    </row>
    <row r="524" spans="1:19">
      <c r="A524" s="367"/>
      <c r="B524" s="339"/>
      <c r="C524" s="345"/>
      <c r="D524" s="356"/>
      <c r="E524" s="344" t="s">
        <v>288</v>
      </c>
      <c r="F524" s="129" t="s">
        <v>488</v>
      </c>
      <c r="G524" s="285">
        <v>7.4429999999999996</v>
      </c>
      <c r="H524" s="172"/>
      <c r="I524" s="224">
        <f>G524+H524</f>
        <v>7.4429999999999996</v>
      </c>
      <c r="J524" s="292">
        <v>7.6159999999999997</v>
      </c>
      <c r="K524" s="172">
        <f t="shared" si="1122"/>
        <v>-0.17300000000000004</v>
      </c>
      <c r="L524" s="154">
        <f t="shared" si="1136"/>
        <v>1.0232433158672578</v>
      </c>
      <c r="M524" s="180">
        <v>44294</v>
      </c>
      <c r="N524" s="334">
        <f t="shared" ref="N524" si="1197">+G524+G525</f>
        <v>14.885999999999999</v>
      </c>
      <c r="O524" s="334">
        <f t="shared" ref="O524" si="1198">+H524+H525</f>
        <v>0</v>
      </c>
      <c r="P524" s="334">
        <f t="shared" ref="P524" si="1199">N524+O524</f>
        <v>14.885999999999999</v>
      </c>
      <c r="Q524" s="334">
        <f t="shared" ref="Q524" si="1200">+J524+J525</f>
        <v>7.6159999999999997</v>
      </c>
      <c r="R524" s="334">
        <f t="shared" ref="R524" si="1201">P524-Q524</f>
        <v>7.27</v>
      </c>
      <c r="S524" s="332">
        <f t="shared" ref="S524" si="1202">Q524/P524</f>
        <v>0.5116216579336289</v>
      </c>
    </row>
    <row r="525" spans="1:19">
      <c r="A525" s="367"/>
      <c r="B525" s="339"/>
      <c r="C525" s="345"/>
      <c r="D525" s="356"/>
      <c r="E525" s="344"/>
      <c r="F525" s="129" t="s">
        <v>10</v>
      </c>
      <c r="G525" s="285">
        <v>7.4429999999999996</v>
      </c>
      <c r="H525" s="172"/>
      <c r="I525" s="224">
        <f>G525+H525+K524</f>
        <v>7.27</v>
      </c>
      <c r="J525" s="292"/>
      <c r="K525" s="172">
        <f t="shared" si="1122"/>
        <v>7.27</v>
      </c>
      <c r="L525" s="154">
        <f t="shared" si="1136"/>
        <v>0</v>
      </c>
      <c r="M525" s="98" t="s">
        <v>218</v>
      </c>
      <c r="N525" s="334"/>
      <c r="O525" s="334"/>
      <c r="P525" s="334"/>
      <c r="Q525" s="334"/>
      <c r="R525" s="334"/>
      <c r="S525" s="332"/>
    </row>
    <row r="526" spans="1:19">
      <c r="A526" s="367"/>
      <c r="B526" s="339"/>
      <c r="C526" s="345"/>
      <c r="D526" s="356"/>
      <c r="E526" s="344" t="s">
        <v>322</v>
      </c>
      <c r="F526" s="129" t="s">
        <v>488</v>
      </c>
      <c r="G526" s="285">
        <v>41.63</v>
      </c>
      <c r="H526" s="172">
        <f>-20</f>
        <v>-20</v>
      </c>
      <c r="I526" s="224">
        <f>G526+H526</f>
        <v>21.630000000000003</v>
      </c>
      <c r="J526" s="292">
        <v>5.95</v>
      </c>
      <c r="K526" s="172">
        <f t="shared" si="1122"/>
        <v>15.680000000000003</v>
      </c>
      <c r="L526" s="154">
        <f t="shared" si="1136"/>
        <v>0.27508090614886727</v>
      </c>
      <c r="M526" s="98" t="s">
        <v>218</v>
      </c>
      <c r="N526" s="334">
        <f t="shared" ref="N526" si="1203">+G526+G527</f>
        <v>83.26</v>
      </c>
      <c r="O526" s="334">
        <f t="shared" ref="O526" si="1204">+H526+H527</f>
        <v>-20</v>
      </c>
      <c r="P526" s="334">
        <f t="shared" ref="P526" si="1205">N526+O526</f>
        <v>63.260000000000005</v>
      </c>
      <c r="Q526" s="334">
        <f t="shared" ref="Q526" si="1206">+J526+J527</f>
        <v>5.95</v>
      </c>
      <c r="R526" s="334">
        <f t="shared" ref="R526" si="1207">P526-Q526</f>
        <v>57.31</v>
      </c>
      <c r="S526" s="332">
        <f t="shared" ref="S526" si="1208">Q526/P526</f>
        <v>9.4056275687638316E-2</v>
      </c>
    </row>
    <row r="527" spans="1:19">
      <c r="A527" s="367"/>
      <c r="B527" s="339"/>
      <c r="C527" s="345"/>
      <c r="D527" s="356"/>
      <c r="E527" s="344"/>
      <c r="F527" s="129" t="s">
        <v>10</v>
      </c>
      <c r="G527" s="285">
        <v>41.63</v>
      </c>
      <c r="H527" s="156"/>
      <c r="I527" s="224">
        <f>G527+H527+K526</f>
        <v>57.31</v>
      </c>
      <c r="J527" s="292"/>
      <c r="K527" s="172">
        <f t="shared" si="1122"/>
        <v>57.31</v>
      </c>
      <c r="L527" s="154">
        <f t="shared" si="1136"/>
        <v>0</v>
      </c>
      <c r="M527" s="98" t="s">
        <v>218</v>
      </c>
      <c r="N527" s="334"/>
      <c r="O527" s="334"/>
      <c r="P527" s="334"/>
      <c r="Q527" s="334"/>
      <c r="R527" s="334"/>
      <c r="S527" s="332"/>
    </row>
    <row r="528" spans="1:19">
      <c r="A528" s="367"/>
      <c r="B528" s="339"/>
      <c r="C528" s="345"/>
      <c r="D528" s="356"/>
      <c r="E528" s="362" t="s">
        <v>323</v>
      </c>
      <c r="F528" s="129" t="s">
        <v>488</v>
      </c>
      <c r="G528" s="285">
        <v>121.91</v>
      </c>
      <c r="H528" s="172"/>
      <c r="I528" s="224">
        <f>G528+H528</f>
        <v>121.91</v>
      </c>
      <c r="J528" s="292">
        <v>94.716999999999999</v>
      </c>
      <c r="K528" s="172">
        <f t="shared" si="1122"/>
        <v>27.192999999999998</v>
      </c>
      <c r="L528" s="154">
        <f t="shared" si="1136"/>
        <v>0.77694200639816258</v>
      </c>
      <c r="M528" s="98" t="s">
        <v>218</v>
      </c>
      <c r="N528" s="334">
        <f t="shared" ref="N528" si="1209">+G528+G529</f>
        <v>243.82</v>
      </c>
      <c r="O528" s="334">
        <f t="shared" ref="O528" si="1210">+H528+H529</f>
        <v>0</v>
      </c>
      <c r="P528" s="334">
        <f t="shared" ref="P528" si="1211">N528+O528</f>
        <v>243.82</v>
      </c>
      <c r="Q528" s="334">
        <f t="shared" ref="Q528" si="1212">+J528+J529</f>
        <v>125.122</v>
      </c>
      <c r="R528" s="334">
        <f t="shared" ref="R528" si="1213">P528-Q528</f>
        <v>118.69799999999999</v>
      </c>
      <c r="S528" s="332">
        <f t="shared" ref="S528" si="1214">Q528/P528</f>
        <v>0.51317365269461079</v>
      </c>
    </row>
    <row r="529" spans="1:19">
      <c r="A529" s="367"/>
      <c r="B529" s="339"/>
      <c r="C529" s="345"/>
      <c r="D529" s="356"/>
      <c r="E529" s="362"/>
      <c r="F529" s="129" t="s">
        <v>10</v>
      </c>
      <c r="G529" s="285">
        <v>121.91</v>
      </c>
      <c r="H529" s="172"/>
      <c r="I529" s="224">
        <f>G529+H529+K528</f>
        <v>149.10300000000001</v>
      </c>
      <c r="J529" s="292">
        <v>30.405000000000001</v>
      </c>
      <c r="K529" s="172">
        <f t="shared" si="1122"/>
        <v>118.69800000000001</v>
      </c>
      <c r="L529" s="154">
        <f t="shared" si="1136"/>
        <v>0.20391943824067926</v>
      </c>
      <c r="M529" s="98" t="s">
        <v>218</v>
      </c>
      <c r="N529" s="334"/>
      <c r="O529" s="334"/>
      <c r="P529" s="334"/>
      <c r="Q529" s="334"/>
      <c r="R529" s="334"/>
      <c r="S529" s="332"/>
    </row>
    <row r="530" spans="1:19">
      <c r="A530" s="367"/>
      <c r="B530" s="339"/>
      <c r="C530" s="345"/>
      <c r="D530" s="356"/>
      <c r="E530" s="344" t="s">
        <v>324</v>
      </c>
      <c r="F530" s="129" t="s">
        <v>488</v>
      </c>
      <c r="G530" s="285">
        <v>9.4870000000000001</v>
      </c>
      <c r="H530" s="172"/>
      <c r="I530" s="224">
        <f>G530+H530</f>
        <v>9.4870000000000001</v>
      </c>
      <c r="J530" s="292">
        <v>2.2120000000000002</v>
      </c>
      <c r="K530" s="172">
        <f t="shared" si="1122"/>
        <v>7.2750000000000004</v>
      </c>
      <c r="L530" s="154">
        <f t="shared" si="1136"/>
        <v>0.23316116791398758</v>
      </c>
      <c r="M530" s="98" t="s">
        <v>218</v>
      </c>
      <c r="N530" s="334">
        <f t="shared" ref="N530" si="1215">+G530+G531</f>
        <v>18.974</v>
      </c>
      <c r="O530" s="334">
        <f t="shared" ref="O530" si="1216">+H530+H531</f>
        <v>0</v>
      </c>
      <c r="P530" s="334">
        <f t="shared" ref="P530" si="1217">N530+O530</f>
        <v>18.974</v>
      </c>
      <c r="Q530" s="334">
        <f t="shared" ref="Q530" si="1218">+J530+J531</f>
        <v>4.3960000000000008</v>
      </c>
      <c r="R530" s="334">
        <f t="shared" ref="R530" si="1219">P530-Q530</f>
        <v>14.577999999999999</v>
      </c>
      <c r="S530" s="332">
        <f t="shared" ref="S530" si="1220">Q530/P530</f>
        <v>0.23168546431959527</v>
      </c>
    </row>
    <row r="531" spans="1:19">
      <c r="A531" s="367"/>
      <c r="B531" s="339"/>
      <c r="C531" s="345"/>
      <c r="D531" s="356"/>
      <c r="E531" s="344"/>
      <c r="F531" s="129" t="s">
        <v>10</v>
      </c>
      <c r="G531" s="285">
        <v>9.4870000000000001</v>
      </c>
      <c r="H531" s="172"/>
      <c r="I531" s="224">
        <f>G531+H531+K530</f>
        <v>16.762</v>
      </c>
      <c r="J531" s="292">
        <v>2.1840000000000002</v>
      </c>
      <c r="K531" s="172">
        <f t="shared" si="1122"/>
        <v>14.577999999999999</v>
      </c>
      <c r="L531" s="154">
        <f t="shared" si="1136"/>
        <v>0.13029471423457822</v>
      </c>
      <c r="M531" s="98" t="s">
        <v>218</v>
      </c>
      <c r="N531" s="334"/>
      <c r="O531" s="334"/>
      <c r="P531" s="334"/>
      <c r="Q531" s="334"/>
      <c r="R531" s="334"/>
      <c r="S531" s="332"/>
    </row>
    <row r="532" spans="1:19">
      <c r="A532" s="367"/>
      <c r="B532" s="339"/>
      <c r="C532" s="345"/>
      <c r="D532" s="356"/>
      <c r="E532" s="344" t="s">
        <v>289</v>
      </c>
      <c r="F532" s="129" t="s">
        <v>488</v>
      </c>
      <c r="G532" s="285">
        <v>16.515999999999998</v>
      </c>
      <c r="H532" s="172"/>
      <c r="I532" s="224">
        <f>G532+H532</f>
        <v>16.515999999999998</v>
      </c>
      <c r="J532" s="292">
        <v>9.3520000000000003</v>
      </c>
      <c r="K532" s="172">
        <f t="shared" si="1122"/>
        <v>7.1639999999999979</v>
      </c>
      <c r="L532" s="154">
        <f t="shared" si="1136"/>
        <v>0.56623879874061522</v>
      </c>
      <c r="M532" s="98" t="s">
        <v>218</v>
      </c>
      <c r="N532" s="334">
        <f t="shared" ref="N532" si="1221">+G532+G533</f>
        <v>33.031999999999996</v>
      </c>
      <c r="O532" s="334">
        <f t="shared" ref="O532" si="1222">+H532+H533</f>
        <v>-10</v>
      </c>
      <c r="P532" s="334">
        <f t="shared" ref="P532" si="1223">N532+O532</f>
        <v>23.031999999999996</v>
      </c>
      <c r="Q532" s="334">
        <f t="shared" ref="Q532" si="1224">+J532+J533</f>
        <v>10.248000000000001</v>
      </c>
      <c r="R532" s="334">
        <f t="shared" ref="R532" si="1225">P532-Q532</f>
        <v>12.783999999999995</v>
      </c>
      <c r="S532" s="332">
        <f t="shared" ref="S532" si="1226">Q532/P532</f>
        <v>0.44494616186175767</v>
      </c>
    </row>
    <row r="533" spans="1:19">
      <c r="A533" s="367"/>
      <c r="B533" s="339"/>
      <c r="C533" s="345"/>
      <c r="D533" s="356"/>
      <c r="E533" s="344"/>
      <c r="F533" s="129" t="s">
        <v>10</v>
      </c>
      <c r="G533" s="285">
        <v>16.515999999999998</v>
      </c>
      <c r="H533" s="172">
        <f>-10</f>
        <v>-10</v>
      </c>
      <c r="I533" s="224">
        <f>G533+H533+K532</f>
        <v>13.679999999999996</v>
      </c>
      <c r="J533" s="292">
        <v>0.89600000000000002</v>
      </c>
      <c r="K533" s="172">
        <f t="shared" si="1122"/>
        <v>12.783999999999995</v>
      </c>
      <c r="L533" s="154">
        <f t="shared" si="1136"/>
        <v>6.5497076023391831E-2</v>
      </c>
      <c r="M533" s="98" t="s">
        <v>218</v>
      </c>
      <c r="N533" s="334"/>
      <c r="O533" s="334"/>
      <c r="P533" s="334"/>
      <c r="Q533" s="334"/>
      <c r="R533" s="334"/>
      <c r="S533" s="332"/>
    </row>
    <row r="534" spans="1:19">
      <c r="A534" s="367"/>
      <c r="B534" s="339"/>
      <c r="C534" s="345"/>
      <c r="D534" s="356"/>
      <c r="E534" s="362" t="s">
        <v>673</v>
      </c>
      <c r="F534" s="129" t="s">
        <v>488</v>
      </c>
      <c r="G534" s="285">
        <v>1.5589999999999999</v>
      </c>
      <c r="H534" s="172"/>
      <c r="I534" s="224">
        <f>G534+H534</f>
        <v>1.5589999999999999</v>
      </c>
      <c r="J534" s="292"/>
      <c r="K534" s="172">
        <f t="shared" si="1122"/>
        <v>1.5589999999999999</v>
      </c>
      <c r="L534" s="154">
        <f t="shared" si="1136"/>
        <v>0</v>
      </c>
      <c r="M534" s="98" t="s">
        <v>218</v>
      </c>
      <c r="N534" s="334">
        <f t="shared" ref="N534" si="1227">+G534+G535</f>
        <v>3.1179999999999999</v>
      </c>
      <c r="O534" s="334">
        <f t="shared" ref="O534" si="1228">+H534+H535</f>
        <v>0</v>
      </c>
      <c r="P534" s="334">
        <f t="shared" ref="P534" si="1229">N534+O534</f>
        <v>3.1179999999999999</v>
      </c>
      <c r="Q534" s="334">
        <f t="shared" ref="Q534" si="1230">+J534+J535</f>
        <v>0</v>
      </c>
      <c r="R534" s="334">
        <f t="shared" ref="R534" si="1231">P534-Q534</f>
        <v>3.1179999999999999</v>
      </c>
      <c r="S534" s="332">
        <f t="shared" ref="S534" si="1232">Q534/P534</f>
        <v>0</v>
      </c>
    </row>
    <row r="535" spans="1:19">
      <c r="A535" s="367"/>
      <c r="B535" s="339"/>
      <c r="C535" s="345"/>
      <c r="D535" s="356"/>
      <c r="E535" s="362"/>
      <c r="F535" s="129" t="s">
        <v>10</v>
      </c>
      <c r="G535" s="285">
        <v>1.5589999999999999</v>
      </c>
      <c r="H535" s="172"/>
      <c r="I535" s="224">
        <f>G535+H535+K534</f>
        <v>3.1179999999999999</v>
      </c>
      <c r="J535" s="292"/>
      <c r="K535" s="172">
        <f t="shared" si="1122"/>
        <v>3.1179999999999999</v>
      </c>
      <c r="L535" s="154">
        <f t="shared" si="1136"/>
        <v>0</v>
      </c>
      <c r="M535" s="98" t="s">
        <v>218</v>
      </c>
      <c r="N535" s="334"/>
      <c r="O535" s="334"/>
      <c r="P535" s="334"/>
      <c r="Q535" s="334"/>
      <c r="R535" s="334"/>
      <c r="S535" s="332"/>
    </row>
    <row r="536" spans="1:19">
      <c r="A536" s="367"/>
      <c r="B536" s="339"/>
      <c r="C536" s="345"/>
      <c r="D536" s="356"/>
      <c r="E536" s="344" t="s">
        <v>325</v>
      </c>
      <c r="F536" s="129" t="s">
        <v>488</v>
      </c>
      <c r="G536" s="285">
        <v>6.67</v>
      </c>
      <c r="H536" s="172"/>
      <c r="I536" s="224">
        <f>G536+H536</f>
        <v>6.67</v>
      </c>
      <c r="J536" s="292"/>
      <c r="K536" s="172">
        <f t="shared" si="1122"/>
        <v>6.67</v>
      </c>
      <c r="L536" s="154">
        <f t="shared" si="1136"/>
        <v>0</v>
      </c>
      <c r="M536" s="98" t="s">
        <v>218</v>
      </c>
      <c r="N536" s="334">
        <f t="shared" ref="N536" si="1233">+G536+G537</f>
        <v>13.34</v>
      </c>
      <c r="O536" s="334">
        <f t="shared" ref="O536" si="1234">+H536+H537</f>
        <v>-10.5</v>
      </c>
      <c r="P536" s="334">
        <f t="shared" ref="P536" si="1235">N536+O536</f>
        <v>2.84</v>
      </c>
      <c r="Q536" s="334">
        <f t="shared" ref="Q536" si="1236">+J536+J537</f>
        <v>2.7959999999999998</v>
      </c>
      <c r="R536" s="334">
        <f t="shared" ref="R536" si="1237">P536-Q536</f>
        <v>4.4000000000000039E-2</v>
      </c>
      <c r="S536" s="332">
        <f t="shared" ref="S536" si="1238">Q536/P536</f>
        <v>0.98450704225352115</v>
      </c>
    </row>
    <row r="537" spans="1:19">
      <c r="A537" s="367"/>
      <c r="B537" s="339"/>
      <c r="C537" s="345"/>
      <c r="D537" s="356"/>
      <c r="E537" s="344"/>
      <c r="F537" s="129" t="s">
        <v>10</v>
      </c>
      <c r="G537" s="285">
        <v>6.67</v>
      </c>
      <c r="H537" s="172">
        <f>-10.5</f>
        <v>-10.5</v>
      </c>
      <c r="I537" s="224">
        <f>G537+H537+K536</f>
        <v>2.84</v>
      </c>
      <c r="J537" s="292">
        <v>2.7959999999999998</v>
      </c>
      <c r="K537" s="172">
        <f t="shared" si="1122"/>
        <v>4.4000000000000039E-2</v>
      </c>
      <c r="L537" s="154">
        <f t="shared" si="1136"/>
        <v>0.98450704225352115</v>
      </c>
      <c r="M537" s="176">
        <v>44470</v>
      </c>
      <c r="N537" s="334"/>
      <c r="O537" s="334"/>
      <c r="P537" s="334"/>
      <c r="Q537" s="334"/>
      <c r="R537" s="334"/>
      <c r="S537" s="332"/>
    </row>
    <row r="538" spans="1:19">
      <c r="A538" s="367"/>
      <c r="B538" s="339"/>
      <c r="C538" s="345"/>
      <c r="D538" s="356"/>
      <c r="E538" s="344" t="s">
        <v>67</v>
      </c>
      <c r="F538" s="129" t="s">
        <v>488</v>
      </c>
      <c r="G538" s="285">
        <v>14.456</v>
      </c>
      <c r="H538" s="172"/>
      <c r="I538" s="224">
        <f>G538+H538</f>
        <v>14.456</v>
      </c>
      <c r="J538" s="292"/>
      <c r="K538" s="172">
        <f t="shared" si="1122"/>
        <v>14.456</v>
      </c>
      <c r="L538" s="154">
        <f t="shared" si="1136"/>
        <v>0</v>
      </c>
      <c r="M538" s="98" t="s">
        <v>218</v>
      </c>
      <c r="N538" s="334">
        <f t="shared" ref="N538" si="1239">+G538+G539</f>
        <v>28.911999999999999</v>
      </c>
      <c r="O538" s="334">
        <f t="shared" ref="O538" si="1240">+H538+H539</f>
        <v>-20</v>
      </c>
      <c r="P538" s="334">
        <f t="shared" ref="P538" si="1241">N538+O538</f>
        <v>8.911999999999999</v>
      </c>
      <c r="Q538" s="334">
        <f t="shared" ref="Q538" si="1242">+J538+J539</f>
        <v>0</v>
      </c>
      <c r="R538" s="334">
        <f t="shared" ref="R538" si="1243">P538-Q538</f>
        <v>8.911999999999999</v>
      </c>
      <c r="S538" s="332">
        <f t="shared" ref="S538" si="1244">Q538/P538</f>
        <v>0</v>
      </c>
    </row>
    <row r="539" spans="1:19">
      <c r="A539" s="367"/>
      <c r="B539" s="339"/>
      <c r="C539" s="345"/>
      <c r="D539" s="356"/>
      <c r="E539" s="344"/>
      <c r="F539" s="129" t="s">
        <v>10</v>
      </c>
      <c r="G539" s="285">
        <v>14.456</v>
      </c>
      <c r="H539" s="172">
        <f>-20</f>
        <v>-20</v>
      </c>
      <c r="I539" s="224">
        <f>G539+H539+K538</f>
        <v>8.911999999999999</v>
      </c>
      <c r="J539" s="292"/>
      <c r="K539" s="172">
        <f t="shared" ref="K539:K586" si="1245">I539-J539</f>
        <v>8.911999999999999</v>
      </c>
      <c r="L539" s="154">
        <f t="shared" si="1136"/>
        <v>0</v>
      </c>
      <c r="M539" s="98" t="s">
        <v>218</v>
      </c>
      <c r="N539" s="334"/>
      <c r="O539" s="334"/>
      <c r="P539" s="334"/>
      <c r="Q539" s="334"/>
      <c r="R539" s="334"/>
      <c r="S539" s="332"/>
    </row>
    <row r="540" spans="1:19">
      <c r="A540" s="367"/>
      <c r="B540" s="339"/>
      <c r="C540" s="345"/>
      <c r="D540" s="356"/>
      <c r="E540" s="344" t="s">
        <v>326</v>
      </c>
      <c r="F540" s="129" t="s">
        <v>488</v>
      </c>
      <c r="G540" s="285">
        <v>12.268000000000001</v>
      </c>
      <c r="H540" s="172">
        <f>-22</f>
        <v>-22</v>
      </c>
      <c r="I540" s="224">
        <f>G540+H540</f>
        <v>-9.7319999999999993</v>
      </c>
      <c r="J540" s="292"/>
      <c r="K540" s="172">
        <f t="shared" si="1245"/>
        <v>-9.7319999999999993</v>
      </c>
      <c r="L540" s="154">
        <f t="shared" si="1136"/>
        <v>0</v>
      </c>
      <c r="M540" s="98" t="s">
        <v>218</v>
      </c>
      <c r="N540" s="334">
        <f t="shared" ref="N540" si="1246">+G540+G541</f>
        <v>24.536000000000001</v>
      </c>
      <c r="O540" s="334">
        <f t="shared" ref="O540" si="1247">+H540+H541</f>
        <v>-22</v>
      </c>
      <c r="P540" s="334">
        <f t="shared" ref="P540" si="1248">N540+O540</f>
        <v>2.5360000000000014</v>
      </c>
      <c r="Q540" s="334">
        <f t="shared" ref="Q540" si="1249">+J540+J541</f>
        <v>0</v>
      </c>
      <c r="R540" s="334">
        <f t="shared" ref="R540" si="1250">P540-Q540</f>
        <v>2.5360000000000014</v>
      </c>
      <c r="S540" s="332">
        <f t="shared" ref="S540" si="1251">Q540/P540</f>
        <v>0</v>
      </c>
    </row>
    <row r="541" spans="1:19">
      <c r="A541" s="367"/>
      <c r="B541" s="339"/>
      <c r="C541" s="345"/>
      <c r="D541" s="356"/>
      <c r="E541" s="344"/>
      <c r="F541" s="129" t="s">
        <v>10</v>
      </c>
      <c r="G541" s="285">
        <v>12.268000000000001</v>
      </c>
      <c r="H541" s="172"/>
      <c r="I541" s="224">
        <f>G541+H541+K540</f>
        <v>2.5360000000000014</v>
      </c>
      <c r="J541" s="292"/>
      <c r="K541" s="172">
        <f t="shared" si="1245"/>
        <v>2.5360000000000014</v>
      </c>
      <c r="L541" s="154">
        <f t="shared" si="1136"/>
        <v>0</v>
      </c>
      <c r="M541" s="98" t="s">
        <v>218</v>
      </c>
      <c r="N541" s="334"/>
      <c r="O541" s="334"/>
      <c r="P541" s="334"/>
      <c r="Q541" s="334"/>
      <c r="R541" s="334"/>
      <c r="S541" s="332"/>
    </row>
    <row r="542" spans="1:19">
      <c r="A542" s="367"/>
      <c r="B542" s="339"/>
      <c r="C542" s="345"/>
      <c r="D542" s="356"/>
      <c r="E542" s="344" t="s">
        <v>290</v>
      </c>
      <c r="F542" s="129" t="s">
        <v>488</v>
      </c>
      <c r="G542" s="285">
        <v>16.405000000000001</v>
      </c>
      <c r="H542" s="172"/>
      <c r="I542" s="224">
        <f>G542+H542</f>
        <v>16.405000000000001</v>
      </c>
      <c r="J542" s="292">
        <v>5.0999999999999996</v>
      </c>
      <c r="K542" s="172">
        <f t="shared" si="1245"/>
        <v>11.305000000000001</v>
      </c>
      <c r="L542" s="154">
        <f t="shared" si="1136"/>
        <v>0.31088082901554398</v>
      </c>
      <c r="M542" s="98" t="s">
        <v>218</v>
      </c>
      <c r="N542" s="334">
        <f t="shared" ref="N542" si="1252">+G542+G543</f>
        <v>32.81</v>
      </c>
      <c r="O542" s="334">
        <f t="shared" ref="O542" si="1253">+H542+H543</f>
        <v>0</v>
      </c>
      <c r="P542" s="334">
        <f t="shared" ref="P542" si="1254">N542+O542</f>
        <v>32.81</v>
      </c>
      <c r="Q542" s="334">
        <f t="shared" ref="Q542" si="1255">+J542+J543</f>
        <v>12.277999999999999</v>
      </c>
      <c r="R542" s="334">
        <f t="shared" ref="R542" si="1256">P542-Q542</f>
        <v>20.532000000000004</v>
      </c>
      <c r="S542" s="332">
        <f t="shared" ref="S542" si="1257">Q542/P542</f>
        <v>0.37421517829929896</v>
      </c>
    </row>
    <row r="543" spans="1:19">
      <c r="A543" s="367"/>
      <c r="B543" s="339"/>
      <c r="C543" s="345"/>
      <c r="D543" s="356"/>
      <c r="E543" s="344"/>
      <c r="F543" s="129" t="s">
        <v>10</v>
      </c>
      <c r="G543" s="285">
        <v>16.405000000000001</v>
      </c>
      <c r="H543" s="172"/>
      <c r="I543" s="224">
        <f>G543+H543+K542</f>
        <v>27.71</v>
      </c>
      <c r="J543" s="292">
        <v>7.1779999999999999</v>
      </c>
      <c r="K543" s="172">
        <f t="shared" si="1245"/>
        <v>20.532</v>
      </c>
      <c r="L543" s="154">
        <f t="shared" si="1136"/>
        <v>0.25904005774088773</v>
      </c>
      <c r="M543" s="98" t="s">
        <v>218</v>
      </c>
      <c r="N543" s="334"/>
      <c r="O543" s="334"/>
      <c r="P543" s="334"/>
      <c r="Q543" s="334"/>
      <c r="R543" s="334"/>
      <c r="S543" s="332"/>
    </row>
    <row r="544" spans="1:19">
      <c r="A544" s="367"/>
      <c r="B544" s="339"/>
      <c r="C544" s="345"/>
      <c r="D544" s="356"/>
      <c r="E544" s="344" t="s">
        <v>291</v>
      </c>
      <c r="F544" s="129" t="s">
        <v>488</v>
      </c>
      <c r="G544" s="285">
        <v>18.940999999999999</v>
      </c>
      <c r="H544" s="172"/>
      <c r="I544" s="224">
        <f>G544+H544</f>
        <v>18.940999999999999</v>
      </c>
      <c r="J544" s="292">
        <v>15.291</v>
      </c>
      <c r="K544" s="172">
        <f t="shared" si="1245"/>
        <v>3.6499999999999986</v>
      </c>
      <c r="L544" s="154">
        <f t="shared" si="1136"/>
        <v>0.8072963412702604</v>
      </c>
      <c r="M544" s="98" t="s">
        <v>218</v>
      </c>
      <c r="N544" s="334">
        <f t="shared" ref="N544" si="1258">+G544+G545</f>
        <v>37.881999999999998</v>
      </c>
      <c r="O544" s="334">
        <f t="shared" ref="O544" si="1259">+H544+H545</f>
        <v>0</v>
      </c>
      <c r="P544" s="334">
        <f t="shared" ref="P544" si="1260">N544+O544</f>
        <v>37.881999999999998</v>
      </c>
      <c r="Q544" s="334">
        <f t="shared" ref="Q544" si="1261">+J544+J545</f>
        <v>25.677</v>
      </c>
      <c r="R544" s="334">
        <f t="shared" ref="R544" si="1262">P544-Q544</f>
        <v>12.204999999999998</v>
      </c>
      <c r="S544" s="332">
        <f t="shared" ref="S544" si="1263">Q544/P544</f>
        <v>0.67781532126075716</v>
      </c>
    </row>
    <row r="545" spans="1:25">
      <c r="A545" s="367"/>
      <c r="B545" s="339"/>
      <c r="C545" s="345"/>
      <c r="D545" s="356"/>
      <c r="E545" s="344"/>
      <c r="F545" s="129" t="s">
        <v>10</v>
      </c>
      <c r="G545" s="285">
        <v>18.940999999999999</v>
      </c>
      <c r="H545" s="172"/>
      <c r="I545" s="224">
        <f>G545+H545+K544</f>
        <v>22.590999999999998</v>
      </c>
      <c r="J545" s="292">
        <v>10.385999999999999</v>
      </c>
      <c r="K545" s="172">
        <f t="shared" si="1245"/>
        <v>12.204999999999998</v>
      </c>
      <c r="L545" s="154">
        <f t="shared" ref="L545:L589" si="1264">J545/I545</f>
        <v>0.45974060466557481</v>
      </c>
      <c r="M545" s="98" t="s">
        <v>218</v>
      </c>
      <c r="N545" s="334"/>
      <c r="O545" s="334"/>
      <c r="P545" s="334"/>
      <c r="Q545" s="334"/>
      <c r="R545" s="334"/>
      <c r="S545" s="332"/>
    </row>
    <row r="546" spans="1:25">
      <c r="A546" s="367"/>
      <c r="B546" s="339"/>
      <c r="C546" s="345"/>
      <c r="D546" s="356"/>
      <c r="E546" s="344" t="s">
        <v>292</v>
      </c>
      <c r="F546" s="129" t="s">
        <v>488</v>
      </c>
      <c r="G546" s="285">
        <v>2.665</v>
      </c>
      <c r="H546" s="172"/>
      <c r="I546" s="224">
        <f>G546+H546</f>
        <v>2.665</v>
      </c>
      <c r="J546" s="292"/>
      <c r="K546" s="172">
        <f t="shared" si="1245"/>
        <v>2.665</v>
      </c>
      <c r="L546" s="154">
        <f t="shared" si="1264"/>
        <v>0</v>
      </c>
      <c r="M546" s="98" t="s">
        <v>218</v>
      </c>
      <c r="N546" s="334">
        <f t="shared" ref="N546" si="1265">+G546+G547</f>
        <v>5.33</v>
      </c>
      <c r="O546" s="334">
        <f t="shared" ref="O546" si="1266">+H546+H547</f>
        <v>0</v>
      </c>
      <c r="P546" s="334">
        <f t="shared" ref="P546" si="1267">N546+O546</f>
        <v>5.33</v>
      </c>
      <c r="Q546" s="334">
        <f t="shared" ref="Q546" si="1268">+J546+J547</f>
        <v>5.6000000000000001E-2</v>
      </c>
      <c r="R546" s="334">
        <f t="shared" ref="R546" si="1269">P546-Q546</f>
        <v>5.274</v>
      </c>
      <c r="S546" s="332">
        <f t="shared" ref="S546" si="1270">Q546/P546</f>
        <v>1.050656660412758E-2</v>
      </c>
    </row>
    <row r="547" spans="1:25">
      <c r="A547" s="367"/>
      <c r="B547" s="339"/>
      <c r="C547" s="345"/>
      <c r="D547" s="356"/>
      <c r="E547" s="344"/>
      <c r="F547" s="129" t="s">
        <v>10</v>
      </c>
      <c r="G547" s="285">
        <v>2.665</v>
      </c>
      <c r="H547" s="172"/>
      <c r="I547" s="224">
        <f>G547+H547+K546</f>
        <v>5.33</v>
      </c>
      <c r="J547" s="292">
        <v>5.6000000000000001E-2</v>
      </c>
      <c r="K547" s="172">
        <f t="shared" si="1245"/>
        <v>5.274</v>
      </c>
      <c r="L547" s="154">
        <f t="shared" si="1264"/>
        <v>1.050656660412758E-2</v>
      </c>
      <c r="M547" s="98" t="s">
        <v>218</v>
      </c>
      <c r="N547" s="334"/>
      <c r="O547" s="334"/>
      <c r="P547" s="334"/>
      <c r="Q547" s="334"/>
      <c r="R547" s="334"/>
      <c r="S547" s="332"/>
    </row>
    <row r="548" spans="1:25">
      <c r="A548" s="367"/>
      <c r="B548" s="339"/>
      <c r="C548" s="345"/>
      <c r="D548" s="356"/>
      <c r="E548" s="344" t="s">
        <v>327</v>
      </c>
      <c r="F548" s="129" t="s">
        <v>488</v>
      </c>
      <c r="G548" s="285">
        <v>2.7759999999999998</v>
      </c>
      <c r="H548" s="172"/>
      <c r="I548" s="224">
        <f>G548+H548</f>
        <v>2.7759999999999998</v>
      </c>
      <c r="J548" s="292"/>
      <c r="K548" s="172">
        <f t="shared" si="1245"/>
        <v>2.7759999999999998</v>
      </c>
      <c r="L548" s="154">
        <f t="shared" si="1264"/>
        <v>0</v>
      </c>
      <c r="M548" s="98" t="s">
        <v>218</v>
      </c>
      <c r="N548" s="334">
        <f t="shared" ref="N548" si="1271">+G548+G549</f>
        <v>5.5519999999999996</v>
      </c>
      <c r="O548" s="334">
        <f t="shared" ref="O548" si="1272">+H548+H549</f>
        <v>0</v>
      </c>
      <c r="P548" s="334">
        <f t="shared" ref="P548" si="1273">N548+O548</f>
        <v>5.5519999999999996</v>
      </c>
      <c r="Q548" s="334">
        <f t="shared" ref="Q548" si="1274">+J548+J549</f>
        <v>0</v>
      </c>
      <c r="R548" s="334">
        <f t="shared" ref="R548" si="1275">P548-Q548</f>
        <v>5.5519999999999996</v>
      </c>
      <c r="S548" s="332">
        <f t="shared" ref="S548" si="1276">Q548/P548</f>
        <v>0</v>
      </c>
    </row>
    <row r="549" spans="1:25">
      <c r="A549" s="367"/>
      <c r="B549" s="339"/>
      <c r="C549" s="345"/>
      <c r="D549" s="356"/>
      <c r="E549" s="344"/>
      <c r="F549" s="129" t="s">
        <v>10</v>
      </c>
      <c r="G549" s="285">
        <v>2.7759999999999998</v>
      </c>
      <c r="H549" s="172"/>
      <c r="I549" s="224">
        <f>G549+H549+K548</f>
        <v>5.5519999999999996</v>
      </c>
      <c r="J549" s="292"/>
      <c r="K549" s="172">
        <f t="shared" si="1245"/>
        <v>5.5519999999999996</v>
      </c>
      <c r="L549" s="154">
        <f t="shared" si="1264"/>
        <v>0</v>
      </c>
      <c r="M549" s="98" t="s">
        <v>218</v>
      </c>
      <c r="N549" s="334"/>
      <c r="O549" s="334"/>
      <c r="P549" s="334"/>
      <c r="Q549" s="334"/>
      <c r="R549" s="334"/>
      <c r="S549" s="332"/>
    </row>
    <row r="550" spans="1:25">
      <c r="A550" s="367"/>
      <c r="B550" s="339"/>
      <c r="C550" s="345"/>
      <c r="D550" s="356"/>
      <c r="E550" s="344" t="s">
        <v>328</v>
      </c>
      <c r="F550" s="129" t="s">
        <v>488</v>
      </c>
      <c r="G550" s="285">
        <v>1.3839999999999999</v>
      </c>
      <c r="H550" s="172"/>
      <c r="I550" s="224">
        <f>G550+H550</f>
        <v>1.3839999999999999</v>
      </c>
      <c r="J550" s="292"/>
      <c r="K550" s="172">
        <f t="shared" si="1245"/>
        <v>1.3839999999999999</v>
      </c>
      <c r="L550" s="154">
        <f t="shared" si="1264"/>
        <v>0</v>
      </c>
      <c r="M550" s="98" t="s">
        <v>218</v>
      </c>
      <c r="N550" s="334">
        <f t="shared" ref="N550" si="1277">+G550+G551</f>
        <v>2.7679999999999998</v>
      </c>
      <c r="O550" s="334">
        <f t="shared" ref="O550" si="1278">+H550+H551</f>
        <v>0</v>
      </c>
      <c r="P550" s="334">
        <f t="shared" ref="P550" si="1279">N550+O550</f>
        <v>2.7679999999999998</v>
      </c>
      <c r="Q550" s="334">
        <f t="shared" ref="Q550" si="1280">+J550+J551</f>
        <v>0</v>
      </c>
      <c r="R550" s="334">
        <f t="shared" ref="R550" si="1281">P550-Q550</f>
        <v>2.7679999999999998</v>
      </c>
      <c r="S550" s="332">
        <f t="shared" ref="S550" si="1282">Q550/P550</f>
        <v>0</v>
      </c>
    </row>
    <row r="551" spans="1:25">
      <c r="A551" s="367"/>
      <c r="B551" s="339"/>
      <c r="C551" s="345"/>
      <c r="D551" s="356"/>
      <c r="E551" s="344"/>
      <c r="F551" s="129" t="s">
        <v>10</v>
      </c>
      <c r="G551" s="285">
        <v>1.3839999999999999</v>
      </c>
      <c r="H551" s="172"/>
      <c r="I551" s="224">
        <f>G551+H551+K550</f>
        <v>2.7679999999999998</v>
      </c>
      <c r="J551" s="292"/>
      <c r="K551" s="172">
        <f t="shared" si="1245"/>
        <v>2.7679999999999998</v>
      </c>
      <c r="L551" s="154">
        <f t="shared" si="1264"/>
        <v>0</v>
      </c>
      <c r="M551" s="98" t="s">
        <v>218</v>
      </c>
      <c r="N551" s="334"/>
      <c r="O551" s="334"/>
      <c r="P551" s="334"/>
      <c r="Q551" s="334"/>
      <c r="R551" s="334"/>
      <c r="S551" s="332"/>
      <c r="T551" s="140"/>
    </row>
    <row r="552" spans="1:25">
      <c r="A552" s="157"/>
      <c r="B552" s="339"/>
      <c r="C552" s="345"/>
      <c r="D552" s="356"/>
      <c r="E552" s="344" t="s">
        <v>475</v>
      </c>
      <c r="F552" s="129" t="s">
        <v>488</v>
      </c>
      <c r="G552" s="285">
        <v>3.1549999999999998</v>
      </c>
      <c r="H552" s="172"/>
      <c r="I552" s="224">
        <f>G552+H552</f>
        <v>3.1549999999999998</v>
      </c>
      <c r="J552" s="292"/>
      <c r="K552" s="172">
        <f t="shared" ref="K552:K553" si="1283">I552-J552</f>
        <v>3.1549999999999998</v>
      </c>
      <c r="L552" s="154">
        <f t="shared" si="1264"/>
        <v>0</v>
      </c>
      <c r="M552" s="98" t="s">
        <v>218</v>
      </c>
      <c r="N552" s="334">
        <f t="shared" ref="N552" si="1284">+G552+G553</f>
        <v>6.31</v>
      </c>
      <c r="O552" s="334">
        <f t="shared" ref="O552" si="1285">+H552+H553</f>
        <v>0</v>
      </c>
      <c r="P552" s="334">
        <f t="shared" ref="P552" si="1286">N552+O552</f>
        <v>6.31</v>
      </c>
      <c r="Q552" s="334">
        <f t="shared" ref="Q552" si="1287">+J552+J553</f>
        <v>0</v>
      </c>
      <c r="R552" s="334">
        <f t="shared" ref="R552" si="1288">P552-Q552</f>
        <v>6.31</v>
      </c>
      <c r="S552" s="332">
        <f t="shared" ref="S552" si="1289">Q552/P552</f>
        <v>0</v>
      </c>
      <c r="T552" s="140"/>
    </row>
    <row r="553" spans="1:25">
      <c r="A553" s="157"/>
      <c r="B553" s="339"/>
      <c r="C553" s="345"/>
      <c r="D553" s="356"/>
      <c r="E553" s="344"/>
      <c r="F553" s="129" t="s">
        <v>10</v>
      </c>
      <c r="G553" s="285">
        <v>3.1549999999999998</v>
      </c>
      <c r="H553" s="172"/>
      <c r="I553" s="224">
        <f>G553+H553+K552</f>
        <v>6.31</v>
      </c>
      <c r="J553" s="292"/>
      <c r="K553" s="172">
        <f t="shared" si="1283"/>
        <v>6.31</v>
      </c>
      <c r="L553" s="154">
        <f t="shared" si="1264"/>
        <v>0</v>
      </c>
      <c r="M553" s="98" t="s">
        <v>218</v>
      </c>
      <c r="N553" s="334"/>
      <c r="O553" s="334"/>
      <c r="P553" s="334"/>
      <c r="Q553" s="334"/>
      <c r="R553" s="334"/>
      <c r="S553" s="332"/>
      <c r="T553" s="140"/>
    </row>
    <row r="554" spans="1:25">
      <c r="A554" s="157"/>
      <c r="B554" s="339"/>
      <c r="C554" s="345"/>
      <c r="D554" s="356"/>
      <c r="E554" s="344" t="s">
        <v>474</v>
      </c>
      <c r="F554" s="129" t="s">
        <v>488</v>
      </c>
      <c r="G554" s="285">
        <v>4.907</v>
      </c>
      <c r="H554" s="172"/>
      <c r="I554" s="224">
        <f>G554+H554</f>
        <v>4.907</v>
      </c>
      <c r="J554" s="292">
        <v>2</v>
      </c>
      <c r="K554" s="172">
        <f t="shared" ref="K554:K555" si="1290">I554-J554</f>
        <v>2.907</v>
      </c>
      <c r="L554" s="154">
        <f t="shared" si="1264"/>
        <v>0.40758100672508663</v>
      </c>
      <c r="M554" s="98" t="s">
        <v>218</v>
      </c>
      <c r="N554" s="334">
        <f t="shared" ref="N554" si="1291">+G554+G555</f>
        <v>9.8140000000000001</v>
      </c>
      <c r="O554" s="334">
        <f t="shared" ref="O554" si="1292">+H554+H555</f>
        <v>0</v>
      </c>
      <c r="P554" s="334">
        <f t="shared" ref="P554" si="1293">N554+O554</f>
        <v>9.8140000000000001</v>
      </c>
      <c r="Q554" s="334">
        <f t="shared" ref="Q554" si="1294">+J554+J555</f>
        <v>2</v>
      </c>
      <c r="R554" s="334">
        <f t="shared" ref="R554" si="1295">P554-Q554</f>
        <v>7.8140000000000001</v>
      </c>
      <c r="S554" s="332">
        <f t="shared" ref="S554" si="1296">Q554/P554</f>
        <v>0.20379050336254331</v>
      </c>
      <c r="T554" s="140"/>
    </row>
    <row r="555" spans="1:25">
      <c r="A555" s="157"/>
      <c r="B555" s="339"/>
      <c r="C555" s="345"/>
      <c r="D555" s="356"/>
      <c r="E555" s="344"/>
      <c r="F555" s="129" t="s">
        <v>10</v>
      </c>
      <c r="G555" s="285">
        <v>4.907</v>
      </c>
      <c r="H555" s="172"/>
      <c r="I555" s="224">
        <f>G555+H555+K554</f>
        <v>7.8140000000000001</v>
      </c>
      <c r="J555" s="292"/>
      <c r="K555" s="172">
        <f t="shared" si="1290"/>
        <v>7.8140000000000001</v>
      </c>
      <c r="L555" s="154">
        <f t="shared" si="1264"/>
        <v>0</v>
      </c>
      <c r="M555" s="98" t="s">
        <v>218</v>
      </c>
      <c r="N555" s="334"/>
      <c r="O555" s="334"/>
      <c r="P555" s="334"/>
      <c r="Q555" s="334"/>
      <c r="R555" s="334"/>
      <c r="S555" s="332"/>
      <c r="T555" s="140"/>
    </row>
    <row r="556" spans="1:25">
      <c r="A556" s="171"/>
      <c r="B556" s="339"/>
      <c r="C556" s="345"/>
      <c r="D556" s="356"/>
      <c r="E556" s="344" t="s">
        <v>536</v>
      </c>
      <c r="F556" s="129" t="s">
        <v>488</v>
      </c>
      <c r="G556" s="285">
        <v>4.484</v>
      </c>
      <c r="H556" s="172"/>
      <c r="I556" s="224">
        <f>G556+H556</f>
        <v>4.484</v>
      </c>
      <c r="J556" s="292"/>
      <c r="K556" s="172">
        <f t="shared" ref="K556:K557" si="1297">I556-J556</f>
        <v>4.484</v>
      </c>
      <c r="L556" s="154">
        <f t="shared" ref="L556:L557" si="1298">J556/I556</f>
        <v>0</v>
      </c>
      <c r="M556" s="98" t="s">
        <v>218</v>
      </c>
      <c r="N556" s="334">
        <f t="shared" ref="N556" si="1299">+G556+G557</f>
        <v>8.968</v>
      </c>
      <c r="O556" s="334">
        <f t="shared" ref="O556" si="1300">+H556+H557</f>
        <v>0</v>
      </c>
      <c r="P556" s="334">
        <f t="shared" ref="P556" si="1301">N556+O556</f>
        <v>8.968</v>
      </c>
      <c r="Q556" s="334">
        <f t="shared" ref="Q556" si="1302">+J556+J557</f>
        <v>0</v>
      </c>
      <c r="R556" s="334">
        <f t="shared" ref="R556" si="1303">P556-Q556</f>
        <v>8.968</v>
      </c>
      <c r="S556" s="332">
        <f t="shared" ref="S556" si="1304">Q556/P556</f>
        <v>0</v>
      </c>
      <c r="T556" s="140"/>
    </row>
    <row r="557" spans="1:25">
      <c r="A557" s="171"/>
      <c r="B557" s="339"/>
      <c r="C557" s="345"/>
      <c r="D557" s="356"/>
      <c r="E557" s="344"/>
      <c r="F557" s="129" t="s">
        <v>10</v>
      </c>
      <c r="G557" s="285">
        <v>4.484</v>
      </c>
      <c r="H557" s="172"/>
      <c r="I557" s="224">
        <f>G557+H557+K556</f>
        <v>8.968</v>
      </c>
      <c r="J557" s="292"/>
      <c r="K557" s="172">
        <f t="shared" si="1297"/>
        <v>8.968</v>
      </c>
      <c r="L557" s="154">
        <f t="shared" si="1298"/>
        <v>0</v>
      </c>
      <c r="M557" s="98" t="s">
        <v>218</v>
      </c>
      <c r="N557" s="334"/>
      <c r="O557" s="334"/>
      <c r="P557" s="334"/>
      <c r="Q557" s="334"/>
      <c r="R557" s="334"/>
      <c r="S557" s="332"/>
      <c r="T557" s="140"/>
    </row>
    <row r="558" spans="1:25">
      <c r="A558" s="157"/>
      <c r="B558" s="339"/>
      <c r="C558" s="345"/>
      <c r="D558" s="356"/>
      <c r="E558" s="344" t="s">
        <v>637</v>
      </c>
      <c r="F558" s="129" t="s">
        <v>488</v>
      </c>
      <c r="G558" s="285">
        <v>78.492000000000004</v>
      </c>
      <c r="H558" s="172"/>
      <c r="I558" s="224">
        <f>G558+H558</f>
        <v>78.492000000000004</v>
      </c>
      <c r="J558" s="292">
        <v>102.254</v>
      </c>
      <c r="K558" s="172">
        <f t="shared" si="1245"/>
        <v>-23.762</v>
      </c>
      <c r="L558" s="154">
        <f t="shared" si="1264"/>
        <v>1.3027314885593435</v>
      </c>
      <c r="M558" s="176">
        <v>44341</v>
      </c>
      <c r="N558" s="334">
        <f t="shared" ref="N558" si="1305">+G558+G559</f>
        <v>156.983</v>
      </c>
      <c r="O558" s="334">
        <f t="shared" ref="O558" si="1306">+H558+H559</f>
        <v>0</v>
      </c>
      <c r="P558" s="334">
        <f t="shared" ref="P558" si="1307">N558+O558</f>
        <v>156.983</v>
      </c>
      <c r="Q558" s="334">
        <f t="shared" ref="Q558" si="1308">+J558+J559</f>
        <v>148.94</v>
      </c>
      <c r="R558" s="334">
        <f t="shared" ref="R558" si="1309">P558-Q558</f>
        <v>8.0430000000000064</v>
      </c>
      <c r="S558" s="332">
        <f t="shared" ref="S558" si="1310">Q558/P558</f>
        <v>0.9487651529146468</v>
      </c>
      <c r="T558" s="140"/>
    </row>
    <row r="559" spans="1:25">
      <c r="A559" s="157"/>
      <c r="B559" s="339"/>
      <c r="C559" s="345"/>
      <c r="D559" s="357"/>
      <c r="E559" s="344"/>
      <c r="F559" s="129" t="s">
        <v>10</v>
      </c>
      <c r="G559" s="285">
        <v>78.491</v>
      </c>
      <c r="H559" s="172"/>
      <c r="I559" s="224">
        <f>G559+H559+K558</f>
        <v>54.728999999999999</v>
      </c>
      <c r="J559" s="292">
        <v>46.686</v>
      </c>
      <c r="K559" s="172">
        <f t="shared" si="1245"/>
        <v>8.0429999999999993</v>
      </c>
      <c r="L559" s="154">
        <f t="shared" si="1264"/>
        <v>0.85303952200844158</v>
      </c>
      <c r="M559" s="98" t="s">
        <v>218</v>
      </c>
      <c r="N559" s="334"/>
      <c r="O559" s="334"/>
      <c r="P559" s="334"/>
      <c r="Q559" s="334"/>
      <c r="R559" s="334"/>
      <c r="S559" s="332"/>
      <c r="T559" s="140"/>
    </row>
    <row r="560" spans="1:25">
      <c r="A560" s="367"/>
      <c r="B560" s="339"/>
      <c r="C560" s="345"/>
      <c r="D560" s="355" t="s">
        <v>251</v>
      </c>
      <c r="E560" s="344" t="s">
        <v>293</v>
      </c>
      <c r="F560" s="129" t="s">
        <v>488</v>
      </c>
      <c r="G560" s="285">
        <f>92.677+80</f>
        <v>172.67700000000002</v>
      </c>
      <c r="H560" s="172">
        <f>-86</f>
        <v>-86</v>
      </c>
      <c r="I560" s="224">
        <f>G560+H560</f>
        <v>86.677000000000021</v>
      </c>
      <c r="J560" s="292"/>
      <c r="K560" s="172">
        <f t="shared" si="1245"/>
        <v>86.677000000000021</v>
      </c>
      <c r="L560" s="154">
        <f t="shared" si="1264"/>
        <v>0</v>
      </c>
      <c r="M560" s="98" t="s">
        <v>218</v>
      </c>
      <c r="N560" s="334">
        <f t="shared" ref="N560" si="1311">+G560+G561</f>
        <v>185.35400000000004</v>
      </c>
      <c r="O560" s="334">
        <f t="shared" ref="O560" si="1312">+H560+H561</f>
        <v>-146</v>
      </c>
      <c r="P560" s="334">
        <f t="shared" ref="P560" si="1313">N560+O560</f>
        <v>39.354000000000042</v>
      </c>
      <c r="Q560" s="334">
        <f t="shared" ref="Q560" si="1314">+J560+J561</f>
        <v>0</v>
      </c>
      <c r="R560" s="334">
        <f t="shared" ref="R560" si="1315">P560-Q560</f>
        <v>39.354000000000042</v>
      </c>
      <c r="S560" s="332">
        <f t="shared" ref="S560" si="1316">Q560/P560</f>
        <v>0</v>
      </c>
      <c r="Y560" s="158"/>
    </row>
    <row r="561" spans="1:25">
      <c r="A561" s="367"/>
      <c r="B561" s="339"/>
      <c r="C561" s="345"/>
      <c r="D561" s="356"/>
      <c r="E561" s="344"/>
      <c r="F561" s="129" t="s">
        <v>10</v>
      </c>
      <c r="G561" s="285">
        <f>92.677-80</f>
        <v>12.677000000000007</v>
      </c>
      <c r="H561" s="172">
        <f>-60</f>
        <v>-60</v>
      </c>
      <c r="I561" s="224">
        <f>G561+H561+K560</f>
        <v>39.354000000000028</v>
      </c>
      <c r="J561" s="292"/>
      <c r="K561" s="172">
        <f t="shared" si="1245"/>
        <v>39.354000000000028</v>
      </c>
      <c r="L561" s="154">
        <f t="shared" si="1264"/>
        <v>0</v>
      </c>
      <c r="M561" s="98" t="s">
        <v>218</v>
      </c>
      <c r="N561" s="334"/>
      <c r="O561" s="334"/>
      <c r="P561" s="334"/>
      <c r="Q561" s="334"/>
      <c r="R561" s="334"/>
      <c r="S561" s="332"/>
      <c r="Y561" s="158"/>
    </row>
    <row r="562" spans="1:25">
      <c r="A562" s="367"/>
      <c r="B562" s="339"/>
      <c r="C562" s="345"/>
      <c r="D562" s="356"/>
      <c r="E562" s="344" t="s">
        <v>294</v>
      </c>
      <c r="F562" s="129" t="s">
        <v>488</v>
      </c>
      <c r="G562" s="285">
        <f>129.37+100</f>
        <v>229.37</v>
      </c>
      <c r="H562" s="210">
        <f>-57.5-50-49.9-10</f>
        <v>-167.4</v>
      </c>
      <c r="I562" s="224">
        <f>G562+H562</f>
        <v>61.97</v>
      </c>
      <c r="J562" s="292"/>
      <c r="K562" s="172">
        <f t="shared" si="1245"/>
        <v>61.97</v>
      </c>
      <c r="L562" s="154">
        <f t="shared" si="1264"/>
        <v>0</v>
      </c>
      <c r="M562" s="98" t="s">
        <v>218</v>
      </c>
      <c r="N562" s="334">
        <f t="shared" ref="N562" si="1317">+G562+G563</f>
        <v>258.74</v>
      </c>
      <c r="O562" s="334">
        <f t="shared" ref="O562" si="1318">+H562+H563</f>
        <v>-216.9</v>
      </c>
      <c r="P562" s="334">
        <f t="shared" ref="P562" si="1319">N562+O562</f>
        <v>41.84</v>
      </c>
      <c r="Q562" s="334">
        <f t="shared" ref="Q562" si="1320">+J562+J563</f>
        <v>0</v>
      </c>
      <c r="R562" s="334">
        <f t="shared" ref="R562" si="1321">P562-Q562</f>
        <v>41.84</v>
      </c>
      <c r="S562" s="332">
        <f t="shared" ref="S562" si="1322">Q562/P562</f>
        <v>0</v>
      </c>
    </row>
    <row r="563" spans="1:25">
      <c r="A563" s="367"/>
      <c r="B563" s="339"/>
      <c r="C563" s="345"/>
      <c r="D563" s="356"/>
      <c r="E563" s="344"/>
      <c r="F563" s="129" t="s">
        <v>10</v>
      </c>
      <c r="G563" s="285">
        <f>129.37-100</f>
        <v>29.370000000000005</v>
      </c>
      <c r="H563" s="281">
        <f>-49.5</f>
        <v>-49.5</v>
      </c>
      <c r="I563" s="224">
        <f>G563+H563+K562</f>
        <v>41.84</v>
      </c>
      <c r="J563" s="292"/>
      <c r="K563" s="172">
        <f t="shared" si="1245"/>
        <v>41.84</v>
      </c>
      <c r="L563" s="154">
        <f t="shared" si="1264"/>
        <v>0</v>
      </c>
      <c r="M563" s="98" t="s">
        <v>218</v>
      </c>
      <c r="N563" s="334"/>
      <c r="O563" s="334"/>
      <c r="P563" s="334"/>
      <c r="Q563" s="334"/>
      <c r="R563" s="334"/>
      <c r="S563" s="332"/>
    </row>
    <row r="564" spans="1:25">
      <c r="A564" s="367"/>
      <c r="B564" s="339"/>
      <c r="C564" s="345"/>
      <c r="D564" s="356"/>
      <c r="E564" s="344" t="s">
        <v>295</v>
      </c>
      <c r="F564" s="129" t="s">
        <v>488</v>
      </c>
      <c r="G564" s="285">
        <v>19.841999999999999</v>
      </c>
      <c r="H564" s="172"/>
      <c r="I564" s="224">
        <f>G564+H564</f>
        <v>19.841999999999999</v>
      </c>
      <c r="J564" s="292"/>
      <c r="K564" s="172">
        <f t="shared" si="1245"/>
        <v>19.841999999999999</v>
      </c>
      <c r="L564" s="154">
        <f t="shared" si="1264"/>
        <v>0</v>
      </c>
      <c r="M564" s="98" t="s">
        <v>218</v>
      </c>
      <c r="N564" s="334">
        <f t="shared" ref="N564" si="1323">+G564+G565</f>
        <v>39.683999999999997</v>
      </c>
      <c r="O564" s="334">
        <f t="shared" ref="O564" si="1324">+H564+H565</f>
        <v>-22</v>
      </c>
      <c r="P564" s="334">
        <f t="shared" ref="P564" si="1325">N564+O564</f>
        <v>17.683999999999997</v>
      </c>
      <c r="Q564" s="334">
        <f t="shared" ref="Q564" si="1326">+J564+J565</f>
        <v>0</v>
      </c>
      <c r="R564" s="334">
        <f t="shared" ref="R564" si="1327">P564-Q564</f>
        <v>17.683999999999997</v>
      </c>
      <c r="S564" s="332">
        <f t="shared" ref="S564" si="1328">Q564/P564</f>
        <v>0</v>
      </c>
    </row>
    <row r="565" spans="1:25">
      <c r="A565" s="367"/>
      <c r="B565" s="339"/>
      <c r="C565" s="345"/>
      <c r="D565" s="356"/>
      <c r="E565" s="344"/>
      <c r="F565" s="129" t="s">
        <v>10</v>
      </c>
      <c r="G565" s="285">
        <v>19.841999999999999</v>
      </c>
      <c r="H565" s="172">
        <f>-22</f>
        <v>-22</v>
      </c>
      <c r="I565" s="224">
        <f>G565+H565+K564</f>
        <v>17.683999999999997</v>
      </c>
      <c r="J565" s="292"/>
      <c r="K565" s="172">
        <f t="shared" si="1245"/>
        <v>17.683999999999997</v>
      </c>
      <c r="L565" s="154">
        <f t="shared" si="1264"/>
        <v>0</v>
      </c>
      <c r="M565" s="98" t="s">
        <v>218</v>
      </c>
      <c r="N565" s="334"/>
      <c r="O565" s="334"/>
      <c r="P565" s="334"/>
      <c r="Q565" s="334"/>
      <c r="R565" s="334"/>
      <c r="S565" s="332"/>
    </row>
    <row r="566" spans="1:25">
      <c r="A566" s="367"/>
      <c r="B566" s="339"/>
      <c r="C566" s="345"/>
      <c r="D566" s="356"/>
      <c r="E566" s="344" t="s">
        <v>297</v>
      </c>
      <c r="F566" s="129" t="s">
        <v>488</v>
      </c>
      <c r="G566" s="285">
        <v>249.82400000000001</v>
      </c>
      <c r="H566" s="172"/>
      <c r="I566" s="224">
        <f>G566+H566</f>
        <v>249.82400000000001</v>
      </c>
      <c r="J566" s="292">
        <v>31.56</v>
      </c>
      <c r="K566" s="172">
        <f t="shared" si="1245"/>
        <v>218.26400000000001</v>
      </c>
      <c r="L566" s="154">
        <f t="shared" si="1264"/>
        <v>0.12632893557064173</v>
      </c>
      <c r="M566" s="98" t="s">
        <v>218</v>
      </c>
      <c r="N566" s="334">
        <f t="shared" ref="N566" si="1329">+G566+G567</f>
        <v>499.64800000000002</v>
      </c>
      <c r="O566" s="334">
        <f t="shared" ref="O566" si="1330">+H566+H567</f>
        <v>-200</v>
      </c>
      <c r="P566" s="334">
        <f t="shared" ref="P566" si="1331">N566+O566</f>
        <v>299.64800000000002</v>
      </c>
      <c r="Q566" s="334">
        <f t="shared" ref="Q566" si="1332">+J566+J567</f>
        <v>48.192999999999998</v>
      </c>
      <c r="R566" s="334">
        <f t="shared" ref="R566" si="1333">P566-Q566</f>
        <v>251.45500000000004</v>
      </c>
      <c r="S566" s="332">
        <f t="shared" ref="S566" si="1334">Q566/P566</f>
        <v>0.16083204293037162</v>
      </c>
    </row>
    <row r="567" spans="1:25">
      <c r="A567" s="367"/>
      <c r="B567" s="339"/>
      <c r="C567" s="345"/>
      <c r="D567" s="356"/>
      <c r="E567" s="344"/>
      <c r="F567" s="129" t="s">
        <v>10</v>
      </c>
      <c r="G567" s="285">
        <v>249.82400000000001</v>
      </c>
      <c r="H567" s="172">
        <f>-50-90-20-40</f>
        <v>-200</v>
      </c>
      <c r="I567" s="224">
        <f>G567+H567+K566</f>
        <v>268.08800000000002</v>
      </c>
      <c r="J567" s="292">
        <v>16.632999999999999</v>
      </c>
      <c r="K567" s="172">
        <f t="shared" si="1245"/>
        <v>251.45500000000001</v>
      </c>
      <c r="L567" s="154">
        <f t="shared" si="1264"/>
        <v>6.2043060487601075E-2</v>
      </c>
      <c r="M567" s="98" t="s">
        <v>218</v>
      </c>
      <c r="N567" s="334"/>
      <c r="O567" s="334"/>
      <c r="P567" s="334"/>
      <c r="Q567" s="334"/>
      <c r="R567" s="334"/>
      <c r="S567" s="332"/>
    </row>
    <row r="568" spans="1:25">
      <c r="A568" s="367"/>
      <c r="B568" s="339"/>
      <c r="C568" s="345"/>
      <c r="D568" s="356"/>
      <c r="E568" s="344" t="s">
        <v>296</v>
      </c>
      <c r="F568" s="129" t="s">
        <v>488</v>
      </c>
      <c r="G568" s="285">
        <v>0</v>
      </c>
      <c r="H568" s="172"/>
      <c r="I568" s="224">
        <f>G568+H568</f>
        <v>0</v>
      </c>
      <c r="J568" s="292"/>
      <c r="K568" s="172">
        <f t="shared" si="1245"/>
        <v>0</v>
      </c>
      <c r="L568" s="154" t="e">
        <f t="shared" si="1264"/>
        <v>#DIV/0!</v>
      </c>
      <c r="M568" s="98" t="s">
        <v>218</v>
      </c>
      <c r="N568" s="334">
        <f t="shared" ref="N568" si="1335">+G568+G569</f>
        <v>0</v>
      </c>
      <c r="O568" s="334">
        <f t="shared" ref="O568" si="1336">+H568+H569</f>
        <v>0</v>
      </c>
      <c r="P568" s="334">
        <f t="shared" ref="P568" si="1337">N568+O568</f>
        <v>0</v>
      </c>
      <c r="Q568" s="334">
        <f t="shared" ref="Q568" si="1338">+J568+J569</f>
        <v>0</v>
      </c>
      <c r="R568" s="334">
        <f t="shared" ref="R568" si="1339">P568-Q568</f>
        <v>0</v>
      </c>
      <c r="S568" s="332" t="e">
        <f t="shared" ref="S568" si="1340">Q568/P568</f>
        <v>#DIV/0!</v>
      </c>
    </row>
    <row r="569" spans="1:25">
      <c r="A569" s="367"/>
      <c r="B569" s="339"/>
      <c r="C569" s="345"/>
      <c r="D569" s="356"/>
      <c r="E569" s="344"/>
      <c r="F569" s="129" t="s">
        <v>10</v>
      </c>
      <c r="G569" s="285">
        <v>0</v>
      </c>
      <c r="H569" s="172"/>
      <c r="I569" s="224">
        <f>G569+H569+K568</f>
        <v>0</v>
      </c>
      <c r="J569" s="292"/>
      <c r="K569" s="172">
        <f t="shared" si="1245"/>
        <v>0</v>
      </c>
      <c r="L569" s="154" t="e">
        <f t="shared" si="1264"/>
        <v>#DIV/0!</v>
      </c>
      <c r="M569" s="98" t="s">
        <v>218</v>
      </c>
      <c r="N569" s="334"/>
      <c r="O569" s="334"/>
      <c r="P569" s="334"/>
      <c r="Q569" s="334"/>
      <c r="R569" s="334"/>
      <c r="S569" s="332"/>
    </row>
    <row r="570" spans="1:25">
      <c r="A570" s="367"/>
      <c r="B570" s="339"/>
      <c r="C570" s="345"/>
      <c r="D570" s="356"/>
      <c r="E570" s="344" t="s">
        <v>575</v>
      </c>
      <c r="F570" s="129" t="s">
        <v>488</v>
      </c>
      <c r="G570" s="285">
        <v>30.103999999999999</v>
      </c>
      <c r="H570" s="172">
        <f>-36.37-23.5</f>
        <v>-59.87</v>
      </c>
      <c r="I570" s="224">
        <f>G570+H570</f>
        <v>-29.765999999999998</v>
      </c>
      <c r="J570" s="292"/>
      <c r="K570" s="172">
        <f t="shared" si="1245"/>
        <v>-29.765999999999998</v>
      </c>
      <c r="L570" s="154">
        <f t="shared" si="1264"/>
        <v>0</v>
      </c>
      <c r="M570" s="98" t="s">
        <v>218</v>
      </c>
      <c r="N570" s="334">
        <f t="shared" ref="N570" si="1341">+G570+G571</f>
        <v>60.207999999999998</v>
      </c>
      <c r="O570" s="334">
        <f t="shared" ref="O570" si="1342">+H570+H571</f>
        <v>-59.87</v>
      </c>
      <c r="P570" s="334">
        <f t="shared" ref="P570" si="1343">N570+O570</f>
        <v>0.33800000000000097</v>
      </c>
      <c r="Q570" s="334">
        <f t="shared" ref="Q570" si="1344">+J570+J571</f>
        <v>0</v>
      </c>
      <c r="R570" s="334">
        <f t="shared" ref="R570" si="1345">P570-Q570</f>
        <v>0.33800000000000097</v>
      </c>
      <c r="S570" s="332">
        <f t="shared" ref="S570" si="1346">Q570/P570</f>
        <v>0</v>
      </c>
    </row>
    <row r="571" spans="1:25">
      <c r="A571" s="367"/>
      <c r="B571" s="339"/>
      <c r="C571" s="345"/>
      <c r="D571" s="356"/>
      <c r="E571" s="344"/>
      <c r="F571" s="129" t="s">
        <v>10</v>
      </c>
      <c r="G571" s="285">
        <v>30.103999999999999</v>
      </c>
      <c r="H571" s="172"/>
      <c r="I571" s="224">
        <f>G571+H571+K570</f>
        <v>0.33800000000000097</v>
      </c>
      <c r="J571" s="292"/>
      <c r="K571" s="172">
        <f t="shared" si="1245"/>
        <v>0.33800000000000097</v>
      </c>
      <c r="L571" s="154">
        <f t="shared" si="1264"/>
        <v>0</v>
      </c>
      <c r="M571" s="176">
        <v>44470</v>
      </c>
      <c r="N571" s="334"/>
      <c r="O571" s="334"/>
      <c r="P571" s="334"/>
      <c r="Q571" s="334"/>
      <c r="R571" s="334"/>
      <c r="S571" s="332"/>
    </row>
    <row r="572" spans="1:25">
      <c r="A572" s="367"/>
      <c r="B572" s="339"/>
      <c r="C572" s="345"/>
      <c r="D572" s="356"/>
      <c r="E572" s="344" t="s">
        <v>298</v>
      </c>
      <c r="F572" s="129" t="s">
        <v>488</v>
      </c>
      <c r="G572" s="285">
        <v>0</v>
      </c>
      <c r="H572" s="172"/>
      <c r="I572" s="224">
        <f>G572+H572</f>
        <v>0</v>
      </c>
      <c r="J572" s="292"/>
      <c r="K572" s="172">
        <f t="shared" si="1245"/>
        <v>0</v>
      </c>
      <c r="L572" s="154" t="e">
        <f t="shared" si="1264"/>
        <v>#DIV/0!</v>
      </c>
      <c r="M572" s="98" t="s">
        <v>218</v>
      </c>
      <c r="N572" s="334">
        <f t="shared" ref="N572" si="1347">+G572+G573</f>
        <v>0</v>
      </c>
      <c r="O572" s="334">
        <f t="shared" ref="O572" si="1348">+H572+H573</f>
        <v>0</v>
      </c>
      <c r="P572" s="334">
        <f t="shared" ref="P572" si="1349">N572+O572</f>
        <v>0</v>
      </c>
      <c r="Q572" s="334">
        <f t="shared" ref="Q572" si="1350">+J572+J573</f>
        <v>0</v>
      </c>
      <c r="R572" s="334">
        <f t="shared" ref="R572" si="1351">P572-Q572</f>
        <v>0</v>
      </c>
      <c r="S572" s="332" t="e">
        <f t="shared" ref="S572" si="1352">Q572/P572</f>
        <v>#DIV/0!</v>
      </c>
    </row>
    <row r="573" spans="1:25">
      <c r="A573" s="367"/>
      <c r="B573" s="339"/>
      <c r="C573" s="345"/>
      <c r="D573" s="356"/>
      <c r="E573" s="344"/>
      <c r="F573" s="129" t="s">
        <v>10</v>
      </c>
      <c r="G573" s="285">
        <v>0</v>
      </c>
      <c r="H573" s="172"/>
      <c r="I573" s="224">
        <f>G573+H573+K572</f>
        <v>0</v>
      </c>
      <c r="J573" s="292"/>
      <c r="K573" s="172">
        <f t="shared" si="1245"/>
        <v>0</v>
      </c>
      <c r="L573" s="154" t="e">
        <f t="shared" si="1264"/>
        <v>#DIV/0!</v>
      </c>
      <c r="M573" s="98" t="s">
        <v>218</v>
      </c>
      <c r="N573" s="334"/>
      <c r="O573" s="334"/>
      <c r="P573" s="334"/>
      <c r="Q573" s="334"/>
      <c r="R573" s="334"/>
      <c r="S573" s="332"/>
    </row>
    <row r="574" spans="1:25">
      <c r="A574" s="368"/>
      <c r="B574" s="339"/>
      <c r="C574" s="345"/>
      <c r="D574" s="356"/>
      <c r="E574" s="344" t="s">
        <v>299</v>
      </c>
      <c r="F574" s="129" t="s">
        <v>488</v>
      </c>
      <c r="G574" s="285">
        <v>2.202</v>
      </c>
      <c r="H574" s="93"/>
      <c r="I574" s="224">
        <f>G574+H574</f>
        <v>2.202</v>
      </c>
      <c r="J574" s="292"/>
      <c r="K574" s="172">
        <f t="shared" si="1245"/>
        <v>2.202</v>
      </c>
      <c r="L574" s="154">
        <f t="shared" si="1264"/>
        <v>0</v>
      </c>
      <c r="M574" s="98" t="s">
        <v>218</v>
      </c>
      <c r="N574" s="334">
        <f t="shared" ref="N574" si="1353">+G574+G575</f>
        <v>4.4039999999999999</v>
      </c>
      <c r="O574" s="334">
        <f t="shared" ref="O574" si="1354">+H574+H575</f>
        <v>0</v>
      </c>
      <c r="P574" s="334">
        <f t="shared" ref="P574" si="1355">N574+O574</f>
        <v>4.4039999999999999</v>
      </c>
      <c r="Q574" s="334">
        <f t="shared" ref="Q574" si="1356">+J574+J575</f>
        <v>0</v>
      </c>
      <c r="R574" s="334">
        <f t="shared" ref="R574" si="1357">P574-Q574</f>
        <v>4.4039999999999999</v>
      </c>
      <c r="S574" s="332">
        <f t="shared" ref="S574" si="1358">Q574/P574</f>
        <v>0</v>
      </c>
    </row>
    <row r="575" spans="1:25">
      <c r="A575" s="368"/>
      <c r="B575" s="339"/>
      <c r="C575" s="345"/>
      <c r="D575" s="356"/>
      <c r="E575" s="344"/>
      <c r="F575" s="129" t="s">
        <v>10</v>
      </c>
      <c r="G575" s="285">
        <v>2.202</v>
      </c>
      <c r="H575" s="93"/>
      <c r="I575" s="224">
        <f>G575+H575+K574</f>
        <v>4.4039999999999999</v>
      </c>
      <c r="J575" s="292"/>
      <c r="K575" s="172">
        <f t="shared" si="1245"/>
        <v>4.4039999999999999</v>
      </c>
      <c r="L575" s="154">
        <f t="shared" si="1264"/>
        <v>0</v>
      </c>
      <c r="M575" s="98" t="s">
        <v>218</v>
      </c>
      <c r="N575" s="334"/>
      <c r="O575" s="334"/>
      <c r="P575" s="334"/>
      <c r="Q575" s="334"/>
      <c r="R575" s="334"/>
      <c r="S575" s="332"/>
    </row>
    <row r="576" spans="1:25">
      <c r="A576" s="367"/>
      <c r="B576" s="339"/>
      <c r="C576" s="345"/>
      <c r="D576" s="356"/>
      <c r="E576" s="344" t="s">
        <v>300</v>
      </c>
      <c r="F576" s="129" t="s">
        <v>488</v>
      </c>
      <c r="G576" s="285">
        <v>4.1449999999999996</v>
      </c>
      <c r="H576" s="172"/>
      <c r="I576" s="224">
        <f>G576+H576</f>
        <v>4.1449999999999996</v>
      </c>
      <c r="J576" s="292"/>
      <c r="K576" s="172">
        <f t="shared" si="1245"/>
        <v>4.1449999999999996</v>
      </c>
      <c r="L576" s="154">
        <f t="shared" si="1264"/>
        <v>0</v>
      </c>
      <c r="M576" s="98" t="s">
        <v>218</v>
      </c>
      <c r="N576" s="334">
        <f t="shared" ref="N576" si="1359">+G576+G577</f>
        <v>8.2899999999999991</v>
      </c>
      <c r="O576" s="334">
        <f t="shared" ref="O576" si="1360">+H576+H577</f>
        <v>0</v>
      </c>
      <c r="P576" s="334">
        <f t="shared" ref="P576" si="1361">N576+O576</f>
        <v>8.2899999999999991</v>
      </c>
      <c r="Q576" s="334">
        <f t="shared" ref="Q576" si="1362">+J576+J577</f>
        <v>0</v>
      </c>
      <c r="R576" s="334">
        <f t="shared" ref="R576" si="1363">P576-Q576</f>
        <v>8.2899999999999991</v>
      </c>
      <c r="S576" s="332">
        <f t="shared" ref="S576" si="1364">Q576/P576</f>
        <v>0</v>
      </c>
    </row>
    <row r="577" spans="1:19">
      <c r="A577" s="367"/>
      <c r="B577" s="339"/>
      <c r="C577" s="345"/>
      <c r="D577" s="356"/>
      <c r="E577" s="344"/>
      <c r="F577" s="129" t="s">
        <v>10</v>
      </c>
      <c r="G577" s="285">
        <v>4.1449999999999996</v>
      </c>
      <c r="H577" s="172"/>
      <c r="I577" s="224">
        <f>G577+H577+K576</f>
        <v>8.2899999999999991</v>
      </c>
      <c r="J577" s="292"/>
      <c r="K577" s="172">
        <f t="shared" si="1245"/>
        <v>8.2899999999999991</v>
      </c>
      <c r="L577" s="154">
        <f t="shared" si="1264"/>
        <v>0</v>
      </c>
      <c r="M577" s="98" t="s">
        <v>218</v>
      </c>
      <c r="N577" s="334"/>
      <c r="O577" s="334"/>
      <c r="P577" s="334"/>
      <c r="Q577" s="334"/>
      <c r="R577" s="334"/>
      <c r="S577" s="332"/>
    </row>
    <row r="578" spans="1:19">
      <c r="A578" s="367"/>
      <c r="B578" s="339"/>
      <c r="C578" s="345"/>
      <c r="D578" s="356"/>
      <c r="E578" s="344" t="s">
        <v>301</v>
      </c>
      <c r="F578" s="129" t="s">
        <v>488</v>
      </c>
      <c r="G578" s="285">
        <v>12.715</v>
      </c>
      <c r="H578" s="172"/>
      <c r="I578" s="224">
        <f>G578+H578</f>
        <v>12.715</v>
      </c>
      <c r="J578" s="292"/>
      <c r="K578" s="172">
        <f t="shared" si="1245"/>
        <v>12.715</v>
      </c>
      <c r="L578" s="154">
        <f t="shared" si="1264"/>
        <v>0</v>
      </c>
      <c r="M578" s="98" t="s">
        <v>218</v>
      </c>
      <c r="N578" s="334">
        <f t="shared" ref="N578" si="1365">+G578+G579</f>
        <v>25.43</v>
      </c>
      <c r="O578" s="334">
        <f t="shared" ref="O578" si="1366">+H578+H579</f>
        <v>0</v>
      </c>
      <c r="P578" s="334">
        <f t="shared" ref="P578" si="1367">N578+O578</f>
        <v>25.43</v>
      </c>
      <c r="Q578" s="334">
        <f t="shared" ref="Q578" si="1368">+J578+J579</f>
        <v>0</v>
      </c>
      <c r="R578" s="334">
        <f t="shared" ref="R578" si="1369">P578-Q578</f>
        <v>25.43</v>
      </c>
      <c r="S578" s="332">
        <f t="shared" ref="S578" si="1370">Q578/P578</f>
        <v>0</v>
      </c>
    </row>
    <row r="579" spans="1:19">
      <c r="A579" s="367"/>
      <c r="B579" s="339"/>
      <c r="C579" s="345"/>
      <c r="D579" s="356"/>
      <c r="E579" s="344"/>
      <c r="F579" s="129" t="s">
        <v>10</v>
      </c>
      <c r="G579" s="285">
        <v>12.715</v>
      </c>
      <c r="H579" s="172"/>
      <c r="I579" s="224">
        <f>G579+H579+K578</f>
        <v>25.43</v>
      </c>
      <c r="J579" s="292"/>
      <c r="K579" s="172">
        <f t="shared" si="1245"/>
        <v>25.43</v>
      </c>
      <c r="L579" s="154">
        <f t="shared" si="1264"/>
        <v>0</v>
      </c>
      <c r="M579" s="98" t="s">
        <v>218</v>
      </c>
      <c r="N579" s="334"/>
      <c r="O579" s="334"/>
      <c r="P579" s="334"/>
      <c r="Q579" s="334"/>
      <c r="R579" s="334"/>
      <c r="S579" s="332"/>
    </row>
    <row r="580" spans="1:19">
      <c r="A580" s="367"/>
      <c r="B580" s="339"/>
      <c r="C580" s="345"/>
      <c r="D580" s="356"/>
      <c r="E580" s="344" t="s">
        <v>302</v>
      </c>
      <c r="F580" s="129" t="s">
        <v>488</v>
      </c>
      <c r="G580" s="285">
        <v>12.246</v>
      </c>
      <c r="H580" s="172">
        <f>-12</f>
        <v>-12</v>
      </c>
      <c r="I580" s="224">
        <f>G580+H580</f>
        <v>0.24600000000000044</v>
      </c>
      <c r="J580" s="292"/>
      <c r="K580" s="172">
        <f t="shared" si="1245"/>
        <v>0.24600000000000044</v>
      </c>
      <c r="L580" s="154">
        <f t="shared" si="1264"/>
        <v>0</v>
      </c>
      <c r="M580" s="98" t="s">
        <v>218</v>
      </c>
      <c r="N580" s="334">
        <f t="shared" ref="N580" si="1371">+G580+G581</f>
        <v>24.492000000000001</v>
      </c>
      <c r="O580" s="334">
        <f t="shared" ref="O580" si="1372">+H580+H581</f>
        <v>-24</v>
      </c>
      <c r="P580" s="334">
        <f t="shared" ref="P580" si="1373">N580+O580</f>
        <v>0.49200000000000088</v>
      </c>
      <c r="Q580" s="334">
        <f t="shared" ref="Q580" si="1374">+J580+J581</f>
        <v>0</v>
      </c>
      <c r="R580" s="334">
        <f t="shared" ref="R580" si="1375">P580-Q580</f>
        <v>0.49200000000000088</v>
      </c>
      <c r="S580" s="332">
        <f t="shared" ref="S580" si="1376">Q580/P580</f>
        <v>0</v>
      </c>
    </row>
    <row r="581" spans="1:19">
      <c r="A581" s="367"/>
      <c r="B581" s="339"/>
      <c r="C581" s="345"/>
      <c r="D581" s="356"/>
      <c r="E581" s="344"/>
      <c r="F581" s="129" t="s">
        <v>10</v>
      </c>
      <c r="G581" s="285">
        <v>12.246</v>
      </c>
      <c r="H581" s="172">
        <f>-6-6</f>
        <v>-12</v>
      </c>
      <c r="I581" s="224">
        <f>G581+H581+K580</f>
        <v>0.49200000000000088</v>
      </c>
      <c r="J581" s="292"/>
      <c r="K581" s="172">
        <f t="shared" si="1245"/>
        <v>0.49200000000000088</v>
      </c>
      <c r="L581" s="154">
        <f t="shared" si="1264"/>
        <v>0</v>
      </c>
      <c r="M581" s="98" t="s">
        <v>218</v>
      </c>
      <c r="N581" s="334"/>
      <c r="O581" s="334"/>
      <c r="P581" s="334"/>
      <c r="Q581" s="334"/>
      <c r="R581" s="334"/>
      <c r="S581" s="332"/>
    </row>
    <row r="582" spans="1:19">
      <c r="A582" s="367"/>
      <c r="B582" s="339"/>
      <c r="C582" s="345"/>
      <c r="D582" s="356"/>
      <c r="E582" s="344" t="s">
        <v>303</v>
      </c>
      <c r="F582" s="129" t="s">
        <v>488</v>
      </c>
      <c r="G582" s="285">
        <v>7.2359999999999998</v>
      </c>
      <c r="H582" s="172"/>
      <c r="I582" s="224">
        <f>G582+H582</f>
        <v>7.2359999999999998</v>
      </c>
      <c r="J582" s="292"/>
      <c r="K582" s="172">
        <f t="shared" si="1245"/>
        <v>7.2359999999999998</v>
      </c>
      <c r="L582" s="154">
        <f t="shared" si="1264"/>
        <v>0</v>
      </c>
      <c r="M582" s="98" t="s">
        <v>218</v>
      </c>
      <c r="N582" s="334">
        <f t="shared" ref="N582" si="1377">+G582+G583</f>
        <v>14.472</v>
      </c>
      <c r="O582" s="334">
        <f t="shared" ref="O582" si="1378">+H582+H583</f>
        <v>-14</v>
      </c>
      <c r="P582" s="334">
        <f t="shared" ref="P582" si="1379">N582+O582</f>
        <v>0.47199999999999953</v>
      </c>
      <c r="Q582" s="334">
        <f t="shared" ref="Q582" si="1380">+J582+J583</f>
        <v>0</v>
      </c>
      <c r="R582" s="334">
        <f t="shared" ref="R582" si="1381">P582-Q582</f>
        <v>0.47199999999999953</v>
      </c>
      <c r="S582" s="332">
        <f t="shared" ref="S582" si="1382">Q582/P582</f>
        <v>0</v>
      </c>
    </row>
    <row r="583" spans="1:19">
      <c r="A583" s="367"/>
      <c r="B583" s="339"/>
      <c r="C583" s="345"/>
      <c r="D583" s="356"/>
      <c r="E583" s="344"/>
      <c r="F583" s="129" t="s">
        <v>10</v>
      </c>
      <c r="G583" s="285">
        <v>7.2359999999999998</v>
      </c>
      <c r="H583" s="172">
        <f>-14</f>
        <v>-14</v>
      </c>
      <c r="I583" s="224">
        <f>G583+H583+K582</f>
        <v>0.47199999999999953</v>
      </c>
      <c r="J583" s="292"/>
      <c r="K583" s="172">
        <f t="shared" si="1245"/>
        <v>0.47199999999999953</v>
      </c>
      <c r="L583" s="154">
        <f t="shared" si="1264"/>
        <v>0</v>
      </c>
      <c r="M583" s="176">
        <v>44470</v>
      </c>
      <c r="N583" s="334"/>
      <c r="O583" s="334"/>
      <c r="P583" s="334"/>
      <c r="Q583" s="334"/>
      <c r="R583" s="334"/>
      <c r="S583" s="332"/>
    </row>
    <row r="584" spans="1:19">
      <c r="A584" s="367"/>
      <c r="B584" s="339"/>
      <c r="C584" s="345"/>
      <c r="D584" s="356"/>
      <c r="E584" s="344" t="s">
        <v>304</v>
      </c>
      <c r="F584" s="129" t="s">
        <v>488</v>
      </c>
      <c r="G584" s="285">
        <v>0</v>
      </c>
      <c r="H584" s="172"/>
      <c r="I584" s="224">
        <f>G584+H584</f>
        <v>0</v>
      </c>
      <c r="J584" s="292"/>
      <c r="K584" s="172">
        <f t="shared" si="1245"/>
        <v>0</v>
      </c>
      <c r="L584" s="154" t="e">
        <f t="shared" si="1264"/>
        <v>#DIV/0!</v>
      </c>
      <c r="M584" s="98" t="s">
        <v>218</v>
      </c>
      <c r="N584" s="334">
        <f t="shared" ref="N584" si="1383">+G584+G585</f>
        <v>0</v>
      </c>
      <c r="O584" s="334">
        <f t="shared" ref="O584" si="1384">+H584+H585</f>
        <v>0</v>
      </c>
      <c r="P584" s="334">
        <f t="shared" ref="P584" si="1385">N584+O584</f>
        <v>0</v>
      </c>
      <c r="Q584" s="334">
        <f t="shared" ref="Q584" si="1386">+J584+J585</f>
        <v>0</v>
      </c>
      <c r="R584" s="334">
        <f t="shared" ref="R584" si="1387">P584-Q584</f>
        <v>0</v>
      </c>
      <c r="S584" s="332" t="e">
        <f t="shared" ref="S584" si="1388">Q584/P584</f>
        <v>#DIV/0!</v>
      </c>
    </row>
    <row r="585" spans="1:19">
      <c r="A585" s="367"/>
      <c r="B585" s="339"/>
      <c r="C585" s="345"/>
      <c r="D585" s="356"/>
      <c r="E585" s="344"/>
      <c r="F585" s="129" t="s">
        <v>10</v>
      </c>
      <c r="G585" s="285">
        <v>0</v>
      </c>
      <c r="H585" s="172"/>
      <c r="I585" s="224">
        <f>G585+H585+K584</f>
        <v>0</v>
      </c>
      <c r="J585" s="292"/>
      <c r="K585" s="172">
        <f t="shared" si="1245"/>
        <v>0</v>
      </c>
      <c r="L585" s="154" t="e">
        <f t="shared" si="1264"/>
        <v>#DIV/0!</v>
      </c>
      <c r="M585" s="98" t="s">
        <v>218</v>
      </c>
      <c r="N585" s="334"/>
      <c r="O585" s="334"/>
      <c r="P585" s="334"/>
      <c r="Q585" s="334"/>
      <c r="R585" s="334"/>
      <c r="S585" s="332"/>
    </row>
    <row r="586" spans="1:19">
      <c r="A586" s="367"/>
      <c r="B586" s="339"/>
      <c r="C586" s="345"/>
      <c r="D586" s="356"/>
      <c r="E586" s="344" t="s">
        <v>305</v>
      </c>
      <c r="F586" s="129" t="s">
        <v>488</v>
      </c>
      <c r="G586" s="285">
        <v>0</v>
      </c>
      <c r="H586" s="172"/>
      <c r="I586" s="224">
        <f>G586+H586</f>
        <v>0</v>
      </c>
      <c r="J586" s="292"/>
      <c r="K586" s="172">
        <f t="shared" si="1245"/>
        <v>0</v>
      </c>
      <c r="L586" s="154" t="e">
        <f t="shared" si="1264"/>
        <v>#DIV/0!</v>
      </c>
      <c r="M586" s="98" t="s">
        <v>218</v>
      </c>
      <c r="N586" s="334">
        <f t="shared" ref="N586" si="1389">+G586+G587</f>
        <v>0</v>
      </c>
      <c r="O586" s="334">
        <f t="shared" ref="O586" si="1390">+H586+H587</f>
        <v>0</v>
      </c>
      <c r="P586" s="334">
        <f t="shared" ref="P586" si="1391">N586+O586</f>
        <v>0</v>
      </c>
      <c r="Q586" s="334">
        <f t="shared" ref="Q586" si="1392">+J586+J587</f>
        <v>0</v>
      </c>
      <c r="R586" s="334">
        <f t="shared" ref="R586" si="1393">P586-Q586</f>
        <v>0</v>
      </c>
      <c r="S586" s="332" t="e">
        <f t="shared" ref="S586" si="1394">Q586/P586</f>
        <v>#DIV/0!</v>
      </c>
    </row>
    <row r="587" spans="1:19">
      <c r="A587" s="367"/>
      <c r="B587" s="339"/>
      <c r="C587" s="345"/>
      <c r="D587" s="356"/>
      <c r="E587" s="344"/>
      <c r="F587" s="129" t="s">
        <v>10</v>
      </c>
      <c r="G587" s="285">
        <v>0</v>
      </c>
      <c r="H587" s="172"/>
      <c r="I587" s="224">
        <f>G587+H587+K586</f>
        <v>0</v>
      </c>
      <c r="J587" s="292"/>
      <c r="K587" s="172">
        <f t="shared" ref="K587:K615" si="1395">I587-J587</f>
        <v>0</v>
      </c>
      <c r="L587" s="154" t="e">
        <f t="shared" si="1264"/>
        <v>#DIV/0!</v>
      </c>
      <c r="M587" s="98" t="s">
        <v>218</v>
      </c>
      <c r="N587" s="334"/>
      <c r="O587" s="334"/>
      <c r="P587" s="334"/>
      <c r="Q587" s="334"/>
      <c r="R587" s="334"/>
      <c r="S587" s="332"/>
    </row>
    <row r="588" spans="1:19">
      <c r="A588" s="367"/>
      <c r="B588" s="339"/>
      <c r="C588" s="345"/>
      <c r="D588" s="356"/>
      <c r="E588" s="344" t="s">
        <v>306</v>
      </c>
      <c r="F588" s="129" t="s">
        <v>488</v>
      </c>
      <c r="G588" s="285">
        <v>2.012</v>
      </c>
      <c r="H588" s="172"/>
      <c r="I588" s="224">
        <f>G588+H588</f>
        <v>2.012</v>
      </c>
      <c r="J588" s="292"/>
      <c r="K588" s="172">
        <f t="shared" si="1395"/>
        <v>2.012</v>
      </c>
      <c r="L588" s="154">
        <f t="shared" si="1264"/>
        <v>0</v>
      </c>
      <c r="M588" s="98" t="s">
        <v>218</v>
      </c>
      <c r="N588" s="334">
        <f t="shared" ref="N588" si="1396">+G588+G589</f>
        <v>4.024</v>
      </c>
      <c r="O588" s="334">
        <f t="shared" ref="O588" si="1397">+H588+H589</f>
        <v>0</v>
      </c>
      <c r="P588" s="334">
        <f t="shared" ref="P588" si="1398">N588+O588</f>
        <v>4.024</v>
      </c>
      <c r="Q588" s="334">
        <f t="shared" ref="Q588" si="1399">+J588+J589</f>
        <v>0</v>
      </c>
      <c r="R588" s="334">
        <f t="shared" ref="R588" si="1400">P588-Q588</f>
        <v>4.024</v>
      </c>
      <c r="S588" s="332">
        <f t="shared" ref="S588" si="1401">Q588/P588</f>
        <v>0</v>
      </c>
    </row>
    <row r="589" spans="1:19">
      <c r="A589" s="367"/>
      <c r="B589" s="339"/>
      <c r="C589" s="345"/>
      <c r="D589" s="356"/>
      <c r="E589" s="344"/>
      <c r="F589" s="129" t="s">
        <v>10</v>
      </c>
      <c r="G589" s="285">
        <v>2.012</v>
      </c>
      <c r="H589" s="172"/>
      <c r="I589" s="224">
        <f>G589+H589+K588</f>
        <v>4.024</v>
      </c>
      <c r="J589" s="292"/>
      <c r="K589" s="172">
        <f t="shared" si="1395"/>
        <v>4.024</v>
      </c>
      <c r="L589" s="154">
        <f t="shared" si="1264"/>
        <v>0</v>
      </c>
      <c r="M589" s="98" t="s">
        <v>218</v>
      </c>
      <c r="N589" s="334"/>
      <c r="O589" s="334"/>
      <c r="P589" s="334"/>
      <c r="Q589" s="334"/>
      <c r="R589" s="334"/>
      <c r="S589" s="332"/>
    </row>
    <row r="590" spans="1:19">
      <c r="A590" s="367"/>
      <c r="B590" s="339"/>
      <c r="C590" s="345"/>
      <c r="D590" s="356"/>
      <c r="E590" s="344" t="s">
        <v>307</v>
      </c>
      <c r="F590" s="129" t="s">
        <v>488</v>
      </c>
      <c r="G590" s="285">
        <v>11.143000000000001</v>
      </c>
      <c r="H590" s="172">
        <f>-12-9.5</f>
        <v>-21.5</v>
      </c>
      <c r="I590" s="224">
        <f>G590+H590</f>
        <v>-10.356999999999999</v>
      </c>
      <c r="J590" s="292"/>
      <c r="K590" s="268">
        <f t="shared" si="1395"/>
        <v>-10.356999999999999</v>
      </c>
      <c r="L590" s="154">
        <f t="shared" ref="L590:L618" si="1402">J590/I590</f>
        <v>0</v>
      </c>
      <c r="M590" s="176">
        <v>44294</v>
      </c>
      <c r="N590" s="334">
        <f t="shared" ref="N590" si="1403">+G590+G591</f>
        <v>22.286000000000001</v>
      </c>
      <c r="O590" s="334">
        <f t="shared" ref="O590" si="1404">+H590+H591</f>
        <v>-21.5</v>
      </c>
      <c r="P590" s="334">
        <f t="shared" ref="P590" si="1405">N590+O590</f>
        <v>0.78600000000000136</v>
      </c>
      <c r="Q590" s="334">
        <f t="shared" ref="Q590" si="1406">+J590+J591</f>
        <v>0</v>
      </c>
      <c r="R590" s="334">
        <f t="shared" ref="R590" si="1407">P590-Q590</f>
        <v>0.78600000000000136</v>
      </c>
      <c r="S590" s="332">
        <f t="shared" ref="S590" si="1408">Q590/P590</f>
        <v>0</v>
      </c>
    </row>
    <row r="591" spans="1:19">
      <c r="A591" s="367"/>
      <c r="B591" s="339"/>
      <c r="C591" s="345"/>
      <c r="D591" s="356"/>
      <c r="E591" s="344"/>
      <c r="F591" s="129" t="s">
        <v>10</v>
      </c>
      <c r="G591" s="285">
        <v>11.143000000000001</v>
      </c>
      <c r="H591" s="172"/>
      <c r="I591" s="224">
        <f>G591+H591+K590</f>
        <v>0.78600000000000136</v>
      </c>
      <c r="J591" s="292"/>
      <c r="K591" s="172">
        <f t="shared" si="1395"/>
        <v>0.78600000000000136</v>
      </c>
      <c r="L591" s="154">
        <f t="shared" si="1402"/>
        <v>0</v>
      </c>
      <c r="M591" s="176">
        <v>44470</v>
      </c>
      <c r="N591" s="334"/>
      <c r="O591" s="334"/>
      <c r="P591" s="334"/>
      <c r="Q591" s="334"/>
      <c r="R591" s="334"/>
      <c r="S591" s="332"/>
    </row>
    <row r="592" spans="1:19">
      <c r="A592" s="367"/>
      <c r="B592" s="339"/>
      <c r="C592" s="345"/>
      <c r="D592" s="356"/>
      <c r="E592" s="344" t="s">
        <v>312</v>
      </c>
      <c r="F592" s="129" t="s">
        <v>488</v>
      </c>
      <c r="G592" s="285">
        <v>2.1419999999999999</v>
      </c>
      <c r="H592" s="172">
        <f>-4</f>
        <v>-4</v>
      </c>
      <c r="I592" s="224">
        <f>G592+H592</f>
        <v>-1.8580000000000001</v>
      </c>
      <c r="J592" s="292"/>
      <c r="K592" s="172">
        <f t="shared" si="1395"/>
        <v>-1.8580000000000001</v>
      </c>
      <c r="L592" s="154">
        <f t="shared" si="1402"/>
        <v>0</v>
      </c>
      <c r="M592" s="98" t="s">
        <v>218</v>
      </c>
      <c r="N592" s="334">
        <f t="shared" ref="N592" si="1409">+G592+G593</f>
        <v>4.2839999999999998</v>
      </c>
      <c r="O592" s="334">
        <f t="shared" ref="O592" si="1410">+H592+H593</f>
        <v>-4</v>
      </c>
      <c r="P592" s="334">
        <f t="shared" ref="P592" si="1411">N592+O592</f>
        <v>0.28399999999999981</v>
      </c>
      <c r="Q592" s="334">
        <f t="shared" ref="Q592" si="1412">+J592+J593</f>
        <v>0</v>
      </c>
      <c r="R592" s="334">
        <f t="shared" ref="R592" si="1413">P592-Q592</f>
        <v>0.28399999999999981</v>
      </c>
      <c r="S592" s="332">
        <f t="shared" ref="S592" si="1414">Q592/P592</f>
        <v>0</v>
      </c>
    </row>
    <row r="593" spans="1:25">
      <c r="A593" s="367"/>
      <c r="B593" s="339"/>
      <c r="C593" s="345"/>
      <c r="D593" s="356"/>
      <c r="E593" s="344"/>
      <c r="F593" s="129" t="s">
        <v>10</v>
      </c>
      <c r="G593" s="285">
        <v>2.1419999999999999</v>
      </c>
      <c r="H593" s="172"/>
      <c r="I593" s="224">
        <f>G593+H593+K592</f>
        <v>0.28399999999999981</v>
      </c>
      <c r="J593" s="292"/>
      <c r="K593" s="172">
        <f t="shared" si="1395"/>
        <v>0.28399999999999981</v>
      </c>
      <c r="L593" s="154">
        <f t="shared" si="1402"/>
        <v>0</v>
      </c>
      <c r="M593" s="176">
        <v>44470</v>
      </c>
      <c r="N593" s="334"/>
      <c r="O593" s="334"/>
      <c r="P593" s="334"/>
      <c r="Q593" s="334"/>
      <c r="R593" s="334"/>
      <c r="S593" s="332"/>
    </row>
    <row r="594" spans="1:25">
      <c r="A594" s="157"/>
      <c r="B594" s="339"/>
      <c r="C594" s="345"/>
      <c r="D594" s="356"/>
      <c r="E594" s="344" t="s">
        <v>329</v>
      </c>
      <c r="F594" s="129" t="s">
        <v>488</v>
      </c>
      <c r="G594" s="285">
        <v>0</v>
      </c>
      <c r="H594" s="172"/>
      <c r="I594" s="224">
        <f>G594+H594</f>
        <v>0</v>
      </c>
      <c r="J594" s="292"/>
      <c r="K594" s="172">
        <f t="shared" si="1395"/>
        <v>0</v>
      </c>
      <c r="L594" s="154" t="e">
        <f>J594/I594</f>
        <v>#DIV/0!</v>
      </c>
      <c r="M594" s="98" t="s">
        <v>218</v>
      </c>
      <c r="N594" s="334">
        <f t="shared" ref="N594" si="1415">+G594+G595</f>
        <v>0</v>
      </c>
      <c r="O594" s="334">
        <f t="shared" ref="O594" si="1416">+H594+H595</f>
        <v>0</v>
      </c>
      <c r="P594" s="334">
        <f t="shared" ref="P594" si="1417">N594+O594</f>
        <v>0</v>
      </c>
      <c r="Q594" s="334">
        <f t="shared" ref="Q594" si="1418">+J594+J595</f>
        <v>0</v>
      </c>
      <c r="R594" s="334">
        <f t="shared" ref="R594" si="1419">P594-Q594</f>
        <v>0</v>
      </c>
      <c r="S594" s="332" t="e">
        <f t="shared" ref="S594" si="1420">Q594/P594</f>
        <v>#DIV/0!</v>
      </c>
    </row>
    <row r="595" spans="1:25">
      <c r="A595" s="157"/>
      <c r="B595" s="339"/>
      <c r="C595" s="345"/>
      <c r="D595" s="356"/>
      <c r="E595" s="344"/>
      <c r="F595" s="129" t="s">
        <v>10</v>
      </c>
      <c r="G595" s="285">
        <v>0</v>
      </c>
      <c r="H595" s="172"/>
      <c r="I595" s="224">
        <f>G595+H595+K594</f>
        <v>0</v>
      </c>
      <c r="J595" s="292"/>
      <c r="K595" s="172">
        <f t="shared" si="1395"/>
        <v>0</v>
      </c>
      <c r="L595" s="154" t="e">
        <f t="shared" si="1402"/>
        <v>#DIV/0!</v>
      </c>
      <c r="M595" s="98" t="s">
        <v>218</v>
      </c>
      <c r="N595" s="334"/>
      <c r="O595" s="334"/>
      <c r="P595" s="334"/>
      <c r="Q595" s="334"/>
      <c r="R595" s="334"/>
      <c r="S595" s="332"/>
    </row>
    <row r="596" spans="1:25">
      <c r="A596" s="157"/>
      <c r="B596" s="339"/>
      <c r="C596" s="345"/>
      <c r="D596" s="356"/>
      <c r="E596" s="344" t="s">
        <v>487</v>
      </c>
      <c r="F596" s="129" t="s">
        <v>488</v>
      </c>
      <c r="G596" s="285">
        <v>5.8109999999999999</v>
      </c>
      <c r="H596" s="226">
        <f>-5.811</f>
        <v>-5.8109999999999999</v>
      </c>
      <c r="I596" s="226">
        <f>G596+H596</f>
        <v>0</v>
      </c>
      <c r="J596" s="292"/>
      <c r="K596" s="226">
        <f>I596-J596</f>
        <v>0</v>
      </c>
      <c r="L596" s="154" t="e">
        <f t="shared" si="1402"/>
        <v>#DIV/0!</v>
      </c>
      <c r="M596" s="227" t="s">
        <v>218</v>
      </c>
      <c r="N596" s="334">
        <f t="shared" ref="N596" si="1421">+G596+G597</f>
        <v>11.622</v>
      </c>
      <c r="O596" s="334">
        <f t="shared" ref="O596" si="1422">+H596+H597</f>
        <v>-5.8109999999999999</v>
      </c>
      <c r="P596" s="334">
        <f t="shared" ref="P596" si="1423">N596+O596</f>
        <v>5.8109999999999999</v>
      </c>
      <c r="Q596" s="334">
        <f t="shared" ref="Q596" si="1424">+J596+J597</f>
        <v>0</v>
      </c>
      <c r="R596" s="334">
        <f t="shared" ref="R596" si="1425">P596-Q596</f>
        <v>5.8109999999999999</v>
      </c>
      <c r="S596" s="332">
        <f t="shared" ref="S596" si="1426">Q596/P596</f>
        <v>0</v>
      </c>
    </row>
    <row r="597" spans="1:25">
      <c r="A597" s="157"/>
      <c r="B597" s="339"/>
      <c r="C597" s="345"/>
      <c r="D597" s="356"/>
      <c r="E597" s="344"/>
      <c r="F597" s="129" t="s">
        <v>10</v>
      </c>
      <c r="G597" s="285">
        <v>5.8109999999999999</v>
      </c>
      <c r="H597" s="226"/>
      <c r="I597" s="226">
        <f>G597+H597+K596</f>
        <v>5.8109999999999999</v>
      </c>
      <c r="J597" s="292"/>
      <c r="K597" s="226">
        <f t="shared" ref="K597:K598" si="1427">I597-J597</f>
        <v>5.8109999999999999</v>
      </c>
      <c r="L597" s="154">
        <f t="shared" si="1402"/>
        <v>0</v>
      </c>
      <c r="M597" s="227" t="s">
        <v>218</v>
      </c>
      <c r="N597" s="334"/>
      <c r="O597" s="334"/>
      <c r="P597" s="334"/>
      <c r="Q597" s="334"/>
      <c r="R597" s="334"/>
      <c r="S597" s="332"/>
    </row>
    <row r="598" spans="1:25">
      <c r="A598" s="171"/>
      <c r="B598" s="339"/>
      <c r="C598" s="345"/>
      <c r="D598" s="356"/>
      <c r="E598" s="344" t="s">
        <v>537</v>
      </c>
      <c r="F598" s="129" t="s">
        <v>488</v>
      </c>
      <c r="G598" s="285">
        <v>1.8120000000000001</v>
      </c>
      <c r="H598" s="172"/>
      <c r="I598" s="224">
        <f>G598+H598</f>
        <v>1.8120000000000001</v>
      </c>
      <c r="J598" s="292"/>
      <c r="K598" s="172">
        <f t="shared" si="1427"/>
        <v>1.8120000000000001</v>
      </c>
      <c r="L598" s="154">
        <f t="shared" ref="L598:L605" si="1428">J598/I598</f>
        <v>0</v>
      </c>
      <c r="M598" s="98" t="s">
        <v>218</v>
      </c>
      <c r="N598" s="334">
        <f t="shared" ref="N598" si="1429">+G598+G599</f>
        <v>3.6240000000000001</v>
      </c>
      <c r="O598" s="334">
        <f t="shared" ref="O598" si="1430">+H598+H599</f>
        <v>0</v>
      </c>
      <c r="P598" s="334">
        <f t="shared" ref="P598" si="1431">N598+O598</f>
        <v>3.6240000000000001</v>
      </c>
      <c r="Q598" s="334">
        <f t="shared" ref="Q598" si="1432">+J598+J599</f>
        <v>0</v>
      </c>
      <c r="R598" s="334">
        <f t="shared" ref="R598" si="1433">P598-Q598</f>
        <v>3.6240000000000001</v>
      </c>
      <c r="S598" s="332">
        <f t="shared" ref="S598" si="1434">Q598/P598</f>
        <v>0</v>
      </c>
    </row>
    <row r="599" spans="1:25">
      <c r="A599" s="171"/>
      <c r="B599" s="339"/>
      <c r="C599" s="345"/>
      <c r="D599" s="356"/>
      <c r="E599" s="344"/>
      <c r="F599" s="129" t="s">
        <v>10</v>
      </c>
      <c r="G599" s="285">
        <v>1.8120000000000001</v>
      </c>
      <c r="H599" s="172"/>
      <c r="I599" s="224">
        <f>G599+H599+K598</f>
        <v>3.6240000000000001</v>
      </c>
      <c r="J599" s="292"/>
      <c r="K599" s="172">
        <f t="shared" ref="K599:K605" si="1435">I599-J599</f>
        <v>3.6240000000000001</v>
      </c>
      <c r="L599" s="154">
        <f t="shared" si="1428"/>
        <v>0</v>
      </c>
      <c r="M599" s="98" t="s">
        <v>218</v>
      </c>
      <c r="N599" s="334"/>
      <c r="O599" s="334"/>
      <c r="P599" s="334"/>
      <c r="Q599" s="334"/>
      <c r="R599" s="334"/>
      <c r="S599" s="332"/>
    </row>
    <row r="600" spans="1:25">
      <c r="A600" s="171"/>
      <c r="B600" s="339"/>
      <c r="C600" s="345"/>
      <c r="D600" s="356"/>
      <c r="E600" s="344" t="s">
        <v>538</v>
      </c>
      <c r="F600" s="129" t="s">
        <v>488</v>
      </c>
      <c r="G600" s="285">
        <v>32.006999999999998</v>
      </c>
      <c r="H600" s="172">
        <f>-10</f>
        <v>-10</v>
      </c>
      <c r="I600" s="224">
        <f>G600+H600</f>
        <v>22.006999999999998</v>
      </c>
      <c r="J600" s="292"/>
      <c r="K600" s="172">
        <f t="shared" si="1435"/>
        <v>22.006999999999998</v>
      </c>
      <c r="L600" s="154">
        <f t="shared" si="1428"/>
        <v>0</v>
      </c>
      <c r="M600" s="98" t="s">
        <v>218</v>
      </c>
      <c r="N600" s="334">
        <f t="shared" ref="N600" si="1436">+G600+G601</f>
        <v>64.013999999999996</v>
      </c>
      <c r="O600" s="334">
        <f t="shared" ref="O600" si="1437">+H600+H601</f>
        <v>-22</v>
      </c>
      <c r="P600" s="334">
        <f t="shared" ref="P600" si="1438">N600+O600</f>
        <v>42.013999999999996</v>
      </c>
      <c r="Q600" s="334">
        <f t="shared" ref="Q600" si="1439">+J600+J601</f>
        <v>0</v>
      </c>
      <c r="R600" s="334">
        <f t="shared" ref="R600" si="1440">P600-Q600</f>
        <v>42.013999999999996</v>
      </c>
      <c r="S600" s="332">
        <f t="shared" ref="S600" si="1441">Q600/P600</f>
        <v>0</v>
      </c>
    </row>
    <row r="601" spans="1:25">
      <c r="A601" s="171"/>
      <c r="B601" s="339"/>
      <c r="C601" s="345"/>
      <c r="D601" s="356"/>
      <c r="E601" s="344"/>
      <c r="F601" s="129" t="s">
        <v>10</v>
      </c>
      <c r="G601" s="285">
        <v>32.006999999999998</v>
      </c>
      <c r="H601" s="172">
        <f>-12</f>
        <v>-12</v>
      </c>
      <c r="I601" s="224">
        <f>G601+H601+K600</f>
        <v>42.013999999999996</v>
      </c>
      <c r="J601" s="292"/>
      <c r="K601" s="172">
        <f t="shared" si="1435"/>
        <v>42.013999999999996</v>
      </c>
      <c r="L601" s="154">
        <f t="shared" si="1428"/>
        <v>0</v>
      </c>
      <c r="M601" s="98" t="s">
        <v>218</v>
      </c>
      <c r="N601" s="334"/>
      <c r="O601" s="334"/>
      <c r="P601" s="334"/>
      <c r="Q601" s="334"/>
      <c r="R601" s="334"/>
      <c r="S601" s="332"/>
    </row>
    <row r="602" spans="1:25">
      <c r="A602" s="171"/>
      <c r="B602" s="339"/>
      <c r="C602" s="345"/>
      <c r="D602" s="356"/>
      <c r="E602" s="344" t="s">
        <v>539</v>
      </c>
      <c r="F602" s="129" t="s">
        <v>488</v>
      </c>
      <c r="G602" s="285">
        <v>6.1840000000000002</v>
      </c>
      <c r="H602" s="172">
        <f>-12</f>
        <v>-12</v>
      </c>
      <c r="I602" s="224">
        <f>G602+H602</f>
        <v>-5.8159999999999998</v>
      </c>
      <c r="J602" s="292"/>
      <c r="K602" s="172">
        <f t="shared" si="1435"/>
        <v>-5.8159999999999998</v>
      </c>
      <c r="L602" s="154">
        <f t="shared" si="1428"/>
        <v>0</v>
      </c>
      <c r="M602" s="98" t="s">
        <v>218</v>
      </c>
      <c r="N602" s="334">
        <f t="shared" ref="N602" si="1442">+G602+G603</f>
        <v>12.368</v>
      </c>
      <c r="O602" s="334">
        <f t="shared" ref="O602" si="1443">+H602+H603</f>
        <v>-12</v>
      </c>
      <c r="P602" s="334">
        <f t="shared" ref="P602" si="1444">N602+O602</f>
        <v>0.36800000000000033</v>
      </c>
      <c r="Q602" s="334">
        <f t="shared" ref="Q602" si="1445">+J602+J603</f>
        <v>0</v>
      </c>
      <c r="R602" s="334">
        <f t="shared" ref="R602" si="1446">P602-Q602</f>
        <v>0.36800000000000033</v>
      </c>
      <c r="S602" s="332">
        <f t="shared" ref="S602" si="1447">Q602/P602</f>
        <v>0</v>
      </c>
    </row>
    <row r="603" spans="1:25">
      <c r="A603" s="171"/>
      <c r="B603" s="339"/>
      <c r="C603" s="345"/>
      <c r="D603" s="356"/>
      <c r="E603" s="344"/>
      <c r="F603" s="129" t="s">
        <v>10</v>
      </c>
      <c r="G603" s="285">
        <v>6.1840000000000002</v>
      </c>
      <c r="H603" s="172"/>
      <c r="I603" s="224">
        <f>G603+H603+K602</f>
        <v>0.36800000000000033</v>
      </c>
      <c r="J603" s="292"/>
      <c r="K603" s="172">
        <f t="shared" si="1435"/>
        <v>0.36800000000000033</v>
      </c>
      <c r="L603" s="154">
        <f t="shared" si="1428"/>
        <v>0</v>
      </c>
      <c r="M603" s="176">
        <v>44470</v>
      </c>
      <c r="N603" s="334"/>
      <c r="O603" s="334"/>
      <c r="P603" s="334"/>
      <c r="Q603" s="334"/>
      <c r="R603" s="334"/>
      <c r="S603" s="332"/>
    </row>
    <row r="604" spans="1:25">
      <c r="A604" s="171"/>
      <c r="B604" s="339"/>
      <c r="C604" s="345"/>
      <c r="D604" s="356"/>
      <c r="E604" s="344" t="s">
        <v>540</v>
      </c>
      <c r="F604" s="129" t="s">
        <v>488</v>
      </c>
      <c r="G604" s="285">
        <v>20.765999999999998</v>
      </c>
      <c r="H604" s="172">
        <f>-5</f>
        <v>-5</v>
      </c>
      <c r="I604" s="224">
        <f>G604+H604</f>
        <v>15.765999999999998</v>
      </c>
      <c r="J604" s="292"/>
      <c r="K604" s="172">
        <f t="shared" si="1435"/>
        <v>15.765999999999998</v>
      </c>
      <c r="L604" s="154">
        <f t="shared" si="1428"/>
        <v>0</v>
      </c>
      <c r="M604" s="98" t="s">
        <v>218</v>
      </c>
      <c r="N604" s="334">
        <f t="shared" ref="N604" si="1448">+G604+G605</f>
        <v>41.531999999999996</v>
      </c>
      <c r="O604" s="334">
        <f t="shared" ref="O604" si="1449">+H604+H605</f>
        <v>-5</v>
      </c>
      <c r="P604" s="334">
        <f t="shared" ref="P604" si="1450">N604+O604</f>
        <v>36.531999999999996</v>
      </c>
      <c r="Q604" s="334">
        <f t="shared" ref="Q604" si="1451">+J604+J605</f>
        <v>0</v>
      </c>
      <c r="R604" s="334">
        <f t="shared" ref="R604" si="1452">P604-Q604</f>
        <v>36.531999999999996</v>
      </c>
      <c r="S604" s="332">
        <f t="shared" ref="S604" si="1453">Q604/P604</f>
        <v>0</v>
      </c>
    </row>
    <row r="605" spans="1:25">
      <c r="A605" s="171"/>
      <c r="B605" s="339"/>
      <c r="C605" s="345"/>
      <c r="D605" s="356"/>
      <c r="E605" s="344"/>
      <c r="F605" s="129" t="s">
        <v>10</v>
      </c>
      <c r="G605" s="285">
        <v>20.765999999999998</v>
      </c>
      <c r="H605" s="172"/>
      <c r="I605" s="224">
        <f>G605+H605+K604</f>
        <v>36.531999999999996</v>
      </c>
      <c r="J605" s="292"/>
      <c r="K605" s="172">
        <f t="shared" si="1435"/>
        <v>36.531999999999996</v>
      </c>
      <c r="L605" s="154">
        <f t="shared" si="1428"/>
        <v>0</v>
      </c>
      <c r="M605" s="98" t="s">
        <v>218</v>
      </c>
      <c r="N605" s="334"/>
      <c r="O605" s="334"/>
      <c r="P605" s="334"/>
      <c r="Q605" s="334"/>
      <c r="R605" s="334"/>
      <c r="S605" s="332"/>
    </row>
    <row r="606" spans="1:25">
      <c r="A606" s="367"/>
      <c r="B606" s="339"/>
      <c r="C606" s="345"/>
      <c r="D606" s="356"/>
      <c r="E606" s="344" t="s">
        <v>638</v>
      </c>
      <c r="F606" s="129" t="s">
        <v>488</v>
      </c>
      <c r="G606" s="285">
        <v>61.825000000000003</v>
      </c>
      <c r="H606" s="172"/>
      <c r="I606" s="224">
        <f>G606+H606</f>
        <v>61.825000000000003</v>
      </c>
      <c r="J606" s="292">
        <v>28.338000000000001</v>
      </c>
      <c r="K606" s="172">
        <f t="shared" si="1395"/>
        <v>33.487000000000002</v>
      </c>
      <c r="L606" s="154">
        <f t="shared" si="1402"/>
        <v>0.45835826930853213</v>
      </c>
      <c r="M606" s="98" t="s">
        <v>218</v>
      </c>
      <c r="N606" s="334">
        <f t="shared" ref="N606" si="1454">+G606+G607</f>
        <v>123.65</v>
      </c>
      <c r="O606" s="334">
        <f t="shared" ref="O606" si="1455">+H606+H607</f>
        <v>0</v>
      </c>
      <c r="P606" s="334">
        <f t="shared" ref="P606" si="1456">N606+O606</f>
        <v>123.65</v>
      </c>
      <c r="Q606" s="334">
        <f t="shared" ref="Q606" si="1457">+J606+J607</f>
        <v>35.83</v>
      </c>
      <c r="R606" s="334">
        <f t="shared" ref="R606" si="1458">P606-Q606</f>
        <v>87.820000000000007</v>
      </c>
      <c r="S606" s="332">
        <f t="shared" ref="S606" si="1459">Q606/P606</f>
        <v>0.28976951071572987</v>
      </c>
    </row>
    <row r="607" spans="1:25">
      <c r="A607" s="367"/>
      <c r="B607" s="339"/>
      <c r="C607" s="345"/>
      <c r="D607" s="357"/>
      <c r="E607" s="344"/>
      <c r="F607" s="129" t="s">
        <v>10</v>
      </c>
      <c r="G607" s="285">
        <f>61.825</f>
        <v>61.825000000000003</v>
      </c>
      <c r="H607" s="172"/>
      <c r="I607" s="224">
        <f>G607+H607+K606</f>
        <v>95.312000000000012</v>
      </c>
      <c r="J607" s="292">
        <v>7.492</v>
      </c>
      <c r="K607" s="172">
        <f t="shared" si="1395"/>
        <v>87.820000000000007</v>
      </c>
      <c r="L607" s="154">
        <f t="shared" si="1402"/>
        <v>7.8605002518045988E-2</v>
      </c>
      <c r="M607" s="98" t="s">
        <v>218</v>
      </c>
      <c r="N607" s="334"/>
      <c r="O607" s="334"/>
      <c r="P607" s="334"/>
      <c r="Q607" s="334"/>
      <c r="R607" s="334"/>
      <c r="S607" s="332"/>
    </row>
    <row r="608" spans="1:25">
      <c r="A608" s="367"/>
      <c r="B608" s="339"/>
      <c r="C608" s="345"/>
      <c r="D608" s="355" t="s">
        <v>252</v>
      </c>
      <c r="E608" s="344" t="s">
        <v>308</v>
      </c>
      <c r="F608" s="129" t="s">
        <v>488</v>
      </c>
      <c r="G608" s="285">
        <f>69.125+60</f>
        <v>129.125</v>
      </c>
      <c r="H608" s="172"/>
      <c r="I608" s="224">
        <f>G608+H608</f>
        <v>129.125</v>
      </c>
      <c r="J608" s="292">
        <v>104.014</v>
      </c>
      <c r="K608" s="257">
        <f t="shared" si="1395"/>
        <v>25.111000000000004</v>
      </c>
      <c r="L608" s="154">
        <f t="shared" si="1402"/>
        <v>0.80552952565343661</v>
      </c>
      <c r="M608" s="176">
        <v>44273</v>
      </c>
      <c r="N608" s="334">
        <f t="shared" ref="N608" si="1460">+G608+G609</f>
        <v>138.25</v>
      </c>
      <c r="O608" s="334">
        <f t="shared" ref="O608" si="1461">+H608+H609</f>
        <v>0</v>
      </c>
      <c r="P608" s="334">
        <f t="shared" ref="P608" si="1462">N608+O608</f>
        <v>138.25</v>
      </c>
      <c r="Q608" s="334">
        <f t="shared" ref="Q608" si="1463">+J608+J609</f>
        <v>144.36799999999999</v>
      </c>
      <c r="R608" s="363">
        <f t="shared" ref="R608" si="1464">P608-Q608</f>
        <v>-6.117999999999995</v>
      </c>
      <c r="S608" s="332">
        <f t="shared" ref="S608" si="1465">Q608/P608</f>
        <v>1.0442531645569619</v>
      </c>
      <c r="Y608" s="158"/>
    </row>
    <row r="609" spans="1:25">
      <c r="A609" s="367"/>
      <c r="B609" s="339"/>
      <c r="C609" s="345"/>
      <c r="D609" s="356"/>
      <c r="E609" s="344"/>
      <c r="F609" s="129" t="s">
        <v>10</v>
      </c>
      <c r="G609" s="285">
        <f>69.125-60</f>
        <v>9.125</v>
      </c>
      <c r="H609" s="172"/>
      <c r="I609" s="224">
        <f>G609+H609+K608</f>
        <v>34.236000000000004</v>
      </c>
      <c r="J609" s="292">
        <v>40.353999999999999</v>
      </c>
      <c r="K609" s="172">
        <f>I609-J609</f>
        <v>-6.117999999999995</v>
      </c>
      <c r="L609" s="154">
        <f t="shared" si="1402"/>
        <v>1.1787007828017291</v>
      </c>
      <c r="M609" s="98" t="s">
        <v>218</v>
      </c>
      <c r="N609" s="334"/>
      <c r="O609" s="334"/>
      <c r="P609" s="334"/>
      <c r="Q609" s="334"/>
      <c r="R609" s="363"/>
      <c r="S609" s="332"/>
      <c r="Y609" s="158"/>
    </row>
    <row r="610" spans="1:25">
      <c r="A610" s="367"/>
      <c r="B610" s="339"/>
      <c r="C610" s="345"/>
      <c r="D610" s="356"/>
      <c r="E610" s="344" t="s">
        <v>309</v>
      </c>
      <c r="F610" s="129" t="s">
        <v>488</v>
      </c>
      <c r="G610" s="285">
        <v>57.177999999999997</v>
      </c>
      <c r="H610" s="172"/>
      <c r="I610" s="224">
        <f>G610+H610</f>
        <v>57.177999999999997</v>
      </c>
      <c r="J610" s="292">
        <v>110.125</v>
      </c>
      <c r="K610" s="268">
        <f t="shared" si="1395"/>
        <v>-52.947000000000003</v>
      </c>
      <c r="L610" s="154">
        <f t="shared" si="1402"/>
        <v>1.9260030081499879</v>
      </c>
      <c r="M610" s="176">
        <v>44294</v>
      </c>
      <c r="N610" s="334">
        <f t="shared" ref="N610" si="1466">+G610+G611</f>
        <v>114.35599999999999</v>
      </c>
      <c r="O610" s="334">
        <f t="shared" ref="O610" si="1467">+H610+H611</f>
        <v>0</v>
      </c>
      <c r="P610" s="334">
        <f t="shared" ref="P610" si="1468">N610+O610</f>
        <v>114.35599999999999</v>
      </c>
      <c r="Q610" s="334">
        <f t="shared" ref="Q610" si="1469">+J610+J611</f>
        <v>111.625</v>
      </c>
      <c r="R610" s="334">
        <f t="shared" ref="R610" si="1470">P610-Q610</f>
        <v>2.7309999999999945</v>
      </c>
      <c r="S610" s="332">
        <f t="shared" ref="S610" si="1471">Q610/P610</f>
        <v>0.97611843716114599</v>
      </c>
    </row>
    <row r="611" spans="1:25">
      <c r="A611" s="367"/>
      <c r="B611" s="339"/>
      <c r="C611" s="345"/>
      <c r="D611" s="356"/>
      <c r="E611" s="344"/>
      <c r="F611" s="129" t="s">
        <v>10</v>
      </c>
      <c r="G611" s="285">
        <v>57.177999999999997</v>
      </c>
      <c r="H611" s="172"/>
      <c r="I611" s="224">
        <f>G611+H611+K610</f>
        <v>4.2309999999999945</v>
      </c>
      <c r="J611" s="292">
        <v>1.5</v>
      </c>
      <c r="K611" s="172">
        <f t="shared" si="1395"/>
        <v>2.7309999999999945</v>
      </c>
      <c r="L611" s="154">
        <f t="shared" si="1402"/>
        <v>0.35452611675726825</v>
      </c>
      <c r="M611" s="98" t="s">
        <v>218</v>
      </c>
      <c r="N611" s="334"/>
      <c r="O611" s="334"/>
      <c r="P611" s="334"/>
      <c r="Q611" s="334"/>
      <c r="R611" s="334"/>
      <c r="S611" s="332"/>
    </row>
    <row r="612" spans="1:25">
      <c r="A612" s="367"/>
      <c r="B612" s="339"/>
      <c r="C612" s="345"/>
      <c r="D612" s="356"/>
      <c r="E612" s="344" t="s">
        <v>310</v>
      </c>
      <c r="F612" s="129" t="s">
        <v>488</v>
      </c>
      <c r="G612" s="285">
        <f>78.172+70</f>
        <v>148.172</v>
      </c>
      <c r="H612" s="172"/>
      <c r="I612" s="224">
        <f>G612+H612</f>
        <v>148.172</v>
      </c>
      <c r="J612" s="292">
        <v>143.10300000000001</v>
      </c>
      <c r="K612" s="225">
        <f t="shared" si="1395"/>
        <v>5.0689999999999884</v>
      </c>
      <c r="L612" s="154">
        <f t="shared" si="1402"/>
        <v>0.96578975784898635</v>
      </c>
      <c r="M612" s="176">
        <v>44294</v>
      </c>
      <c r="N612" s="334">
        <f t="shared" ref="N612" si="1472">+G612+G613</f>
        <v>156.34399999999999</v>
      </c>
      <c r="O612" s="334">
        <f t="shared" ref="O612" si="1473">+H612+H613</f>
        <v>0</v>
      </c>
      <c r="P612" s="334">
        <f t="shared" ref="P612" si="1474">N612+O612</f>
        <v>156.34399999999999</v>
      </c>
      <c r="Q612" s="334">
        <f t="shared" ref="Q612" si="1475">+J612+J613</f>
        <v>156.678</v>
      </c>
      <c r="R612" s="363">
        <f t="shared" ref="R612" si="1476">P612-Q612</f>
        <v>-0.33400000000000318</v>
      </c>
      <c r="S612" s="332">
        <f t="shared" ref="S612" si="1477">Q612/P612</f>
        <v>1.0021363147930205</v>
      </c>
    </row>
    <row r="613" spans="1:25">
      <c r="A613" s="367"/>
      <c r="B613" s="339"/>
      <c r="C613" s="345"/>
      <c r="D613" s="356"/>
      <c r="E613" s="344"/>
      <c r="F613" s="129" t="s">
        <v>10</v>
      </c>
      <c r="G613" s="285">
        <f>78.172-70</f>
        <v>8.171999999999997</v>
      </c>
      <c r="H613" s="156"/>
      <c r="I613" s="224">
        <f>G613+H613+K612</f>
        <v>13.240999999999985</v>
      </c>
      <c r="J613" s="292">
        <v>13.574999999999999</v>
      </c>
      <c r="K613" s="172">
        <f t="shared" si="1395"/>
        <v>-0.33400000000001384</v>
      </c>
      <c r="L613" s="154">
        <f>J613/I613</f>
        <v>1.0252246809153398</v>
      </c>
      <c r="M613" s="98" t="s">
        <v>218</v>
      </c>
      <c r="N613" s="334"/>
      <c r="O613" s="334"/>
      <c r="P613" s="334"/>
      <c r="Q613" s="334"/>
      <c r="R613" s="363"/>
      <c r="S613" s="332"/>
    </row>
    <row r="614" spans="1:25">
      <c r="A614" s="367"/>
      <c r="B614" s="339"/>
      <c r="C614" s="345"/>
      <c r="D614" s="356"/>
      <c r="E614" s="344" t="s">
        <v>639</v>
      </c>
      <c r="F614" s="129" t="s">
        <v>488</v>
      </c>
      <c r="G614" s="172">
        <v>9.9779999999999998</v>
      </c>
      <c r="H614" s="172"/>
      <c r="I614" s="224">
        <f>G614+H614</f>
        <v>9.9779999999999998</v>
      </c>
      <c r="J614" s="292">
        <v>2.258</v>
      </c>
      <c r="K614" s="172">
        <f t="shared" si="1395"/>
        <v>7.72</v>
      </c>
      <c r="L614" s="154">
        <f t="shared" si="1402"/>
        <v>0.22629785528161958</v>
      </c>
      <c r="M614" s="98" t="s">
        <v>218</v>
      </c>
      <c r="N614" s="334">
        <f t="shared" ref="N614" si="1478">+G614+G615</f>
        <v>19.956</v>
      </c>
      <c r="O614" s="334">
        <f t="shared" ref="O614" si="1479">+H614+H615</f>
        <v>0</v>
      </c>
      <c r="P614" s="334">
        <f t="shared" ref="P614" si="1480">N614+O614</f>
        <v>19.956</v>
      </c>
      <c r="Q614" s="334">
        <f t="shared" ref="Q614" si="1481">+J614+J615</f>
        <v>2.8079999999999998</v>
      </c>
      <c r="R614" s="334">
        <f t="shared" ref="R614" si="1482">P614-Q614</f>
        <v>17.148</v>
      </c>
      <c r="S614" s="332">
        <f t="shared" ref="S614" si="1483">Q614/P614</f>
        <v>0.1407095610342754</v>
      </c>
    </row>
    <row r="615" spans="1:25">
      <c r="A615" s="367"/>
      <c r="B615" s="339"/>
      <c r="C615" s="345"/>
      <c r="D615" s="357"/>
      <c r="E615" s="344"/>
      <c r="F615" s="129" t="s">
        <v>10</v>
      </c>
      <c r="G615" s="172">
        <v>9.9779999999999998</v>
      </c>
      <c r="H615" s="172"/>
      <c r="I615" s="224">
        <f>G615+H615+K614</f>
        <v>17.698</v>
      </c>
      <c r="J615" s="292">
        <v>0.55000000000000004</v>
      </c>
      <c r="K615" s="172">
        <f t="shared" si="1395"/>
        <v>17.148</v>
      </c>
      <c r="L615" s="154">
        <f t="shared" si="1402"/>
        <v>3.1076957848344449E-2</v>
      </c>
      <c r="M615" s="98" t="s">
        <v>218</v>
      </c>
      <c r="N615" s="334"/>
      <c r="O615" s="334"/>
      <c r="P615" s="334"/>
      <c r="Q615" s="334"/>
      <c r="R615" s="334"/>
      <c r="S615" s="332"/>
    </row>
    <row r="616" spans="1:25">
      <c r="A616" s="157"/>
      <c r="B616" s="339"/>
      <c r="C616" s="174"/>
      <c r="D616" s="364" t="s">
        <v>335</v>
      </c>
      <c r="E616" s="364"/>
      <c r="F616" s="129" t="s">
        <v>38</v>
      </c>
      <c r="G616" s="172"/>
      <c r="H616" s="172"/>
      <c r="I616" s="224">
        <f>G616+H616</f>
        <v>0</v>
      </c>
      <c r="J616" s="292"/>
      <c r="K616" s="172">
        <f t="shared" ref="K616" si="1484">I616-J616</f>
        <v>0</v>
      </c>
      <c r="L616" s="154" t="e">
        <f t="shared" si="1402"/>
        <v>#DIV/0!</v>
      </c>
      <c r="M616" s="98" t="s">
        <v>218</v>
      </c>
      <c r="N616" s="172">
        <f>+G616</f>
        <v>0</v>
      </c>
      <c r="O616" s="172">
        <f>+H616</f>
        <v>0</v>
      </c>
      <c r="P616" s="172">
        <f>+N616+O616</f>
        <v>0</v>
      </c>
      <c r="Q616" s="172">
        <f>+J616</f>
        <v>0</v>
      </c>
      <c r="R616" s="172">
        <f>+P616-Q616</f>
        <v>0</v>
      </c>
      <c r="S616" s="184" t="e">
        <f>+Q616/P616</f>
        <v>#DIV/0!</v>
      </c>
    </row>
    <row r="617" spans="1:25">
      <c r="A617" s="157"/>
      <c r="B617" s="339"/>
      <c r="C617" s="329" t="s">
        <v>87</v>
      </c>
      <c r="D617" s="329"/>
      <c r="E617" s="329"/>
      <c r="F617" s="177" t="s">
        <v>488</v>
      </c>
      <c r="G617" s="178">
        <f>G498+G500+G502+G504+G506+G508+G510+G512+G514+G516+G518+G520+G522+G524+G526+G528+G530+G532+G534+G536+G538+G540+G542+G544+G546+G548+G550+G552+G554+G556+G558+G560+G562+G564+G566+G568+G570+G572+G574+G576+G578+G580+G582+G584+G586+G588+G590+G592+G594+G596+G598+G600+G602+G604+G606+G608+G610+G612+G614</f>
        <v>3092.7450000000003</v>
      </c>
      <c r="H617" s="178">
        <f>H498+H500+H502+H504+H506+H508+H510+H512+H514+H516+H518+H520+H522+H524+H526+H528+H530+H532+H534+H536+H538+H540+H542+H544+H546+H548+H550+H552+H554+H556+H558+H560+H562+H564+H566+H568+H570+H572+H574+H576+H578+H580+H582+H584+H586+H588+H590+H592+H594+H596+H598+H600+H602+H604+H606+H608+H610+H612+H614</f>
        <v>-550.68100000000004</v>
      </c>
      <c r="I617" s="178">
        <f>I498+I500+I502+I504+I506+I508+I510+I512+I514+I516+I518+I520+I522+I524+I526+I528+I530+I532+I534+I536+I538+I540+I542+I544+I546+I548+I550+I552+I554+I556+I558+I560+I562+I564+I566+I568+I570+I572+I574+I576+I578+I580+I582+I584+I586+I588+I590+I592+I594+I596+I598+I600+I602+I604+I606+I608+I610+I612+I614</f>
        <v>2542.0640000000003</v>
      </c>
      <c r="J617" s="178">
        <f>J498+J500+J502+J504+J506+J508+J510+J512+J514+J516+J518+J520+J522+J524+J526+J528+J530+J532+J534+J536+J538+J540+J542+J544+J546+J548+J550+J552+J554+J556+J558+J560+J562+J564+J566+J568+J570+J572+J574+J576+J578+J580+J582+J584+J586+J588+J590+J592+J594+J596+J598+J600+J602+J604+J606+J608+J610+J612+J614</f>
        <v>1515.7460000000001</v>
      </c>
      <c r="K617" s="178">
        <f t="shared" ref="G617:K618" si="1485">K498+K500+K502+K504+K506+K508+K510+K512+K514+K516+K518+K520+K522+K524+K526+K528+K530+K532+K534+K536+K538+K540+K542+K544+K546+K548+K550+K552+K554+K556+K558+K560+K562+K564+K566+K568+K570+K572+K574+K576+K578+K580+K582+K584+K586+K588+K590+K592+K594+K596+K598+K600+K602+K604+K606+K608+K610+K612+K614</f>
        <v>1026.318</v>
      </c>
      <c r="L617" s="182">
        <f>J617/I617</f>
        <v>0.59626586899464373</v>
      </c>
      <c r="M617" s="105" t="s">
        <v>218</v>
      </c>
      <c r="N617" s="343">
        <f>G617+G618</f>
        <v>4425.4890000000005</v>
      </c>
      <c r="O617" s="343">
        <f>H617+H618</f>
        <v>-1043.9010000000001</v>
      </c>
      <c r="P617" s="343">
        <f>N617+O617</f>
        <v>3381.5880000000006</v>
      </c>
      <c r="Q617" s="343">
        <f>J617+J618</f>
        <v>1935.4760000000001</v>
      </c>
      <c r="R617" s="343">
        <f>P617-Q617</f>
        <v>1446.1120000000005</v>
      </c>
      <c r="S617" s="349">
        <f>Q617/P617</f>
        <v>0.57235712925406634</v>
      </c>
    </row>
    <row r="618" spans="1:25">
      <c r="A618" s="157"/>
      <c r="B618" s="339"/>
      <c r="C618" s="329"/>
      <c r="D618" s="329"/>
      <c r="E618" s="329"/>
      <c r="F618" s="177" t="s">
        <v>10</v>
      </c>
      <c r="G618" s="178">
        <f t="shared" si="1485"/>
        <v>1332.7440000000001</v>
      </c>
      <c r="H618" s="178">
        <f>H499+H501+H503+H505+H507+H509+H511+H513+H515+H517+H519+H521+H523+H525+H527+H529+H531+H533+H535+H537+H539+H541+H543+H545+H547+H549+H551+H553+H555+H557+H559+H561+H563+H565+H567+H569+H571+H573+H575+H577+H579+H581+H583+H585+H587+H589+H591+H593+H595+H597+H599+H601+H603+H605+H607+H609+H611+H613+H615</f>
        <v>-493.22</v>
      </c>
      <c r="I618" s="178">
        <f>I499+I501+I503+I505+I507+I509+I511+I513+I515+I517+I519+I521+I523+I525+I527+I529+I531+I533+I535+I537+I539+I541+I543+I545+I547+I549+I551+I553+I555+I557+I559+I561+I563+I565+I567+I569+I571+I573+I575+I577+I579+I581+I583+I585+I587+I589+I591+I593+I595+I597+I599+I601+I603+I605+I607+I609+I611+I613+I615</f>
        <v>1865.8419999999999</v>
      </c>
      <c r="J618" s="178">
        <f>J499+J501+J503+J505+J507+J509+J511+J513+J515+J517+J519+J521+J523+J525+J527+J529+J531+J533+J535+J537+J539+J541+J543+J545+J547+J549+J551+J553+J555+J557+J559+J561+J563+J565+J567+J569+J571+J573+J575+J577+J579+J581+J583+J585+J587+J589+J591+J593+J595+J597+J599+J601+J603+J605+J607+J609+J611+J613+J615</f>
        <v>419.73</v>
      </c>
      <c r="K618" s="178">
        <f t="shared" si="1485"/>
        <v>1446.1119999999996</v>
      </c>
      <c r="L618" s="182">
        <f t="shared" si="1402"/>
        <v>0.2249547389328786</v>
      </c>
      <c r="M618" s="105" t="s">
        <v>218</v>
      </c>
      <c r="N618" s="343"/>
      <c r="O618" s="343"/>
      <c r="P618" s="343"/>
      <c r="Q618" s="343"/>
      <c r="R618" s="343"/>
      <c r="S618" s="349"/>
    </row>
    <row r="619" spans="1:25" ht="19.899999999999999" customHeight="1">
      <c r="A619" s="157"/>
      <c r="B619" s="120"/>
      <c r="C619" s="121"/>
      <c r="D619" s="159"/>
      <c r="E619" s="159"/>
      <c r="F619" s="119"/>
      <c r="G619" s="173"/>
      <c r="H619" s="173"/>
      <c r="I619" s="173"/>
      <c r="J619" s="122"/>
      <c r="K619" s="123"/>
      <c r="L619" s="139"/>
      <c r="M619" s="123"/>
      <c r="N619" s="123"/>
      <c r="O619" s="123"/>
      <c r="P619" s="123"/>
      <c r="Q619" s="123"/>
      <c r="R619" s="123"/>
      <c r="S619" s="128"/>
    </row>
    <row r="620" spans="1:25" ht="19.899999999999999" customHeight="1">
      <c r="A620" s="157"/>
      <c r="B620" s="120"/>
      <c r="C620" s="121"/>
      <c r="D620" s="159"/>
      <c r="E620" s="159"/>
      <c r="F620" s="119"/>
      <c r="G620" s="173"/>
      <c r="H620" s="173"/>
      <c r="I620" s="173"/>
      <c r="J620" s="122"/>
      <c r="K620" s="123"/>
      <c r="L620" s="139"/>
      <c r="M620" s="123"/>
      <c r="N620" s="123"/>
      <c r="O620" s="123"/>
      <c r="P620" s="123"/>
      <c r="Q620" s="123"/>
      <c r="R620" s="123"/>
      <c r="S620" s="128"/>
    </row>
    <row r="621" spans="1:25" ht="19.899999999999999" customHeight="1">
      <c r="A621" s="157"/>
      <c r="B621" s="120"/>
      <c r="C621" s="121"/>
      <c r="D621" s="159"/>
      <c r="E621" s="159"/>
      <c r="F621" s="119"/>
      <c r="G621" s="173"/>
      <c r="H621" s="173"/>
      <c r="I621" s="173"/>
      <c r="J621" s="122"/>
      <c r="K621" s="123"/>
      <c r="L621" s="139"/>
      <c r="M621" s="123"/>
      <c r="N621" s="123"/>
      <c r="O621" s="123"/>
      <c r="P621" s="123"/>
      <c r="Q621" s="123"/>
      <c r="R621" s="123"/>
      <c r="S621" s="128"/>
    </row>
    <row r="622" spans="1:25" ht="19.899999999999999" customHeight="1">
      <c r="A622" s="119"/>
      <c r="B622" s="119"/>
      <c r="C622" s="118"/>
      <c r="D622" s="118"/>
      <c r="E622" s="118"/>
      <c r="F622" s="119"/>
      <c r="G622" s="138"/>
      <c r="H622" s="137"/>
      <c r="I622" s="173"/>
      <c r="J622" s="150"/>
      <c r="K622" s="138"/>
      <c r="L622" s="123"/>
      <c r="M622" s="123"/>
      <c r="N622" s="123"/>
      <c r="O622" s="123"/>
      <c r="P622" s="123"/>
      <c r="Q622" s="123"/>
      <c r="R622" s="123"/>
      <c r="S622" s="128"/>
      <c r="U622" s="160"/>
    </row>
    <row r="623" spans="1:25" ht="12" customHeight="1">
      <c r="B623" s="347" t="s">
        <v>250</v>
      </c>
      <c r="C623" s="308" t="s">
        <v>255</v>
      </c>
      <c r="D623" s="308" t="s">
        <v>255</v>
      </c>
      <c r="E623" s="308" t="s">
        <v>633</v>
      </c>
      <c r="F623" s="129" t="s">
        <v>488</v>
      </c>
      <c r="G623" s="172">
        <v>11.505000000000001</v>
      </c>
      <c r="H623" s="172"/>
      <c r="I623" s="172">
        <f>G623+H623</f>
        <v>11.505000000000001</v>
      </c>
      <c r="J623" s="292">
        <v>5.4640000000000004</v>
      </c>
      <c r="K623" s="172">
        <f>I623-J623</f>
        <v>6.0410000000000004</v>
      </c>
      <c r="L623" s="154">
        <f>J623/I623</f>
        <v>0.4749239461103868</v>
      </c>
      <c r="M623" s="98" t="s">
        <v>218</v>
      </c>
      <c r="N623" s="334">
        <f>G623+G624</f>
        <v>23.01</v>
      </c>
      <c r="O623" s="334">
        <f>H623+H624</f>
        <v>0</v>
      </c>
      <c r="P623" s="334">
        <f>N623+O623</f>
        <v>23.01</v>
      </c>
      <c r="Q623" s="334">
        <f>J623+J624</f>
        <v>5.4640000000000004</v>
      </c>
      <c r="R623" s="334">
        <f>P623-Q623</f>
        <v>17.545999999999999</v>
      </c>
      <c r="S623" s="332">
        <f>Q623/P623</f>
        <v>0.2374619730551934</v>
      </c>
    </row>
    <row r="624" spans="1:25">
      <c r="B624" s="347"/>
      <c r="C624" s="308"/>
      <c r="D624" s="308"/>
      <c r="E624" s="308"/>
      <c r="F624" s="129" t="s">
        <v>10</v>
      </c>
      <c r="G624" s="172">
        <v>11.505000000000001</v>
      </c>
      <c r="H624" s="172"/>
      <c r="I624" s="172">
        <f>G624+H624+K623</f>
        <v>17.545999999999999</v>
      </c>
      <c r="J624" s="93"/>
      <c r="K624" s="172">
        <f t="shared" ref="K624" si="1486">I624-J624</f>
        <v>17.545999999999999</v>
      </c>
      <c r="L624" s="154">
        <f t="shared" ref="L624" si="1487">J624/I624</f>
        <v>0</v>
      </c>
      <c r="M624" s="98" t="s">
        <v>218</v>
      </c>
      <c r="N624" s="334"/>
      <c r="O624" s="334"/>
      <c r="P624" s="334"/>
      <c r="Q624" s="334"/>
      <c r="R624" s="334"/>
      <c r="S624" s="332"/>
    </row>
    <row r="625" spans="1:19" ht="19.899999999999999" customHeight="1">
      <c r="A625" s="119"/>
      <c r="B625" s="146"/>
      <c r="C625" s="122"/>
      <c r="D625" s="122"/>
      <c r="E625" s="122"/>
      <c r="F625" s="119"/>
      <c r="G625" s="173"/>
      <c r="H625" s="173"/>
      <c r="I625" s="173"/>
      <c r="J625" s="122"/>
      <c r="K625" s="123"/>
      <c r="L625" s="139"/>
      <c r="M625" s="123"/>
      <c r="N625" s="123"/>
      <c r="O625" s="123"/>
      <c r="P625" s="123"/>
      <c r="Q625" s="123"/>
      <c r="R625" s="123"/>
      <c r="S625" s="128"/>
    </row>
    <row r="626" spans="1:19" ht="19.899999999999999" customHeight="1">
      <c r="A626" s="119"/>
      <c r="B626" s="119"/>
      <c r="C626" s="118"/>
      <c r="D626" s="118"/>
      <c r="E626" s="118"/>
      <c r="F626" s="119"/>
      <c r="G626" s="173"/>
      <c r="H626" s="173"/>
      <c r="I626" s="173"/>
      <c r="J626" s="122"/>
      <c r="K626" s="123"/>
      <c r="L626" s="139"/>
      <c r="M626" s="123"/>
      <c r="N626" s="123"/>
      <c r="O626" s="123"/>
      <c r="P626" s="123"/>
      <c r="Q626" s="123"/>
      <c r="R626" s="123"/>
      <c r="S626" s="128"/>
    </row>
    <row r="627" spans="1:19">
      <c r="B627" s="347" t="s">
        <v>248</v>
      </c>
      <c r="C627" s="345" t="s">
        <v>256</v>
      </c>
      <c r="D627" s="345" t="s">
        <v>256</v>
      </c>
      <c r="E627" s="308" t="s">
        <v>634</v>
      </c>
      <c r="F627" s="129" t="s">
        <v>488</v>
      </c>
      <c r="G627" s="172">
        <v>10.641999999999999</v>
      </c>
      <c r="H627" s="172"/>
      <c r="I627" s="172">
        <f>G627+H627</f>
        <v>10.641999999999999</v>
      </c>
      <c r="J627" s="93"/>
      <c r="K627" s="172">
        <f>I627-J627</f>
        <v>10.641999999999999</v>
      </c>
      <c r="L627" s="154">
        <f>J627/I627</f>
        <v>0</v>
      </c>
      <c r="M627" s="98" t="s">
        <v>218</v>
      </c>
      <c r="N627" s="334">
        <f>G627+G628</f>
        <v>21.283999999999999</v>
      </c>
      <c r="O627" s="334">
        <f>H627+H628</f>
        <v>0</v>
      </c>
      <c r="P627" s="334">
        <f>N627+O627</f>
        <v>21.283999999999999</v>
      </c>
      <c r="Q627" s="334">
        <f>J627+J628</f>
        <v>0.109</v>
      </c>
      <c r="R627" s="334">
        <f>P627-Q627</f>
        <v>21.174999999999997</v>
      </c>
      <c r="S627" s="332">
        <f>Q627/P627</f>
        <v>5.1212178161999626E-3</v>
      </c>
    </row>
    <row r="628" spans="1:19">
      <c r="B628" s="347"/>
      <c r="C628" s="345"/>
      <c r="D628" s="345"/>
      <c r="E628" s="308"/>
      <c r="F628" s="129" t="s">
        <v>10</v>
      </c>
      <c r="G628" s="172">
        <v>10.641999999999999</v>
      </c>
      <c r="H628" s="172"/>
      <c r="I628" s="172">
        <f>G628+H628+K627</f>
        <v>21.283999999999999</v>
      </c>
      <c r="J628" s="292">
        <v>0.109</v>
      </c>
      <c r="K628" s="172">
        <f t="shared" ref="K628" si="1488">I628-J628</f>
        <v>21.174999999999997</v>
      </c>
      <c r="L628" s="154">
        <f t="shared" ref="L628" si="1489">J628/I628</f>
        <v>5.1212178161999626E-3</v>
      </c>
      <c r="M628" s="98" t="s">
        <v>218</v>
      </c>
      <c r="N628" s="334"/>
      <c r="O628" s="334"/>
      <c r="P628" s="334"/>
      <c r="Q628" s="334"/>
      <c r="R628" s="334"/>
      <c r="S628" s="332"/>
    </row>
    <row r="629" spans="1:19" ht="19.899999999999999" customHeight="1"/>
    <row r="630" spans="1:19" ht="19.899999999999999" customHeight="1">
      <c r="B630" s="354" t="s">
        <v>28</v>
      </c>
      <c r="C630" s="354"/>
      <c r="D630" s="354"/>
      <c r="E630" s="354"/>
      <c r="F630" s="354"/>
      <c r="G630" s="354"/>
      <c r="H630" s="354"/>
      <c r="I630" s="354"/>
      <c r="J630" s="354"/>
      <c r="K630" s="354"/>
      <c r="L630" s="354"/>
      <c r="M630" s="354"/>
    </row>
    <row r="631" spans="1:19" ht="19.899999999999999" customHeight="1">
      <c r="B631" s="354"/>
      <c r="C631" s="354"/>
      <c r="D631" s="354"/>
      <c r="E631" s="354"/>
      <c r="F631" s="354"/>
      <c r="G631" s="354"/>
      <c r="H631" s="354"/>
      <c r="I631" s="354"/>
      <c r="J631" s="354"/>
      <c r="K631" s="354"/>
      <c r="L631" s="354"/>
      <c r="M631" s="354"/>
    </row>
    <row r="632" spans="1:19" ht="19.899999999999999" customHeight="1"/>
    <row r="633" spans="1:19" ht="19.899999999999999" customHeight="1"/>
    <row r="634" spans="1:19" ht="19.899999999999999" customHeight="1"/>
    <row r="635" spans="1:19" ht="19.899999999999999" customHeight="1"/>
    <row r="636" spans="1:19" ht="19.899999999999999" customHeight="1"/>
    <row r="637" spans="1:19" ht="19.899999999999999" customHeight="1"/>
  </sheetData>
  <mergeCells count="2198">
    <mergeCell ref="D405:D472"/>
    <mergeCell ref="D473:D492"/>
    <mergeCell ref="O552:O553"/>
    <mergeCell ref="P552:P553"/>
    <mergeCell ref="Q552:Q553"/>
    <mergeCell ref="R552:R553"/>
    <mergeCell ref="S552:S553"/>
    <mergeCell ref="E554:E555"/>
    <mergeCell ref="N554:N555"/>
    <mergeCell ref="O554:O555"/>
    <mergeCell ref="P554:P555"/>
    <mergeCell ref="Q554:Q555"/>
    <mergeCell ref="R554:R555"/>
    <mergeCell ref="S554:S555"/>
    <mergeCell ref="E552:E553"/>
    <mergeCell ref="N552:N553"/>
    <mergeCell ref="E451:E452"/>
    <mergeCell ref="E425:E426"/>
    <mergeCell ref="E427:E428"/>
    <mergeCell ref="E433:E434"/>
    <mergeCell ref="E435:E436"/>
    <mergeCell ref="E459:E460"/>
    <mergeCell ref="E437:E438"/>
    <mergeCell ref="O417:O418"/>
    <mergeCell ref="P417:P418"/>
    <mergeCell ref="Q417:Q418"/>
    <mergeCell ref="R417:R418"/>
    <mergeCell ref="E453:E454"/>
    <mergeCell ref="E455:E456"/>
    <mergeCell ref="E417:E418"/>
    <mergeCell ref="E419:E420"/>
    <mergeCell ref="E421:E422"/>
    <mergeCell ref="N435:N436"/>
    <mergeCell ref="N437:N438"/>
    <mergeCell ref="N439:N440"/>
    <mergeCell ref="N411:N412"/>
    <mergeCell ref="R493:R494"/>
    <mergeCell ref="S493:S494"/>
    <mergeCell ref="S189:S190"/>
    <mergeCell ref="N163:N164"/>
    <mergeCell ref="N165:N166"/>
    <mergeCell ref="N167:N168"/>
    <mergeCell ref="N207:N208"/>
    <mergeCell ref="N209:N210"/>
    <mergeCell ref="N211:N212"/>
    <mergeCell ref="N213:N214"/>
    <mergeCell ref="N179:N180"/>
    <mergeCell ref="E243:E244"/>
    <mergeCell ref="N295:N296"/>
    <mergeCell ref="N297:N298"/>
    <mergeCell ref="N275:N276"/>
    <mergeCell ref="E305:E306"/>
    <mergeCell ref="E317:E318"/>
    <mergeCell ref="N205:N206"/>
    <mergeCell ref="N289:N290"/>
    <mergeCell ref="N291:N292"/>
    <mergeCell ref="E307:E308"/>
    <mergeCell ref="N303:N304"/>
    <mergeCell ref="E309:E310"/>
    <mergeCell ref="E311:E312"/>
    <mergeCell ref="E315:E316"/>
    <mergeCell ref="E273:E274"/>
    <mergeCell ref="E267:E268"/>
    <mergeCell ref="E271:E272"/>
    <mergeCell ref="E281:E282"/>
    <mergeCell ref="E257:E258"/>
    <mergeCell ref="N299:N300"/>
    <mergeCell ref="N241:N242"/>
    <mergeCell ref="N245:N246"/>
    <mergeCell ref="E409:E410"/>
    <mergeCell ref="E415:E416"/>
    <mergeCell ref="E411:E412"/>
    <mergeCell ref="E413:E414"/>
    <mergeCell ref="N319:N320"/>
    <mergeCell ref="E283:E284"/>
    <mergeCell ref="E285:E286"/>
    <mergeCell ref="E277:E278"/>
    <mergeCell ref="E287:E288"/>
    <mergeCell ref="E289:E290"/>
    <mergeCell ref="E291:E292"/>
    <mergeCell ref="E293:E294"/>
    <mergeCell ref="E295:E296"/>
    <mergeCell ref="E297:E298"/>
    <mergeCell ref="E299:E300"/>
    <mergeCell ref="N407:N408"/>
    <mergeCell ref="E361:E362"/>
    <mergeCell ref="E407:E408"/>
    <mergeCell ref="E397:E398"/>
    <mergeCell ref="N397:N398"/>
    <mergeCell ref="N461:N462"/>
    <mergeCell ref="N325:N326"/>
    <mergeCell ref="N327:N328"/>
    <mergeCell ref="E431:E432"/>
    <mergeCell ref="E461:E462"/>
    <mergeCell ref="E335:E336"/>
    <mergeCell ref="E337:E338"/>
    <mergeCell ref="E339:E340"/>
    <mergeCell ref="E463:E464"/>
    <mergeCell ref="E465:E466"/>
    <mergeCell ref="E371:E372"/>
    <mergeCell ref="E373:E374"/>
    <mergeCell ref="E375:E376"/>
    <mergeCell ref="E377:E378"/>
    <mergeCell ref="E379:E380"/>
    <mergeCell ref="E381:E382"/>
    <mergeCell ref="E439:E440"/>
    <mergeCell ref="E457:E458"/>
    <mergeCell ref="E353:E354"/>
    <mergeCell ref="E355:E356"/>
    <mergeCell ref="E357:E358"/>
    <mergeCell ref="E445:E446"/>
    <mergeCell ref="E447:E448"/>
    <mergeCell ref="E449:E450"/>
    <mergeCell ref="E429:E430"/>
    <mergeCell ref="N413:N414"/>
    <mergeCell ref="E423:E424"/>
    <mergeCell ref="N329:N330"/>
    <mergeCell ref="N331:N332"/>
    <mergeCell ref="N441:N442"/>
    <mergeCell ref="E441:E442"/>
    <mergeCell ref="E443:E444"/>
    <mergeCell ref="C189:C190"/>
    <mergeCell ref="D189:E190"/>
    <mergeCell ref="N189:N190"/>
    <mergeCell ref="E331:E332"/>
    <mergeCell ref="E333:E334"/>
    <mergeCell ref="N321:N322"/>
    <mergeCell ref="N323:N324"/>
    <mergeCell ref="C191:C492"/>
    <mergeCell ref="N463:N464"/>
    <mergeCell ref="N465:N466"/>
    <mergeCell ref="N467:N468"/>
    <mergeCell ref="N469:N470"/>
    <mergeCell ref="N471:N472"/>
    <mergeCell ref="E469:E470"/>
    <mergeCell ref="E471:E472"/>
    <mergeCell ref="R498:R499"/>
    <mergeCell ref="N443:N444"/>
    <mergeCell ref="N445:N446"/>
    <mergeCell ref="N453:N454"/>
    <mergeCell ref="N455:N456"/>
    <mergeCell ref="N457:N458"/>
    <mergeCell ref="N447:N448"/>
    <mergeCell ref="N449:N450"/>
    <mergeCell ref="N451:N452"/>
    <mergeCell ref="O449:O450"/>
    <mergeCell ref="P449:P450"/>
    <mergeCell ref="Q449:Q450"/>
    <mergeCell ref="R449:R450"/>
    <mergeCell ref="N427:N428"/>
    <mergeCell ref="N429:N430"/>
    <mergeCell ref="N431:N432"/>
    <mergeCell ref="E467:E468"/>
    <mergeCell ref="R453:R454"/>
    <mergeCell ref="O445:O446"/>
    <mergeCell ref="O433:O434"/>
    <mergeCell ref="P433:P434"/>
    <mergeCell ref="Q433:Q434"/>
    <mergeCell ref="R433:R434"/>
    <mergeCell ref="R447:R448"/>
    <mergeCell ref="N493:N494"/>
    <mergeCell ref="O493:O494"/>
    <mergeCell ref="P493:P494"/>
    <mergeCell ref="Q493:Q494"/>
    <mergeCell ref="Q349:Q350"/>
    <mergeCell ref="R349:R350"/>
    <mergeCell ref="R411:R412"/>
    <mergeCell ref="Q405:Q406"/>
    <mergeCell ref="R405:R406"/>
    <mergeCell ref="O389:O390"/>
    <mergeCell ref="P389:P390"/>
    <mergeCell ref="Q389:Q390"/>
    <mergeCell ref="R389:R390"/>
    <mergeCell ref="N381:N382"/>
    <mergeCell ref="N383:N384"/>
    <mergeCell ref="N385:N386"/>
    <mergeCell ref="N387:N388"/>
    <mergeCell ref="N389:N390"/>
    <mergeCell ref="N391:N392"/>
    <mergeCell ref="N353:N354"/>
    <mergeCell ref="N399:N400"/>
    <mergeCell ref="N363:N364"/>
    <mergeCell ref="O351:O352"/>
    <mergeCell ref="P351:P352"/>
    <mergeCell ref="N349:N350"/>
    <mergeCell ref="O307:O308"/>
    <mergeCell ref="N315:N316"/>
    <mergeCell ref="N317:N318"/>
    <mergeCell ref="O305:O306"/>
    <mergeCell ref="O315:O316"/>
    <mergeCell ref="N301:N302"/>
    <mergeCell ref="N311:N312"/>
    <mergeCell ref="E401:E402"/>
    <mergeCell ref="E403:E404"/>
    <mergeCell ref="E405:E406"/>
    <mergeCell ref="E395:E396"/>
    <mergeCell ref="E319:E320"/>
    <mergeCell ref="E321:E322"/>
    <mergeCell ref="E391:E392"/>
    <mergeCell ref="E393:E394"/>
    <mergeCell ref="N305:N306"/>
    <mergeCell ref="E303:E304"/>
    <mergeCell ref="N333:N334"/>
    <mergeCell ref="N335:N336"/>
    <mergeCell ref="N337:N338"/>
    <mergeCell ref="N339:N340"/>
    <mergeCell ref="O399:O400"/>
    <mergeCell ref="N405:N406"/>
    <mergeCell ref="E341:E342"/>
    <mergeCell ref="E351:E352"/>
    <mergeCell ref="E343:E344"/>
    <mergeCell ref="E345:E346"/>
    <mergeCell ref="O339:O340"/>
    <mergeCell ref="N341:N342"/>
    <mergeCell ref="N343:N344"/>
    <mergeCell ref="E349:E350"/>
    <mergeCell ref="O371:O372"/>
    <mergeCell ref="P307:P308"/>
    <mergeCell ref="Q307:Q308"/>
    <mergeCell ref="R307:R308"/>
    <mergeCell ref="P305:P306"/>
    <mergeCell ref="Q305:Q306"/>
    <mergeCell ref="R305:R306"/>
    <mergeCell ref="R299:R300"/>
    <mergeCell ref="Q301:Q302"/>
    <mergeCell ref="E245:E246"/>
    <mergeCell ref="E247:E248"/>
    <mergeCell ref="E249:E250"/>
    <mergeCell ref="O357:O358"/>
    <mergeCell ref="N409:N410"/>
    <mergeCell ref="N287:N288"/>
    <mergeCell ref="E265:E266"/>
    <mergeCell ref="E323:E324"/>
    <mergeCell ref="E325:E326"/>
    <mergeCell ref="E327:E328"/>
    <mergeCell ref="E329:E330"/>
    <mergeCell ref="N355:N356"/>
    <mergeCell ref="N395:N396"/>
    <mergeCell ref="E347:E348"/>
    <mergeCell ref="E363:E364"/>
    <mergeCell ref="E369:E370"/>
    <mergeCell ref="E399:E400"/>
    <mergeCell ref="N351:N352"/>
    <mergeCell ref="E313:E314"/>
    <mergeCell ref="N273:N274"/>
    <mergeCell ref="E253:E254"/>
    <mergeCell ref="E255:E256"/>
    <mergeCell ref="O397:O398"/>
    <mergeCell ref="E301:E302"/>
    <mergeCell ref="P399:P400"/>
    <mergeCell ref="Q399:Q400"/>
    <mergeCell ref="R399:R400"/>
    <mergeCell ref="P353:P354"/>
    <mergeCell ref="Q353:Q354"/>
    <mergeCell ref="R353:R354"/>
    <mergeCell ref="P349:P350"/>
    <mergeCell ref="Q355:Q356"/>
    <mergeCell ref="R355:R356"/>
    <mergeCell ref="N393:N394"/>
    <mergeCell ref="O385:O386"/>
    <mergeCell ref="P385:P386"/>
    <mergeCell ref="P397:P398"/>
    <mergeCell ref="Q397:Q398"/>
    <mergeCell ref="N279:N280"/>
    <mergeCell ref="E383:E384"/>
    <mergeCell ref="E385:E386"/>
    <mergeCell ref="E387:E388"/>
    <mergeCell ref="E389:E390"/>
    <mergeCell ref="N309:N310"/>
    <mergeCell ref="N313:N314"/>
    <mergeCell ref="P291:P292"/>
    <mergeCell ref="Q291:Q292"/>
    <mergeCell ref="P293:P294"/>
    <mergeCell ref="Q293:Q294"/>
    <mergeCell ref="R293:R294"/>
    <mergeCell ref="R301:R302"/>
    <mergeCell ref="P337:P338"/>
    <mergeCell ref="Q337:Q338"/>
    <mergeCell ref="R337:R338"/>
    <mergeCell ref="P315:P316"/>
    <mergeCell ref="P363:P364"/>
    <mergeCell ref="S498:S499"/>
    <mergeCell ref="N433:N434"/>
    <mergeCell ref="O431:O432"/>
    <mergeCell ref="P431:P432"/>
    <mergeCell ref="Q431:Q432"/>
    <mergeCell ref="R431:R432"/>
    <mergeCell ref="S423:S424"/>
    <mergeCell ref="O425:O426"/>
    <mergeCell ref="P425:P426"/>
    <mergeCell ref="Q425:Q426"/>
    <mergeCell ref="R425:R426"/>
    <mergeCell ref="S425:S426"/>
    <mergeCell ref="N421:N422"/>
    <mergeCell ref="N417:N418"/>
    <mergeCell ref="N419:N420"/>
    <mergeCell ref="O407:O408"/>
    <mergeCell ref="P445:P446"/>
    <mergeCell ref="Q445:Q446"/>
    <mergeCell ref="R445:R446"/>
    <mergeCell ref="N459:N460"/>
    <mergeCell ref="R459:R460"/>
    <mergeCell ref="Q421:Q422"/>
    <mergeCell ref="R421:R422"/>
    <mergeCell ref="N423:N424"/>
    <mergeCell ref="N425:N426"/>
    <mergeCell ref="S421:S422"/>
    <mergeCell ref="O423:O424"/>
    <mergeCell ref="P423:P424"/>
    <mergeCell ref="Q423:Q424"/>
    <mergeCell ref="R423:R424"/>
    <mergeCell ref="Q411:Q412"/>
    <mergeCell ref="S411:S412"/>
    <mergeCell ref="E165:E166"/>
    <mergeCell ref="E167:E168"/>
    <mergeCell ref="E169:E170"/>
    <mergeCell ref="D173:E174"/>
    <mergeCell ref="D175:E176"/>
    <mergeCell ref="D177:E178"/>
    <mergeCell ref="E179:E180"/>
    <mergeCell ref="E181:E182"/>
    <mergeCell ref="E183:E184"/>
    <mergeCell ref="E185:E186"/>
    <mergeCell ref="D191:E192"/>
    <mergeCell ref="E193:E194"/>
    <mergeCell ref="E195:E196"/>
    <mergeCell ref="E197:E198"/>
    <mergeCell ref="E199:E200"/>
    <mergeCell ref="D193:D206"/>
    <mergeCell ref="E275:E276"/>
    <mergeCell ref="E201:E202"/>
    <mergeCell ref="E203:E204"/>
    <mergeCell ref="E205:E206"/>
    <mergeCell ref="E207:E208"/>
    <mergeCell ref="D163:D166"/>
    <mergeCell ref="E231:E232"/>
    <mergeCell ref="E211:E212"/>
    <mergeCell ref="E213:E214"/>
    <mergeCell ref="E215:E216"/>
    <mergeCell ref="E217:E218"/>
    <mergeCell ref="E269:E270"/>
    <mergeCell ref="E251:E252"/>
    <mergeCell ref="D171:D172"/>
    <mergeCell ref="E171:E172"/>
    <mergeCell ref="D187:D188"/>
    <mergeCell ref="O435:O436"/>
    <mergeCell ref="P435:P436"/>
    <mergeCell ref="Q435:Q436"/>
    <mergeCell ref="R435:R436"/>
    <mergeCell ref="S435:S436"/>
    <mergeCell ref="O437:O438"/>
    <mergeCell ref="P437:P438"/>
    <mergeCell ref="Q437:Q438"/>
    <mergeCell ref="R437:R438"/>
    <mergeCell ref="S437:S438"/>
    <mergeCell ref="O439:O440"/>
    <mergeCell ref="P439:P440"/>
    <mergeCell ref="Q439:Q440"/>
    <mergeCell ref="R439:R440"/>
    <mergeCell ref="R403:R404"/>
    <mergeCell ref="S403:S404"/>
    <mergeCell ref="P407:P408"/>
    <mergeCell ref="Q407:Q408"/>
    <mergeCell ref="R407:R408"/>
    <mergeCell ref="S417:S418"/>
    <mergeCell ref="O419:O420"/>
    <mergeCell ref="P419:P420"/>
    <mergeCell ref="Q419:Q420"/>
    <mergeCell ref="R419:R420"/>
    <mergeCell ref="S419:S420"/>
    <mergeCell ref="S433:S434"/>
    <mergeCell ref="O421:O422"/>
    <mergeCell ref="P421:P422"/>
    <mergeCell ref="O405:O406"/>
    <mergeCell ref="P405:P406"/>
    <mergeCell ref="S405:S406"/>
    <mergeCell ref="N169:N170"/>
    <mergeCell ref="N171:N172"/>
    <mergeCell ref="N173:N174"/>
    <mergeCell ref="N175:N176"/>
    <mergeCell ref="N177:N178"/>
    <mergeCell ref="N181:N182"/>
    <mergeCell ref="N183:N184"/>
    <mergeCell ref="N185:N186"/>
    <mergeCell ref="N187:N188"/>
    <mergeCell ref="N191:N192"/>
    <mergeCell ref="N193:N194"/>
    <mergeCell ref="N195:N196"/>
    <mergeCell ref="N197:N198"/>
    <mergeCell ref="N199:N200"/>
    <mergeCell ref="N201:N202"/>
    <mergeCell ref="N203:N204"/>
    <mergeCell ref="N307:N308"/>
    <mergeCell ref="N281:N282"/>
    <mergeCell ref="N271:N272"/>
    <mergeCell ref="N283:N284"/>
    <mergeCell ref="N285:N286"/>
    <mergeCell ref="N255:N256"/>
    <mergeCell ref="N247:N248"/>
    <mergeCell ref="N251:N252"/>
    <mergeCell ref="N253:N254"/>
    <mergeCell ref="N231:N232"/>
    <mergeCell ref="N249:N250"/>
    <mergeCell ref="N293:N294"/>
    <mergeCell ref="S389:S390"/>
    <mergeCell ref="O391:O392"/>
    <mergeCell ref="P391:P392"/>
    <mergeCell ref="Q391:Q392"/>
    <mergeCell ref="R391:R392"/>
    <mergeCell ref="S391:S392"/>
    <mergeCell ref="R397:R398"/>
    <mergeCell ref="S399:S400"/>
    <mergeCell ref="N415:N416"/>
    <mergeCell ref="O413:O414"/>
    <mergeCell ref="P413:P414"/>
    <mergeCell ref="Q413:Q414"/>
    <mergeCell ref="R413:R414"/>
    <mergeCell ref="S413:S414"/>
    <mergeCell ref="O415:O416"/>
    <mergeCell ref="P415:P416"/>
    <mergeCell ref="Q415:Q416"/>
    <mergeCell ref="R415:R416"/>
    <mergeCell ref="S415:S416"/>
    <mergeCell ref="N401:N402"/>
    <mergeCell ref="N403:N404"/>
    <mergeCell ref="S407:S408"/>
    <mergeCell ref="O409:O410"/>
    <mergeCell ref="P409:P410"/>
    <mergeCell ref="Q409:Q410"/>
    <mergeCell ref="R409:R410"/>
    <mergeCell ref="S409:S410"/>
    <mergeCell ref="O411:O412"/>
    <mergeCell ref="P411:P412"/>
    <mergeCell ref="O403:O404"/>
    <mergeCell ref="P403:P404"/>
    <mergeCell ref="Q403:Q404"/>
    <mergeCell ref="S343:S344"/>
    <mergeCell ref="O345:O346"/>
    <mergeCell ref="P345:P346"/>
    <mergeCell ref="S355:S356"/>
    <mergeCell ref="P347:P348"/>
    <mergeCell ref="P355:P356"/>
    <mergeCell ref="S359:S360"/>
    <mergeCell ref="S353:S354"/>
    <mergeCell ref="O355:O356"/>
    <mergeCell ref="S363:S364"/>
    <mergeCell ref="O383:O384"/>
    <mergeCell ref="O393:O394"/>
    <mergeCell ref="P393:P394"/>
    <mergeCell ref="Q393:Q394"/>
    <mergeCell ref="R393:R394"/>
    <mergeCell ref="S393:S394"/>
    <mergeCell ref="O401:O402"/>
    <mergeCell ref="P401:P402"/>
    <mergeCell ref="Q401:Q402"/>
    <mergeCell ref="R401:R402"/>
    <mergeCell ref="S401:S402"/>
    <mergeCell ref="S387:S388"/>
    <mergeCell ref="P383:P384"/>
    <mergeCell ref="Q383:Q384"/>
    <mergeCell ref="O381:O382"/>
    <mergeCell ref="P381:P382"/>
    <mergeCell ref="Q381:Q382"/>
    <mergeCell ref="R381:R382"/>
    <mergeCell ref="S381:S382"/>
    <mergeCell ref="Q375:Q376"/>
    <mergeCell ref="R375:R376"/>
    <mergeCell ref="S375:S376"/>
    <mergeCell ref="S311:S312"/>
    <mergeCell ref="O313:O314"/>
    <mergeCell ref="P313:P314"/>
    <mergeCell ref="Q313:Q314"/>
    <mergeCell ref="R313:R314"/>
    <mergeCell ref="S313:S314"/>
    <mergeCell ref="S371:S372"/>
    <mergeCell ref="S379:S380"/>
    <mergeCell ref="O395:O396"/>
    <mergeCell ref="P395:P396"/>
    <mergeCell ref="Q395:Q396"/>
    <mergeCell ref="R395:R396"/>
    <mergeCell ref="S395:S396"/>
    <mergeCell ref="Q363:Q364"/>
    <mergeCell ref="R363:R364"/>
    <mergeCell ref="P369:P370"/>
    <mergeCell ref="Q369:Q370"/>
    <mergeCell ref="R369:R370"/>
    <mergeCell ref="S369:S370"/>
    <mergeCell ref="O321:O322"/>
    <mergeCell ref="P321:P322"/>
    <mergeCell ref="Q321:Q322"/>
    <mergeCell ref="R321:R322"/>
    <mergeCell ref="S321:S322"/>
    <mergeCell ref="O323:O324"/>
    <mergeCell ref="P323:P324"/>
    <mergeCell ref="Q323:Q324"/>
    <mergeCell ref="R323:R324"/>
    <mergeCell ref="Q329:Q330"/>
    <mergeCell ref="S327:S328"/>
    <mergeCell ref="R343:R344"/>
    <mergeCell ref="O337:O338"/>
    <mergeCell ref="S293:S294"/>
    <mergeCell ref="O299:O300"/>
    <mergeCell ref="P299:P300"/>
    <mergeCell ref="Q299:Q300"/>
    <mergeCell ref="S307:S308"/>
    <mergeCell ref="O311:O312"/>
    <mergeCell ref="P311:P312"/>
    <mergeCell ref="Q311:Q312"/>
    <mergeCell ref="R311:R312"/>
    <mergeCell ref="O309:O310"/>
    <mergeCell ref="P309:P310"/>
    <mergeCell ref="Q309:Q310"/>
    <mergeCell ref="R309:R310"/>
    <mergeCell ref="S309:S310"/>
    <mergeCell ref="S279:S280"/>
    <mergeCell ref="S273:S274"/>
    <mergeCell ref="P277:P278"/>
    <mergeCell ref="Q277:Q278"/>
    <mergeCell ref="R277:R278"/>
    <mergeCell ref="S277:S278"/>
    <mergeCell ref="O279:O280"/>
    <mergeCell ref="P279:P280"/>
    <mergeCell ref="S305:S306"/>
    <mergeCell ref="O303:O304"/>
    <mergeCell ref="P303:P304"/>
    <mergeCell ref="Q303:Q304"/>
    <mergeCell ref="R303:R304"/>
    <mergeCell ref="S303:S304"/>
    <mergeCell ref="O281:O282"/>
    <mergeCell ref="P281:P282"/>
    <mergeCell ref="Q281:Q282"/>
    <mergeCell ref="R281:R282"/>
    <mergeCell ref="O285:O286"/>
    <mergeCell ref="P285:P286"/>
    <mergeCell ref="Q285:Q286"/>
    <mergeCell ref="R285:R286"/>
    <mergeCell ref="O291:O292"/>
    <mergeCell ref="S257:S258"/>
    <mergeCell ref="N259:N260"/>
    <mergeCell ref="N261:N262"/>
    <mergeCell ref="O261:O262"/>
    <mergeCell ref="P261:P262"/>
    <mergeCell ref="Q261:Q262"/>
    <mergeCell ref="R261:R262"/>
    <mergeCell ref="S261:S262"/>
    <mergeCell ref="O265:O266"/>
    <mergeCell ref="P265:P266"/>
    <mergeCell ref="Q265:Q266"/>
    <mergeCell ref="R265:R266"/>
    <mergeCell ref="S265:S266"/>
    <mergeCell ref="O267:O268"/>
    <mergeCell ref="P267:P268"/>
    <mergeCell ref="Q267:Q268"/>
    <mergeCell ref="R267:R268"/>
    <mergeCell ref="S267:S268"/>
    <mergeCell ref="N257:N258"/>
    <mergeCell ref="S271:S272"/>
    <mergeCell ref="Q259:Q260"/>
    <mergeCell ref="R259:R260"/>
    <mergeCell ref="S259:S260"/>
    <mergeCell ref="O273:O274"/>
    <mergeCell ref="Q257:Q258"/>
    <mergeCell ref="S299:S300"/>
    <mergeCell ref="N263:N264"/>
    <mergeCell ref="O275:O276"/>
    <mergeCell ref="P275:P276"/>
    <mergeCell ref="Q275:Q276"/>
    <mergeCell ref="R275:R276"/>
    <mergeCell ref="S275:S276"/>
    <mergeCell ref="S285:S286"/>
    <mergeCell ref="N269:N270"/>
    <mergeCell ref="O269:O270"/>
    <mergeCell ref="P269:P270"/>
    <mergeCell ref="Q269:Q270"/>
    <mergeCell ref="R269:R270"/>
    <mergeCell ref="S269:S270"/>
    <mergeCell ref="N277:N278"/>
    <mergeCell ref="O263:O264"/>
    <mergeCell ref="P263:P264"/>
    <mergeCell ref="Q279:Q280"/>
    <mergeCell ref="R279:R280"/>
    <mergeCell ref="Q263:Q264"/>
    <mergeCell ref="R263:R264"/>
    <mergeCell ref="N265:N266"/>
    <mergeCell ref="N267:N268"/>
    <mergeCell ref="S263:S264"/>
    <mergeCell ref="S281:S282"/>
    <mergeCell ref="O283:O284"/>
    <mergeCell ref="P283:P284"/>
    <mergeCell ref="R273:R274"/>
    <mergeCell ref="R271:R272"/>
    <mergeCell ref="Q283:Q284"/>
    <mergeCell ref="R283:R284"/>
    <mergeCell ref="S283:S284"/>
    <mergeCell ref="R225:R226"/>
    <mergeCell ref="O255:O256"/>
    <mergeCell ref="P255:P256"/>
    <mergeCell ref="Q255:Q256"/>
    <mergeCell ref="R255:R256"/>
    <mergeCell ref="S255:S256"/>
    <mergeCell ref="O257:O258"/>
    <mergeCell ref="R257:R258"/>
    <mergeCell ref="O253:O254"/>
    <mergeCell ref="P253:P254"/>
    <mergeCell ref="O239:O240"/>
    <mergeCell ref="P239:P240"/>
    <mergeCell ref="Q239:Q240"/>
    <mergeCell ref="R239:R240"/>
    <mergeCell ref="S239:S240"/>
    <mergeCell ref="O241:O242"/>
    <mergeCell ref="P241:P242"/>
    <mergeCell ref="Q241:Q242"/>
    <mergeCell ref="R241:R242"/>
    <mergeCell ref="S241:S242"/>
    <mergeCell ref="O245:O246"/>
    <mergeCell ref="P245:P246"/>
    <mergeCell ref="Q245:Q246"/>
    <mergeCell ref="R245:R246"/>
    <mergeCell ref="S245:S246"/>
    <mergeCell ref="O247:O248"/>
    <mergeCell ref="P247:P248"/>
    <mergeCell ref="Q251:Q252"/>
    <mergeCell ref="R251:R252"/>
    <mergeCell ref="S251:S252"/>
    <mergeCell ref="S253:S254"/>
    <mergeCell ref="P257:P258"/>
    <mergeCell ref="Q179:Q180"/>
    <mergeCell ref="O193:O194"/>
    <mergeCell ref="P193:P194"/>
    <mergeCell ref="Q247:Q248"/>
    <mergeCell ref="R247:R248"/>
    <mergeCell ref="S247:S248"/>
    <mergeCell ref="N243:N244"/>
    <mergeCell ref="O243:O244"/>
    <mergeCell ref="P243:P244"/>
    <mergeCell ref="Q243:Q244"/>
    <mergeCell ref="R243:R244"/>
    <mergeCell ref="S243:S244"/>
    <mergeCell ref="N225:N226"/>
    <mergeCell ref="N227:N228"/>
    <mergeCell ref="N229:N230"/>
    <mergeCell ref="N233:N234"/>
    <mergeCell ref="N235:N236"/>
    <mergeCell ref="N237:N238"/>
    <mergeCell ref="O235:O236"/>
    <mergeCell ref="P235:P236"/>
    <mergeCell ref="Q235:Q236"/>
    <mergeCell ref="R235:R236"/>
    <mergeCell ref="S235:S236"/>
    <mergeCell ref="O237:O238"/>
    <mergeCell ref="P237:P238"/>
    <mergeCell ref="Q237:Q238"/>
    <mergeCell ref="R237:R238"/>
    <mergeCell ref="S237:S238"/>
    <mergeCell ref="N239:N240"/>
    <mergeCell ref="O225:O226"/>
    <mergeCell ref="P225:P226"/>
    <mergeCell ref="Q225:Q226"/>
    <mergeCell ref="P151:P152"/>
    <mergeCell ref="O191:O192"/>
    <mergeCell ref="P191:P192"/>
    <mergeCell ref="Q191:Q192"/>
    <mergeCell ref="R191:R192"/>
    <mergeCell ref="S191:S192"/>
    <mergeCell ref="O189:O190"/>
    <mergeCell ref="P189:P190"/>
    <mergeCell ref="Q189:Q190"/>
    <mergeCell ref="R189:R190"/>
    <mergeCell ref="O163:O164"/>
    <mergeCell ref="O165:O166"/>
    <mergeCell ref="O167:O168"/>
    <mergeCell ref="O169:O170"/>
    <mergeCell ref="O171:O172"/>
    <mergeCell ref="O173:O174"/>
    <mergeCell ref="O175:O176"/>
    <mergeCell ref="O177:O178"/>
    <mergeCell ref="O179:O180"/>
    <mergeCell ref="O181:O182"/>
    <mergeCell ref="O183:O184"/>
    <mergeCell ref="O185:O186"/>
    <mergeCell ref="O187:O188"/>
    <mergeCell ref="P187:P188"/>
    <mergeCell ref="Q187:Q188"/>
    <mergeCell ref="R187:R188"/>
    <mergeCell ref="S187:S188"/>
    <mergeCell ref="P177:P178"/>
    <mergeCell ref="Q177:Q178"/>
    <mergeCell ref="R177:R178"/>
    <mergeCell ref="S177:S178"/>
    <mergeCell ref="P179:P180"/>
    <mergeCell ref="O532:O533"/>
    <mergeCell ref="N151:N152"/>
    <mergeCell ref="N153:N154"/>
    <mergeCell ref="O147:O148"/>
    <mergeCell ref="O149:O150"/>
    <mergeCell ref="O151:O152"/>
    <mergeCell ref="O153:O154"/>
    <mergeCell ref="O155:O156"/>
    <mergeCell ref="O157:O158"/>
    <mergeCell ref="O159:O160"/>
    <mergeCell ref="O161:O162"/>
    <mergeCell ref="O137:O138"/>
    <mergeCell ref="O139:O140"/>
    <mergeCell ref="O141:O142"/>
    <mergeCell ref="P139:P140"/>
    <mergeCell ref="R139:R140"/>
    <mergeCell ref="S139:S140"/>
    <mergeCell ref="P141:P142"/>
    <mergeCell ref="Q141:Q142"/>
    <mergeCell ref="R141:R142"/>
    <mergeCell ref="O143:O144"/>
    <mergeCell ref="O145:O146"/>
    <mergeCell ref="P161:P162"/>
    <mergeCell ref="Q161:Q162"/>
    <mergeCell ref="R161:R162"/>
    <mergeCell ref="S161:S162"/>
    <mergeCell ref="R145:R146"/>
    <mergeCell ref="Q149:Q150"/>
    <mergeCell ref="R149:R150"/>
    <mergeCell ref="N159:N160"/>
    <mergeCell ref="N161:N162"/>
    <mergeCell ref="S149:S150"/>
    <mergeCell ref="A518:A519"/>
    <mergeCell ref="S558:S559"/>
    <mergeCell ref="D20:D21"/>
    <mergeCell ref="Q82:Q83"/>
    <mergeCell ref="R82:R83"/>
    <mergeCell ref="S82:S83"/>
    <mergeCell ref="Q84:Q85"/>
    <mergeCell ref="R84:R85"/>
    <mergeCell ref="S84:S85"/>
    <mergeCell ref="Q86:Q87"/>
    <mergeCell ref="R86:R87"/>
    <mergeCell ref="S86:S87"/>
    <mergeCell ref="Q522:Q523"/>
    <mergeCell ref="R522:R523"/>
    <mergeCell ref="Q118:Q119"/>
    <mergeCell ref="S538:S539"/>
    <mergeCell ref="E94:E95"/>
    <mergeCell ref="S530:S531"/>
    <mergeCell ref="E96:E97"/>
    <mergeCell ref="Q548:Q549"/>
    <mergeCell ref="P550:P551"/>
    <mergeCell ref="Q550:Q551"/>
    <mergeCell ref="N544:N545"/>
    <mergeCell ref="E530:E531"/>
    <mergeCell ref="P530:P531"/>
    <mergeCell ref="Q530:Q531"/>
    <mergeCell ref="E540:E541"/>
    <mergeCell ref="N540:N541"/>
    <mergeCell ref="O540:O541"/>
    <mergeCell ref="P540:P541"/>
    <mergeCell ref="Q540:Q541"/>
    <mergeCell ref="N532:N533"/>
    <mergeCell ref="A498:A499"/>
    <mergeCell ref="A500:A501"/>
    <mergeCell ref="A540:A541"/>
    <mergeCell ref="A542:A543"/>
    <mergeCell ref="A544:A545"/>
    <mergeCell ref="A546:A547"/>
    <mergeCell ref="A548:A549"/>
    <mergeCell ref="A550:A551"/>
    <mergeCell ref="A502:A503"/>
    <mergeCell ref="A504:A505"/>
    <mergeCell ref="A506:A507"/>
    <mergeCell ref="A508:A509"/>
    <mergeCell ref="A582:A583"/>
    <mergeCell ref="A584:A585"/>
    <mergeCell ref="A586:A587"/>
    <mergeCell ref="A588:A589"/>
    <mergeCell ref="A590:A591"/>
    <mergeCell ref="A560:A561"/>
    <mergeCell ref="A522:A523"/>
    <mergeCell ref="A524:A525"/>
    <mergeCell ref="A526:A527"/>
    <mergeCell ref="A528:A529"/>
    <mergeCell ref="A530:A531"/>
    <mergeCell ref="A532:A533"/>
    <mergeCell ref="A534:A535"/>
    <mergeCell ref="A536:A537"/>
    <mergeCell ref="A538:A539"/>
    <mergeCell ref="A520:A521"/>
    <mergeCell ref="A510:A511"/>
    <mergeCell ref="A512:A513"/>
    <mergeCell ref="A514:A515"/>
    <mergeCell ref="A516:A517"/>
    <mergeCell ref="A592:A593"/>
    <mergeCell ref="A562:A563"/>
    <mergeCell ref="A606:A607"/>
    <mergeCell ref="A608:A609"/>
    <mergeCell ref="A614:A615"/>
    <mergeCell ref="A610:A611"/>
    <mergeCell ref="A612:A613"/>
    <mergeCell ref="A564:A565"/>
    <mergeCell ref="A566:A567"/>
    <mergeCell ref="A568:A569"/>
    <mergeCell ref="A570:A571"/>
    <mergeCell ref="A572:A573"/>
    <mergeCell ref="A574:A575"/>
    <mergeCell ref="A576:A577"/>
    <mergeCell ref="A578:A579"/>
    <mergeCell ref="A580:A581"/>
    <mergeCell ref="N580:N581"/>
    <mergeCell ref="E572:E573"/>
    <mergeCell ref="N572:N573"/>
    <mergeCell ref="N570:N571"/>
    <mergeCell ref="E568:E569"/>
    <mergeCell ref="N568:N569"/>
    <mergeCell ref="E598:E599"/>
    <mergeCell ref="E600:E601"/>
    <mergeCell ref="E602:E603"/>
    <mergeCell ref="E604:E605"/>
    <mergeCell ref="N598:N599"/>
    <mergeCell ref="N600:N601"/>
    <mergeCell ref="N602:N603"/>
    <mergeCell ref="N604:N605"/>
    <mergeCell ref="O506:O507"/>
    <mergeCell ref="P506:P507"/>
    <mergeCell ref="Q506:Q507"/>
    <mergeCell ref="R506:R507"/>
    <mergeCell ref="N514:N515"/>
    <mergeCell ref="O514:O515"/>
    <mergeCell ref="E502:E503"/>
    <mergeCell ref="N502:N503"/>
    <mergeCell ref="Q516:Q517"/>
    <mergeCell ref="E520:E521"/>
    <mergeCell ref="N520:N521"/>
    <mergeCell ref="R512:R513"/>
    <mergeCell ref="P514:P515"/>
    <mergeCell ref="Q514:Q515"/>
    <mergeCell ref="R514:R515"/>
    <mergeCell ref="N558:N559"/>
    <mergeCell ref="O558:O559"/>
    <mergeCell ref="P558:P559"/>
    <mergeCell ref="Q558:Q559"/>
    <mergeCell ref="R558:R559"/>
    <mergeCell ref="N550:N551"/>
    <mergeCell ref="O550:O551"/>
    <mergeCell ref="Q546:Q547"/>
    <mergeCell ref="P532:P533"/>
    <mergeCell ref="E504:E505"/>
    <mergeCell ref="N504:N505"/>
    <mergeCell ref="O504:O505"/>
    <mergeCell ref="P504:P505"/>
    <mergeCell ref="Q504:Q505"/>
    <mergeCell ref="E514:E515"/>
    <mergeCell ref="E516:E517"/>
    <mergeCell ref="E522:E523"/>
    <mergeCell ref="S592:S593"/>
    <mergeCell ref="Q586:Q587"/>
    <mergeCell ref="N594:N595"/>
    <mergeCell ref="O590:O591"/>
    <mergeCell ref="S588:S589"/>
    <mergeCell ref="N586:N587"/>
    <mergeCell ref="O586:O587"/>
    <mergeCell ref="R588:R589"/>
    <mergeCell ref="Q588:Q589"/>
    <mergeCell ref="E588:E589"/>
    <mergeCell ref="O588:O589"/>
    <mergeCell ref="E582:E583"/>
    <mergeCell ref="N582:N583"/>
    <mergeCell ref="O582:O583"/>
    <mergeCell ref="P582:P583"/>
    <mergeCell ref="N584:N585"/>
    <mergeCell ref="O584:O585"/>
    <mergeCell ref="P584:P585"/>
    <mergeCell ref="O594:O595"/>
    <mergeCell ref="O592:O593"/>
    <mergeCell ref="R584:R585"/>
    <mergeCell ref="E594:E595"/>
    <mergeCell ref="Q582:Q583"/>
    <mergeCell ref="P586:P587"/>
    <mergeCell ref="R582:R583"/>
    <mergeCell ref="S582:S583"/>
    <mergeCell ref="N588:N589"/>
    <mergeCell ref="N590:N591"/>
    <mergeCell ref="P588:P589"/>
    <mergeCell ref="Q584:Q585"/>
    <mergeCell ref="E586:E587"/>
    <mergeCell ref="S584:S585"/>
    <mergeCell ref="P608:P609"/>
    <mergeCell ref="R580:R581"/>
    <mergeCell ref="S580:S581"/>
    <mergeCell ref="E606:E607"/>
    <mergeCell ref="N606:N607"/>
    <mergeCell ref="O606:O607"/>
    <mergeCell ref="P606:P607"/>
    <mergeCell ref="Q606:Q607"/>
    <mergeCell ref="R606:R607"/>
    <mergeCell ref="S606:S607"/>
    <mergeCell ref="E590:E591"/>
    <mergeCell ref="E592:E593"/>
    <mergeCell ref="N592:N593"/>
    <mergeCell ref="E584:E585"/>
    <mergeCell ref="R586:R587"/>
    <mergeCell ref="Q608:Q609"/>
    <mergeCell ref="R592:R593"/>
    <mergeCell ref="S594:S595"/>
    <mergeCell ref="P592:P593"/>
    <mergeCell ref="Q592:Q593"/>
    <mergeCell ref="R596:R597"/>
    <mergeCell ref="S596:S597"/>
    <mergeCell ref="P598:P599"/>
    <mergeCell ref="Q598:Q599"/>
    <mergeCell ref="P600:P601"/>
    <mergeCell ref="P602:P603"/>
    <mergeCell ref="P604:P605"/>
    <mergeCell ref="Q600:Q601"/>
    <mergeCell ref="Q602:Q603"/>
    <mergeCell ref="Q604:Q605"/>
    <mergeCell ref="R598:R599"/>
    <mergeCell ref="R600:R601"/>
    <mergeCell ref="S586:S587"/>
    <mergeCell ref="B3:S3"/>
    <mergeCell ref="B4:S4"/>
    <mergeCell ref="S510:S511"/>
    <mergeCell ref="E510:E511"/>
    <mergeCell ref="N510:N511"/>
    <mergeCell ref="O510:O511"/>
    <mergeCell ref="P510:P511"/>
    <mergeCell ref="Q510:Q511"/>
    <mergeCell ref="R510:R511"/>
    <mergeCell ref="S506:S507"/>
    <mergeCell ref="E508:E509"/>
    <mergeCell ref="N508:N509"/>
    <mergeCell ref="O508:O509"/>
    <mergeCell ref="P508:P509"/>
    <mergeCell ref="O502:O503"/>
    <mergeCell ref="S502:S503"/>
    <mergeCell ref="S504:S505"/>
    <mergeCell ref="D9:D12"/>
    <mergeCell ref="C129:C172"/>
    <mergeCell ref="C9:C12"/>
    <mergeCell ref="S500:S501"/>
    <mergeCell ref="O580:O581"/>
    <mergeCell ref="S568:S569"/>
    <mergeCell ref="E506:E507"/>
    <mergeCell ref="N506:N507"/>
    <mergeCell ref="E500:E501"/>
    <mergeCell ref="N500:N501"/>
    <mergeCell ref="O500:O501"/>
    <mergeCell ref="P500:P501"/>
    <mergeCell ref="Q500:Q501"/>
    <mergeCell ref="R500:R501"/>
    <mergeCell ref="N498:N499"/>
    <mergeCell ref="R118:R119"/>
    <mergeCell ref="N139:N140"/>
    <mergeCell ref="Q508:Q509"/>
    <mergeCell ref="N627:N628"/>
    <mergeCell ref="O627:O628"/>
    <mergeCell ref="D627:D628"/>
    <mergeCell ref="D623:D624"/>
    <mergeCell ref="C623:C624"/>
    <mergeCell ref="E623:E624"/>
    <mergeCell ref="N623:N624"/>
    <mergeCell ref="O623:O624"/>
    <mergeCell ref="N614:N615"/>
    <mergeCell ref="O614:O615"/>
    <mergeCell ref="D616:E616"/>
    <mergeCell ref="E612:E613"/>
    <mergeCell ref="N612:N613"/>
    <mergeCell ref="O612:O613"/>
    <mergeCell ref="E610:E611"/>
    <mergeCell ref="N610:N611"/>
    <mergeCell ref="O610:O611"/>
    <mergeCell ref="C608:C615"/>
    <mergeCell ref="E614:E615"/>
    <mergeCell ref="E608:E609"/>
    <mergeCell ref="N608:N609"/>
    <mergeCell ref="O608:O609"/>
    <mergeCell ref="N617:N618"/>
    <mergeCell ref="O617:O618"/>
    <mergeCell ref="D608:D615"/>
    <mergeCell ref="P627:P628"/>
    <mergeCell ref="Q627:Q628"/>
    <mergeCell ref="R627:R628"/>
    <mergeCell ref="S627:S628"/>
    <mergeCell ref="R612:R613"/>
    <mergeCell ref="S612:S613"/>
    <mergeCell ref="S590:S591"/>
    <mergeCell ref="R590:R591"/>
    <mergeCell ref="Q590:Q591"/>
    <mergeCell ref="P590:P591"/>
    <mergeCell ref="R608:R609"/>
    <mergeCell ref="S608:S609"/>
    <mergeCell ref="P623:P624"/>
    <mergeCell ref="Q623:Q624"/>
    <mergeCell ref="R623:R624"/>
    <mergeCell ref="S623:S624"/>
    <mergeCell ref="R610:R611"/>
    <mergeCell ref="S610:S611"/>
    <mergeCell ref="P612:P613"/>
    <mergeCell ref="Q612:Q613"/>
    <mergeCell ref="P610:P611"/>
    <mergeCell ref="Q610:Q611"/>
    <mergeCell ref="P614:P615"/>
    <mergeCell ref="Q614:Q615"/>
    <mergeCell ref="S614:S615"/>
    <mergeCell ref="R614:R615"/>
    <mergeCell ref="P594:P595"/>
    <mergeCell ref="Q594:Q595"/>
    <mergeCell ref="R594:R595"/>
    <mergeCell ref="R602:R603"/>
    <mergeCell ref="R604:R605"/>
    <mergeCell ref="S598:S599"/>
    <mergeCell ref="S600:S601"/>
    <mergeCell ref="S602:S603"/>
    <mergeCell ref="S604:S605"/>
    <mergeCell ref="S576:S577"/>
    <mergeCell ref="E578:E579"/>
    <mergeCell ref="N578:N579"/>
    <mergeCell ref="O578:O579"/>
    <mergeCell ref="P578:P579"/>
    <mergeCell ref="Q578:Q579"/>
    <mergeCell ref="R578:R579"/>
    <mergeCell ref="S578:S579"/>
    <mergeCell ref="E576:E577"/>
    <mergeCell ref="N576:N577"/>
    <mergeCell ref="O576:O577"/>
    <mergeCell ref="P576:P577"/>
    <mergeCell ref="Q576:Q577"/>
    <mergeCell ref="R576:R577"/>
    <mergeCell ref="S572:S573"/>
    <mergeCell ref="R570:R571"/>
    <mergeCell ref="P580:P581"/>
    <mergeCell ref="Q580:Q581"/>
    <mergeCell ref="E580:E581"/>
    <mergeCell ref="S570:S571"/>
    <mergeCell ref="O572:O573"/>
    <mergeCell ref="P572:P573"/>
    <mergeCell ref="Q572:Q573"/>
    <mergeCell ref="R572:R573"/>
    <mergeCell ref="S574:S575"/>
    <mergeCell ref="O568:O569"/>
    <mergeCell ref="P568:P569"/>
    <mergeCell ref="Q568:Q569"/>
    <mergeCell ref="R550:R551"/>
    <mergeCell ref="S562:S563"/>
    <mergeCell ref="S550:S551"/>
    <mergeCell ref="E560:E561"/>
    <mergeCell ref="N562:N563"/>
    <mergeCell ref="O562:O563"/>
    <mergeCell ref="P562:P563"/>
    <mergeCell ref="Q562:Q563"/>
    <mergeCell ref="R562:R563"/>
    <mergeCell ref="E574:E575"/>
    <mergeCell ref="N574:N575"/>
    <mergeCell ref="O574:O575"/>
    <mergeCell ref="P574:P575"/>
    <mergeCell ref="Q574:Q575"/>
    <mergeCell ref="R574:R575"/>
    <mergeCell ref="N566:N567"/>
    <mergeCell ref="O566:O567"/>
    <mergeCell ref="P566:P567"/>
    <mergeCell ref="Q566:Q567"/>
    <mergeCell ref="R566:R567"/>
    <mergeCell ref="O570:O571"/>
    <mergeCell ref="P570:P571"/>
    <mergeCell ref="Q570:Q571"/>
    <mergeCell ref="N560:N561"/>
    <mergeCell ref="O560:O561"/>
    <mergeCell ref="P560:P561"/>
    <mergeCell ref="Q560:Q561"/>
    <mergeCell ref="R568:R569"/>
    <mergeCell ref="S564:S565"/>
    <mergeCell ref="R560:R561"/>
    <mergeCell ref="S542:S543"/>
    <mergeCell ref="E542:E543"/>
    <mergeCell ref="N542:N543"/>
    <mergeCell ref="O542:O543"/>
    <mergeCell ref="P542:P543"/>
    <mergeCell ref="Q542:Q543"/>
    <mergeCell ref="R542:R543"/>
    <mergeCell ref="N546:N547"/>
    <mergeCell ref="N548:N549"/>
    <mergeCell ref="O546:O547"/>
    <mergeCell ref="O548:O549"/>
    <mergeCell ref="P546:P547"/>
    <mergeCell ref="P548:P549"/>
    <mergeCell ref="R546:R547"/>
    <mergeCell ref="S546:S547"/>
    <mergeCell ref="R548:R549"/>
    <mergeCell ref="S548:S549"/>
    <mergeCell ref="S544:S545"/>
    <mergeCell ref="E556:E557"/>
    <mergeCell ref="N556:N557"/>
    <mergeCell ref="O556:O557"/>
    <mergeCell ref="P556:P557"/>
    <mergeCell ref="Q556:Q557"/>
    <mergeCell ref="R556:R557"/>
    <mergeCell ref="S556:S557"/>
    <mergeCell ref="S532:S533"/>
    <mergeCell ref="R530:R531"/>
    <mergeCell ref="O544:O545"/>
    <mergeCell ref="P544:P545"/>
    <mergeCell ref="Q544:Q545"/>
    <mergeCell ref="S534:S535"/>
    <mergeCell ref="E536:E537"/>
    <mergeCell ref="N536:N537"/>
    <mergeCell ref="O536:O537"/>
    <mergeCell ref="P536:P537"/>
    <mergeCell ref="Q536:Q537"/>
    <mergeCell ref="R536:R537"/>
    <mergeCell ref="S536:S537"/>
    <mergeCell ref="E534:E535"/>
    <mergeCell ref="N534:N535"/>
    <mergeCell ref="O534:O535"/>
    <mergeCell ref="P534:P535"/>
    <mergeCell ref="Q534:Q535"/>
    <mergeCell ref="R534:R535"/>
    <mergeCell ref="R544:R545"/>
    <mergeCell ref="R540:R541"/>
    <mergeCell ref="S540:S541"/>
    <mergeCell ref="E538:E539"/>
    <mergeCell ref="N538:N539"/>
    <mergeCell ref="O538:O539"/>
    <mergeCell ref="P538:P539"/>
    <mergeCell ref="Q538:Q539"/>
    <mergeCell ref="R538:R539"/>
    <mergeCell ref="Q532:Q533"/>
    <mergeCell ref="R532:R533"/>
    <mergeCell ref="N530:N531"/>
    <mergeCell ref="O530:O531"/>
    <mergeCell ref="S528:S529"/>
    <mergeCell ref="E526:E527"/>
    <mergeCell ref="N526:N527"/>
    <mergeCell ref="O526:O527"/>
    <mergeCell ref="P526:P527"/>
    <mergeCell ref="Q526:Q527"/>
    <mergeCell ref="R526:R527"/>
    <mergeCell ref="S526:S527"/>
    <mergeCell ref="E528:E529"/>
    <mergeCell ref="N528:N529"/>
    <mergeCell ref="O528:O529"/>
    <mergeCell ref="P528:P529"/>
    <mergeCell ref="Q528:Q529"/>
    <mergeCell ref="R528:R529"/>
    <mergeCell ref="N522:N523"/>
    <mergeCell ref="O522:O523"/>
    <mergeCell ref="P522:P523"/>
    <mergeCell ref="N524:N525"/>
    <mergeCell ref="O524:O525"/>
    <mergeCell ref="P524:P525"/>
    <mergeCell ref="Q524:Q525"/>
    <mergeCell ref="R524:R525"/>
    <mergeCell ref="S524:S525"/>
    <mergeCell ref="R205:R206"/>
    <mergeCell ref="S205:S206"/>
    <mergeCell ref="R508:R509"/>
    <mergeCell ref="S508:S509"/>
    <mergeCell ref="E512:E513"/>
    <mergeCell ref="N512:N513"/>
    <mergeCell ref="O512:O513"/>
    <mergeCell ref="P512:P513"/>
    <mergeCell ref="S512:S513"/>
    <mergeCell ref="S522:S523"/>
    <mergeCell ref="S514:S515"/>
    <mergeCell ref="Q512:Q513"/>
    <mergeCell ref="S520:S521"/>
    <mergeCell ref="O520:O521"/>
    <mergeCell ref="P520:P521"/>
    <mergeCell ref="Q520:Q521"/>
    <mergeCell ref="R520:R521"/>
    <mergeCell ref="S516:S517"/>
    <mergeCell ref="E518:E519"/>
    <mergeCell ref="N518:N519"/>
    <mergeCell ref="O518:O519"/>
    <mergeCell ref="P518:P519"/>
    <mergeCell ref="Q518:Q519"/>
    <mergeCell ref="R518:R519"/>
    <mergeCell ref="S518:S519"/>
    <mergeCell ref="N516:N517"/>
    <mergeCell ref="O516:O517"/>
    <mergeCell ref="P516:P517"/>
    <mergeCell ref="R516:R517"/>
    <mergeCell ref="O498:O499"/>
    <mergeCell ref="P498:P499"/>
    <mergeCell ref="Q498:Q499"/>
    <mergeCell ref="R504:R505"/>
    <mergeCell ref="O203:O204"/>
    <mergeCell ref="P203:P204"/>
    <mergeCell ref="Q203:Q204"/>
    <mergeCell ref="R203:R204"/>
    <mergeCell ref="S203:S204"/>
    <mergeCell ref="N215:N216"/>
    <mergeCell ref="N217:N218"/>
    <mergeCell ref="O213:O214"/>
    <mergeCell ref="P213:P214"/>
    <mergeCell ref="Q213:Q214"/>
    <mergeCell ref="R213:R214"/>
    <mergeCell ref="S213:S214"/>
    <mergeCell ref="O215:O216"/>
    <mergeCell ref="P215:P216"/>
    <mergeCell ref="Q215:Q216"/>
    <mergeCell ref="R215:R216"/>
    <mergeCell ref="S215:S216"/>
    <mergeCell ref="O217:O218"/>
    <mergeCell ref="P217:P218"/>
    <mergeCell ref="Q217:Q218"/>
    <mergeCell ref="R217:R218"/>
    <mergeCell ref="S217:S218"/>
    <mergeCell ref="N219:N220"/>
    <mergeCell ref="N221:N222"/>
    <mergeCell ref="N223:N224"/>
    <mergeCell ref="O207:O208"/>
    <mergeCell ref="P207:P208"/>
    <mergeCell ref="Q207:Q208"/>
    <mergeCell ref="R207:R208"/>
    <mergeCell ref="S207:S208"/>
    <mergeCell ref="O209:O210"/>
    <mergeCell ref="R122:R123"/>
    <mergeCell ref="S122:S123"/>
    <mergeCell ref="N143:N144"/>
    <mergeCell ref="Q193:Q194"/>
    <mergeCell ref="R193:R194"/>
    <mergeCell ref="S193:S194"/>
    <mergeCell ref="O195:O196"/>
    <mergeCell ref="P195:P196"/>
    <mergeCell ref="P502:P503"/>
    <mergeCell ref="Q502:Q503"/>
    <mergeCell ref="R502:R503"/>
    <mergeCell ref="P219:P220"/>
    <mergeCell ref="Q219:Q220"/>
    <mergeCell ref="R219:R220"/>
    <mergeCell ref="S219:S220"/>
    <mergeCell ref="O221:O222"/>
    <mergeCell ref="P221:P222"/>
    <mergeCell ref="Q221:Q222"/>
    <mergeCell ref="R221:R222"/>
    <mergeCell ref="S221:S222"/>
    <mergeCell ref="O223:O224"/>
    <mergeCell ref="P223:P224"/>
    <mergeCell ref="Q223:Q224"/>
    <mergeCell ref="R223:R224"/>
    <mergeCell ref="S223:S224"/>
    <mergeCell ref="O295:O296"/>
    <mergeCell ref="O259:O260"/>
    <mergeCell ref="P259:P260"/>
    <mergeCell ref="O277:O278"/>
    <mergeCell ref="O205:O206"/>
    <mergeCell ref="P205:P206"/>
    <mergeCell ref="Q205:Q206"/>
    <mergeCell ref="C50:C123"/>
    <mergeCell ref="D112:D123"/>
    <mergeCell ref="D129:D150"/>
    <mergeCell ref="D86:D109"/>
    <mergeCell ref="D110:D111"/>
    <mergeCell ref="D66:D85"/>
    <mergeCell ref="E84:E85"/>
    <mergeCell ref="E86:E87"/>
    <mergeCell ref="E88:E89"/>
    <mergeCell ref="E90:E91"/>
    <mergeCell ref="E92:E93"/>
    <mergeCell ref="N129:N130"/>
    <mergeCell ref="N131:N132"/>
    <mergeCell ref="N133:N134"/>
    <mergeCell ref="N135:N136"/>
    <mergeCell ref="N155:N156"/>
    <mergeCell ref="N157:N158"/>
    <mergeCell ref="E131:E132"/>
    <mergeCell ref="E133:E134"/>
    <mergeCell ref="E135:E136"/>
    <mergeCell ref="E137:E138"/>
    <mergeCell ref="E139:E140"/>
    <mergeCell ref="E141:E142"/>
    <mergeCell ref="E143:E144"/>
    <mergeCell ref="E145:E146"/>
    <mergeCell ref="E147:E148"/>
    <mergeCell ref="E149:E150"/>
    <mergeCell ref="N122:N123"/>
    <mergeCell ref="E100:E101"/>
    <mergeCell ref="E102:E103"/>
    <mergeCell ref="E104:E105"/>
    <mergeCell ref="E82:E83"/>
    <mergeCell ref="O135:O136"/>
    <mergeCell ref="N137:N138"/>
    <mergeCell ref="N141:N142"/>
    <mergeCell ref="N145:N146"/>
    <mergeCell ref="N147:N148"/>
    <mergeCell ref="N149:N150"/>
    <mergeCell ref="S24:S25"/>
    <mergeCell ref="O22:O23"/>
    <mergeCell ref="P22:P23"/>
    <mergeCell ref="Q22:Q23"/>
    <mergeCell ref="R22:R23"/>
    <mergeCell ref="S22:S23"/>
    <mergeCell ref="P26:P27"/>
    <mergeCell ref="Q26:Q27"/>
    <mergeCell ref="N50:N51"/>
    <mergeCell ref="O50:O51"/>
    <mergeCell ref="P50:P51"/>
    <mergeCell ref="Q50:Q51"/>
    <mergeCell ref="R50:R51"/>
    <mergeCell ref="S50:S51"/>
    <mergeCell ref="N26:N27"/>
    <mergeCell ref="O26:O27"/>
    <mergeCell ref="O48:O49"/>
    <mergeCell ref="N48:N49"/>
    <mergeCell ref="N112:N113"/>
    <mergeCell ref="N114:N115"/>
    <mergeCell ref="N116:N117"/>
    <mergeCell ref="N118:N119"/>
    <mergeCell ref="N120:N121"/>
    <mergeCell ref="R120:R121"/>
    <mergeCell ref="S120:S121"/>
    <mergeCell ref="Q122:Q123"/>
    <mergeCell ref="S20:S21"/>
    <mergeCell ref="S32:S42"/>
    <mergeCell ref="S28:S29"/>
    <mergeCell ref="Q32:Q42"/>
    <mergeCell ref="S7:S8"/>
    <mergeCell ref="E9:E10"/>
    <mergeCell ref="O9:O10"/>
    <mergeCell ref="N9:N10"/>
    <mergeCell ref="R32:R42"/>
    <mergeCell ref="C32:C42"/>
    <mergeCell ref="E32:E42"/>
    <mergeCell ref="N32:N42"/>
    <mergeCell ref="O32:O42"/>
    <mergeCell ref="P32:P42"/>
    <mergeCell ref="S26:S27"/>
    <mergeCell ref="E24:E25"/>
    <mergeCell ref="D32:D42"/>
    <mergeCell ref="D22:D31"/>
    <mergeCell ref="N30:N31"/>
    <mergeCell ref="O30:O31"/>
    <mergeCell ref="P30:P31"/>
    <mergeCell ref="Q30:Q31"/>
    <mergeCell ref="R30:R31"/>
    <mergeCell ref="S30:S31"/>
    <mergeCell ref="E28:E29"/>
    <mergeCell ref="N28:N29"/>
    <mergeCell ref="O28:O29"/>
    <mergeCell ref="P28:P29"/>
    <mergeCell ref="Q7:Q8"/>
    <mergeCell ref="R7:R8"/>
    <mergeCell ref="Q28:Q29"/>
    <mergeCell ref="R28:R29"/>
    <mergeCell ref="R9:R10"/>
    <mergeCell ref="C13:C14"/>
    <mergeCell ref="E13:E14"/>
    <mergeCell ref="N13:N14"/>
    <mergeCell ref="O13:O14"/>
    <mergeCell ref="P13:P14"/>
    <mergeCell ref="Q13:Q14"/>
    <mergeCell ref="R13:R14"/>
    <mergeCell ref="C627:C628"/>
    <mergeCell ref="E627:E628"/>
    <mergeCell ref="P9:P10"/>
    <mergeCell ref="Q9:Q10"/>
    <mergeCell ref="R26:R27"/>
    <mergeCell ref="E30:E31"/>
    <mergeCell ref="E227:E228"/>
    <mergeCell ref="E229:E230"/>
    <mergeCell ref="C498:C559"/>
    <mergeCell ref="E558:E559"/>
    <mergeCell ref="E562:E563"/>
    <mergeCell ref="C22:C31"/>
    <mergeCell ref="N22:N23"/>
    <mergeCell ref="E22:E23"/>
    <mergeCell ref="C173:C188"/>
    <mergeCell ref="D179:D182"/>
    <mergeCell ref="D183:D186"/>
    <mergeCell ref="O133:O134"/>
    <mergeCell ref="C560:C607"/>
    <mergeCell ref="E566:E567"/>
    <mergeCell ref="E570:E571"/>
    <mergeCell ref="E221:E222"/>
    <mergeCell ref="E237:E238"/>
    <mergeCell ref="E225:E226"/>
    <mergeCell ref="N5:S5"/>
    <mergeCell ref="C7:C8"/>
    <mergeCell ref="E7:E8"/>
    <mergeCell ref="N7:N8"/>
    <mergeCell ref="O7:O8"/>
    <mergeCell ref="P7:P8"/>
    <mergeCell ref="S13:S14"/>
    <mergeCell ref="D13:D14"/>
    <mergeCell ref="D7:D8"/>
    <mergeCell ref="E11:E12"/>
    <mergeCell ref="R11:R12"/>
    <mergeCell ref="S11:S12"/>
    <mergeCell ref="N24:N25"/>
    <mergeCell ref="O24:O25"/>
    <mergeCell ref="P24:P25"/>
    <mergeCell ref="Q24:Q25"/>
    <mergeCell ref="R24:R25"/>
    <mergeCell ref="N11:N12"/>
    <mergeCell ref="O11:O12"/>
    <mergeCell ref="P11:P12"/>
    <mergeCell ref="Q11:Q12"/>
    <mergeCell ref="S9:S10"/>
    <mergeCell ref="Q15:Q16"/>
    <mergeCell ref="R15:R16"/>
    <mergeCell ref="S15:S16"/>
    <mergeCell ref="C20:C21"/>
    <mergeCell ref="E20:E21"/>
    <mergeCell ref="N20:N21"/>
    <mergeCell ref="O20:O21"/>
    <mergeCell ref="P20:P21"/>
    <mergeCell ref="Q20:Q21"/>
    <mergeCell ref="R20:R21"/>
    <mergeCell ref="B630:M631"/>
    <mergeCell ref="E564:E565"/>
    <mergeCell ref="E596:E597"/>
    <mergeCell ref="B498:B618"/>
    <mergeCell ref="C617:E618"/>
    <mergeCell ref="B623:B624"/>
    <mergeCell ref="B627:B628"/>
    <mergeCell ref="D498:D559"/>
    <mergeCell ref="D560:D607"/>
    <mergeCell ref="E546:E547"/>
    <mergeCell ref="E548:E549"/>
    <mergeCell ref="E544:E545"/>
    <mergeCell ref="E223:E224"/>
    <mergeCell ref="E108:E109"/>
    <mergeCell ref="E110:E111"/>
    <mergeCell ref="E532:E533"/>
    <mergeCell ref="E153:E154"/>
    <mergeCell ref="E239:E240"/>
    <mergeCell ref="E241:E242"/>
    <mergeCell ref="E279:E280"/>
    <mergeCell ref="E159:E160"/>
    <mergeCell ref="E161:E162"/>
    <mergeCell ref="E163:E164"/>
    <mergeCell ref="E112:E113"/>
    <mergeCell ref="E114:E115"/>
    <mergeCell ref="E116:E117"/>
    <mergeCell ref="E259:E260"/>
    <mergeCell ref="E261:E262"/>
    <mergeCell ref="E263:E264"/>
    <mergeCell ref="E209:E210"/>
    <mergeCell ref="E129:E130"/>
    <mergeCell ref="E219:E220"/>
    <mergeCell ref="E187:E188"/>
    <mergeCell ref="D207:D234"/>
    <mergeCell ref="D235:D272"/>
    <mergeCell ref="D273:D300"/>
    <mergeCell ref="D301:D372"/>
    <mergeCell ref="D373:D402"/>
    <mergeCell ref="E550:E551"/>
    <mergeCell ref="E498:E499"/>
    <mergeCell ref="E524:E525"/>
    <mergeCell ref="E233:E234"/>
    <mergeCell ref="E235:E236"/>
    <mergeCell ref="B5:M5"/>
    <mergeCell ref="D50:D59"/>
    <mergeCell ref="E52:E53"/>
    <mergeCell ref="E54:E55"/>
    <mergeCell ref="E56:E57"/>
    <mergeCell ref="E58:E59"/>
    <mergeCell ref="E60:E61"/>
    <mergeCell ref="E62:E63"/>
    <mergeCell ref="E64:E65"/>
    <mergeCell ref="E66:E67"/>
    <mergeCell ref="E68:E69"/>
    <mergeCell ref="E70:E71"/>
    <mergeCell ref="E72:E73"/>
    <mergeCell ref="E74:E75"/>
    <mergeCell ref="E76:E77"/>
    <mergeCell ref="E78:E79"/>
    <mergeCell ref="E80:E81"/>
    <mergeCell ref="C48:C49"/>
    <mergeCell ref="D48:D49"/>
    <mergeCell ref="E48:E49"/>
    <mergeCell ref="D60:D65"/>
    <mergeCell ref="E50:E51"/>
    <mergeCell ref="E26:E27"/>
    <mergeCell ref="E151:E152"/>
    <mergeCell ref="E155:E156"/>
    <mergeCell ref="E157:E158"/>
    <mergeCell ref="E118:E119"/>
    <mergeCell ref="E120:E121"/>
    <mergeCell ref="E122:E123"/>
    <mergeCell ref="O78:O79"/>
    <mergeCell ref="O80:O81"/>
    <mergeCell ref="O82:O83"/>
    <mergeCell ref="O84:O85"/>
    <mergeCell ref="O86:O87"/>
    <mergeCell ref="O88:O89"/>
    <mergeCell ref="O90:O91"/>
    <mergeCell ref="O92:O93"/>
    <mergeCell ref="O94:O95"/>
    <mergeCell ref="O96:O97"/>
    <mergeCell ref="O98:O99"/>
    <mergeCell ref="O100:O101"/>
    <mergeCell ref="O102:O103"/>
    <mergeCell ref="N84:N85"/>
    <mergeCell ref="N86:N87"/>
    <mergeCell ref="N88:N89"/>
    <mergeCell ref="N90:N91"/>
    <mergeCell ref="N92:N93"/>
    <mergeCell ref="N94:N95"/>
    <mergeCell ref="N96:N97"/>
    <mergeCell ref="E106:E107"/>
    <mergeCell ref="E98:E99"/>
    <mergeCell ref="N100:N101"/>
    <mergeCell ref="N102:N103"/>
    <mergeCell ref="N104:N105"/>
    <mergeCell ref="N106:N107"/>
    <mergeCell ref="N108:N109"/>
    <mergeCell ref="N110:N111"/>
    <mergeCell ref="N52:N53"/>
    <mergeCell ref="N54:N55"/>
    <mergeCell ref="N56:N57"/>
    <mergeCell ref="N58:N59"/>
    <mergeCell ref="N60:N61"/>
    <mergeCell ref="N62:N63"/>
    <mergeCell ref="N64:N65"/>
    <mergeCell ref="N66:N67"/>
    <mergeCell ref="N68:N69"/>
    <mergeCell ref="N70:N71"/>
    <mergeCell ref="N72:N73"/>
    <mergeCell ref="N74:N75"/>
    <mergeCell ref="N76:N77"/>
    <mergeCell ref="N78:N79"/>
    <mergeCell ref="N80:N81"/>
    <mergeCell ref="N82:N83"/>
    <mergeCell ref="N98:N99"/>
    <mergeCell ref="P82:P83"/>
    <mergeCell ref="P84:P85"/>
    <mergeCell ref="P86:P87"/>
    <mergeCell ref="P88:P89"/>
    <mergeCell ref="P98:P99"/>
    <mergeCell ref="P108:P109"/>
    <mergeCell ref="P118:P119"/>
    <mergeCell ref="P120:P121"/>
    <mergeCell ref="P122:P123"/>
    <mergeCell ref="O52:O53"/>
    <mergeCell ref="O54:O55"/>
    <mergeCell ref="O56:O57"/>
    <mergeCell ref="O58:O59"/>
    <mergeCell ref="O60:O61"/>
    <mergeCell ref="O62:O63"/>
    <mergeCell ref="O64:O65"/>
    <mergeCell ref="O66:O67"/>
    <mergeCell ref="O68:O69"/>
    <mergeCell ref="O70:O71"/>
    <mergeCell ref="O110:O111"/>
    <mergeCell ref="O112:O113"/>
    <mergeCell ref="O114:O115"/>
    <mergeCell ref="O116:O117"/>
    <mergeCell ref="O118:O119"/>
    <mergeCell ref="O106:O107"/>
    <mergeCell ref="O108:O109"/>
    <mergeCell ref="O120:O121"/>
    <mergeCell ref="O122:O123"/>
    <mergeCell ref="O104:O105"/>
    <mergeCell ref="O72:O73"/>
    <mergeCell ref="O74:O75"/>
    <mergeCell ref="O76:O77"/>
    <mergeCell ref="Q52:Q53"/>
    <mergeCell ref="R52:R53"/>
    <mergeCell ref="S52:S53"/>
    <mergeCell ref="P54:P55"/>
    <mergeCell ref="Q54:Q55"/>
    <mergeCell ref="R54:R55"/>
    <mergeCell ref="S54:S55"/>
    <mergeCell ref="P56:P57"/>
    <mergeCell ref="Q56:Q57"/>
    <mergeCell ref="R56:R57"/>
    <mergeCell ref="S56:S57"/>
    <mergeCell ref="P58:P59"/>
    <mergeCell ref="Q58:Q59"/>
    <mergeCell ref="R58:R59"/>
    <mergeCell ref="S58:S59"/>
    <mergeCell ref="P60:P61"/>
    <mergeCell ref="Q60:Q61"/>
    <mergeCell ref="R60:R61"/>
    <mergeCell ref="S60:S61"/>
    <mergeCell ref="P52:P53"/>
    <mergeCell ref="Q62:Q63"/>
    <mergeCell ref="R62:R63"/>
    <mergeCell ref="S62:S63"/>
    <mergeCell ref="P64:P65"/>
    <mergeCell ref="Q64:Q65"/>
    <mergeCell ref="R64:R65"/>
    <mergeCell ref="S64:S65"/>
    <mergeCell ref="P66:P67"/>
    <mergeCell ref="Q66:Q67"/>
    <mergeCell ref="R66:R67"/>
    <mergeCell ref="S66:S67"/>
    <mergeCell ref="P68:P69"/>
    <mergeCell ref="Q68:Q69"/>
    <mergeCell ref="R68:R69"/>
    <mergeCell ref="S68:S69"/>
    <mergeCell ref="P70:P71"/>
    <mergeCell ref="Q70:Q71"/>
    <mergeCell ref="R70:R71"/>
    <mergeCell ref="S70:S71"/>
    <mergeCell ref="P62:P63"/>
    <mergeCell ref="Q72:Q73"/>
    <mergeCell ref="R72:R73"/>
    <mergeCell ref="S72:S73"/>
    <mergeCell ref="P74:P75"/>
    <mergeCell ref="Q74:Q75"/>
    <mergeCell ref="R74:R75"/>
    <mergeCell ref="S74:S75"/>
    <mergeCell ref="P76:P77"/>
    <mergeCell ref="Q76:Q77"/>
    <mergeCell ref="R76:R77"/>
    <mergeCell ref="S76:S77"/>
    <mergeCell ref="P78:P79"/>
    <mergeCell ref="Q78:Q79"/>
    <mergeCell ref="R78:R79"/>
    <mergeCell ref="S78:S79"/>
    <mergeCell ref="P80:P81"/>
    <mergeCell ref="Q80:Q81"/>
    <mergeCell ref="R80:R81"/>
    <mergeCell ref="S80:S81"/>
    <mergeCell ref="P72:P73"/>
    <mergeCell ref="R88:R89"/>
    <mergeCell ref="S88:S89"/>
    <mergeCell ref="P90:P91"/>
    <mergeCell ref="Q90:Q91"/>
    <mergeCell ref="R90:R91"/>
    <mergeCell ref="S90:S91"/>
    <mergeCell ref="P92:P93"/>
    <mergeCell ref="Q92:Q93"/>
    <mergeCell ref="R92:R93"/>
    <mergeCell ref="S92:S93"/>
    <mergeCell ref="P94:P95"/>
    <mergeCell ref="Q94:Q95"/>
    <mergeCell ref="R94:R95"/>
    <mergeCell ref="S94:S95"/>
    <mergeCell ref="P96:P97"/>
    <mergeCell ref="Q96:Q97"/>
    <mergeCell ref="R96:R97"/>
    <mergeCell ref="S96:S97"/>
    <mergeCell ref="R98:R99"/>
    <mergeCell ref="S98:S99"/>
    <mergeCell ref="P100:P101"/>
    <mergeCell ref="Q100:Q101"/>
    <mergeCell ref="R100:R101"/>
    <mergeCell ref="S100:S101"/>
    <mergeCell ref="P102:P103"/>
    <mergeCell ref="Q102:Q103"/>
    <mergeCell ref="R102:R103"/>
    <mergeCell ref="S102:S103"/>
    <mergeCell ref="P104:P105"/>
    <mergeCell ref="Q104:Q105"/>
    <mergeCell ref="R104:R105"/>
    <mergeCell ref="S104:S105"/>
    <mergeCell ref="P106:P107"/>
    <mergeCell ref="Q106:Q107"/>
    <mergeCell ref="R106:R107"/>
    <mergeCell ref="S106:S107"/>
    <mergeCell ref="R209:R210"/>
    <mergeCell ref="S209:S210"/>
    <mergeCell ref="O211:O212"/>
    <mergeCell ref="Q108:Q109"/>
    <mergeCell ref="R108:R109"/>
    <mergeCell ref="S108:S109"/>
    <mergeCell ref="P110:P111"/>
    <mergeCell ref="Q110:Q111"/>
    <mergeCell ref="R110:R111"/>
    <mergeCell ref="S110:S111"/>
    <mergeCell ref="P112:P113"/>
    <mergeCell ref="Q112:Q113"/>
    <mergeCell ref="R112:R113"/>
    <mergeCell ref="S112:S113"/>
    <mergeCell ref="P114:P115"/>
    <mergeCell ref="Q114:Q115"/>
    <mergeCell ref="R114:R115"/>
    <mergeCell ref="S114:S115"/>
    <mergeCell ref="P116:P117"/>
    <mergeCell ref="Q116:Q117"/>
    <mergeCell ref="R116:R117"/>
    <mergeCell ref="S116:S117"/>
    <mergeCell ref="S118:S119"/>
    <mergeCell ref="Q120:Q121"/>
    <mergeCell ref="Q195:Q196"/>
    <mergeCell ref="R195:R196"/>
    <mergeCell ref="S195:S196"/>
    <mergeCell ref="O197:O198"/>
    <mergeCell ref="P197:P198"/>
    <mergeCell ref="Q197:Q198"/>
    <mergeCell ref="O129:O130"/>
    <mergeCell ref="O131:O132"/>
    <mergeCell ref="R197:R198"/>
    <mergeCell ref="S197:S198"/>
    <mergeCell ref="O199:O200"/>
    <mergeCell ref="P199:P200"/>
    <mergeCell ref="Q199:Q200"/>
    <mergeCell ref="R199:R200"/>
    <mergeCell ref="S199:S200"/>
    <mergeCell ref="O201:O202"/>
    <mergeCell ref="P201:P202"/>
    <mergeCell ref="Q201:Q202"/>
    <mergeCell ref="R201:R202"/>
    <mergeCell ref="S201:S202"/>
    <mergeCell ref="P211:P212"/>
    <mergeCell ref="Q211:Q212"/>
    <mergeCell ref="R211:R212"/>
    <mergeCell ref="S211:S212"/>
    <mergeCell ref="O233:O234"/>
    <mergeCell ref="P233:P234"/>
    <mergeCell ref="Q233:Q234"/>
    <mergeCell ref="R233:R234"/>
    <mergeCell ref="S233:S234"/>
    <mergeCell ref="O231:O232"/>
    <mergeCell ref="P231:P232"/>
    <mergeCell ref="P227:P228"/>
    <mergeCell ref="Q227:Q228"/>
    <mergeCell ref="R227:R228"/>
    <mergeCell ref="S227:S228"/>
    <mergeCell ref="O229:O230"/>
    <mergeCell ref="P229:P230"/>
    <mergeCell ref="Q229:Q230"/>
    <mergeCell ref="R229:R230"/>
    <mergeCell ref="S229:S230"/>
    <mergeCell ref="S225:S226"/>
    <mergeCell ref="O227:O228"/>
    <mergeCell ref="Q231:Q232"/>
    <mergeCell ref="R231:R232"/>
    <mergeCell ref="S231:S232"/>
    <mergeCell ref="O219:O220"/>
    <mergeCell ref="O319:O320"/>
    <mergeCell ref="P319:P320"/>
    <mergeCell ref="Q319:Q320"/>
    <mergeCell ref="R319:R320"/>
    <mergeCell ref="S319:S320"/>
    <mergeCell ref="O287:O288"/>
    <mergeCell ref="P287:P288"/>
    <mergeCell ref="Q287:Q288"/>
    <mergeCell ref="R287:R288"/>
    <mergeCell ref="S287:S288"/>
    <mergeCell ref="O289:O290"/>
    <mergeCell ref="P289:P290"/>
    <mergeCell ref="Q289:Q290"/>
    <mergeCell ref="R289:R290"/>
    <mergeCell ref="S289:S290"/>
    <mergeCell ref="P295:P296"/>
    <mergeCell ref="Q295:Q296"/>
    <mergeCell ref="R295:R296"/>
    <mergeCell ref="S295:S296"/>
    <mergeCell ref="O297:O298"/>
    <mergeCell ref="P297:P298"/>
    <mergeCell ref="Q297:Q298"/>
    <mergeCell ref="R297:R298"/>
    <mergeCell ref="S297:S298"/>
    <mergeCell ref="O301:O302"/>
    <mergeCell ref="P301:P302"/>
    <mergeCell ref="S301:S302"/>
    <mergeCell ref="R291:R292"/>
    <mergeCell ref="S291:S292"/>
    <mergeCell ref="O293:O294"/>
    <mergeCell ref="Q339:Q340"/>
    <mergeCell ref="R339:R340"/>
    <mergeCell ref="S339:S340"/>
    <mergeCell ref="O341:O342"/>
    <mergeCell ref="P341:P342"/>
    <mergeCell ref="Q341:Q342"/>
    <mergeCell ref="R341:R342"/>
    <mergeCell ref="S341:S342"/>
    <mergeCell ref="O329:O330"/>
    <mergeCell ref="P329:P330"/>
    <mergeCell ref="S315:S316"/>
    <mergeCell ref="O317:O318"/>
    <mergeCell ref="P317:P318"/>
    <mergeCell ref="Q317:Q318"/>
    <mergeCell ref="R317:R318"/>
    <mergeCell ref="S317:S318"/>
    <mergeCell ref="S323:S324"/>
    <mergeCell ref="O325:O326"/>
    <mergeCell ref="P325:P326"/>
    <mergeCell ref="Q325:Q326"/>
    <mergeCell ref="R325:R326"/>
    <mergeCell ref="S325:S326"/>
    <mergeCell ref="O327:O328"/>
    <mergeCell ref="P327:P328"/>
    <mergeCell ref="Q327:Q328"/>
    <mergeCell ref="R327:R328"/>
    <mergeCell ref="Q315:Q316"/>
    <mergeCell ref="R315:R316"/>
    <mergeCell ref="S337:S338"/>
    <mergeCell ref="R329:R330"/>
    <mergeCell ref="S329:S330"/>
    <mergeCell ref="O331:O332"/>
    <mergeCell ref="P331:P332"/>
    <mergeCell ref="Q331:Q332"/>
    <mergeCell ref="R331:R332"/>
    <mergeCell ref="S331:S332"/>
    <mergeCell ref="O333:O334"/>
    <mergeCell ref="P333:P334"/>
    <mergeCell ref="Q333:Q334"/>
    <mergeCell ref="R333:R334"/>
    <mergeCell ref="S333:S334"/>
    <mergeCell ref="O335:O336"/>
    <mergeCell ref="P335:P336"/>
    <mergeCell ref="Q335:Q336"/>
    <mergeCell ref="R335:R336"/>
    <mergeCell ref="S335:S336"/>
    <mergeCell ref="S459:S460"/>
    <mergeCell ref="P427:P428"/>
    <mergeCell ref="Q427:Q428"/>
    <mergeCell ref="R427:R428"/>
    <mergeCell ref="S427:S428"/>
    <mergeCell ref="O429:O430"/>
    <mergeCell ref="P429:P430"/>
    <mergeCell ref="Q429:Q430"/>
    <mergeCell ref="R429:R430"/>
    <mergeCell ref="S429:S430"/>
    <mergeCell ref="S439:S440"/>
    <mergeCell ref="O441:O442"/>
    <mergeCell ref="P441:P442"/>
    <mergeCell ref="Q441:Q442"/>
    <mergeCell ref="R441:R442"/>
    <mergeCell ref="S441:S442"/>
    <mergeCell ref="O443:O444"/>
    <mergeCell ref="P443:P444"/>
    <mergeCell ref="Q443:Q444"/>
    <mergeCell ref="R443:R444"/>
    <mergeCell ref="S443:S444"/>
    <mergeCell ref="O427:O428"/>
    <mergeCell ref="S449:S450"/>
    <mergeCell ref="O451:O452"/>
    <mergeCell ref="P451:P452"/>
    <mergeCell ref="Q451:Q452"/>
    <mergeCell ref="R451:R452"/>
    <mergeCell ref="S451:S452"/>
    <mergeCell ref="O453:O454"/>
    <mergeCell ref="P453:P454"/>
    <mergeCell ref="Q453:Q454"/>
    <mergeCell ref="S431:S432"/>
    <mergeCell ref="R461:R462"/>
    <mergeCell ref="P463:P464"/>
    <mergeCell ref="Q463:Q464"/>
    <mergeCell ref="R463:R464"/>
    <mergeCell ref="S463:S464"/>
    <mergeCell ref="O465:O466"/>
    <mergeCell ref="P465:P466"/>
    <mergeCell ref="Q465:Q466"/>
    <mergeCell ref="R465:R466"/>
    <mergeCell ref="S465:S466"/>
    <mergeCell ref="O467:O468"/>
    <mergeCell ref="P467:P468"/>
    <mergeCell ref="Q467:Q468"/>
    <mergeCell ref="R467:R468"/>
    <mergeCell ref="S467:S468"/>
    <mergeCell ref="O471:O472"/>
    <mergeCell ref="P471:P472"/>
    <mergeCell ref="Q471:Q472"/>
    <mergeCell ref="R471:R472"/>
    <mergeCell ref="S471:S472"/>
    <mergeCell ref="R147:R148"/>
    <mergeCell ref="S147:S148"/>
    <mergeCell ref="S141:S142"/>
    <mergeCell ref="P143:P144"/>
    <mergeCell ref="Q143:Q144"/>
    <mergeCell ref="R143:R144"/>
    <mergeCell ref="S143:S144"/>
    <mergeCell ref="P145:P146"/>
    <mergeCell ref="Q145:Q146"/>
    <mergeCell ref="O469:O470"/>
    <mergeCell ref="P469:P470"/>
    <mergeCell ref="Q469:Q470"/>
    <mergeCell ref="R469:R470"/>
    <mergeCell ref="S469:S470"/>
    <mergeCell ref="S447:S448"/>
    <mergeCell ref="S453:S454"/>
    <mergeCell ref="O455:O456"/>
    <mergeCell ref="P455:P456"/>
    <mergeCell ref="Q455:Q456"/>
    <mergeCell ref="R455:R456"/>
    <mergeCell ref="S455:S456"/>
    <mergeCell ref="O457:O458"/>
    <mergeCell ref="P457:P458"/>
    <mergeCell ref="Q457:Q458"/>
    <mergeCell ref="R457:R458"/>
    <mergeCell ref="S457:S458"/>
    <mergeCell ref="O459:O460"/>
    <mergeCell ref="P459:P460"/>
    <mergeCell ref="Q459:Q460"/>
    <mergeCell ref="Q151:Q152"/>
    <mergeCell ref="O461:O462"/>
    <mergeCell ref="P461:P462"/>
    <mergeCell ref="S163:S164"/>
    <mergeCell ref="P165:P166"/>
    <mergeCell ref="Q165:Q166"/>
    <mergeCell ref="R151:R152"/>
    <mergeCell ref="S151:S152"/>
    <mergeCell ref="P153:P154"/>
    <mergeCell ref="Q153:Q154"/>
    <mergeCell ref="R153:R154"/>
    <mergeCell ref="S153:S154"/>
    <mergeCell ref="P129:P130"/>
    <mergeCell ref="Q129:Q130"/>
    <mergeCell ref="R129:R130"/>
    <mergeCell ref="P131:P132"/>
    <mergeCell ref="Q131:Q132"/>
    <mergeCell ref="R131:R132"/>
    <mergeCell ref="S131:S132"/>
    <mergeCell ref="P133:P134"/>
    <mergeCell ref="Q133:Q134"/>
    <mergeCell ref="R133:R134"/>
    <mergeCell ref="S133:S134"/>
    <mergeCell ref="P135:P136"/>
    <mergeCell ref="Q135:Q136"/>
    <mergeCell ref="R135:R136"/>
    <mergeCell ref="S135:S136"/>
    <mergeCell ref="P137:P138"/>
    <mergeCell ref="Q137:Q138"/>
    <mergeCell ref="R137:R138"/>
    <mergeCell ref="S137:S138"/>
    <mergeCell ref="S129:S130"/>
    <mergeCell ref="Q139:Q140"/>
    <mergeCell ref="S145:S146"/>
    <mergeCell ref="P147:P148"/>
    <mergeCell ref="R185:R186"/>
    <mergeCell ref="S185:S186"/>
    <mergeCell ref="P171:P172"/>
    <mergeCell ref="Q171:Q172"/>
    <mergeCell ref="R171:R172"/>
    <mergeCell ref="S171:S172"/>
    <mergeCell ref="P173:P174"/>
    <mergeCell ref="Q173:Q174"/>
    <mergeCell ref="R173:R174"/>
    <mergeCell ref="S173:S174"/>
    <mergeCell ref="P175:P176"/>
    <mergeCell ref="Q175:Q176"/>
    <mergeCell ref="R175:R176"/>
    <mergeCell ref="P157:P158"/>
    <mergeCell ref="Q157:Q158"/>
    <mergeCell ref="R157:R158"/>
    <mergeCell ref="S157:S158"/>
    <mergeCell ref="P159:P160"/>
    <mergeCell ref="Q159:Q160"/>
    <mergeCell ref="R159:R160"/>
    <mergeCell ref="S159:S160"/>
    <mergeCell ref="Q167:Q168"/>
    <mergeCell ref="R167:R168"/>
    <mergeCell ref="S167:S168"/>
    <mergeCell ref="P169:P170"/>
    <mergeCell ref="Q169:Q170"/>
    <mergeCell ref="R169:R170"/>
    <mergeCell ref="S169:S170"/>
    <mergeCell ref="P163:P164"/>
    <mergeCell ref="Q163:Q164"/>
    <mergeCell ref="R165:R166"/>
    <mergeCell ref="S165:S166"/>
    <mergeCell ref="P371:P372"/>
    <mergeCell ref="Q371:Q372"/>
    <mergeCell ref="N369:N370"/>
    <mergeCell ref="Q347:Q348"/>
    <mergeCell ref="R347:R348"/>
    <mergeCell ref="S347:S348"/>
    <mergeCell ref="O349:O350"/>
    <mergeCell ref="Q345:Q346"/>
    <mergeCell ref="R345:R346"/>
    <mergeCell ref="O361:O362"/>
    <mergeCell ref="P361:P362"/>
    <mergeCell ref="Q361:Q362"/>
    <mergeCell ref="R361:R362"/>
    <mergeCell ref="S361:S362"/>
    <mergeCell ref="S349:S350"/>
    <mergeCell ref="P357:P358"/>
    <mergeCell ref="Q357:Q358"/>
    <mergeCell ref="S351:S352"/>
    <mergeCell ref="O353:O354"/>
    <mergeCell ref="S345:S346"/>
    <mergeCell ref="R371:R372"/>
    <mergeCell ref="O363:O364"/>
    <mergeCell ref="N345:N346"/>
    <mergeCell ref="N347:N348"/>
    <mergeCell ref="S445:S446"/>
    <mergeCell ref="O447:O448"/>
    <mergeCell ref="P447:P448"/>
    <mergeCell ref="Q447:Q448"/>
    <mergeCell ref="S461:S462"/>
    <mergeCell ref="O463:O464"/>
    <mergeCell ref="N367:N368"/>
    <mergeCell ref="O367:O368"/>
    <mergeCell ref="P367:P368"/>
    <mergeCell ref="Q367:Q368"/>
    <mergeCell ref="U124:U125"/>
    <mergeCell ref="V124:V125"/>
    <mergeCell ref="W124:W125"/>
    <mergeCell ref="X124:X125"/>
    <mergeCell ref="N43:N44"/>
    <mergeCell ref="O43:O44"/>
    <mergeCell ref="P43:P44"/>
    <mergeCell ref="Q43:Q44"/>
    <mergeCell ref="R43:R44"/>
    <mergeCell ref="S43:S44"/>
    <mergeCell ref="S357:S358"/>
    <mergeCell ref="N361:N362"/>
    <mergeCell ref="O249:O250"/>
    <mergeCell ref="P249:P250"/>
    <mergeCell ref="Q249:Q250"/>
    <mergeCell ref="R249:R250"/>
    <mergeCell ref="S249:S250"/>
    <mergeCell ref="O251:O252"/>
    <mergeCell ref="P251:P252"/>
    <mergeCell ref="Q253:Q254"/>
    <mergeCell ref="R253:R254"/>
    <mergeCell ref="S397:S398"/>
    <mergeCell ref="P149:P150"/>
    <mergeCell ref="O347:O348"/>
    <mergeCell ref="N359:N360"/>
    <mergeCell ref="R357:R358"/>
    <mergeCell ref="P181:P182"/>
    <mergeCell ref="Q181:Q182"/>
    <mergeCell ref="P617:P618"/>
    <mergeCell ref="Q617:Q618"/>
    <mergeCell ref="R617:R618"/>
    <mergeCell ref="S617:S618"/>
    <mergeCell ref="N124:N125"/>
    <mergeCell ref="O124:O125"/>
    <mergeCell ref="P124:P125"/>
    <mergeCell ref="Q124:Q125"/>
    <mergeCell ref="R124:R125"/>
    <mergeCell ref="S124:S125"/>
    <mergeCell ref="N365:N366"/>
    <mergeCell ref="O365:O366"/>
    <mergeCell ref="P365:P366"/>
    <mergeCell ref="Q365:Q366"/>
    <mergeCell ref="R365:R366"/>
    <mergeCell ref="Q387:Q388"/>
    <mergeCell ref="R387:R388"/>
    <mergeCell ref="R383:R384"/>
    <mergeCell ref="S383:S384"/>
    <mergeCell ref="Q385:Q386"/>
    <mergeCell ref="R385:R386"/>
    <mergeCell ref="S385:S386"/>
    <mergeCell ref="O387:O388"/>
    <mergeCell ref="P387:P388"/>
    <mergeCell ref="O377:O378"/>
    <mergeCell ref="P377:P378"/>
    <mergeCell ref="P339:P340"/>
    <mergeCell ref="O379:O380"/>
    <mergeCell ref="T124:T125"/>
    <mergeCell ref="S365:S366"/>
    <mergeCell ref="S373:S374"/>
    <mergeCell ref="N375:N376"/>
    <mergeCell ref="N377:N378"/>
    <mergeCell ref="N379:N380"/>
    <mergeCell ref="O375:O376"/>
    <mergeCell ref="P375:P376"/>
    <mergeCell ref="P183:P184"/>
    <mergeCell ref="Q183:Q184"/>
    <mergeCell ref="R183:R184"/>
    <mergeCell ref="S183:S184"/>
    <mergeCell ref="P155:P156"/>
    <mergeCell ref="Q155:Q156"/>
    <mergeCell ref="R155:R156"/>
    <mergeCell ref="S155:S156"/>
    <mergeCell ref="N357:N358"/>
    <mergeCell ref="O359:O360"/>
    <mergeCell ref="P359:P360"/>
    <mergeCell ref="Q359:Q360"/>
    <mergeCell ref="R359:R360"/>
    <mergeCell ref="P379:P380"/>
    <mergeCell ref="Q379:Q380"/>
    <mergeCell ref="N371:N372"/>
    <mergeCell ref="N373:N374"/>
    <mergeCell ref="O373:O374"/>
    <mergeCell ref="P373:P374"/>
    <mergeCell ref="Q373:Q374"/>
    <mergeCell ref="R373:R374"/>
    <mergeCell ref="R379:R380"/>
    <mergeCell ref="R48:R49"/>
    <mergeCell ref="S48:S49"/>
    <mergeCell ref="S181:S182"/>
    <mergeCell ref="N15:N16"/>
    <mergeCell ref="O15:O16"/>
    <mergeCell ref="P15:P16"/>
    <mergeCell ref="S377:S378"/>
    <mergeCell ref="O271:O272"/>
    <mergeCell ref="P271:P272"/>
    <mergeCell ref="Q271:Q272"/>
    <mergeCell ref="E365:E366"/>
    <mergeCell ref="D403:D404"/>
    <mergeCell ref="E359:E360"/>
    <mergeCell ref="P273:P274"/>
    <mergeCell ref="Q273:Q274"/>
    <mergeCell ref="O369:O370"/>
    <mergeCell ref="Q351:Q352"/>
    <mergeCell ref="R351:R352"/>
    <mergeCell ref="Q377:Q378"/>
    <mergeCell ref="R377:R378"/>
    <mergeCell ref="S175:S176"/>
    <mergeCell ref="R163:R164"/>
    <mergeCell ref="R179:R180"/>
    <mergeCell ref="S179:S180"/>
    <mergeCell ref="R181:R182"/>
    <mergeCell ref="D167:D170"/>
    <mergeCell ref="D151:D162"/>
    <mergeCell ref="E367:E368"/>
    <mergeCell ref="R367:R368"/>
    <mergeCell ref="S367:S368"/>
    <mergeCell ref="O343:O344"/>
    <mergeCell ref="P343:P344"/>
    <mergeCell ref="B7:B16"/>
    <mergeCell ref="C15:E16"/>
    <mergeCell ref="B20:B44"/>
    <mergeCell ref="C43:E44"/>
    <mergeCell ref="B48:B125"/>
    <mergeCell ref="C124:E125"/>
    <mergeCell ref="B129:B494"/>
    <mergeCell ref="C493:E494"/>
    <mergeCell ref="P48:P49"/>
    <mergeCell ref="Q48:Q49"/>
    <mergeCell ref="N596:N597"/>
    <mergeCell ref="O596:O597"/>
    <mergeCell ref="P596:P597"/>
    <mergeCell ref="Q596:Q597"/>
    <mergeCell ref="Q343:Q344"/>
    <mergeCell ref="P185:P186"/>
    <mergeCell ref="Q185:Q186"/>
    <mergeCell ref="P167:P168"/>
    <mergeCell ref="Q147:Q148"/>
    <mergeCell ref="Q461:Q462"/>
    <mergeCell ref="P209:P210"/>
    <mergeCell ref="Q209:Q210"/>
    <mergeCell ref="Q98:Q99"/>
    <mergeCell ref="Q88:Q89"/>
    <mergeCell ref="E473:E474"/>
    <mergeCell ref="E475:E476"/>
    <mergeCell ref="E477:E478"/>
    <mergeCell ref="E479:E480"/>
    <mergeCell ref="E481:E482"/>
    <mergeCell ref="E483:E484"/>
    <mergeCell ref="E485:E486"/>
    <mergeCell ref="E487:E488"/>
    <mergeCell ref="O598:O599"/>
    <mergeCell ref="O600:O601"/>
    <mergeCell ref="O602:O603"/>
    <mergeCell ref="O604:O605"/>
    <mergeCell ref="S566:S567"/>
    <mergeCell ref="N564:N565"/>
    <mergeCell ref="O564:O565"/>
    <mergeCell ref="P564:P565"/>
    <mergeCell ref="Q564:Q565"/>
    <mergeCell ref="R564:R565"/>
    <mergeCell ref="S560:S561"/>
    <mergeCell ref="E489:E490"/>
    <mergeCell ref="E491:E492"/>
    <mergeCell ref="N473:N474"/>
    <mergeCell ref="O473:O474"/>
    <mergeCell ref="P473:P474"/>
    <mergeCell ref="Q473:Q474"/>
    <mergeCell ref="R473:R474"/>
    <mergeCell ref="S473:S474"/>
    <mergeCell ref="N475:N476"/>
    <mergeCell ref="O475:O476"/>
    <mergeCell ref="P475:P476"/>
    <mergeCell ref="Q475:Q476"/>
    <mergeCell ref="R475:R476"/>
    <mergeCell ref="S475:S476"/>
    <mergeCell ref="N477:N478"/>
    <mergeCell ref="O477:O478"/>
    <mergeCell ref="P477:P478"/>
    <mergeCell ref="Q477:Q478"/>
    <mergeCell ref="R477:R478"/>
    <mergeCell ref="S477:S478"/>
    <mergeCell ref="N479:N480"/>
    <mergeCell ref="O479:O480"/>
    <mergeCell ref="P479:P480"/>
    <mergeCell ref="Q479:Q480"/>
    <mergeCell ref="R479:R480"/>
    <mergeCell ref="S479:S480"/>
    <mergeCell ref="N481:N482"/>
    <mergeCell ref="O481:O482"/>
    <mergeCell ref="P481:P482"/>
    <mergeCell ref="Q481:Q482"/>
    <mergeCell ref="R481:R482"/>
    <mergeCell ref="S481:S482"/>
    <mergeCell ref="N489:N490"/>
    <mergeCell ref="O489:O490"/>
    <mergeCell ref="P489:P490"/>
    <mergeCell ref="Q489:Q490"/>
    <mergeCell ref="R489:R490"/>
    <mergeCell ref="S489:S490"/>
    <mergeCell ref="N491:N492"/>
    <mergeCell ref="O491:O492"/>
    <mergeCell ref="P491:P492"/>
    <mergeCell ref="Q491:Q492"/>
    <mergeCell ref="R491:R492"/>
    <mergeCell ref="S491:S492"/>
    <mergeCell ref="N483:N484"/>
    <mergeCell ref="O483:O484"/>
    <mergeCell ref="P483:P484"/>
    <mergeCell ref="Q483:Q484"/>
    <mergeCell ref="R483:R484"/>
    <mergeCell ref="S483:S484"/>
    <mergeCell ref="N485:N486"/>
    <mergeCell ref="O485:O486"/>
    <mergeCell ref="P485:P486"/>
    <mergeCell ref="Q485:Q486"/>
    <mergeCell ref="R485:R486"/>
    <mergeCell ref="S485:S486"/>
    <mergeCell ref="N487:N488"/>
    <mergeCell ref="O487:O488"/>
    <mergeCell ref="P487:P488"/>
    <mergeCell ref="Q487:Q488"/>
    <mergeCell ref="R487:R488"/>
    <mergeCell ref="S487:S488"/>
  </mergeCells>
  <phoneticPr fontId="43" type="noConversion"/>
  <conditionalFormatting sqref="L7:L628">
    <cfRule type="cellIs" dxfId="0" priority="1" operator="greaterThan">
      <formula>0.99</formula>
    </cfRule>
  </conditionalFormatting>
  <pageMargins left="0.7" right="0.7" top="0.75" bottom="0.75" header="0.3" footer="0.3"/>
  <pageSetup paperSize="172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AG115"/>
  <sheetViews>
    <sheetView showGridLines="0" topLeftCell="A31" zoomScaleNormal="100" workbookViewId="0">
      <selection activeCell="F66" sqref="F66"/>
    </sheetView>
  </sheetViews>
  <sheetFormatPr baseColWidth="10" defaultColWidth="11.42578125" defaultRowHeight="12"/>
  <cols>
    <col min="1" max="1" width="3.28515625" style="163" customWidth="1"/>
    <col min="2" max="2" width="16.42578125" style="163" customWidth="1"/>
    <col min="3" max="3" width="37.140625" style="163" bestFit="1" customWidth="1"/>
    <col min="4" max="4" width="7.42578125" style="163" customWidth="1"/>
    <col min="5" max="5" width="18" style="163" bestFit="1" customWidth="1"/>
    <col min="6" max="6" width="14.85546875" style="163" bestFit="1" customWidth="1"/>
    <col min="7" max="7" width="17" style="163" bestFit="1" customWidth="1"/>
    <col min="8" max="8" width="11.7109375" style="163" bestFit="1" customWidth="1"/>
    <col min="9" max="9" width="9.7109375" style="163" bestFit="1" customWidth="1"/>
    <col min="10" max="10" width="11.28515625" style="163" bestFit="1" customWidth="1"/>
    <col min="11" max="11" width="18" style="163" bestFit="1" customWidth="1"/>
    <col min="12" max="12" width="14.85546875" style="163" bestFit="1" customWidth="1"/>
    <col min="13" max="13" width="17" style="163" bestFit="1" customWidth="1"/>
    <col min="14" max="14" width="11.7109375" style="163" bestFit="1" customWidth="1"/>
    <col min="15" max="15" width="9.7109375" style="163" bestFit="1" customWidth="1"/>
    <col min="16" max="16" width="11.28515625" style="163" bestFit="1" customWidth="1"/>
    <col min="17" max="17" width="13.7109375" style="163" bestFit="1" customWidth="1"/>
    <col min="18" max="18" width="13.5703125" style="163" customWidth="1"/>
    <col min="19" max="19" width="15" style="163" customWidth="1"/>
    <col min="20" max="20" width="25.42578125" style="163" customWidth="1"/>
    <col min="21" max="22" width="11.5703125" style="163"/>
    <col min="23" max="23" width="15.42578125" style="163" customWidth="1"/>
    <col min="24" max="24" width="13.85546875" style="163" customWidth="1"/>
    <col min="25" max="26" width="11.5703125" style="163"/>
    <col min="27" max="28" width="15.28515625" style="163" customWidth="1"/>
    <col min="29" max="29" width="16.42578125" style="163" customWidth="1"/>
    <col min="30" max="33" width="11.5703125" style="163"/>
    <col min="34" max="34" width="16.140625" style="163" customWidth="1"/>
    <col min="35" max="66" width="11.5703125" style="163" customWidth="1"/>
    <col min="67" max="16384" width="11.42578125" style="163"/>
  </cols>
  <sheetData>
    <row r="2" spans="2:33" ht="35.450000000000003" customHeight="1">
      <c r="B2" s="386" t="s">
        <v>534</v>
      </c>
      <c r="C2" s="387"/>
      <c r="D2" s="387"/>
      <c r="E2" s="387"/>
      <c r="F2" s="387"/>
      <c r="G2" s="387"/>
      <c r="H2" s="387"/>
      <c r="I2" s="387"/>
      <c r="J2" s="387"/>
      <c r="K2" s="387"/>
      <c r="L2" s="387"/>
      <c r="M2" s="387"/>
      <c r="N2" s="387"/>
      <c r="O2" s="387"/>
      <c r="P2" s="388"/>
      <c r="Q2" s="161"/>
      <c r="R2" s="161"/>
      <c r="S2" s="161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  <c r="AF2" s="162"/>
      <c r="AG2" s="161"/>
    </row>
    <row r="3" spans="2:33">
      <c r="B3" s="376">
        <f>RESUMEN!C4</f>
        <v>44561</v>
      </c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  <c r="O3" s="377"/>
      <c r="P3" s="378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1"/>
    </row>
    <row r="4" spans="2:33"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2"/>
      <c r="AE4" s="162"/>
      <c r="AF4" s="162"/>
      <c r="AG4" s="161"/>
    </row>
    <row r="5" spans="2:33"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  <c r="AF5" s="162"/>
      <c r="AG5" s="161"/>
    </row>
    <row r="6" spans="2:33" ht="24">
      <c r="B6" s="188" t="s">
        <v>497</v>
      </c>
      <c r="C6" s="188" t="s">
        <v>531</v>
      </c>
      <c r="D6" s="188" t="s">
        <v>525</v>
      </c>
      <c r="E6" s="188" t="s">
        <v>532</v>
      </c>
      <c r="F6" s="188" t="s">
        <v>533</v>
      </c>
      <c r="G6" s="188" t="s">
        <v>501</v>
      </c>
      <c r="H6" s="188" t="s">
        <v>527</v>
      </c>
      <c r="I6" s="188" t="s">
        <v>502</v>
      </c>
      <c r="J6" s="188" t="s">
        <v>503</v>
      </c>
      <c r="K6" s="188" t="s">
        <v>532</v>
      </c>
      <c r="L6" s="188" t="s">
        <v>533</v>
      </c>
      <c r="M6" s="188" t="s">
        <v>501</v>
      </c>
      <c r="N6" s="188" t="s">
        <v>527</v>
      </c>
      <c r="O6" s="188" t="s">
        <v>502</v>
      </c>
      <c r="P6" s="188" t="s">
        <v>503</v>
      </c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  <c r="AF6" s="162"/>
      <c r="AG6" s="161"/>
    </row>
    <row r="7" spans="2:33" ht="12" customHeight="1">
      <c r="B7" s="379" t="s">
        <v>535</v>
      </c>
      <c r="C7" s="361" t="s">
        <v>258</v>
      </c>
      <c r="D7" s="98" t="s">
        <v>30</v>
      </c>
      <c r="E7" s="116">
        <v>90.894199999999998</v>
      </c>
      <c r="F7" s="116"/>
      <c r="G7" s="116">
        <f>E7+F7</f>
        <v>90.894199999999998</v>
      </c>
      <c r="H7" s="289">
        <v>23.199000000000002</v>
      </c>
      <c r="I7" s="116">
        <f>G7-H7</f>
        <v>67.6952</v>
      </c>
      <c r="J7" s="164">
        <f>H7/G7</f>
        <v>0.2552308068061549</v>
      </c>
      <c r="K7" s="334">
        <f>E7+E8</f>
        <v>121.1923</v>
      </c>
      <c r="L7" s="334">
        <f>F7+F8</f>
        <v>0</v>
      </c>
      <c r="M7" s="334">
        <f>K7+L7</f>
        <v>121.1923</v>
      </c>
      <c r="N7" s="334">
        <f>H7+H8</f>
        <v>35.664999999999999</v>
      </c>
      <c r="O7" s="334">
        <f>M7-N7</f>
        <v>85.527299999999997</v>
      </c>
      <c r="P7" s="375">
        <f>N7/M7</f>
        <v>0.2942843728520706</v>
      </c>
      <c r="Q7" s="162"/>
      <c r="R7" s="162"/>
      <c r="S7" s="162"/>
    </row>
    <row r="8" spans="2:33">
      <c r="B8" s="380"/>
      <c r="C8" s="361"/>
      <c r="D8" s="98" t="s">
        <v>33</v>
      </c>
      <c r="E8" s="116">
        <v>30.298100000000002</v>
      </c>
      <c r="F8" s="116"/>
      <c r="G8" s="116">
        <f>E8+F8+I7</f>
        <v>97.993300000000005</v>
      </c>
      <c r="H8" s="289">
        <v>12.465999999999999</v>
      </c>
      <c r="I8" s="116">
        <f t="shared" ref="I8:I17" si="0">G8-H8</f>
        <v>85.527300000000011</v>
      </c>
      <c r="J8" s="164">
        <f>H8/G8</f>
        <v>0.12721277883283855</v>
      </c>
      <c r="K8" s="334"/>
      <c r="L8" s="334"/>
      <c r="M8" s="334"/>
      <c r="N8" s="334"/>
      <c r="O8" s="334"/>
      <c r="P8" s="375"/>
      <c r="Q8" s="162"/>
      <c r="R8" s="162"/>
      <c r="S8" s="162"/>
    </row>
    <row r="9" spans="2:33">
      <c r="B9" s="380"/>
      <c r="C9" s="361" t="s">
        <v>35</v>
      </c>
      <c r="D9" s="98" t="s">
        <v>30</v>
      </c>
      <c r="E9" s="116">
        <v>916.7165</v>
      </c>
      <c r="F9" s="116">
        <f>100.157</f>
        <v>100.157</v>
      </c>
      <c r="G9" s="116">
        <f>E9+F9</f>
        <v>1016.8735</v>
      </c>
      <c r="H9" s="289">
        <v>603.85500000000002</v>
      </c>
      <c r="I9" s="116">
        <f t="shared" si="0"/>
        <v>413.01850000000002</v>
      </c>
      <c r="J9" s="164">
        <f t="shared" ref="J9:J50" si="1">H9/G9</f>
        <v>0.59383492636989754</v>
      </c>
      <c r="K9" s="334">
        <f>E9+E10</f>
        <v>1222.2887000000001</v>
      </c>
      <c r="L9" s="334">
        <f>F9+F10</f>
        <v>100.157</v>
      </c>
      <c r="M9" s="334">
        <f>K9+L9</f>
        <v>1322.4457</v>
      </c>
      <c r="N9" s="334">
        <f>H9+H10</f>
        <v>1225.6080000000002</v>
      </c>
      <c r="O9" s="334">
        <f>M9-N9</f>
        <v>96.837699999999813</v>
      </c>
      <c r="P9" s="375">
        <f t="shared" ref="P9" si="2">N9/M9</f>
        <v>0.92677377982324738</v>
      </c>
      <c r="Q9" s="162"/>
      <c r="R9" s="162"/>
      <c r="S9" s="162"/>
    </row>
    <row r="10" spans="2:33">
      <c r="B10" s="380"/>
      <c r="C10" s="361"/>
      <c r="D10" s="98" t="s">
        <v>33</v>
      </c>
      <c r="E10" s="116">
        <v>305.57220000000001</v>
      </c>
      <c r="F10" s="116"/>
      <c r="G10" s="116">
        <f>E10+F10+I9</f>
        <v>718.59069999999997</v>
      </c>
      <c r="H10" s="289">
        <v>621.75300000000004</v>
      </c>
      <c r="I10" s="116">
        <f t="shared" si="0"/>
        <v>96.837699999999927</v>
      </c>
      <c r="J10" s="164">
        <f>H10/G10</f>
        <v>0.86523941932451964</v>
      </c>
      <c r="K10" s="334"/>
      <c r="L10" s="334"/>
      <c r="M10" s="334"/>
      <c r="N10" s="334"/>
      <c r="O10" s="334"/>
      <c r="P10" s="375"/>
      <c r="Q10" s="162"/>
      <c r="R10" s="162"/>
      <c r="S10" s="162"/>
    </row>
    <row r="11" spans="2:33">
      <c r="B11" s="380"/>
      <c r="C11" s="361" t="s">
        <v>259</v>
      </c>
      <c r="D11" s="98" t="s">
        <v>30</v>
      </c>
      <c r="E11" s="116">
        <v>98.497500000000002</v>
      </c>
      <c r="F11" s="116"/>
      <c r="G11" s="116">
        <f>E11+F11</f>
        <v>98.497500000000002</v>
      </c>
      <c r="H11" s="116"/>
      <c r="I11" s="116">
        <f>G11-H11</f>
        <v>98.497500000000002</v>
      </c>
      <c r="J11" s="164">
        <f t="shared" si="1"/>
        <v>0</v>
      </c>
      <c r="K11" s="334">
        <f>E11+E12</f>
        <v>131.33000000000001</v>
      </c>
      <c r="L11" s="334">
        <f>F11+F12</f>
        <v>-131.33000000000001</v>
      </c>
      <c r="M11" s="334">
        <f>K11+L11</f>
        <v>0</v>
      </c>
      <c r="N11" s="334">
        <f>H11+H12</f>
        <v>0</v>
      </c>
      <c r="O11" s="334">
        <f>M11-N11</f>
        <v>0</v>
      </c>
      <c r="P11" s="375">
        <v>0</v>
      </c>
      <c r="Q11" s="162"/>
      <c r="R11" s="162"/>
      <c r="S11" s="162"/>
      <c r="T11" s="162"/>
      <c r="U11" s="162"/>
      <c r="V11" s="162"/>
      <c r="W11" s="162"/>
      <c r="X11" s="162"/>
      <c r="Y11" s="162"/>
      <c r="Z11" s="162"/>
      <c r="AA11" s="162"/>
      <c r="AB11" s="162"/>
      <c r="AC11" s="162"/>
      <c r="AD11" s="162"/>
      <c r="AE11" s="162"/>
      <c r="AF11" s="162"/>
    </row>
    <row r="12" spans="2:33">
      <c r="B12" s="380"/>
      <c r="C12" s="361"/>
      <c r="D12" s="98" t="s">
        <v>33</v>
      </c>
      <c r="E12" s="116">
        <v>32.832500000000003</v>
      </c>
      <c r="F12" s="116">
        <f>-131.33</f>
        <v>-131.33000000000001</v>
      </c>
      <c r="G12" s="116">
        <f>E12+F12+I11</f>
        <v>0</v>
      </c>
      <c r="H12" s="116"/>
      <c r="I12" s="116">
        <f t="shared" si="0"/>
        <v>0</v>
      </c>
      <c r="J12" s="164">
        <v>0</v>
      </c>
      <c r="K12" s="334"/>
      <c r="L12" s="334"/>
      <c r="M12" s="334"/>
      <c r="N12" s="334"/>
      <c r="O12" s="334"/>
      <c r="P12" s="375"/>
      <c r="Q12" s="162"/>
      <c r="R12" s="162"/>
      <c r="S12" s="162"/>
      <c r="T12" s="162"/>
      <c r="U12" s="162"/>
      <c r="V12" s="162"/>
      <c r="W12" s="162"/>
      <c r="X12" s="162"/>
      <c r="Y12" s="162"/>
      <c r="Z12" s="162"/>
      <c r="AA12" s="162"/>
      <c r="AB12" s="162"/>
      <c r="AC12" s="162"/>
      <c r="AD12" s="162"/>
      <c r="AE12" s="162"/>
      <c r="AF12" s="162"/>
    </row>
    <row r="13" spans="2:33">
      <c r="B13" s="380"/>
      <c r="C13" s="361" t="s">
        <v>260</v>
      </c>
      <c r="D13" s="98" t="s">
        <v>30</v>
      </c>
      <c r="E13" s="116">
        <v>74.332800000000006</v>
      </c>
      <c r="F13" s="116"/>
      <c r="G13" s="116">
        <f>E13+F13</f>
        <v>74.332800000000006</v>
      </c>
      <c r="H13" s="289">
        <v>21.581</v>
      </c>
      <c r="I13" s="116">
        <f t="shared" si="0"/>
        <v>52.751800000000003</v>
      </c>
      <c r="J13" s="164">
        <f t="shared" si="1"/>
        <v>0.29032943734125444</v>
      </c>
      <c r="K13" s="334">
        <f>E13+E14</f>
        <v>99.110399999999998</v>
      </c>
      <c r="L13" s="334">
        <f>F13+F14</f>
        <v>0</v>
      </c>
      <c r="M13" s="334">
        <f>K13+L13</f>
        <v>99.110399999999998</v>
      </c>
      <c r="N13" s="334">
        <f>H13+H14</f>
        <v>54.042000000000002</v>
      </c>
      <c r="O13" s="334">
        <f>M13-N13</f>
        <v>45.068399999999997</v>
      </c>
      <c r="P13" s="375">
        <f t="shared" ref="P13" si="3">N13/M13</f>
        <v>0.54527072839984503</v>
      </c>
      <c r="R13" s="162"/>
      <c r="S13" s="162"/>
      <c r="T13" s="162"/>
      <c r="U13" s="162"/>
      <c r="V13" s="162"/>
      <c r="W13" s="162"/>
      <c r="X13" s="162"/>
      <c r="Y13" s="162"/>
      <c r="Z13" s="162"/>
      <c r="AA13" s="162"/>
      <c r="AB13" s="162"/>
      <c r="AC13" s="162"/>
      <c r="AD13" s="162"/>
      <c r="AE13" s="162"/>
      <c r="AF13" s="162"/>
    </row>
    <row r="14" spans="2:33">
      <c r="B14" s="380"/>
      <c r="C14" s="361"/>
      <c r="D14" s="98" t="s">
        <v>33</v>
      </c>
      <c r="E14" s="116">
        <v>24.7776</v>
      </c>
      <c r="F14" s="116"/>
      <c r="G14" s="116">
        <f>E14+F14+I13</f>
        <v>77.52940000000001</v>
      </c>
      <c r="H14" s="289">
        <v>32.460999999999999</v>
      </c>
      <c r="I14" s="116">
        <f t="shared" si="0"/>
        <v>45.068400000000011</v>
      </c>
      <c r="J14" s="164">
        <f>H14/G14</f>
        <v>0.41869277977128672</v>
      </c>
      <c r="K14" s="334"/>
      <c r="L14" s="334"/>
      <c r="M14" s="334"/>
      <c r="N14" s="334"/>
      <c r="O14" s="334"/>
      <c r="P14" s="375"/>
      <c r="Q14" s="162"/>
      <c r="R14" s="162"/>
      <c r="S14" s="162"/>
      <c r="T14" s="162"/>
      <c r="U14" s="162"/>
      <c r="V14" s="162"/>
      <c r="W14" s="162"/>
      <c r="X14" s="162"/>
      <c r="Y14" s="162"/>
      <c r="Z14" s="162"/>
      <c r="AA14" s="162"/>
      <c r="AB14" s="162"/>
      <c r="AC14" s="162"/>
      <c r="AD14" s="162"/>
      <c r="AE14" s="162"/>
      <c r="AF14" s="162"/>
    </row>
    <row r="15" spans="2:33">
      <c r="B15" s="380"/>
      <c r="C15" s="361" t="s">
        <v>261</v>
      </c>
      <c r="D15" s="98" t="s">
        <v>30</v>
      </c>
      <c r="E15" s="116">
        <v>352.17340000000002</v>
      </c>
      <c r="F15" s="116">
        <f>-2.216-1.3298</f>
        <v>-3.5458000000000003</v>
      </c>
      <c r="G15" s="116">
        <f>E15+F15</f>
        <v>348.62760000000003</v>
      </c>
      <c r="H15" s="289">
        <v>3.0459999999999998</v>
      </c>
      <c r="I15" s="116">
        <f t="shared" si="0"/>
        <v>345.58160000000004</v>
      </c>
      <c r="J15" s="164">
        <f t="shared" si="1"/>
        <v>8.737116625304478E-3</v>
      </c>
      <c r="K15" s="334">
        <f>E15+E16</f>
        <v>469.56460000000004</v>
      </c>
      <c r="L15" s="334">
        <f>F15+F16</f>
        <v>-3.5458000000000003</v>
      </c>
      <c r="M15" s="334">
        <f>K15+L15</f>
        <v>466.01880000000006</v>
      </c>
      <c r="N15" s="334">
        <f>H15+H16</f>
        <v>9.2690000000000001</v>
      </c>
      <c r="O15" s="334">
        <f>M15-N15</f>
        <v>456.74980000000005</v>
      </c>
      <c r="P15" s="375">
        <f t="shared" ref="P15" si="4">N15/M15</f>
        <v>1.9889755520592731E-2</v>
      </c>
      <c r="Q15" s="162"/>
      <c r="R15" s="162"/>
      <c r="S15" s="162"/>
      <c r="T15" s="162"/>
      <c r="U15" s="162"/>
      <c r="V15" s="162"/>
      <c r="W15" s="162"/>
      <c r="X15" s="162"/>
      <c r="Y15" s="162"/>
      <c r="Z15" s="162"/>
      <c r="AA15" s="162"/>
      <c r="AB15" s="162"/>
      <c r="AC15" s="162"/>
      <c r="AD15" s="162"/>
      <c r="AE15" s="162"/>
      <c r="AF15" s="162"/>
    </row>
    <row r="16" spans="2:33">
      <c r="B16" s="380"/>
      <c r="C16" s="361"/>
      <c r="D16" s="98" t="s">
        <v>33</v>
      </c>
      <c r="E16" s="116">
        <v>117.3912</v>
      </c>
      <c r="F16" s="116"/>
      <c r="G16" s="116">
        <f>E16+F16+I15</f>
        <v>462.97280000000001</v>
      </c>
      <c r="H16" s="289">
        <v>6.2229999999999999</v>
      </c>
      <c r="I16" s="116">
        <f t="shared" si="0"/>
        <v>456.74979999999999</v>
      </c>
      <c r="J16" s="164">
        <f t="shared" si="1"/>
        <v>1.3441394397251847E-2</v>
      </c>
      <c r="K16" s="334"/>
      <c r="L16" s="334"/>
      <c r="M16" s="334"/>
      <c r="N16" s="334"/>
      <c r="O16" s="334"/>
      <c r="P16" s="375"/>
      <c r="Q16" s="162"/>
      <c r="R16" s="162"/>
      <c r="S16" s="162"/>
      <c r="T16" s="165"/>
      <c r="U16" s="162"/>
      <c r="V16" s="162"/>
      <c r="W16" s="162"/>
      <c r="X16" s="162"/>
      <c r="Y16" s="162"/>
      <c r="Z16" s="162"/>
      <c r="AA16" s="162"/>
      <c r="AB16" s="162"/>
      <c r="AC16" s="162"/>
      <c r="AD16" s="162"/>
      <c r="AE16" s="162"/>
      <c r="AF16" s="162"/>
    </row>
    <row r="17" spans="2:32">
      <c r="B17" s="380"/>
      <c r="C17" s="361" t="s">
        <v>91</v>
      </c>
      <c r="D17" s="98" t="s">
        <v>30</v>
      </c>
      <c r="E17" s="116">
        <v>118.00790000000001</v>
      </c>
      <c r="F17" s="116"/>
      <c r="G17" s="116">
        <f>E17+F17</f>
        <v>118.00790000000001</v>
      </c>
      <c r="H17" s="289">
        <v>58.283000000000001</v>
      </c>
      <c r="I17" s="116">
        <f t="shared" si="0"/>
        <v>59.724900000000005</v>
      </c>
      <c r="J17" s="164">
        <f>H17/G17</f>
        <v>0.49389066325220599</v>
      </c>
      <c r="K17" s="334">
        <f>E17+E18</f>
        <v>157.34390000000002</v>
      </c>
      <c r="L17" s="334">
        <f>F17+F18</f>
        <v>0</v>
      </c>
      <c r="M17" s="334">
        <f>K17+L17</f>
        <v>157.34390000000002</v>
      </c>
      <c r="N17" s="334">
        <f>H17+H18</f>
        <v>98.634</v>
      </c>
      <c r="O17" s="334">
        <f>M17-N17</f>
        <v>58.709900000000019</v>
      </c>
      <c r="P17" s="375">
        <f t="shared" ref="P17" si="5">N17/M17</f>
        <v>0.62686891579527382</v>
      </c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</row>
    <row r="18" spans="2:32">
      <c r="B18" s="380"/>
      <c r="C18" s="361"/>
      <c r="D18" s="98" t="s">
        <v>33</v>
      </c>
      <c r="E18" s="116">
        <v>39.335999999999999</v>
      </c>
      <c r="F18" s="116"/>
      <c r="G18" s="116">
        <f>E18+F18+I17</f>
        <v>99.060900000000004</v>
      </c>
      <c r="H18" s="289">
        <v>40.350999999999999</v>
      </c>
      <c r="I18" s="116">
        <f>G18-H18</f>
        <v>58.709900000000005</v>
      </c>
      <c r="J18" s="164">
        <f>+H18/G18</f>
        <v>0.40733528566770538</v>
      </c>
      <c r="K18" s="334"/>
      <c r="L18" s="334"/>
      <c r="M18" s="334"/>
      <c r="N18" s="334"/>
      <c r="O18" s="334"/>
      <c r="P18" s="375"/>
      <c r="Q18" s="162"/>
      <c r="R18" s="162"/>
      <c r="S18" s="162"/>
      <c r="T18" s="162"/>
      <c r="U18" s="162"/>
      <c r="V18" s="162"/>
      <c r="W18" s="162"/>
      <c r="X18" s="162"/>
      <c r="Y18" s="162"/>
      <c r="Z18" s="162"/>
      <c r="AA18" s="162"/>
      <c r="AB18" s="162"/>
      <c r="AC18" s="162"/>
      <c r="AD18" s="162"/>
      <c r="AE18" s="162"/>
      <c r="AF18" s="162"/>
    </row>
    <row r="19" spans="2:32">
      <c r="B19" s="380"/>
      <c r="C19" s="361" t="s">
        <v>112</v>
      </c>
      <c r="D19" s="98" t="s">
        <v>30</v>
      </c>
      <c r="E19" s="116">
        <v>8.0555000000000003</v>
      </c>
      <c r="F19" s="116"/>
      <c r="G19" s="116">
        <f>E19+F19</f>
        <v>8.0555000000000003</v>
      </c>
      <c r="H19" s="116"/>
      <c r="I19" s="116">
        <f>G19-H19</f>
        <v>8.0555000000000003</v>
      </c>
      <c r="J19" s="164">
        <f>H19/G19</f>
        <v>0</v>
      </c>
      <c r="K19" s="334">
        <f>E19+E20</f>
        <v>10.7407</v>
      </c>
      <c r="L19" s="334">
        <f>F19+F20</f>
        <v>0</v>
      </c>
      <c r="M19" s="334">
        <f>K19+L19</f>
        <v>10.7407</v>
      </c>
      <c r="N19" s="334">
        <f>H19+H20</f>
        <v>0</v>
      </c>
      <c r="O19" s="334">
        <f>M19-N19</f>
        <v>10.7407</v>
      </c>
      <c r="P19" s="375">
        <f t="shared" ref="P19" si="6">N19/M19</f>
        <v>0</v>
      </c>
      <c r="Q19" s="162"/>
      <c r="R19" s="162"/>
      <c r="S19" s="162"/>
      <c r="T19" s="162"/>
      <c r="U19" s="162"/>
      <c r="V19" s="162"/>
      <c r="W19" s="162"/>
      <c r="X19" s="162"/>
      <c r="Y19" s="162"/>
      <c r="Z19" s="162"/>
      <c r="AA19" s="162"/>
      <c r="AB19" s="162"/>
      <c r="AC19" s="162"/>
      <c r="AD19" s="162"/>
      <c r="AE19" s="162"/>
      <c r="AF19" s="162"/>
    </row>
    <row r="20" spans="2:32">
      <c r="B20" s="380"/>
      <c r="C20" s="361"/>
      <c r="D20" s="98" t="s">
        <v>33</v>
      </c>
      <c r="E20" s="116">
        <v>2.6852</v>
      </c>
      <c r="F20" s="116"/>
      <c r="G20" s="116">
        <f>E20+F20+I19</f>
        <v>10.7407</v>
      </c>
      <c r="H20" s="116"/>
      <c r="I20" s="116">
        <f t="shared" ref="I20:I36" si="7">G20-H20</f>
        <v>10.7407</v>
      </c>
      <c r="J20" s="164">
        <f>H20/G20</f>
        <v>0</v>
      </c>
      <c r="K20" s="334"/>
      <c r="L20" s="334"/>
      <c r="M20" s="334"/>
      <c r="N20" s="334"/>
      <c r="O20" s="334"/>
      <c r="P20" s="375"/>
      <c r="Q20" s="162"/>
      <c r="R20" s="162"/>
      <c r="S20" s="162"/>
      <c r="T20" s="162"/>
      <c r="U20" s="162"/>
      <c r="V20" s="162"/>
      <c r="W20" s="162"/>
      <c r="X20" s="162"/>
      <c r="Y20" s="162"/>
      <c r="Z20" s="162"/>
      <c r="AA20" s="162"/>
      <c r="AB20" s="162"/>
      <c r="AC20" s="162"/>
      <c r="AD20" s="162"/>
      <c r="AE20" s="162"/>
      <c r="AF20" s="162"/>
    </row>
    <row r="21" spans="2:32">
      <c r="B21" s="380"/>
      <c r="C21" s="361" t="s">
        <v>262</v>
      </c>
      <c r="D21" s="98" t="s">
        <v>30</v>
      </c>
      <c r="E21" s="116">
        <v>785.28390000000002</v>
      </c>
      <c r="F21" s="286">
        <f>-95.755-5.541-5.541-11.082-11.082-11.082-11.082-110.82-55.41-131.33</f>
        <v>-448.72500000000002</v>
      </c>
      <c r="G21" s="116">
        <f>E21+F21</f>
        <v>336.55889999999999</v>
      </c>
      <c r="H21" s="289">
        <v>906.48199999999997</v>
      </c>
      <c r="I21" s="116">
        <f t="shared" si="7"/>
        <v>-569.92309999999998</v>
      </c>
      <c r="J21" s="164">
        <f t="shared" si="1"/>
        <v>2.6933829412919996</v>
      </c>
      <c r="K21" s="334">
        <f>E21+E22</f>
        <v>1047.0452</v>
      </c>
      <c r="L21" s="334">
        <f>F21+F22</f>
        <v>201.12880000000007</v>
      </c>
      <c r="M21" s="334">
        <f>K21+L21</f>
        <v>1248.174</v>
      </c>
      <c r="N21" s="334">
        <f>H21+H22</f>
        <v>1205.557</v>
      </c>
      <c r="O21" s="334">
        <f>M21-N21</f>
        <v>42.616999999999962</v>
      </c>
      <c r="P21" s="375">
        <f t="shared" ref="P21" si="8">N21/M21</f>
        <v>0.96585652320910387</v>
      </c>
      <c r="Q21" s="161"/>
      <c r="R21" s="161"/>
      <c r="S21" s="161"/>
      <c r="T21" s="162"/>
      <c r="U21" s="162"/>
      <c r="V21" s="162"/>
      <c r="W21" s="162"/>
      <c r="X21" s="162"/>
      <c r="Y21" s="162"/>
      <c r="Z21" s="162"/>
      <c r="AA21" s="162"/>
      <c r="AB21" s="162"/>
      <c r="AC21" s="162"/>
      <c r="AD21" s="162"/>
      <c r="AE21" s="162"/>
      <c r="AF21" s="162"/>
    </row>
    <row r="22" spans="2:32">
      <c r="B22" s="380"/>
      <c r="C22" s="361"/>
      <c r="D22" s="98" t="s">
        <v>33</v>
      </c>
      <c r="E22" s="116">
        <v>261.76130000000001</v>
      </c>
      <c r="F22" s="116">
        <f>95.755+5.541+5.541+11.082+11.082+11.082+11.082+110.82+55.41+33.2459+33.2459+44.3278+110.8196+110.8196</f>
        <v>649.85380000000009</v>
      </c>
      <c r="G22" s="116">
        <f>E22+F22+I21</f>
        <v>341.69200000000012</v>
      </c>
      <c r="H22" s="289">
        <v>299.07499999999999</v>
      </c>
      <c r="I22" s="116">
        <f t="shared" si="7"/>
        <v>42.617000000000132</v>
      </c>
      <c r="J22" s="164">
        <f t="shared" si="1"/>
        <v>0.87527656485958083</v>
      </c>
      <c r="K22" s="334"/>
      <c r="L22" s="334"/>
      <c r="M22" s="334"/>
      <c r="N22" s="334"/>
      <c r="O22" s="334"/>
      <c r="P22" s="375"/>
      <c r="Q22" s="161"/>
      <c r="R22" s="161"/>
      <c r="S22" s="161"/>
      <c r="T22" s="162"/>
      <c r="U22" s="162"/>
      <c r="V22" s="162"/>
      <c r="W22" s="162"/>
      <c r="X22" s="162"/>
      <c r="Y22" s="162"/>
      <c r="Z22" s="162"/>
      <c r="AA22" s="162"/>
      <c r="AB22" s="162"/>
      <c r="AC22" s="162"/>
      <c r="AD22" s="162"/>
      <c r="AE22" s="162"/>
      <c r="AF22" s="162"/>
    </row>
    <row r="23" spans="2:32">
      <c r="B23" s="380"/>
      <c r="C23" s="361" t="s">
        <v>263</v>
      </c>
      <c r="D23" s="98" t="s">
        <v>30</v>
      </c>
      <c r="E23" s="116">
        <v>244.05119999999999</v>
      </c>
      <c r="F23" s="116"/>
      <c r="G23" s="116">
        <f>E23+F23</f>
        <v>244.05119999999999</v>
      </c>
      <c r="H23" s="116"/>
      <c r="I23" s="116">
        <f t="shared" si="7"/>
        <v>244.05119999999999</v>
      </c>
      <c r="J23" s="164">
        <f t="shared" si="1"/>
        <v>0</v>
      </c>
      <c r="K23" s="334">
        <f>E23+E24</f>
        <v>325.40159999999997</v>
      </c>
      <c r="L23" s="334">
        <f>F23+F24</f>
        <v>0</v>
      </c>
      <c r="M23" s="334">
        <f>K23+L23</f>
        <v>325.40159999999997</v>
      </c>
      <c r="N23" s="334">
        <f>H23+H24</f>
        <v>0</v>
      </c>
      <c r="O23" s="334">
        <f>M23-N23</f>
        <v>325.40159999999997</v>
      </c>
      <c r="P23" s="375">
        <v>0</v>
      </c>
      <c r="Q23" s="161"/>
      <c r="R23" s="161"/>
      <c r="S23" s="161"/>
      <c r="T23" s="162"/>
      <c r="U23" s="162"/>
      <c r="V23" s="162"/>
      <c r="W23" s="162"/>
      <c r="X23" s="162"/>
      <c r="Y23" s="162"/>
      <c r="Z23" s="162"/>
      <c r="AA23" s="162"/>
      <c r="AB23" s="162"/>
      <c r="AC23" s="162"/>
      <c r="AD23" s="162"/>
      <c r="AE23" s="162"/>
      <c r="AF23" s="162"/>
    </row>
    <row r="24" spans="2:32">
      <c r="B24" s="380"/>
      <c r="C24" s="361"/>
      <c r="D24" s="98" t="s">
        <v>33</v>
      </c>
      <c r="E24" s="116">
        <v>81.350399999999993</v>
      </c>
      <c r="F24" s="116"/>
      <c r="G24" s="116">
        <f>E24+F24+I23</f>
        <v>325.40159999999997</v>
      </c>
      <c r="H24" s="116"/>
      <c r="I24" s="116">
        <f t="shared" si="7"/>
        <v>325.40159999999997</v>
      </c>
      <c r="J24" s="164">
        <v>0</v>
      </c>
      <c r="K24" s="334"/>
      <c r="L24" s="334"/>
      <c r="M24" s="334"/>
      <c r="N24" s="334"/>
      <c r="O24" s="334"/>
      <c r="P24" s="375"/>
      <c r="Q24" s="161"/>
      <c r="R24" s="161"/>
      <c r="S24" s="161"/>
      <c r="T24" s="162"/>
      <c r="U24" s="162"/>
      <c r="V24" s="162"/>
      <c r="W24" s="162"/>
      <c r="X24" s="162"/>
      <c r="Y24" s="162"/>
      <c r="Z24" s="162"/>
      <c r="AA24" s="162"/>
      <c r="AB24" s="162"/>
      <c r="AC24" s="162"/>
      <c r="AD24" s="162"/>
      <c r="AE24" s="162"/>
      <c r="AF24" s="162"/>
    </row>
    <row r="25" spans="2:32">
      <c r="B25" s="380"/>
      <c r="C25" s="361" t="s">
        <v>353</v>
      </c>
      <c r="D25" s="98" t="s">
        <v>30</v>
      </c>
      <c r="E25" s="116">
        <v>0.29759999999999998</v>
      </c>
      <c r="F25" s="116"/>
      <c r="G25" s="116">
        <f>+E25+F25</f>
        <v>0.29759999999999998</v>
      </c>
      <c r="H25" s="289">
        <v>2.5000000000000001E-2</v>
      </c>
      <c r="I25" s="116">
        <f>+G25-H25</f>
        <v>0.27259999999999995</v>
      </c>
      <c r="J25" s="164">
        <f>+H25/G25</f>
        <v>8.400537634408603E-2</v>
      </c>
      <c r="K25" s="334">
        <f>E25+E26</f>
        <v>0.39679999999999999</v>
      </c>
      <c r="L25" s="334">
        <f>F25+F26</f>
        <v>0</v>
      </c>
      <c r="M25" s="334">
        <f>K25+L25</f>
        <v>0.39679999999999999</v>
      </c>
      <c r="N25" s="334">
        <f>H25+H26</f>
        <v>2.5000000000000001E-2</v>
      </c>
      <c r="O25" s="334">
        <f>M25-N25</f>
        <v>0.37179999999999996</v>
      </c>
      <c r="P25" s="375">
        <f t="shared" ref="P25" si="9">N25/M25</f>
        <v>6.3004032258064516E-2</v>
      </c>
      <c r="Q25" s="161"/>
      <c r="R25" s="161"/>
      <c r="S25" s="161"/>
      <c r="T25" s="162"/>
      <c r="U25" s="162"/>
      <c r="V25" s="162"/>
      <c r="W25" s="162"/>
      <c r="X25" s="162"/>
      <c r="Y25" s="162"/>
      <c r="Z25" s="162"/>
      <c r="AA25" s="162"/>
      <c r="AB25" s="162"/>
      <c r="AC25" s="162"/>
      <c r="AD25" s="162"/>
      <c r="AE25" s="162"/>
      <c r="AF25" s="162"/>
    </row>
    <row r="26" spans="2:32">
      <c r="B26" s="380"/>
      <c r="C26" s="361"/>
      <c r="D26" s="98" t="s">
        <v>33</v>
      </c>
      <c r="E26" s="116">
        <v>9.9199999999999997E-2</v>
      </c>
      <c r="F26" s="116"/>
      <c r="G26" s="116">
        <f>+E26+F26+I25</f>
        <v>0.37179999999999996</v>
      </c>
      <c r="H26" s="116"/>
      <c r="I26" s="116">
        <f>+G26-H26</f>
        <v>0.37179999999999996</v>
      </c>
      <c r="J26" s="164">
        <f>+H26/G26</f>
        <v>0</v>
      </c>
      <c r="K26" s="334"/>
      <c r="L26" s="334"/>
      <c r="M26" s="334"/>
      <c r="N26" s="334"/>
      <c r="O26" s="334"/>
      <c r="P26" s="375"/>
      <c r="Q26" s="161"/>
      <c r="R26" s="161"/>
      <c r="S26" s="161"/>
      <c r="T26" s="162"/>
      <c r="U26" s="162"/>
      <c r="V26" s="162"/>
      <c r="W26" s="162"/>
      <c r="X26" s="162"/>
      <c r="Y26" s="162"/>
      <c r="Z26" s="162"/>
      <c r="AA26" s="162"/>
      <c r="AB26" s="162"/>
      <c r="AC26" s="162"/>
      <c r="AD26" s="162"/>
      <c r="AE26" s="162"/>
      <c r="AF26" s="162"/>
    </row>
    <row r="27" spans="2:32">
      <c r="B27" s="380"/>
      <c r="C27" s="361" t="s">
        <v>76</v>
      </c>
      <c r="D27" s="98" t="s">
        <v>30</v>
      </c>
      <c r="E27" s="116">
        <v>525.83150000000001</v>
      </c>
      <c r="F27" s="116">
        <f>-557.043-110.82-33.246</f>
        <v>-701.10900000000004</v>
      </c>
      <c r="G27" s="116">
        <f>E27+F27</f>
        <v>-175.27750000000003</v>
      </c>
      <c r="H27" s="215"/>
      <c r="I27" s="116">
        <f t="shared" si="7"/>
        <v>-175.27750000000003</v>
      </c>
      <c r="J27" s="164">
        <f t="shared" si="1"/>
        <v>0</v>
      </c>
      <c r="K27" s="334">
        <f>E27+E28</f>
        <v>701.1087</v>
      </c>
      <c r="L27" s="334">
        <f>F27+F28</f>
        <v>-701.10900000000004</v>
      </c>
      <c r="M27" s="334">
        <f>K27+L27</f>
        <v>-3.0000000003838068E-4</v>
      </c>
      <c r="N27" s="334">
        <f>H27+H28</f>
        <v>0</v>
      </c>
      <c r="O27" s="363">
        <f>M27-N27</f>
        <v>-3.0000000003838068E-4</v>
      </c>
      <c r="P27" s="375">
        <v>0</v>
      </c>
      <c r="Q27" s="161"/>
      <c r="R27" s="161"/>
      <c r="S27" s="161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  <c r="AE27" s="162"/>
      <c r="AF27" s="162"/>
    </row>
    <row r="28" spans="2:32">
      <c r="B28" s="380"/>
      <c r="C28" s="361"/>
      <c r="D28" s="98" t="s">
        <v>33</v>
      </c>
      <c r="E28" s="116">
        <v>175.27719999999999</v>
      </c>
      <c r="F28" s="116"/>
      <c r="G28" s="116">
        <f>E28+F28+I27</f>
        <v>-3.0000000003838068E-4</v>
      </c>
      <c r="H28" s="116"/>
      <c r="I28" s="116">
        <f t="shared" si="7"/>
        <v>-3.0000000003838068E-4</v>
      </c>
      <c r="J28" s="164">
        <v>0</v>
      </c>
      <c r="K28" s="334"/>
      <c r="L28" s="334"/>
      <c r="M28" s="334"/>
      <c r="N28" s="334"/>
      <c r="O28" s="363"/>
      <c r="P28" s="375"/>
      <c r="Q28" s="161"/>
      <c r="R28" s="161"/>
      <c r="S28" s="161"/>
      <c r="T28" s="162"/>
      <c r="U28" s="162"/>
      <c r="V28" s="162"/>
      <c r="W28" s="162"/>
      <c r="X28" s="162"/>
      <c r="Y28" s="162"/>
      <c r="Z28" s="162"/>
      <c r="AA28" s="162"/>
      <c r="AB28" s="162"/>
      <c r="AC28" s="162"/>
      <c r="AD28" s="162"/>
      <c r="AE28" s="162"/>
      <c r="AF28" s="162"/>
    </row>
    <row r="29" spans="2:32">
      <c r="B29" s="380"/>
      <c r="C29" s="385" t="s">
        <v>264</v>
      </c>
      <c r="D29" s="305" t="s">
        <v>30</v>
      </c>
      <c r="E29" s="306">
        <v>73.210700000000003</v>
      </c>
      <c r="F29" s="306"/>
      <c r="G29" s="306">
        <f>E29+F29</f>
        <v>73.210700000000003</v>
      </c>
      <c r="H29" s="306"/>
      <c r="I29" s="306">
        <f t="shared" si="7"/>
        <v>73.210700000000003</v>
      </c>
      <c r="J29" s="468">
        <f t="shared" si="1"/>
        <v>0</v>
      </c>
      <c r="K29" s="363">
        <f>E29+E30</f>
        <v>97.6143</v>
      </c>
      <c r="L29" s="363">
        <f>F29+F30</f>
        <v>27.324999999999999</v>
      </c>
      <c r="M29" s="363">
        <f>K29+L29</f>
        <v>124.9393</v>
      </c>
      <c r="N29" s="363">
        <f>H29+H30</f>
        <v>0</v>
      </c>
      <c r="O29" s="363">
        <f>M29-N29</f>
        <v>124.9393</v>
      </c>
      <c r="P29" s="469">
        <f t="shared" ref="P29" si="10">N29/M29</f>
        <v>0</v>
      </c>
      <c r="Q29" s="161"/>
      <c r="R29" s="161"/>
      <c r="S29" s="161"/>
      <c r="T29" s="162"/>
      <c r="U29" s="162"/>
      <c r="V29" s="162"/>
      <c r="W29" s="162"/>
      <c r="X29" s="162"/>
      <c r="Y29" s="162"/>
      <c r="Z29" s="162"/>
      <c r="AA29" s="162"/>
      <c r="AB29" s="162"/>
      <c r="AC29" s="162"/>
      <c r="AD29" s="162"/>
      <c r="AE29" s="162"/>
      <c r="AF29" s="162"/>
    </row>
    <row r="30" spans="2:32">
      <c r="B30" s="380"/>
      <c r="C30" s="385"/>
      <c r="D30" s="305" t="s">
        <v>33</v>
      </c>
      <c r="E30" s="306">
        <v>24.403600000000001</v>
      </c>
      <c r="F30" s="306">
        <f>27.325</f>
        <v>27.324999999999999</v>
      </c>
      <c r="G30" s="306">
        <f>E30+F30+I29</f>
        <v>124.9393</v>
      </c>
      <c r="H30" s="306"/>
      <c r="I30" s="306">
        <f t="shared" si="7"/>
        <v>124.9393</v>
      </c>
      <c r="J30" s="468">
        <f t="shared" si="1"/>
        <v>0</v>
      </c>
      <c r="K30" s="363"/>
      <c r="L30" s="363"/>
      <c r="M30" s="363"/>
      <c r="N30" s="363"/>
      <c r="O30" s="363"/>
      <c r="P30" s="469"/>
      <c r="Q30" s="161"/>
      <c r="R30" s="161"/>
      <c r="S30" s="161"/>
      <c r="T30" s="162"/>
      <c r="U30" s="162"/>
      <c r="V30" s="162"/>
      <c r="W30" s="162"/>
      <c r="X30" s="162"/>
      <c r="Y30" s="162"/>
      <c r="Z30" s="162"/>
      <c r="AA30" s="162"/>
      <c r="AB30" s="162"/>
      <c r="AC30" s="162"/>
      <c r="AD30" s="162"/>
      <c r="AE30" s="162"/>
      <c r="AF30" s="162"/>
    </row>
    <row r="31" spans="2:32">
      <c r="B31" s="380"/>
      <c r="C31" s="361" t="s">
        <v>265</v>
      </c>
      <c r="D31" s="98" t="s">
        <v>30</v>
      </c>
      <c r="E31" s="116">
        <v>24.7316</v>
      </c>
      <c r="F31" s="116"/>
      <c r="G31" s="116">
        <f>E31+F31</f>
        <v>24.7316</v>
      </c>
      <c r="H31" s="116"/>
      <c r="I31" s="116">
        <f t="shared" si="7"/>
        <v>24.7316</v>
      </c>
      <c r="J31" s="164">
        <f t="shared" si="1"/>
        <v>0</v>
      </c>
      <c r="K31" s="334">
        <f>E31+E32</f>
        <v>32.975499999999997</v>
      </c>
      <c r="L31" s="334">
        <f>F31+F32</f>
        <v>-32.975000000000001</v>
      </c>
      <c r="M31" s="334">
        <f>K31+L31</f>
        <v>4.99999999995282E-4</v>
      </c>
      <c r="N31" s="334">
        <f>H31+H32</f>
        <v>0</v>
      </c>
      <c r="O31" s="334">
        <f>M31-N31</f>
        <v>4.99999999995282E-4</v>
      </c>
      <c r="P31" s="375">
        <v>0</v>
      </c>
      <c r="Q31" s="161"/>
      <c r="R31" s="161"/>
      <c r="S31" s="161"/>
      <c r="T31" s="162"/>
      <c r="U31" s="162"/>
      <c r="V31" s="162"/>
      <c r="W31" s="162"/>
      <c r="X31" s="162"/>
      <c r="Y31" s="162"/>
      <c r="Z31" s="162"/>
      <c r="AA31" s="162"/>
      <c r="AB31" s="162"/>
      <c r="AC31" s="162"/>
      <c r="AD31" s="162"/>
      <c r="AE31" s="162"/>
      <c r="AF31" s="162"/>
    </row>
    <row r="32" spans="2:32">
      <c r="B32" s="380"/>
      <c r="C32" s="361"/>
      <c r="D32" s="98" t="s">
        <v>33</v>
      </c>
      <c r="E32" s="116">
        <v>8.2439</v>
      </c>
      <c r="F32" s="116">
        <f>-32.975</f>
        <v>-32.975000000000001</v>
      </c>
      <c r="G32" s="116">
        <f>E32+F32+I31</f>
        <v>4.9999999999883471E-4</v>
      </c>
      <c r="H32" s="116"/>
      <c r="I32" s="116">
        <f t="shared" si="7"/>
        <v>4.9999999999883471E-4</v>
      </c>
      <c r="J32" s="164">
        <v>0</v>
      </c>
      <c r="K32" s="334"/>
      <c r="L32" s="334"/>
      <c r="M32" s="334"/>
      <c r="N32" s="334"/>
      <c r="O32" s="334"/>
      <c r="P32" s="375"/>
      <c r="Q32" s="161"/>
      <c r="R32" s="161"/>
      <c r="S32" s="161"/>
      <c r="T32" s="162"/>
      <c r="U32" s="162"/>
      <c r="V32" s="162"/>
      <c r="W32" s="162"/>
      <c r="X32" s="162"/>
      <c r="Y32" s="162"/>
      <c r="Z32" s="162"/>
      <c r="AA32" s="162"/>
      <c r="AB32" s="162"/>
      <c r="AC32" s="162"/>
      <c r="AD32" s="162"/>
      <c r="AE32" s="162"/>
      <c r="AF32" s="162"/>
    </row>
    <row r="33" spans="2:32">
      <c r="B33" s="380"/>
      <c r="C33" s="385" t="s">
        <v>257</v>
      </c>
      <c r="D33" s="305" t="s">
        <v>30</v>
      </c>
      <c r="E33" s="306">
        <v>119.8331</v>
      </c>
      <c r="F33" s="306"/>
      <c r="G33" s="306">
        <f>E33+F33</f>
        <v>119.8331</v>
      </c>
      <c r="H33" s="306"/>
      <c r="I33" s="306">
        <f t="shared" si="7"/>
        <v>119.8331</v>
      </c>
      <c r="J33" s="468">
        <f t="shared" si="1"/>
        <v>0</v>
      </c>
      <c r="K33" s="363">
        <f>E33+E34</f>
        <v>159.7775</v>
      </c>
      <c r="L33" s="363">
        <f>F33+F34</f>
        <v>-155.16730999999999</v>
      </c>
      <c r="M33" s="363">
        <f>K33+L33</f>
        <v>4.6101900000000171</v>
      </c>
      <c r="N33" s="363">
        <f>H33+H34</f>
        <v>0</v>
      </c>
      <c r="O33" s="363">
        <f>M33-N33</f>
        <v>4.6101900000000171</v>
      </c>
      <c r="P33" s="469">
        <f t="shared" ref="P33" si="11">N33/M33</f>
        <v>0</v>
      </c>
      <c r="Q33" s="161"/>
      <c r="R33" s="161"/>
      <c r="S33" s="161"/>
      <c r="T33" s="162"/>
      <c r="U33" s="162"/>
      <c r="V33" s="162"/>
      <c r="W33" s="162"/>
      <c r="X33" s="162"/>
      <c r="Y33" s="162"/>
      <c r="Z33" s="162"/>
      <c r="AA33" s="162"/>
      <c r="AB33" s="162"/>
      <c r="AC33" s="162"/>
      <c r="AD33" s="162"/>
      <c r="AE33" s="162"/>
      <c r="AF33" s="162"/>
    </row>
    <row r="34" spans="2:32">
      <c r="B34" s="380"/>
      <c r="C34" s="385"/>
      <c r="D34" s="305" t="s">
        <v>33</v>
      </c>
      <c r="E34" s="306">
        <v>39.944400000000002</v>
      </c>
      <c r="F34" s="306">
        <f>-155.16731</f>
        <v>-155.16730999999999</v>
      </c>
      <c r="G34" s="306">
        <f>E34+F34+I33</f>
        <v>4.6101900000000171</v>
      </c>
      <c r="H34" s="306"/>
      <c r="I34" s="306">
        <f t="shared" si="7"/>
        <v>4.6101900000000171</v>
      </c>
      <c r="J34" s="468">
        <v>0</v>
      </c>
      <c r="K34" s="363"/>
      <c r="L34" s="363"/>
      <c r="M34" s="363"/>
      <c r="N34" s="363"/>
      <c r="O34" s="363"/>
      <c r="P34" s="469"/>
      <c r="Q34" s="161"/>
      <c r="R34" s="161"/>
      <c r="S34" s="161"/>
      <c r="T34" s="162"/>
      <c r="U34" s="162"/>
      <c r="V34" s="162"/>
      <c r="W34" s="162"/>
      <c r="X34" s="162"/>
      <c r="Y34" s="162"/>
      <c r="Z34" s="162"/>
      <c r="AA34" s="162"/>
      <c r="AB34" s="162"/>
      <c r="AC34" s="162"/>
      <c r="AD34" s="162"/>
      <c r="AE34" s="162"/>
      <c r="AF34" s="162"/>
    </row>
    <row r="35" spans="2:32">
      <c r="B35" s="380"/>
      <c r="C35" s="361" t="s">
        <v>496</v>
      </c>
      <c r="D35" s="98" t="s">
        <v>30</v>
      </c>
      <c r="E35" s="116">
        <v>161.5882</v>
      </c>
      <c r="F35" s="116"/>
      <c r="G35" s="116">
        <f>E35+F35</f>
        <v>161.5882</v>
      </c>
      <c r="H35" s="289">
        <v>25.972999999999999</v>
      </c>
      <c r="I35" s="116">
        <f t="shared" si="7"/>
        <v>135.61520000000002</v>
      </c>
      <c r="J35" s="164">
        <f t="shared" si="1"/>
        <v>0.16073574679339209</v>
      </c>
      <c r="K35" s="334">
        <f>E35+E36</f>
        <v>215.45089999999999</v>
      </c>
      <c r="L35" s="334">
        <f>F35+F36</f>
        <v>0</v>
      </c>
      <c r="M35" s="334">
        <f>K35+L35</f>
        <v>215.45089999999999</v>
      </c>
      <c r="N35" s="334">
        <f>H35+H36</f>
        <v>41.478000000000002</v>
      </c>
      <c r="O35" s="334">
        <f>M35-N35</f>
        <v>173.97289999999998</v>
      </c>
      <c r="P35" s="375">
        <f t="shared" ref="P35" si="12">N35/M35</f>
        <v>0.19251718140885002</v>
      </c>
      <c r="Q35" s="161"/>
      <c r="R35" s="161"/>
      <c r="S35" s="161"/>
      <c r="T35" s="162"/>
      <c r="U35" s="162"/>
      <c r="V35" s="162"/>
      <c r="W35" s="162"/>
      <c r="X35" s="162"/>
      <c r="Y35" s="162"/>
      <c r="Z35" s="162"/>
      <c r="AA35" s="162"/>
      <c r="AB35" s="162"/>
      <c r="AC35" s="162"/>
      <c r="AD35" s="162"/>
      <c r="AE35" s="162"/>
      <c r="AF35" s="162"/>
    </row>
    <row r="36" spans="2:32">
      <c r="B36" s="380"/>
      <c r="C36" s="361"/>
      <c r="D36" s="98" t="s">
        <v>33</v>
      </c>
      <c r="E36" s="116">
        <v>53.862699999999997</v>
      </c>
      <c r="F36" s="116"/>
      <c r="G36" s="116">
        <f>E36+F36+I35</f>
        <v>189.47790000000001</v>
      </c>
      <c r="H36" s="289">
        <f>14.781+0.589+0.135</f>
        <v>15.505000000000001</v>
      </c>
      <c r="I36" s="116">
        <f t="shared" si="7"/>
        <v>173.97290000000001</v>
      </c>
      <c r="J36" s="164">
        <f t="shared" si="1"/>
        <v>8.1830123724191586E-2</v>
      </c>
      <c r="K36" s="334"/>
      <c r="L36" s="334"/>
      <c r="M36" s="334"/>
      <c r="N36" s="334"/>
      <c r="O36" s="334"/>
      <c r="P36" s="375"/>
      <c r="Q36" s="161"/>
      <c r="R36" s="161"/>
      <c r="S36" s="161"/>
      <c r="T36" s="162"/>
      <c r="U36" s="162"/>
      <c r="V36" s="162"/>
      <c r="W36" s="162"/>
      <c r="X36" s="162"/>
      <c r="Y36" s="162"/>
      <c r="Z36" s="162"/>
      <c r="AA36" s="162"/>
      <c r="AB36" s="162"/>
      <c r="AC36" s="162"/>
      <c r="AD36" s="162"/>
      <c r="AE36" s="162"/>
      <c r="AF36" s="162"/>
    </row>
    <row r="37" spans="2:32">
      <c r="B37" s="380"/>
      <c r="C37" s="361" t="s">
        <v>266</v>
      </c>
      <c r="D37" s="98" t="s">
        <v>30</v>
      </c>
      <c r="E37" s="116">
        <v>304.21129999999999</v>
      </c>
      <c r="F37" s="116">
        <f>561.855</f>
        <v>561.85500000000002</v>
      </c>
      <c r="G37" s="116">
        <f>E37+F37</f>
        <v>866.06629999999996</v>
      </c>
      <c r="H37" s="116"/>
      <c r="I37" s="116">
        <f>G37-H37</f>
        <v>866.06629999999996</v>
      </c>
      <c r="J37" s="164">
        <f t="shared" si="1"/>
        <v>0</v>
      </c>
      <c r="K37" s="334">
        <f>E37+E38</f>
        <v>405.61509999999998</v>
      </c>
      <c r="L37" s="334">
        <f>F37+F38</f>
        <v>561.85500000000002</v>
      </c>
      <c r="M37" s="334">
        <f>K37+L37</f>
        <v>967.4701</v>
      </c>
      <c r="N37" s="334">
        <f>H37+H38</f>
        <v>943.82100000000003</v>
      </c>
      <c r="O37" s="334">
        <f>M37-N37</f>
        <v>23.649099999999976</v>
      </c>
      <c r="P37" s="375">
        <f t="shared" ref="P37" si="13">N37/M37</f>
        <v>0.97555573035280374</v>
      </c>
      <c r="Q37" s="161"/>
      <c r="R37" s="161"/>
      <c r="S37" s="161"/>
      <c r="T37" s="162"/>
      <c r="U37" s="162"/>
      <c r="V37" s="162"/>
      <c r="W37" s="162"/>
      <c r="X37" s="162"/>
      <c r="Y37" s="162"/>
      <c r="Z37" s="162"/>
      <c r="AA37" s="162"/>
      <c r="AB37" s="162"/>
      <c r="AC37" s="162"/>
      <c r="AD37" s="162"/>
      <c r="AE37" s="162"/>
      <c r="AF37" s="162"/>
    </row>
    <row r="38" spans="2:32">
      <c r="B38" s="380"/>
      <c r="C38" s="361"/>
      <c r="D38" s="98" t="s">
        <v>33</v>
      </c>
      <c r="E38" s="116">
        <v>101.4038</v>
      </c>
      <c r="F38" s="116"/>
      <c r="G38" s="116">
        <f>E38+F38+I37</f>
        <v>967.4701</v>
      </c>
      <c r="H38" s="289">
        <v>943.82100000000003</v>
      </c>
      <c r="I38" s="116">
        <f>G38-H38</f>
        <v>23.649099999999976</v>
      </c>
      <c r="J38" s="164">
        <f>H38/G38</f>
        <v>0.97555573035280374</v>
      </c>
      <c r="K38" s="334"/>
      <c r="L38" s="334"/>
      <c r="M38" s="334"/>
      <c r="N38" s="334"/>
      <c r="O38" s="334"/>
      <c r="P38" s="375"/>
      <c r="Q38" s="161"/>
      <c r="R38" s="161"/>
      <c r="S38" s="161"/>
      <c r="T38" s="162"/>
      <c r="U38" s="162"/>
      <c r="V38" s="162"/>
      <c r="W38" s="162"/>
      <c r="X38" s="162"/>
      <c r="Y38" s="162"/>
      <c r="Z38" s="162"/>
      <c r="AA38" s="162"/>
      <c r="AB38" s="162"/>
      <c r="AC38" s="162"/>
      <c r="AD38" s="162"/>
      <c r="AE38" s="162"/>
      <c r="AF38" s="162"/>
    </row>
    <row r="39" spans="2:32">
      <c r="B39" s="380"/>
      <c r="C39" s="361" t="s">
        <v>99</v>
      </c>
      <c r="D39" s="98" t="s">
        <v>30</v>
      </c>
      <c r="E39" s="116">
        <v>331.16370000000001</v>
      </c>
      <c r="F39" s="116">
        <f>-319.65-22.164-44.328-44.328-11.082</f>
        <v>-441.55199999999991</v>
      </c>
      <c r="G39" s="116">
        <f>E39+F39</f>
        <v>-110.3882999999999</v>
      </c>
      <c r="H39" s="116"/>
      <c r="I39" s="116">
        <f t="shared" ref="I39:I66" si="14">G39-H39</f>
        <v>-110.3882999999999</v>
      </c>
      <c r="J39" s="164">
        <f t="shared" si="1"/>
        <v>0</v>
      </c>
      <c r="K39" s="334">
        <f>E39+E40</f>
        <v>441.55160000000001</v>
      </c>
      <c r="L39" s="334">
        <f>F39+F40</f>
        <v>-441.55199999999991</v>
      </c>
      <c r="M39" s="334">
        <f>K39+L39</f>
        <v>-3.9999999989959178E-4</v>
      </c>
      <c r="N39" s="334">
        <f>H39+H40</f>
        <v>0</v>
      </c>
      <c r="O39" s="363">
        <f>M39-N39</f>
        <v>-3.9999999989959178E-4</v>
      </c>
      <c r="P39" s="375">
        <v>0</v>
      </c>
      <c r="Q39" s="161"/>
      <c r="R39" s="161"/>
      <c r="S39" s="161"/>
      <c r="T39" s="162"/>
      <c r="U39" s="162"/>
      <c r="V39" s="162"/>
      <c r="W39" s="162"/>
      <c r="X39" s="162"/>
      <c r="Y39" s="162"/>
      <c r="Z39" s="162"/>
      <c r="AA39" s="162"/>
      <c r="AB39" s="162"/>
      <c r="AC39" s="162"/>
      <c r="AD39" s="162"/>
      <c r="AE39" s="162"/>
      <c r="AF39" s="162"/>
    </row>
    <row r="40" spans="2:32">
      <c r="B40" s="380"/>
      <c r="C40" s="361"/>
      <c r="D40" s="98" t="s">
        <v>33</v>
      </c>
      <c r="E40" s="116">
        <v>110.3879</v>
      </c>
      <c r="F40" s="116"/>
      <c r="G40" s="116">
        <f>E40+F40+I39</f>
        <v>-3.9999999989959178E-4</v>
      </c>
      <c r="H40" s="116"/>
      <c r="I40" s="116">
        <f t="shared" si="14"/>
        <v>-3.9999999989959178E-4</v>
      </c>
      <c r="J40" s="164">
        <v>0</v>
      </c>
      <c r="K40" s="334"/>
      <c r="L40" s="334"/>
      <c r="M40" s="334"/>
      <c r="N40" s="334"/>
      <c r="O40" s="363"/>
      <c r="P40" s="375"/>
      <c r="Q40" s="161"/>
      <c r="R40" s="161"/>
      <c r="S40" s="161"/>
      <c r="T40" s="162"/>
      <c r="U40" s="162"/>
      <c r="V40" s="162"/>
      <c r="W40" s="162"/>
      <c r="X40" s="162"/>
      <c r="Y40" s="162"/>
      <c r="Z40" s="162"/>
      <c r="AA40" s="162"/>
      <c r="AB40" s="162"/>
      <c r="AC40" s="162"/>
      <c r="AD40" s="162"/>
      <c r="AE40" s="162"/>
      <c r="AF40" s="162"/>
    </row>
    <row r="41" spans="2:32">
      <c r="B41" s="380"/>
      <c r="C41" s="361" t="s">
        <v>100</v>
      </c>
      <c r="D41" s="98" t="s">
        <v>30</v>
      </c>
      <c r="E41" s="116">
        <v>75.117400000000004</v>
      </c>
      <c r="F41" s="116">
        <f>-100.157</f>
        <v>-100.157</v>
      </c>
      <c r="G41" s="116">
        <f>E41+F41</f>
        <v>-25.039599999999993</v>
      </c>
      <c r="H41" s="116"/>
      <c r="I41" s="116">
        <f t="shared" si="14"/>
        <v>-25.039599999999993</v>
      </c>
      <c r="J41" s="164">
        <f t="shared" si="1"/>
        <v>0</v>
      </c>
      <c r="K41" s="334">
        <f>E41+E42</f>
        <v>100.15650000000001</v>
      </c>
      <c r="L41" s="334">
        <f>F41+F42</f>
        <v>-100.157</v>
      </c>
      <c r="M41" s="334">
        <f>K41+L41</f>
        <v>-4.9999999998817657E-4</v>
      </c>
      <c r="N41" s="334">
        <f>H41+H42</f>
        <v>0</v>
      </c>
      <c r="O41" s="334">
        <f>M41-N41</f>
        <v>-4.9999999998817657E-4</v>
      </c>
      <c r="P41" s="375">
        <v>0</v>
      </c>
      <c r="Q41" s="161"/>
      <c r="R41" s="161"/>
      <c r="S41" s="161"/>
      <c r="T41" s="162"/>
      <c r="U41" s="162"/>
      <c r="V41" s="162"/>
      <c r="W41" s="162"/>
      <c r="X41" s="162"/>
      <c r="Y41" s="162"/>
      <c r="Z41" s="162"/>
      <c r="AA41" s="162"/>
      <c r="AB41" s="162"/>
      <c r="AC41" s="162"/>
      <c r="AD41" s="162"/>
      <c r="AE41" s="162"/>
      <c r="AF41" s="162"/>
    </row>
    <row r="42" spans="2:32">
      <c r="B42" s="380"/>
      <c r="C42" s="361"/>
      <c r="D42" s="98" t="s">
        <v>33</v>
      </c>
      <c r="E42" s="116">
        <v>25.039100000000001</v>
      </c>
      <c r="F42" s="116"/>
      <c r="G42" s="116">
        <f>E42+F42+I41</f>
        <v>-4.9999999999172928E-4</v>
      </c>
      <c r="H42" s="116"/>
      <c r="I42" s="116">
        <f t="shared" si="14"/>
        <v>-4.9999999999172928E-4</v>
      </c>
      <c r="J42" s="164">
        <v>0</v>
      </c>
      <c r="K42" s="334"/>
      <c r="L42" s="334"/>
      <c r="M42" s="334"/>
      <c r="N42" s="334"/>
      <c r="O42" s="334"/>
      <c r="P42" s="375"/>
      <c r="Q42" s="161"/>
      <c r="R42" s="161"/>
      <c r="S42" s="161"/>
      <c r="T42" s="162"/>
      <c r="U42" s="162"/>
      <c r="V42" s="162"/>
      <c r="W42" s="162"/>
      <c r="X42" s="162"/>
      <c r="Y42" s="162"/>
      <c r="Z42" s="162"/>
      <c r="AA42" s="162"/>
      <c r="AB42" s="162"/>
      <c r="AC42" s="162"/>
      <c r="AD42" s="162"/>
      <c r="AE42" s="162"/>
      <c r="AF42" s="162"/>
    </row>
    <row r="43" spans="2:32">
      <c r="B43" s="380"/>
      <c r="C43" s="361" t="s">
        <v>267</v>
      </c>
      <c r="D43" s="98" t="s">
        <v>30</v>
      </c>
      <c r="E43" s="116">
        <v>172.97489999999999</v>
      </c>
      <c r="F43" s="116"/>
      <c r="G43" s="116">
        <f>E43+F43</f>
        <v>172.97489999999999</v>
      </c>
      <c r="H43" s="116"/>
      <c r="I43" s="116">
        <f t="shared" si="14"/>
        <v>172.97489999999999</v>
      </c>
      <c r="J43" s="164">
        <f t="shared" si="1"/>
        <v>0</v>
      </c>
      <c r="K43" s="334">
        <f>E43+E44</f>
        <v>230.63319999999999</v>
      </c>
      <c r="L43" s="334">
        <f>F43+F44</f>
        <v>0</v>
      </c>
      <c r="M43" s="334">
        <f>K43+L43</f>
        <v>230.63319999999999</v>
      </c>
      <c r="N43" s="334">
        <f>H43+H44</f>
        <v>0</v>
      </c>
      <c r="O43" s="334">
        <f>M43-N43</f>
        <v>230.63319999999999</v>
      </c>
      <c r="P43" s="375">
        <f t="shared" ref="P43" si="15">N43/M43</f>
        <v>0</v>
      </c>
      <c r="Q43" s="161"/>
      <c r="R43" s="161"/>
      <c r="S43" s="161"/>
      <c r="T43" s="162"/>
      <c r="U43" s="162"/>
      <c r="V43" s="162"/>
      <c r="W43" s="162"/>
      <c r="X43" s="162"/>
      <c r="Y43" s="162"/>
      <c r="Z43" s="162"/>
      <c r="AA43" s="162"/>
      <c r="AB43" s="162"/>
      <c r="AC43" s="162"/>
      <c r="AD43" s="162"/>
      <c r="AE43" s="162"/>
      <c r="AF43" s="162"/>
    </row>
    <row r="44" spans="2:32">
      <c r="B44" s="380"/>
      <c r="C44" s="361"/>
      <c r="D44" s="98" t="s">
        <v>33</v>
      </c>
      <c r="E44" s="116">
        <v>57.658299999999997</v>
      </c>
      <c r="F44" s="116"/>
      <c r="G44" s="116">
        <f>E44+F44+I43</f>
        <v>230.63319999999999</v>
      </c>
      <c r="H44" s="116"/>
      <c r="I44" s="116">
        <f t="shared" si="14"/>
        <v>230.63319999999999</v>
      </c>
      <c r="J44" s="164">
        <f t="shared" si="1"/>
        <v>0</v>
      </c>
      <c r="K44" s="334"/>
      <c r="L44" s="334"/>
      <c r="M44" s="334"/>
      <c r="N44" s="334"/>
      <c r="O44" s="334"/>
      <c r="P44" s="375"/>
      <c r="Q44" s="161"/>
      <c r="R44" s="161"/>
      <c r="S44" s="161"/>
      <c r="T44" s="162"/>
      <c r="U44" s="162"/>
      <c r="V44" s="162"/>
      <c r="W44" s="162"/>
      <c r="X44" s="162"/>
      <c r="Y44" s="162"/>
      <c r="Z44" s="162"/>
      <c r="AA44" s="162"/>
      <c r="AB44" s="162"/>
      <c r="AC44" s="162"/>
      <c r="AD44" s="162"/>
      <c r="AE44" s="162"/>
      <c r="AF44" s="162"/>
    </row>
    <row r="45" spans="2:32">
      <c r="B45" s="380"/>
      <c r="C45" s="385" t="s">
        <v>268</v>
      </c>
      <c r="D45" s="305" t="s">
        <v>30</v>
      </c>
      <c r="E45" s="306">
        <v>11513.036099999999</v>
      </c>
      <c r="F45" s="306">
        <f>-561.855</f>
        <v>-561.85500000000002</v>
      </c>
      <c r="G45" s="306">
        <f>E45+F45</f>
        <v>10951.1811</v>
      </c>
      <c r="H45" s="306">
        <v>9498.4169999999995</v>
      </c>
      <c r="I45" s="306">
        <f t="shared" si="14"/>
        <v>1452.7641000000003</v>
      </c>
      <c r="J45" s="468">
        <f t="shared" si="1"/>
        <v>0.8673417883665534</v>
      </c>
      <c r="K45" s="363">
        <f>E45+E46</f>
        <v>15350.715199999999</v>
      </c>
      <c r="L45" s="363">
        <f>F45+F46</f>
        <v>110.81999999999994</v>
      </c>
      <c r="M45" s="363">
        <f>K45+L45</f>
        <v>15461.535199999998</v>
      </c>
      <c r="N45" s="363">
        <f>H45+H46</f>
        <v>15461.535</v>
      </c>
      <c r="O45" s="363">
        <f>M45-N45</f>
        <v>1.9999999858555384E-4</v>
      </c>
      <c r="P45" s="469">
        <f t="shared" ref="P45" si="16">N45/M45</f>
        <v>0.99999998706467397</v>
      </c>
      <c r="Q45" s="161"/>
      <c r="R45" s="161"/>
      <c r="S45" s="161"/>
      <c r="T45" s="162"/>
      <c r="U45" s="162"/>
      <c r="V45" s="162"/>
      <c r="W45" s="162"/>
      <c r="X45" s="162"/>
      <c r="Y45" s="162"/>
      <c r="Z45" s="162"/>
      <c r="AA45" s="162"/>
      <c r="AB45" s="162"/>
      <c r="AC45" s="162"/>
      <c r="AD45" s="162"/>
      <c r="AE45" s="162"/>
      <c r="AF45" s="162"/>
    </row>
    <row r="46" spans="2:32">
      <c r="B46" s="380"/>
      <c r="C46" s="385"/>
      <c r="D46" s="305" t="s">
        <v>33</v>
      </c>
      <c r="E46" s="306">
        <v>3837.6790999999998</v>
      </c>
      <c r="F46" s="306">
        <f>700-27.325</f>
        <v>672.67499999999995</v>
      </c>
      <c r="G46" s="306">
        <f>E46+F46+I45</f>
        <v>5963.1181999999999</v>
      </c>
      <c r="H46" s="306">
        <v>5963.1180000000004</v>
      </c>
      <c r="I46" s="306">
        <f>G46-H46</f>
        <v>1.9999999949504854E-4</v>
      </c>
      <c r="J46" s="468">
        <f>H46/G46</f>
        <v>0.9999999664605006</v>
      </c>
      <c r="K46" s="363"/>
      <c r="L46" s="363"/>
      <c r="M46" s="363"/>
      <c r="N46" s="363"/>
      <c r="O46" s="363"/>
      <c r="P46" s="469"/>
      <c r="Q46" s="161"/>
      <c r="R46" s="161"/>
      <c r="S46" s="161"/>
      <c r="T46" s="162"/>
      <c r="U46" s="162"/>
      <c r="V46" s="162"/>
      <c r="W46" s="162"/>
      <c r="X46" s="162"/>
      <c r="Y46" s="162"/>
      <c r="Z46" s="162"/>
      <c r="AA46" s="162"/>
      <c r="AB46" s="162"/>
      <c r="AC46" s="162"/>
      <c r="AD46" s="162"/>
      <c r="AE46" s="162"/>
      <c r="AF46" s="162"/>
    </row>
    <row r="47" spans="2:32">
      <c r="B47" s="380"/>
      <c r="C47" s="361" t="s">
        <v>104</v>
      </c>
      <c r="D47" s="98" t="s">
        <v>30</v>
      </c>
      <c r="E47" s="116">
        <v>27.283200000000001</v>
      </c>
      <c r="F47" s="116"/>
      <c r="G47" s="116">
        <f>E47+F47</f>
        <v>27.283200000000001</v>
      </c>
      <c r="H47" s="289">
        <v>4.7729999999999997</v>
      </c>
      <c r="I47" s="116">
        <f t="shared" si="14"/>
        <v>22.510200000000001</v>
      </c>
      <c r="J47" s="164">
        <f>H47/G47</f>
        <v>0.17494282195636873</v>
      </c>
      <c r="K47" s="334">
        <f>E47+E48</f>
        <v>36.377600000000001</v>
      </c>
      <c r="L47" s="334">
        <f>F47+F48</f>
        <v>0</v>
      </c>
      <c r="M47" s="334">
        <f>K47+L47</f>
        <v>36.377600000000001</v>
      </c>
      <c r="N47" s="334">
        <f>H47+H48</f>
        <v>11.239000000000001</v>
      </c>
      <c r="O47" s="334">
        <f>M47-N47</f>
        <v>25.1386</v>
      </c>
      <c r="P47" s="375">
        <f t="shared" ref="P47" si="17">N47/M47</f>
        <v>0.30895386171710065</v>
      </c>
      <c r="Q47" s="161"/>
      <c r="R47" s="161"/>
      <c r="S47" s="161"/>
      <c r="T47" s="162"/>
      <c r="U47" s="162"/>
      <c r="V47" s="162"/>
      <c r="W47" s="162"/>
      <c r="X47" s="162"/>
      <c r="Y47" s="162"/>
      <c r="Z47" s="162"/>
      <c r="AA47" s="162"/>
      <c r="AB47" s="162"/>
      <c r="AC47" s="162"/>
      <c r="AD47" s="162"/>
      <c r="AE47" s="162"/>
      <c r="AF47" s="162"/>
    </row>
    <row r="48" spans="2:32">
      <c r="B48" s="380"/>
      <c r="C48" s="361"/>
      <c r="D48" s="98" t="s">
        <v>33</v>
      </c>
      <c r="E48" s="116">
        <v>9.0944000000000003</v>
      </c>
      <c r="F48" s="116"/>
      <c r="G48" s="116">
        <f>E48+F48+I47</f>
        <v>31.604600000000001</v>
      </c>
      <c r="H48" s="289">
        <v>6.4660000000000002</v>
      </c>
      <c r="I48" s="116">
        <f t="shared" si="14"/>
        <v>25.1386</v>
      </c>
      <c r="J48" s="164">
        <f>H48/G48</f>
        <v>0.20459047100738501</v>
      </c>
      <c r="K48" s="334"/>
      <c r="L48" s="334"/>
      <c r="M48" s="334"/>
      <c r="N48" s="334"/>
      <c r="O48" s="334"/>
      <c r="P48" s="375"/>
      <c r="Q48" s="161"/>
      <c r="R48" s="161"/>
      <c r="S48" s="161"/>
      <c r="T48" s="162"/>
      <c r="U48" s="162"/>
      <c r="V48" s="162"/>
      <c r="W48" s="162"/>
      <c r="X48" s="162"/>
      <c r="Y48" s="162"/>
      <c r="Z48" s="162"/>
      <c r="AA48" s="162"/>
      <c r="AB48" s="162"/>
      <c r="AC48" s="162"/>
      <c r="AD48" s="162"/>
      <c r="AE48" s="162"/>
      <c r="AF48" s="162"/>
    </row>
    <row r="49" spans="2:32">
      <c r="B49" s="380"/>
      <c r="C49" s="361" t="s">
        <v>77</v>
      </c>
      <c r="D49" s="98" t="s">
        <v>30</v>
      </c>
      <c r="E49" s="116">
        <v>23.272099999999998</v>
      </c>
      <c r="F49" s="116"/>
      <c r="G49" s="116">
        <f>E49+F49</f>
        <v>23.272099999999998</v>
      </c>
      <c r="H49" s="116"/>
      <c r="I49" s="116">
        <f t="shared" si="14"/>
        <v>23.272099999999998</v>
      </c>
      <c r="J49" s="164">
        <f>H49/G49</f>
        <v>0</v>
      </c>
      <c r="K49" s="334">
        <f>E49+E50</f>
        <v>31.029499999999999</v>
      </c>
      <c r="L49" s="334">
        <f>F49+F50</f>
        <v>0</v>
      </c>
      <c r="M49" s="334">
        <f>K49+L49</f>
        <v>31.029499999999999</v>
      </c>
      <c r="N49" s="334">
        <f>H49+H50</f>
        <v>0</v>
      </c>
      <c r="O49" s="334">
        <f>M49-N49</f>
        <v>31.029499999999999</v>
      </c>
      <c r="P49" s="375">
        <f t="shared" ref="P49" si="18">N49/M49</f>
        <v>0</v>
      </c>
      <c r="Q49" s="161"/>
      <c r="R49" s="161"/>
      <c r="S49" s="161"/>
      <c r="T49" s="162"/>
      <c r="U49" s="162"/>
      <c r="V49" s="162"/>
      <c r="W49" s="162"/>
      <c r="X49" s="162"/>
      <c r="Y49" s="162"/>
      <c r="Z49" s="162"/>
      <c r="AA49" s="162"/>
      <c r="AB49" s="162"/>
      <c r="AC49" s="162"/>
      <c r="AD49" s="162"/>
      <c r="AE49" s="162"/>
      <c r="AF49" s="162"/>
    </row>
    <row r="50" spans="2:32">
      <c r="B50" s="380"/>
      <c r="C50" s="361"/>
      <c r="D50" s="98" t="s">
        <v>33</v>
      </c>
      <c r="E50" s="116">
        <v>7.7573999999999996</v>
      </c>
      <c r="F50" s="116"/>
      <c r="G50" s="116">
        <f>E50+F50+I49</f>
        <v>31.029499999999999</v>
      </c>
      <c r="H50" s="116"/>
      <c r="I50" s="116">
        <f t="shared" si="14"/>
        <v>31.029499999999999</v>
      </c>
      <c r="J50" s="164">
        <f t="shared" si="1"/>
        <v>0</v>
      </c>
      <c r="K50" s="334"/>
      <c r="L50" s="334"/>
      <c r="M50" s="334"/>
      <c r="N50" s="334"/>
      <c r="O50" s="334"/>
      <c r="P50" s="375"/>
      <c r="Q50" s="161"/>
      <c r="R50" s="161"/>
      <c r="S50" s="161"/>
      <c r="T50" s="162"/>
      <c r="U50" s="162"/>
      <c r="V50" s="162"/>
      <c r="W50" s="162"/>
      <c r="X50" s="162"/>
      <c r="Y50" s="162"/>
      <c r="Z50" s="162"/>
      <c r="AA50" s="162"/>
      <c r="AB50" s="162"/>
      <c r="AC50" s="162"/>
      <c r="AD50" s="162"/>
      <c r="AE50" s="162"/>
      <c r="AF50" s="162"/>
    </row>
    <row r="51" spans="2:32">
      <c r="B51" s="380"/>
      <c r="C51" s="384" t="s">
        <v>269</v>
      </c>
      <c r="D51" s="305" t="s">
        <v>30</v>
      </c>
      <c r="E51" s="306">
        <v>0.56520000000000004</v>
      </c>
      <c r="F51" s="306"/>
      <c r="G51" s="306">
        <f>E51+F51</f>
        <v>0.56520000000000004</v>
      </c>
      <c r="H51" s="306"/>
      <c r="I51" s="306">
        <f t="shared" si="14"/>
        <v>0.56520000000000004</v>
      </c>
      <c r="J51" s="468">
        <f t="shared" ref="J51:J63" si="19">H51/G51</f>
        <v>0</v>
      </c>
      <c r="K51" s="363">
        <f>E51+E52</f>
        <v>0.75360000000000005</v>
      </c>
      <c r="L51" s="363">
        <f>F51+F52</f>
        <v>0</v>
      </c>
      <c r="M51" s="363">
        <f t="shared" ref="M51" si="20">K51+L51</f>
        <v>0.75360000000000005</v>
      </c>
      <c r="N51" s="363">
        <f>H51+H52</f>
        <v>0.109</v>
      </c>
      <c r="O51" s="363">
        <f t="shared" ref="O51" si="21">M51-N51</f>
        <v>0.64460000000000006</v>
      </c>
      <c r="P51" s="469">
        <f t="shared" ref="P51" si="22">N51/M51</f>
        <v>0.14463906581740976</v>
      </c>
      <c r="Q51" s="161"/>
      <c r="R51" s="161"/>
      <c r="S51" s="161"/>
      <c r="T51" s="162"/>
      <c r="U51" s="162"/>
      <c r="V51" s="162"/>
      <c r="W51" s="162"/>
      <c r="X51" s="162"/>
      <c r="Y51" s="162"/>
      <c r="Z51" s="162"/>
      <c r="AA51" s="162"/>
      <c r="AB51" s="162"/>
      <c r="AC51" s="162"/>
      <c r="AD51" s="162"/>
      <c r="AE51" s="162"/>
      <c r="AF51" s="162"/>
    </row>
    <row r="52" spans="2:32">
      <c r="B52" s="380"/>
      <c r="C52" s="384"/>
      <c r="D52" s="305" t="s">
        <v>33</v>
      </c>
      <c r="E52" s="306">
        <v>0.18840000000000001</v>
      </c>
      <c r="F52" s="306">
        <f>0</f>
        <v>0</v>
      </c>
      <c r="G52" s="306">
        <f>E52+F52+I51</f>
        <v>0.75360000000000005</v>
      </c>
      <c r="H52" s="306">
        <v>0.109</v>
      </c>
      <c r="I52" s="306">
        <f t="shared" si="14"/>
        <v>0.64460000000000006</v>
      </c>
      <c r="J52" s="468">
        <f>H52/G52</f>
        <v>0.14463906581740976</v>
      </c>
      <c r="K52" s="363"/>
      <c r="L52" s="363"/>
      <c r="M52" s="363"/>
      <c r="N52" s="363"/>
      <c r="O52" s="363"/>
      <c r="P52" s="469"/>
      <c r="Q52" s="161"/>
      <c r="R52" s="161"/>
      <c r="S52" s="161"/>
      <c r="T52" s="162"/>
      <c r="U52" s="162"/>
      <c r="V52" s="162"/>
      <c r="W52" s="162"/>
      <c r="X52" s="162"/>
      <c r="Y52" s="162"/>
      <c r="Z52" s="162"/>
      <c r="AA52" s="162"/>
      <c r="AB52" s="162"/>
      <c r="AC52" s="162"/>
      <c r="AD52" s="162"/>
      <c r="AE52" s="162"/>
      <c r="AF52" s="162"/>
    </row>
    <row r="53" spans="2:32">
      <c r="B53" s="380"/>
      <c r="C53" s="393" t="s">
        <v>560</v>
      </c>
      <c r="D53" s="208" t="s">
        <v>30</v>
      </c>
      <c r="E53" s="207">
        <v>0</v>
      </c>
      <c r="F53" s="207">
        <v>2.2160000000000002</v>
      </c>
      <c r="G53" s="207">
        <f>E53+F53</f>
        <v>2.2160000000000002</v>
      </c>
      <c r="H53" s="207"/>
      <c r="I53" s="207">
        <f t="shared" si="14"/>
        <v>2.2160000000000002</v>
      </c>
      <c r="J53" s="209">
        <f t="shared" si="19"/>
        <v>0</v>
      </c>
      <c r="K53" s="334">
        <f>E53+E54</f>
        <v>0</v>
      </c>
      <c r="L53" s="334">
        <f>F53+F54</f>
        <v>2.2160000000000002</v>
      </c>
      <c r="M53" s="334">
        <f t="shared" ref="M53" si="23">K53+L53</f>
        <v>2.2160000000000002</v>
      </c>
      <c r="N53" s="334">
        <f>H53+H54</f>
        <v>0.193</v>
      </c>
      <c r="O53" s="334">
        <f t="shared" ref="O53" si="24">M53-N53</f>
        <v>2.0230000000000001</v>
      </c>
      <c r="P53" s="375">
        <f t="shared" ref="P53" si="25">N53/M53</f>
        <v>8.7093862815884465E-2</v>
      </c>
      <c r="Q53" s="161"/>
      <c r="R53" s="161"/>
      <c r="S53" s="161"/>
      <c r="T53" s="162"/>
      <c r="U53" s="162"/>
      <c r="V53" s="162"/>
      <c r="W53" s="162"/>
      <c r="X53" s="162"/>
      <c r="Y53" s="162"/>
      <c r="Z53" s="162"/>
      <c r="AA53" s="162"/>
      <c r="AB53" s="162"/>
      <c r="AC53" s="162"/>
      <c r="AD53" s="162"/>
      <c r="AE53" s="162"/>
      <c r="AF53" s="162"/>
    </row>
    <row r="54" spans="2:32">
      <c r="B54" s="380"/>
      <c r="C54" s="393"/>
      <c r="D54" s="208" t="s">
        <v>33</v>
      </c>
      <c r="E54" s="207">
        <v>0</v>
      </c>
      <c r="F54" s="207"/>
      <c r="G54" s="207">
        <f>E54+F54+I53</f>
        <v>2.2160000000000002</v>
      </c>
      <c r="H54" s="289">
        <v>0.193</v>
      </c>
      <c r="I54" s="207">
        <f t="shared" si="14"/>
        <v>2.0230000000000001</v>
      </c>
      <c r="J54" s="209">
        <f>H54/G54</f>
        <v>8.7093862815884465E-2</v>
      </c>
      <c r="K54" s="334"/>
      <c r="L54" s="334"/>
      <c r="M54" s="334"/>
      <c r="N54" s="334"/>
      <c r="O54" s="334"/>
      <c r="P54" s="375"/>
      <c r="Q54" s="161"/>
      <c r="R54" s="161"/>
      <c r="S54" s="161"/>
      <c r="T54" s="162"/>
      <c r="U54" s="162"/>
      <c r="V54" s="162"/>
      <c r="W54" s="162"/>
      <c r="X54" s="162"/>
      <c r="Y54" s="162"/>
      <c r="Z54" s="162"/>
      <c r="AA54" s="162"/>
      <c r="AB54" s="162"/>
      <c r="AC54" s="162"/>
      <c r="AD54" s="162"/>
      <c r="AE54" s="162"/>
      <c r="AF54" s="162"/>
    </row>
    <row r="55" spans="2:32">
      <c r="B55" s="380"/>
      <c r="C55" s="391" t="s">
        <v>571</v>
      </c>
      <c r="D55" s="216" t="s">
        <v>30</v>
      </c>
      <c r="E55" s="215">
        <v>83.114699999999999</v>
      </c>
      <c r="F55" s="215">
        <f>557.043+110.82+33.246+319.65+22.164+44.328+44.328+11.082</f>
        <v>1142.6610000000001</v>
      </c>
      <c r="G55" s="215">
        <f>E55+F55</f>
        <v>1225.7757000000001</v>
      </c>
      <c r="H55" s="289">
        <v>800.31899999999996</v>
      </c>
      <c r="I55" s="215">
        <f t="shared" si="14"/>
        <v>425.45670000000018</v>
      </c>
      <c r="J55" s="217">
        <f t="shared" si="19"/>
        <v>0.65290819519427568</v>
      </c>
      <c r="K55" s="334">
        <f>E55+E56</f>
        <v>110.81959999999999</v>
      </c>
      <c r="L55" s="334">
        <f>F55+F56</f>
        <v>1195.136</v>
      </c>
      <c r="M55" s="334">
        <f t="shared" ref="M55" si="26">K55+L55</f>
        <v>1305.9556</v>
      </c>
      <c r="N55" s="334">
        <f>H55+H56</f>
        <v>1284.6669999999999</v>
      </c>
      <c r="O55" s="334">
        <f t="shared" ref="O55" si="27">M55-N55</f>
        <v>21.288600000000088</v>
      </c>
      <c r="P55" s="375">
        <f t="shared" ref="P55" si="28">N55/M55</f>
        <v>0.98369883325283025</v>
      </c>
      <c r="Q55" s="161"/>
      <c r="R55" s="161"/>
      <c r="S55" s="161"/>
      <c r="T55" s="162"/>
      <c r="U55" s="162"/>
      <c r="V55" s="162"/>
      <c r="W55" s="162"/>
      <c r="X55" s="162"/>
      <c r="Y55" s="162"/>
      <c r="Z55" s="162"/>
      <c r="AA55" s="162"/>
      <c r="AB55" s="162"/>
      <c r="AC55" s="162"/>
      <c r="AD55" s="162"/>
      <c r="AE55" s="162"/>
      <c r="AF55" s="162"/>
    </row>
    <row r="56" spans="2:32">
      <c r="B56" s="380"/>
      <c r="C56" s="392"/>
      <c r="D56" s="216" t="s">
        <v>33</v>
      </c>
      <c r="E56" s="215">
        <v>27.704899999999999</v>
      </c>
      <c r="F56" s="215">
        <f>19.5+32.975</f>
        <v>52.475000000000001</v>
      </c>
      <c r="G56" s="215">
        <f>E56+F56+I55</f>
        <v>505.63660000000016</v>
      </c>
      <c r="H56" s="289">
        <v>484.34800000000001</v>
      </c>
      <c r="I56" s="215">
        <f t="shared" si="14"/>
        <v>21.288600000000145</v>
      </c>
      <c r="J56" s="217">
        <f>H56/G56</f>
        <v>0.95789743068440825</v>
      </c>
      <c r="K56" s="334"/>
      <c r="L56" s="334"/>
      <c r="M56" s="334"/>
      <c r="N56" s="334"/>
      <c r="O56" s="334"/>
      <c r="P56" s="375"/>
      <c r="Q56" s="161"/>
      <c r="R56" s="161"/>
      <c r="S56" s="161"/>
      <c r="T56" s="162"/>
      <c r="U56" s="162"/>
      <c r="V56" s="162"/>
      <c r="W56" s="162"/>
      <c r="X56" s="162"/>
      <c r="Y56" s="162"/>
      <c r="Z56" s="162"/>
      <c r="AA56" s="162"/>
      <c r="AB56" s="162"/>
      <c r="AC56" s="162"/>
      <c r="AD56" s="162"/>
      <c r="AE56" s="162"/>
      <c r="AF56" s="162"/>
    </row>
    <row r="57" spans="2:32">
      <c r="B57" s="380"/>
      <c r="C57" s="391" t="s">
        <v>572</v>
      </c>
      <c r="D57" s="219" t="s">
        <v>30</v>
      </c>
      <c r="E57" s="218">
        <v>0</v>
      </c>
      <c r="F57" s="218">
        <f>1.3298</f>
        <v>1.3298000000000001</v>
      </c>
      <c r="G57" s="218">
        <f>E57+F57</f>
        <v>1.3298000000000001</v>
      </c>
      <c r="H57" s="289">
        <v>0.32600000000000001</v>
      </c>
      <c r="I57" s="218">
        <f t="shared" si="14"/>
        <v>1.0038</v>
      </c>
      <c r="J57" s="220">
        <f t="shared" si="19"/>
        <v>0.24514964656339297</v>
      </c>
      <c r="K57" s="334">
        <f>E57+E58</f>
        <v>0</v>
      </c>
      <c r="L57" s="334">
        <f>F57+F58</f>
        <v>1.3298000000000001</v>
      </c>
      <c r="M57" s="334">
        <f t="shared" ref="M57" si="29">K57+L57</f>
        <v>1.3298000000000001</v>
      </c>
      <c r="N57" s="334">
        <f>H57+H58</f>
        <v>0.42000000000000004</v>
      </c>
      <c r="O57" s="334">
        <f t="shared" ref="O57" si="30">M57-N57</f>
        <v>0.90980000000000005</v>
      </c>
      <c r="P57" s="375">
        <f t="shared" ref="P57" si="31">N57/M57</f>
        <v>0.31583696796510752</v>
      </c>
      <c r="Q57" s="161"/>
      <c r="R57" s="161"/>
      <c r="S57" s="161"/>
      <c r="T57" s="162"/>
      <c r="U57" s="162"/>
      <c r="V57" s="162"/>
      <c r="W57" s="162"/>
      <c r="X57" s="162"/>
      <c r="Y57" s="162"/>
      <c r="Z57" s="162"/>
      <c r="AA57" s="162"/>
      <c r="AB57" s="162"/>
      <c r="AC57" s="162"/>
      <c r="AD57" s="162"/>
      <c r="AE57" s="162"/>
      <c r="AF57" s="162"/>
    </row>
    <row r="58" spans="2:32">
      <c r="B58" s="380"/>
      <c r="C58" s="392"/>
      <c r="D58" s="219" t="s">
        <v>33</v>
      </c>
      <c r="E58" s="218">
        <v>0</v>
      </c>
      <c r="F58" s="218"/>
      <c r="G58" s="218">
        <f>E58+F58+I57</f>
        <v>1.0038</v>
      </c>
      <c r="H58" s="289">
        <v>9.4E-2</v>
      </c>
      <c r="I58" s="218">
        <f t="shared" si="14"/>
        <v>0.90980000000000005</v>
      </c>
      <c r="J58" s="220">
        <f>H58/G58</f>
        <v>9.3644152221558072E-2</v>
      </c>
      <c r="K58" s="334"/>
      <c r="L58" s="334"/>
      <c r="M58" s="334"/>
      <c r="N58" s="334"/>
      <c r="O58" s="334"/>
      <c r="P58" s="375"/>
      <c r="Q58" s="161"/>
      <c r="R58" s="161"/>
      <c r="S58" s="161"/>
      <c r="T58" s="162"/>
      <c r="U58" s="162"/>
      <c r="V58" s="162"/>
      <c r="W58" s="162"/>
      <c r="X58" s="162"/>
      <c r="Y58" s="162"/>
      <c r="Z58" s="162"/>
      <c r="AA58" s="162"/>
      <c r="AB58" s="162"/>
      <c r="AC58" s="162"/>
      <c r="AD58" s="162"/>
      <c r="AE58" s="162"/>
      <c r="AF58" s="162"/>
    </row>
    <row r="59" spans="2:32">
      <c r="B59" s="380"/>
      <c r="C59" s="391" t="s">
        <v>118</v>
      </c>
      <c r="D59" s="222" t="s">
        <v>30</v>
      </c>
      <c r="E59" s="218">
        <v>249.34399999999999</v>
      </c>
      <c r="F59" s="218">
        <f>131.33</f>
        <v>131.33000000000001</v>
      </c>
      <c r="G59" s="221">
        <f>E59+F59</f>
        <v>380.67399999999998</v>
      </c>
      <c r="H59" s="218"/>
      <c r="I59" s="221">
        <f t="shared" si="14"/>
        <v>380.67399999999998</v>
      </c>
      <c r="J59" s="223">
        <f t="shared" si="19"/>
        <v>0</v>
      </c>
      <c r="K59" s="334">
        <f>E59+E60</f>
        <v>332.45870000000002</v>
      </c>
      <c r="L59" s="334">
        <f>F59+F60</f>
        <v>-332.45899999999995</v>
      </c>
      <c r="M59" s="334">
        <f t="shared" ref="M59" si="32">K59+L59</f>
        <v>-2.9999999992469384E-4</v>
      </c>
      <c r="N59" s="334">
        <f>H59+H60</f>
        <v>0</v>
      </c>
      <c r="O59" s="334">
        <f t="shared" ref="O59" si="33">M59-N59</f>
        <v>-2.9999999992469384E-4</v>
      </c>
      <c r="P59" s="375">
        <f t="shared" ref="P59" si="34">N59/M59</f>
        <v>0</v>
      </c>
      <c r="Q59" s="161"/>
      <c r="R59" s="161"/>
      <c r="S59" s="161"/>
      <c r="T59" s="162"/>
      <c r="U59" s="162"/>
      <c r="V59" s="162"/>
      <c r="W59" s="162"/>
      <c r="X59" s="162"/>
      <c r="Y59" s="162"/>
      <c r="Z59" s="162"/>
      <c r="AA59" s="162"/>
      <c r="AB59" s="162"/>
      <c r="AC59" s="162"/>
      <c r="AD59" s="162"/>
      <c r="AE59" s="162"/>
      <c r="AF59" s="162"/>
    </row>
    <row r="60" spans="2:32">
      <c r="B60" s="380"/>
      <c r="C60" s="392"/>
      <c r="D60" s="222" t="s">
        <v>33</v>
      </c>
      <c r="E60" s="218">
        <v>83.114699999999999</v>
      </c>
      <c r="F60" s="218">
        <f>-55.41-55.41-55.41-55.41-110.82-131.329</f>
        <v>-463.78899999999999</v>
      </c>
      <c r="G60" s="221">
        <f>E60+F60+I59</f>
        <v>-3.0000000003838068E-4</v>
      </c>
      <c r="H60" s="218"/>
      <c r="I60" s="221">
        <f t="shared" si="14"/>
        <v>-3.0000000003838068E-4</v>
      </c>
      <c r="J60" s="223">
        <f>H60/G60</f>
        <v>0</v>
      </c>
      <c r="K60" s="334"/>
      <c r="L60" s="334"/>
      <c r="M60" s="334"/>
      <c r="N60" s="334"/>
      <c r="O60" s="334"/>
      <c r="P60" s="375"/>
      <c r="Q60" s="161"/>
      <c r="R60" s="161"/>
      <c r="S60" s="161"/>
      <c r="T60" s="162"/>
      <c r="U60" s="162"/>
      <c r="V60" s="162"/>
      <c r="W60" s="162"/>
      <c r="X60" s="162"/>
      <c r="Y60" s="162"/>
      <c r="Z60" s="162"/>
      <c r="AA60" s="162"/>
      <c r="AB60" s="162"/>
      <c r="AC60" s="162"/>
      <c r="AD60" s="162"/>
      <c r="AE60" s="162"/>
      <c r="AF60" s="162"/>
    </row>
    <row r="61" spans="2:32">
      <c r="B61" s="380"/>
      <c r="C61" s="391" t="s">
        <v>573</v>
      </c>
      <c r="D61" s="222" t="s">
        <v>30</v>
      </c>
      <c r="E61" s="218">
        <v>0</v>
      </c>
      <c r="F61" s="218">
        <f>95.755+5.541+5.541+11.082+11.082+11.082+11.082+110.82+55.41+35</f>
        <v>352.39499999999998</v>
      </c>
      <c r="G61" s="221">
        <f>E61+F61</f>
        <v>352.39499999999998</v>
      </c>
      <c r="H61" s="218"/>
      <c r="I61" s="221">
        <f t="shared" si="14"/>
        <v>352.39499999999998</v>
      </c>
      <c r="J61" s="223">
        <f t="shared" si="19"/>
        <v>0</v>
      </c>
      <c r="K61" s="334">
        <f>E61+E62</f>
        <v>0</v>
      </c>
      <c r="L61" s="334">
        <f>F61+F62</f>
        <v>780.11900000000003</v>
      </c>
      <c r="M61" s="334">
        <f t="shared" ref="M61" si="35">K61+L61</f>
        <v>780.11900000000003</v>
      </c>
      <c r="N61" s="334">
        <f>H61+H62</f>
        <v>684.76900000000001</v>
      </c>
      <c r="O61" s="334">
        <f t="shared" ref="O61" si="36">M61-N61</f>
        <v>95.350000000000023</v>
      </c>
      <c r="P61" s="375">
        <f t="shared" ref="P61" si="37">N61/M61</f>
        <v>0.87777505739508965</v>
      </c>
      <c r="Q61" s="161"/>
      <c r="R61" s="161"/>
      <c r="S61" s="161"/>
      <c r="T61" s="162"/>
      <c r="U61" s="162"/>
      <c r="V61" s="162"/>
      <c r="W61" s="162"/>
      <c r="X61" s="162"/>
      <c r="Y61" s="162"/>
      <c r="Z61" s="162"/>
      <c r="AA61" s="162"/>
      <c r="AB61" s="162"/>
      <c r="AC61" s="162"/>
      <c r="AD61" s="162"/>
      <c r="AE61" s="162"/>
      <c r="AF61" s="162"/>
    </row>
    <row r="62" spans="2:32">
      <c r="B62" s="380"/>
      <c r="C62" s="392"/>
      <c r="D62" s="222" t="s">
        <v>33</v>
      </c>
      <c r="E62" s="218">
        <v>0</v>
      </c>
      <c r="F62" s="218">
        <f>-95.755-5.541-5.541-11.082-11.082-11.082-11.082-110.82-55.41+131.329+55.41+55.41+55.41+55.41+110.82+150+131.33</f>
        <v>427.72400000000005</v>
      </c>
      <c r="G62" s="221">
        <f>E62+F62+I61</f>
        <v>780.11900000000003</v>
      </c>
      <c r="H62" s="289">
        <v>684.76900000000001</v>
      </c>
      <c r="I62" s="221">
        <f t="shared" si="14"/>
        <v>95.350000000000023</v>
      </c>
      <c r="J62" s="223">
        <f>H62/G62</f>
        <v>0.87777505739508965</v>
      </c>
      <c r="K62" s="334"/>
      <c r="L62" s="334"/>
      <c r="M62" s="334"/>
      <c r="N62" s="334"/>
      <c r="O62" s="334"/>
      <c r="P62" s="375"/>
      <c r="Q62" s="161"/>
      <c r="R62" s="161"/>
      <c r="S62" s="161"/>
      <c r="T62" s="162"/>
      <c r="U62" s="162"/>
      <c r="V62" s="162"/>
      <c r="W62" s="162"/>
      <c r="X62" s="162"/>
      <c r="Y62" s="162"/>
      <c r="Z62" s="162"/>
      <c r="AA62" s="162"/>
      <c r="AB62" s="162"/>
      <c r="AC62" s="162"/>
      <c r="AD62" s="162"/>
      <c r="AE62" s="162"/>
      <c r="AF62" s="162"/>
    </row>
    <row r="63" spans="2:32">
      <c r="B63" s="380"/>
      <c r="C63" s="391" t="s">
        <v>574</v>
      </c>
      <c r="D63" s="222" t="s">
        <v>30</v>
      </c>
      <c r="E63" s="221">
        <v>249.34399999999999</v>
      </c>
      <c r="F63" s="221"/>
      <c r="G63" s="221">
        <f>E63+F63</f>
        <v>249.34399999999999</v>
      </c>
      <c r="H63" s="221"/>
      <c r="I63" s="221">
        <f t="shared" si="14"/>
        <v>249.34399999999999</v>
      </c>
      <c r="J63" s="223">
        <f t="shared" si="19"/>
        <v>0</v>
      </c>
      <c r="K63" s="334">
        <f>E63+E64</f>
        <v>332.45870000000002</v>
      </c>
      <c r="L63" s="334">
        <f>F63+F64</f>
        <v>-332.4588</v>
      </c>
      <c r="M63" s="334">
        <f t="shared" ref="M63" si="38">K63+L63</f>
        <v>-9.9999999974897946E-5</v>
      </c>
      <c r="N63" s="334">
        <f>H63+H64</f>
        <v>0</v>
      </c>
      <c r="O63" s="334">
        <f t="shared" ref="O63" si="39">M63-N63</f>
        <v>-9.9999999974897946E-5</v>
      </c>
      <c r="P63" s="375">
        <f t="shared" ref="P63" si="40">N63/M63</f>
        <v>0</v>
      </c>
      <c r="Q63" s="161"/>
      <c r="R63" s="161"/>
      <c r="S63" s="161"/>
      <c r="T63" s="162"/>
      <c r="U63" s="162"/>
      <c r="V63" s="162"/>
      <c r="W63" s="162"/>
      <c r="X63" s="162"/>
      <c r="Y63" s="162"/>
      <c r="Z63" s="162"/>
      <c r="AA63" s="162"/>
      <c r="AB63" s="162"/>
      <c r="AC63" s="162"/>
      <c r="AD63" s="162"/>
      <c r="AE63" s="162"/>
      <c r="AF63" s="162"/>
    </row>
    <row r="64" spans="2:32">
      <c r="B64" s="380"/>
      <c r="C64" s="392"/>
      <c r="D64" s="222" t="s">
        <v>33</v>
      </c>
      <c r="E64" s="221">
        <v>83.114699999999999</v>
      </c>
      <c r="F64" s="221">
        <f>-33.2459-33.2459-44.3278-110.8196-110.8196</f>
        <v>-332.4588</v>
      </c>
      <c r="G64" s="221">
        <f>E64+F64+I63</f>
        <v>-1.0000000000331966E-4</v>
      </c>
      <c r="H64" s="221"/>
      <c r="I64" s="221">
        <f t="shared" si="14"/>
        <v>-1.0000000000331966E-4</v>
      </c>
      <c r="J64" s="223">
        <f>H64/G64</f>
        <v>0</v>
      </c>
      <c r="K64" s="334"/>
      <c r="L64" s="334"/>
      <c r="M64" s="334"/>
      <c r="N64" s="334"/>
      <c r="O64" s="334"/>
      <c r="P64" s="375"/>
      <c r="Q64" s="161"/>
      <c r="R64" s="161"/>
      <c r="S64" s="161"/>
      <c r="T64" s="162"/>
      <c r="U64" s="162"/>
      <c r="V64" s="162"/>
      <c r="W64" s="162"/>
      <c r="X64" s="162"/>
      <c r="Y64" s="162"/>
      <c r="Z64" s="162"/>
      <c r="AA64" s="162"/>
      <c r="AB64" s="162"/>
      <c r="AC64" s="162"/>
      <c r="AD64" s="162"/>
      <c r="AE64" s="162"/>
      <c r="AF64" s="162"/>
    </row>
    <row r="65" spans="2:32">
      <c r="B65" s="380"/>
      <c r="C65" s="373" t="s">
        <v>682</v>
      </c>
      <c r="D65" s="305" t="s">
        <v>30</v>
      </c>
      <c r="E65" s="306">
        <v>0</v>
      </c>
      <c r="F65" s="306"/>
      <c r="G65" s="306">
        <f>E65+F65</f>
        <v>0</v>
      </c>
      <c r="H65" s="306"/>
      <c r="I65" s="306">
        <f t="shared" si="14"/>
        <v>0</v>
      </c>
      <c r="J65" s="468" t="e">
        <f t="shared" ref="J65:J66" si="41">H65/G65</f>
        <v>#DIV/0!</v>
      </c>
      <c r="K65" s="363">
        <f>E65+E66</f>
        <v>0</v>
      </c>
      <c r="L65" s="363">
        <f>F65+F66</f>
        <v>155.16730999999999</v>
      </c>
      <c r="M65" s="363">
        <f t="shared" ref="M65" si="42">K65+L65</f>
        <v>155.16730999999999</v>
      </c>
      <c r="N65" s="363">
        <f>H65+H66</f>
        <v>0</v>
      </c>
      <c r="O65" s="363">
        <f t="shared" ref="O65" si="43">M65-N65</f>
        <v>155.16730999999999</v>
      </c>
      <c r="P65" s="469">
        <f t="shared" ref="P65" si="44">N65/M65</f>
        <v>0</v>
      </c>
      <c r="Q65" s="161"/>
      <c r="R65" s="161"/>
      <c r="S65" s="161"/>
      <c r="T65" s="162"/>
      <c r="U65" s="162"/>
      <c r="V65" s="162"/>
      <c r="W65" s="162"/>
      <c r="X65" s="162"/>
      <c r="Y65" s="162"/>
      <c r="Z65" s="162"/>
      <c r="AA65" s="162"/>
      <c r="AB65" s="162"/>
      <c r="AC65" s="162"/>
      <c r="AD65" s="162"/>
      <c r="AE65" s="162"/>
      <c r="AF65" s="162"/>
    </row>
    <row r="66" spans="2:32">
      <c r="B66" s="380"/>
      <c r="C66" s="374"/>
      <c r="D66" s="305" t="s">
        <v>33</v>
      </c>
      <c r="E66" s="306">
        <v>0</v>
      </c>
      <c r="F66" s="306">
        <f>155.16731</f>
        <v>155.16730999999999</v>
      </c>
      <c r="G66" s="306">
        <f>E66+F66+I65</f>
        <v>155.16730999999999</v>
      </c>
      <c r="H66" s="306"/>
      <c r="I66" s="306">
        <f t="shared" si="14"/>
        <v>155.16730999999999</v>
      </c>
      <c r="J66" s="468">
        <f t="shared" si="41"/>
        <v>0</v>
      </c>
      <c r="K66" s="363"/>
      <c r="L66" s="363"/>
      <c r="M66" s="363"/>
      <c r="N66" s="363"/>
      <c r="O66" s="363"/>
      <c r="P66" s="469"/>
      <c r="Q66" s="161"/>
      <c r="R66" s="161"/>
      <c r="S66" s="161"/>
      <c r="T66" s="162"/>
      <c r="U66" s="162"/>
      <c r="V66" s="162"/>
      <c r="W66" s="162"/>
      <c r="X66" s="162"/>
      <c r="Y66" s="162"/>
      <c r="Z66" s="162"/>
      <c r="AA66" s="162"/>
      <c r="AB66" s="162"/>
      <c r="AC66" s="162"/>
      <c r="AD66" s="162"/>
      <c r="AE66" s="162"/>
      <c r="AF66" s="162"/>
    </row>
    <row r="67" spans="2:32">
      <c r="B67" s="380"/>
      <c r="C67" s="382" t="s">
        <v>87</v>
      </c>
      <c r="D67" s="105" t="s">
        <v>30</v>
      </c>
      <c r="E67" s="167">
        <f>E7+E9+E11+E13+E15+E17+E19+E21+E23+E25+E27+E29+E31+E33+E35+E37+E39+E41+E43+E45+E47+E49+E51+E53+E55+E57+E59+E61+E63</f>
        <v>16622.932199999996</v>
      </c>
      <c r="F67" s="167">
        <f>F7+F9+F11+F13+F15+F17+F19+F21+F23+F25+F27+F29+F31+F33+F35+F37+F39+F41+F43+F45+F47+F49+F51+F53+F55+F57+F59+F61+F63+F65</f>
        <v>35.000000000000114</v>
      </c>
      <c r="G67" s="167">
        <f>E67+F67</f>
        <v>16657.932199999996</v>
      </c>
      <c r="H67" s="167">
        <f>H7+H9+H11+H13+H15+H17+H19+H21+H23+H25+H27+H29+H31+H33+H35+H37+H39+H41+H43+H45+H47+H49+H51+H53+H55+H57+H59+H61+H63</f>
        <v>11946.278999999997</v>
      </c>
      <c r="I67" s="167">
        <f>G67-H67</f>
        <v>4711.6531999999988</v>
      </c>
      <c r="J67" s="168">
        <f>H67/G67</f>
        <v>0.71715257671657473</v>
      </c>
      <c r="K67" s="389">
        <f>E67+E68</f>
        <v>22163.910399999997</v>
      </c>
      <c r="L67" s="389">
        <f>F67+F68</f>
        <v>904.50000000000011</v>
      </c>
      <c r="M67" s="389">
        <f>K67+L67</f>
        <v>23068.410399999997</v>
      </c>
      <c r="N67" s="389">
        <f>H67+H68</f>
        <v>21057.030999999999</v>
      </c>
      <c r="O67" s="389">
        <f>M67-N67</f>
        <v>2011.379399999998</v>
      </c>
      <c r="P67" s="390">
        <f>N67/M67</f>
        <v>0.91280806240554835</v>
      </c>
    </row>
    <row r="68" spans="2:32">
      <c r="B68" s="381"/>
      <c r="C68" s="383"/>
      <c r="D68" s="105" t="s">
        <v>33</v>
      </c>
      <c r="E68" s="167">
        <f>E8+E10+E12+E14+E16+E18+E20+E22+E24+E26+E28+E30+E32+E34+E36+E38+E40+E42+E44+E46+E48+E50+E52+E54+E56+E58+E60+E62+E64</f>
        <v>5540.9782000000005</v>
      </c>
      <c r="F68" s="167">
        <f>F8+F10+F12+F14+F16+F18+F20+F22+F24+F26+F28+F30+F32+F34+F36+F38+F40+F42+F44+F46+F48+F50+F52+F54+F56+F58+F60+F62+F64+F66</f>
        <v>869.5</v>
      </c>
      <c r="G68" s="167">
        <f>E68+F68+G67</f>
        <v>23068.410399999997</v>
      </c>
      <c r="H68" s="167">
        <f>H8+H10+H12+H14+H16+H18+H20+H22+H24+H26+H28+H30+H32+H34+H36+H38+H40+H42+H44+H46+H48+H50+H52+H54+H56+H58+H60+H62+H64</f>
        <v>9110.7520000000022</v>
      </c>
      <c r="I68" s="167">
        <f>G68-H68</f>
        <v>13957.658399999995</v>
      </c>
      <c r="J68" s="168">
        <f>H68/G68</f>
        <v>0.39494494167660565</v>
      </c>
      <c r="K68" s="389"/>
      <c r="L68" s="389"/>
      <c r="M68" s="389"/>
      <c r="N68" s="389"/>
      <c r="O68" s="389"/>
      <c r="P68" s="390"/>
    </row>
    <row r="69" spans="2:32" ht="19.899999999999999" customHeight="1">
      <c r="F69" s="166"/>
    </row>
    <row r="70" spans="2:32" ht="19.899999999999999" customHeight="1"/>
    <row r="71" spans="2:32" ht="12" customHeight="1"/>
    <row r="72" spans="2:32" ht="12" customHeight="1"/>
    <row r="73" spans="2:32" ht="12" customHeight="1"/>
    <row r="74" spans="2:32" ht="12" customHeight="1"/>
    <row r="75" spans="2:32" ht="12" customHeight="1"/>
    <row r="76" spans="2:32" ht="12" customHeight="1"/>
    <row r="77" spans="2:32" ht="12" customHeight="1"/>
    <row r="78" spans="2:32" ht="12" customHeight="1"/>
    <row r="79" spans="2:32" ht="12" customHeight="1"/>
    <row r="80" spans="2:32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9.899999999999999" customHeight="1"/>
    <row r="93" ht="19.899999999999999" customHeight="1"/>
    <row r="94" ht="19.899999999999999" customHeight="1"/>
    <row r="95" ht="19.899999999999999" customHeight="1"/>
    <row r="96" ht="19.899999999999999" customHeight="1"/>
    <row r="97" ht="19.899999999999999" customHeight="1"/>
    <row r="98" ht="19.899999999999999" customHeight="1"/>
    <row r="99" ht="19.899999999999999" customHeight="1"/>
    <row r="100" ht="19.899999999999999" customHeight="1"/>
    <row r="101" ht="19.899999999999999" customHeight="1"/>
    <row r="102" ht="19.899999999999999" customHeight="1"/>
    <row r="103" ht="19.899999999999999" customHeight="1"/>
    <row r="104" ht="19.899999999999999" customHeight="1"/>
    <row r="105" ht="19.899999999999999" customHeight="1"/>
    <row r="106" ht="19.899999999999999" customHeight="1"/>
    <row r="107" ht="19.899999999999999" customHeight="1"/>
    <row r="108" ht="19.899999999999999" customHeight="1"/>
    <row r="109" ht="19.899999999999999" customHeight="1"/>
    <row r="110" ht="19.899999999999999" customHeight="1"/>
    <row r="111" ht="19.899999999999999" customHeight="1"/>
    <row r="112" ht="19.899999999999999" customHeight="1"/>
    <row r="113" ht="19.899999999999999" customHeight="1"/>
    <row r="114" ht="19.899999999999999" customHeight="1"/>
    <row r="115" ht="19.899999999999999" customHeight="1"/>
  </sheetData>
  <mergeCells count="220">
    <mergeCell ref="N57:N58"/>
    <mergeCell ref="O57:O58"/>
    <mergeCell ref="P57:P58"/>
    <mergeCell ref="C59:C60"/>
    <mergeCell ref="C61:C62"/>
    <mergeCell ref="C53:C54"/>
    <mergeCell ref="K53:K54"/>
    <mergeCell ref="L53:L54"/>
    <mergeCell ref="M53:M54"/>
    <mergeCell ref="N53:N54"/>
    <mergeCell ref="O53:O54"/>
    <mergeCell ref="P53:P54"/>
    <mergeCell ref="K61:K62"/>
    <mergeCell ref="L61:L62"/>
    <mergeCell ref="M61:M62"/>
    <mergeCell ref="N61:N62"/>
    <mergeCell ref="O61:O62"/>
    <mergeCell ref="P61:P62"/>
    <mergeCell ref="M67:M68"/>
    <mergeCell ref="K67:K68"/>
    <mergeCell ref="L67:L68"/>
    <mergeCell ref="N67:N68"/>
    <mergeCell ref="P67:P68"/>
    <mergeCell ref="O67:O68"/>
    <mergeCell ref="C55:C56"/>
    <mergeCell ref="K55:K56"/>
    <mergeCell ref="L55:L56"/>
    <mergeCell ref="M55:M56"/>
    <mergeCell ref="N55:N56"/>
    <mergeCell ref="O55:O56"/>
    <mergeCell ref="P55:P56"/>
    <mergeCell ref="C57:C58"/>
    <mergeCell ref="K57:K58"/>
    <mergeCell ref="L57:L58"/>
    <mergeCell ref="M57:M58"/>
    <mergeCell ref="C63:C64"/>
    <mergeCell ref="K59:K60"/>
    <mergeCell ref="L59:L60"/>
    <mergeCell ref="M59:M60"/>
    <mergeCell ref="N59:N60"/>
    <mergeCell ref="O59:O60"/>
    <mergeCell ref="P59:P60"/>
    <mergeCell ref="B2:P2"/>
    <mergeCell ref="C15:C16"/>
    <mergeCell ref="K15:K16"/>
    <mergeCell ref="L15:L16"/>
    <mergeCell ref="M15:M16"/>
    <mergeCell ref="N15:N16"/>
    <mergeCell ref="O15:O16"/>
    <mergeCell ref="P15:P16"/>
    <mergeCell ref="C13:C14"/>
    <mergeCell ref="K13:K14"/>
    <mergeCell ref="L13:L14"/>
    <mergeCell ref="M13:M14"/>
    <mergeCell ref="N13:N14"/>
    <mergeCell ref="O13:O14"/>
    <mergeCell ref="P13:P14"/>
    <mergeCell ref="P11:P12"/>
    <mergeCell ref="C9:C10"/>
    <mergeCell ref="K11:K12"/>
    <mergeCell ref="N7:N8"/>
    <mergeCell ref="O7:O8"/>
    <mergeCell ref="K7:K8"/>
    <mergeCell ref="P7:P8"/>
    <mergeCell ref="P9:P10"/>
    <mergeCell ref="C7:C8"/>
    <mergeCell ref="L19:L20"/>
    <mergeCell ref="M19:M20"/>
    <mergeCell ref="N19:N20"/>
    <mergeCell ref="O19:O20"/>
    <mergeCell ref="P19:P20"/>
    <mergeCell ref="C17:C18"/>
    <mergeCell ref="K17:K18"/>
    <mergeCell ref="L17:L18"/>
    <mergeCell ref="M17:M18"/>
    <mergeCell ref="N17:N18"/>
    <mergeCell ref="O17:O18"/>
    <mergeCell ref="K9:K10"/>
    <mergeCell ref="L9:L10"/>
    <mergeCell ref="M9:M10"/>
    <mergeCell ref="N9:N10"/>
    <mergeCell ref="O9:O10"/>
    <mergeCell ref="P21:P22"/>
    <mergeCell ref="C23:C24"/>
    <mergeCell ref="K23:K24"/>
    <mergeCell ref="L23:L24"/>
    <mergeCell ref="M23:M24"/>
    <mergeCell ref="N23:N24"/>
    <mergeCell ref="O23:O24"/>
    <mergeCell ref="P23:P24"/>
    <mergeCell ref="C21:C22"/>
    <mergeCell ref="K21:K22"/>
    <mergeCell ref="L21:L22"/>
    <mergeCell ref="M21:M22"/>
    <mergeCell ref="N21:N22"/>
    <mergeCell ref="O21:O22"/>
    <mergeCell ref="N11:N12"/>
    <mergeCell ref="O11:O12"/>
    <mergeCell ref="P17:P18"/>
    <mergeCell ref="C19:C20"/>
    <mergeCell ref="K19:K20"/>
    <mergeCell ref="P27:P28"/>
    <mergeCell ref="C29:C30"/>
    <mergeCell ref="K29:K30"/>
    <mergeCell ref="L29:L30"/>
    <mergeCell ref="M29:M30"/>
    <mergeCell ref="N29:N30"/>
    <mergeCell ref="O29:O30"/>
    <mergeCell ref="P29:P30"/>
    <mergeCell ref="C27:C28"/>
    <mergeCell ref="K27:K28"/>
    <mergeCell ref="L27:L28"/>
    <mergeCell ref="M27:M28"/>
    <mergeCell ref="N27:N28"/>
    <mergeCell ref="O27:O28"/>
    <mergeCell ref="P31:P32"/>
    <mergeCell ref="C33:C34"/>
    <mergeCell ref="K33:K34"/>
    <mergeCell ref="L33:L34"/>
    <mergeCell ref="M33:M34"/>
    <mergeCell ref="N33:N34"/>
    <mergeCell ref="O33:O34"/>
    <mergeCell ref="P33:P34"/>
    <mergeCell ref="C31:C32"/>
    <mergeCell ref="K31:K32"/>
    <mergeCell ref="L31:L32"/>
    <mergeCell ref="M31:M32"/>
    <mergeCell ref="N31:N32"/>
    <mergeCell ref="O31:O32"/>
    <mergeCell ref="L41:L42"/>
    <mergeCell ref="M41:M42"/>
    <mergeCell ref="N41:N42"/>
    <mergeCell ref="O41:O42"/>
    <mergeCell ref="N39:N40"/>
    <mergeCell ref="O39:O40"/>
    <mergeCell ref="P39:P40"/>
    <mergeCell ref="P35:P36"/>
    <mergeCell ref="C37:C38"/>
    <mergeCell ref="K37:K38"/>
    <mergeCell ref="L37:L38"/>
    <mergeCell ref="M37:M38"/>
    <mergeCell ref="N37:N38"/>
    <mergeCell ref="O37:O38"/>
    <mergeCell ref="P37:P38"/>
    <mergeCell ref="C35:C36"/>
    <mergeCell ref="K35:K36"/>
    <mergeCell ref="L35:L36"/>
    <mergeCell ref="M35:M36"/>
    <mergeCell ref="N35:N36"/>
    <mergeCell ref="O35:O36"/>
    <mergeCell ref="L25:L26"/>
    <mergeCell ref="M25:M26"/>
    <mergeCell ref="N25:N26"/>
    <mergeCell ref="O25:O26"/>
    <mergeCell ref="P25:P26"/>
    <mergeCell ref="N47:N48"/>
    <mergeCell ref="O47:O48"/>
    <mergeCell ref="P47:P48"/>
    <mergeCell ref="C45:C46"/>
    <mergeCell ref="K45:K46"/>
    <mergeCell ref="L45:L46"/>
    <mergeCell ref="M45:M46"/>
    <mergeCell ref="N45:N46"/>
    <mergeCell ref="O45:O46"/>
    <mergeCell ref="P41:P42"/>
    <mergeCell ref="C43:C44"/>
    <mergeCell ref="K43:K44"/>
    <mergeCell ref="L43:L44"/>
    <mergeCell ref="M43:M44"/>
    <mergeCell ref="N43:N44"/>
    <mergeCell ref="O43:O44"/>
    <mergeCell ref="P43:P44"/>
    <mergeCell ref="C41:C42"/>
    <mergeCell ref="K41:K42"/>
    <mergeCell ref="L49:L50"/>
    <mergeCell ref="M49:M50"/>
    <mergeCell ref="N49:N50"/>
    <mergeCell ref="O49:O50"/>
    <mergeCell ref="P45:P46"/>
    <mergeCell ref="C47:C48"/>
    <mergeCell ref="K47:K48"/>
    <mergeCell ref="L47:L48"/>
    <mergeCell ref="M47:M48"/>
    <mergeCell ref="B3:P3"/>
    <mergeCell ref="B7:B68"/>
    <mergeCell ref="C67:C68"/>
    <mergeCell ref="C11:C12"/>
    <mergeCell ref="K51:K52"/>
    <mergeCell ref="L51:L52"/>
    <mergeCell ref="M51:M52"/>
    <mergeCell ref="C39:C40"/>
    <mergeCell ref="K39:K40"/>
    <mergeCell ref="L39:L40"/>
    <mergeCell ref="M39:M40"/>
    <mergeCell ref="L7:L8"/>
    <mergeCell ref="M7:M8"/>
    <mergeCell ref="L11:L12"/>
    <mergeCell ref="M11:M12"/>
    <mergeCell ref="C25:C26"/>
    <mergeCell ref="K25:K26"/>
    <mergeCell ref="N51:N52"/>
    <mergeCell ref="O51:O52"/>
    <mergeCell ref="P51:P52"/>
    <mergeCell ref="C51:C52"/>
    <mergeCell ref="P49:P50"/>
    <mergeCell ref="C49:C50"/>
    <mergeCell ref="K49:K50"/>
    <mergeCell ref="C65:C66"/>
    <mergeCell ref="K65:K66"/>
    <mergeCell ref="L65:L66"/>
    <mergeCell ref="M65:M66"/>
    <mergeCell ref="N65:N66"/>
    <mergeCell ref="O65:O66"/>
    <mergeCell ref="P65:P66"/>
    <mergeCell ref="K63:K64"/>
    <mergeCell ref="L63:L64"/>
    <mergeCell ref="M63:M64"/>
    <mergeCell ref="N63:N64"/>
    <mergeCell ref="O63:O64"/>
    <mergeCell ref="P63:P64"/>
  </mergeCells>
  <pageMargins left="0.7" right="0.7" top="0.75" bottom="0.75" header="0.3" footer="0.3"/>
  <pageSetup paperSize="172" orientation="portrait" r:id="rId1"/>
  <ignoredErrors>
    <ignoredError sqref="G12" formula="1"/>
  </ignoredError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H52"/>
  <sheetViews>
    <sheetView showGridLines="0" workbookViewId="0">
      <selection activeCell="J7" sqref="J7:J52"/>
    </sheetView>
  </sheetViews>
  <sheetFormatPr baseColWidth="10" defaultColWidth="11.5703125" defaultRowHeight="12"/>
  <cols>
    <col min="1" max="1" width="11.5703125" style="89"/>
    <col min="2" max="2" width="6.28515625" style="89" bestFit="1" customWidth="1"/>
    <col min="3" max="3" width="11.7109375" style="89" bestFit="1" customWidth="1"/>
    <col min="4" max="4" width="13.42578125" style="89" bestFit="1" customWidth="1"/>
    <col min="5" max="5" width="6.140625" style="205" bestFit="1" customWidth="1"/>
    <col min="6" max="6" width="7" style="89" bestFit="1" customWidth="1"/>
    <col min="7" max="7" width="10.140625" style="89" bestFit="1" customWidth="1"/>
    <col min="8" max="8" width="9.85546875" style="89" bestFit="1" customWidth="1"/>
    <col min="9" max="9" width="17" style="89" bestFit="1" customWidth="1"/>
    <col min="10" max="10" width="11.7109375" style="89" bestFit="1" customWidth="1"/>
    <col min="11" max="11" width="9.7109375" style="89" bestFit="1" customWidth="1"/>
    <col min="12" max="12" width="9.85546875" style="89" bestFit="1" customWidth="1"/>
    <col min="13" max="13" width="11.5703125" style="89"/>
    <col min="14" max="14" width="14.85546875" style="89" customWidth="1"/>
    <col min="15" max="16384" width="11.5703125" style="89"/>
  </cols>
  <sheetData>
    <row r="1" spans="2:34" s="192" customFormat="1" ht="12.75" thickBot="1">
      <c r="E1" s="203"/>
    </row>
    <row r="2" spans="2:34" ht="20.100000000000001" customHeight="1">
      <c r="B2" s="400" t="s">
        <v>363</v>
      </c>
      <c r="C2" s="401"/>
      <c r="D2" s="401"/>
      <c r="E2" s="401"/>
      <c r="F2" s="401"/>
      <c r="G2" s="401"/>
      <c r="H2" s="401"/>
      <c r="I2" s="401"/>
      <c r="J2" s="401"/>
      <c r="K2" s="401"/>
      <c r="L2" s="40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  <c r="AA2" s="192"/>
      <c r="AB2" s="192"/>
      <c r="AC2" s="192"/>
      <c r="AD2" s="192"/>
      <c r="AE2" s="192"/>
      <c r="AF2" s="192"/>
      <c r="AG2" s="192"/>
      <c r="AH2" s="192"/>
    </row>
    <row r="3" spans="2:34" ht="20.100000000000001" customHeight="1" thickBot="1">
      <c r="B3" s="403">
        <f>RESUMEN!C4</f>
        <v>44561</v>
      </c>
      <c r="C3" s="404"/>
      <c r="D3" s="404"/>
      <c r="E3" s="404"/>
      <c r="F3" s="404"/>
      <c r="G3" s="404"/>
      <c r="H3" s="404"/>
      <c r="I3" s="404"/>
      <c r="J3" s="404"/>
      <c r="K3" s="404"/>
      <c r="L3" s="405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2"/>
      <c r="AG3" s="192"/>
      <c r="AH3" s="192"/>
    </row>
    <row r="6" spans="2:34" s="204" customFormat="1">
      <c r="B6" s="206" t="s">
        <v>68</v>
      </c>
      <c r="C6" s="206" t="s">
        <v>551</v>
      </c>
      <c r="D6" s="206" t="s">
        <v>337</v>
      </c>
      <c r="E6" s="206" t="s">
        <v>334</v>
      </c>
      <c r="F6" s="206" t="s">
        <v>525</v>
      </c>
      <c r="G6" s="206" t="s">
        <v>552</v>
      </c>
      <c r="H6" s="206" t="s">
        <v>553</v>
      </c>
      <c r="I6" s="206" t="s">
        <v>501</v>
      </c>
      <c r="J6" s="206" t="s">
        <v>527</v>
      </c>
      <c r="K6" s="206" t="s">
        <v>502</v>
      </c>
      <c r="L6" s="206" t="s">
        <v>554</v>
      </c>
      <c r="N6" s="206" t="s">
        <v>338</v>
      </c>
    </row>
    <row r="7" spans="2:34">
      <c r="B7" s="259" t="s">
        <v>550</v>
      </c>
      <c r="C7" s="259">
        <v>6</v>
      </c>
      <c r="D7" s="260" t="s">
        <v>549</v>
      </c>
      <c r="E7" s="259">
        <v>969496</v>
      </c>
      <c r="F7" s="262" t="s">
        <v>38</v>
      </c>
      <c r="G7" s="263">
        <v>5</v>
      </c>
      <c r="H7" s="263"/>
      <c r="I7" s="263">
        <f>G7+H7</f>
        <v>5</v>
      </c>
      <c r="J7" s="289">
        <v>5.18</v>
      </c>
      <c r="K7" s="263">
        <f>I7-J7</f>
        <v>-0.17999999999999972</v>
      </c>
      <c r="L7" s="251">
        <f>J7/I7</f>
        <v>1.036</v>
      </c>
      <c r="N7" s="214">
        <f>SUM(G7:G52)</f>
        <v>561.1</v>
      </c>
    </row>
    <row r="8" spans="2:34">
      <c r="B8" s="406" t="s">
        <v>550</v>
      </c>
      <c r="C8" s="394">
        <v>36</v>
      </c>
      <c r="D8" s="213" t="s">
        <v>561</v>
      </c>
      <c r="E8" s="211">
        <v>968869</v>
      </c>
      <c r="F8" s="406" t="s">
        <v>38</v>
      </c>
      <c r="G8" s="214">
        <v>14.5</v>
      </c>
      <c r="H8" s="214"/>
      <c r="I8" s="263">
        <f t="shared" ref="I8:I18" si="0">G8+H8</f>
        <v>14.5</v>
      </c>
      <c r="J8" s="289">
        <v>14.5</v>
      </c>
      <c r="K8" s="263">
        <f t="shared" ref="K8:K18" si="1">I8-J8</f>
        <v>0</v>
      </c>
      <c r="L8" s="251">
        <f t="shared" ref="L8:L18" si="2">J8/I8</f>
        <v>1</v>
      </c>
    </row>
    <row r="9" spans="2:34">
      <c r="B9" s="407"/>
      <c r="C9" s="395"/>
      <c r="D9" s="213" t="s">
        <v>562</v>
      </c>
      <c r="E9" s="211">
        <v>902359</v>
      </c>
      <c r="F9" s="407"/>
      <c r="G9" s="214">
        <v>15</v>
      </c>
      <c r="H9" s="214"/>
      <c r="I9" s="263">
        <f t="shared" si="0"/>
        <v>15</v>
      </c>
      <c r="J9" s="289">
        <v>15</v>
      </c>
      <c r="K9" s="263">
        <f t="shared" si="1"/>
        <v>0</v>
      </c>
      <c r="L9" s="251">
        <f t="shared" si="2"/>
        <v>1</v>
      </c>
    </row>
    <row r="10" spans="2:34">
      <c r="B10" s="407"/>
      <c r="C10" s="395"/>
      <c r="D10" s="213" t="s">
        <v>563</v>
      </c>
      <c r="E10" s="211">
        <v>953713</v>
      </c>
      <c r="F10" s="407"/>
      <c r="G10" s="214">
        <v>15</v>
      </c>
      <c r="H10" s="214"/>
      <c r="I10" s="263">
        <f t="shared" si="0"/>
        <v>15</v>
      </c>
      <c r="J10" s="289">
        <v>12.866</v>
      </c>
      <c r="K10" s="263">
        <f t="shared" si="1"/>
        <v>2.1340000000000003</v>
      </c>
      <c r="L10" s="212">
        <f t="shared" si="2"/>
        <v>0.85773333333333335</v>
      </c>
    </row>
    <row r="11" spans="2:34">
      <c r="B11" s="408"/>
      <c r="C11" s="396"/>
      <c r="D11" s="213" t="s">
        <v>564</v>
      </c>
      <c r="E11" s="211">
        <v>967084</v>
      </c>
      <c r="F11" s="408"/>
      <c r="G11" s="214">
        <v>13</v>
      </c>
      <c r="H11" s="214"/>
      <c r="I11" s="263">
        <f t="shared" si="0"/>
        <v>13</v>
      </c>
      <c r="J11" s="289">
        <v>13</v>
      </c>
      <c r="K11" s="263">
        <f t="shared" si="1"/>
        <v>0</v>
      </c>
      <c r="L11" s="251">
        <f t="shared" si="2"/>
        <v>1</v>
      </c>
    </row>
    <row r="12" spans="2:34">
      <c r="B12" s="406" t="s">
        <v>550</v>
      </c>
      <c r="C12" s="394">
        <v>37</v>
      </c>
      <c r="D12" s="213" t="s">
        <v>564</v>
      </c>
      <c r="E12" s="211">
        <v>967084</v>
      </c>
      <c r="F12" s="406" t="s">
        <v>38</v>
      </c>
      <c r="G12" s="214">
        <v>5</v>
      </c>
      <c r="H12" s="214"/>
      <c r="I12" s="263">
        <f t="shared" si="0"/>
        <v>5</v>
      </c>
      <c r="J12" s="289">
        <v>1.5609999999999999</v>
      </c>
      <c r="K12" s="263">
        <f t="shared" si="1"/>
        <v>3.4390000000000001</v>
      </c>
      <c r="L12" s="212">
        <f t="shared" si="2"/>
        <v>0.31219999999999998</v>
      </c>
    </row>
    <row r="13" spans="2:34">
      <c r="B13" s="407"/>
      <c r="C13" s="395"/>
      <c r="D13" s="213" t="s">
        <v>565</v>
      </c>
      <c r="E13" s="211">
        <v>922562</v>
      </c>
      <c r="F13" s="407"/>
      <c r="G13" s="214">
        <v>10</v>
      </c>
      <c r="H13" s="214"/>
      <c r="I13" s="263">
        <f t="shared" si="0"/>
        <v>10</v>
      </c>
      <c r="J13" s="289">
        <v>8.4909999999999997</v>
      </c>
      <c r="K13" s="263">
        <f t="shared" si="1"/>
        <v>1.5090000000000003</v>
      </c>
      <c r="L13" s="212">
        <f t="shared" si="2"/>
        <v>0.84909999999999997</v>
      </c>
    </row>
    <row r="14" spans="2:34">
      <c r="B14" s="407"/>
      <c r="C14" s="395"/>
      <c r="D14" s="213" t="s">
        <v>566</v>
      </c>
      <c r="E14" s="211">
        <v>966009</v>
      </c>
      <c r="F14" s="407"/>
      <c r="G14" s="214">
        <v>18</v>
      </c>
      <c r="H14" s="214"/>
      <c r="I14" s="263">
        <f t="shared" si="0"/>
        <v>18</v>
      </c>
      <c r="J14" s="289">
        <v>18</v>
      </c>
      <c r="K14" s="263">
        <f t="shared" si="1"/>
        <v>0</v>
      </c>
      <c r="L14" s="251">
        <f t="shared" si="2"/>
        <v>1</v>
      </c>
    </row>
    <row r="15" spans="2:34">
      <c r="B15" s="407"/>
      <c r="C15" s="395"/>
      <c r="D15" s="213" t="s">
        <v>567</v>
      </c>
      <c r="E15" s="211">
        <v>960127</v>
      </c>
      <c r="F15" s="407"/>
      <c r="G15" s="214">
        <v>18</v>
      </c>
      <c r="H15" s="214"/>
      <c r="I15" s="263">
        <f t="shared" si="0"/>
        <v>18</v>
      </c>
      <c r="J15" s="289">
        <v>18</v>
      </c>
      <c r="K15" s="263">
        <f t="shared" si="1"/>
        <v>0</v>
      </c>
      <c r="L15" s="251">
        <f t="shared" si="2"/>
        <v>1</v>
      </c>
    </row>
    <row r="16" spans="2:34">
      <c r="B16" s="407"/>
      <c r="C16" s="395"/>
      <c r="D16" s="213" t="s">
        <v>568</v>
      </c>
      <c r="E16" s="211">
        <v>966319</v>
      </c>
      <c r="F16" s="407"/>
      <c r="G16" s="214">
        <v>15</v>
      </c>
      <c r="H16" s="214"/>
      <c r="I16" s="263">
        <f t="shared" si="0"/>
        <v>15</v>
      </c>
      <c r="J16" s="289">
        <v>8.3940000000000001</v>
      </c>
      <c r="K16" s="263">
        <f t="shared" si="1"/>
        <v>6.6059999999999999</v>
      </c>
      <c r="L16" s="212">
        <f t="shared" si="2"/>
        <v>0.55959999999999999</v>
      </c>
    </row>
    <row r="17" spans="2:12">
      <c r="B17" s="407"/>
      <c r="C17" s="395"/>
      <c r="D17" s="213" t="s">
        <v>569</v>
      </c>
      <c r="E17" s="211">
        <v>697455</v>
      </c>
      <c r="F17" s="407"/>
      <c r="G17" s="214">
        <v>10</v>
      </c>
      <c r="H17" s="214"/>
      <c r="I17" s="263">
        <f t="shared" si="0"/>
        <v>10</v>
      </c>
      <c r="J17" s="289">
        <v>5.1269999999999998</v>
      </c>
      <c r="K17" s="263">
        <f t="shared" si="1"/>
        <v>4.8730000000000002</v>
      </c>
      <c r="L17" s="212">
        <f t="shared" si="2"/>
        <v>0.51269999999999993</v>
      </c>
    </row>
    <row r="18" spans="2:12">
      <c r="B18" s="408"/>
      <c r="C18" s="396"/>
      <c r="D18" s="213" t="s">
        <v>570</v>
      </c>
      <c r="E18" s="211">
        <v>968992</v>
      </c>
      <c r="F18" s="408"/>
      <c r="G18" s="214">
        <v>10</v>
      </c>
      <c r="H18" s="214"/>
      <c r="I18" s="263">
        <f t="shared" si="0"/>
        <v>10</v>
      </c>
      <c r="J18" s="289">
        <v>10</v>
      </c>
      <c r="K18" s="263">
        <f t="shared" si="1"/>
        <v>0</v>
      </c>
      <c r="L18" s="251">
        <f t="shared" si="2"/>
        <v>1</v>
      </c>
    </row>
    <row r="19" spans="2:12">
      <c r="B19" s="250" t="s">
        <v>550</v>
      </c>
      <c r="C19" s="211">
        <v>64</v>
      </c>
      <c r="D19" s="261" t="s">
        <v>583</v>
      </c>
      <c r="E19" s="250">
        <v>966829</v>
      </c>
      <c r="F19" s="211" t="s">
        <v>38</v>
      </c>
      <c r="G19" s="264">
        <v>10</v>
      </c>
      <c r="H19" s="264"/>
      <c r="I19" s="263">
        <f>G19+H19</f>
        <v>10</v>
      </c>
      <c r="J19" s="289">
        <v>11.564</v>
      </c>
      <c r="K19" s="263">
        <f t="shared" ref="K19" si="3">I19-J19</f>
        <v>-1.5640000000000001</v>
      </c>
      <c r="L19" s="251">
        <f t="shared" ref="L19" si="4">J19/I19</f>
        <v>1.1564000000000001</v>
      </c>
    </row>
    <row r="20" spans="2:12">
      <c r="B20" s="250" t="s">
        <v>550</v>
      </c>
      <c r="C20" s="211">
        <v>67</v>
      </c>
      <c r="D20" s="261" t="s">
        <v>584</v>
      </c>
      <c r="E20" s="250">
        <v>966152</v>
      </c>
      <c r="F20" s="211" t="s">
        <v>38</v>
      </c>
      <c r="G20" s="264">
        <v>8</v>
      </c>
      <c r="H20" s="264"/>
      <c r="I20" s="263">
        <f>G20+H20</f>
        <v>8</v>
      </c>
      <c r="J20" s="289">
        <v>1.26</v>
      </c>
      <c r="K20" s="263">
        <f t="shared" ref="K20" si="5">I20-J20</f>
        <v>6.74</v>
      </c>
      <c r="L20" s="212">
        <f t="shared" ref="L20" si="6">J20/I20</f>
        <v>0.1575</v>
      </c>
    </row>
    <row r="21" spans="2:12">
      <c r="B21" s="250" t="s">
        <v>550</v>
      </c>
      <c r="C21" s="211">
        <v>75</v>
      </c>
      <c r="D21" s="261" t="s">
        <v>563</v>
      </c>
      <c r="E21" s="250">
        <v>953713</v>
      </c>
      <c r="F21" s="211" t="s">
        <v>38</v>
      </c>
      <c r="G21" s="264">
        <v>9.6</v>
      </c>
      <c r="H21" s="264"/>
      <c r="I21" s="263">
        <f>G21+H21</f>
        <v>9.6</v>
      </c>
      <c r="J21" s="289">
        <v>1.6519999999999999</v>
      </c>
      <c r="K21" s="263">
        <f t="shared" ref="K21" si="7">I21-J21</f>
        <v>7.9479999999999995</v>
      </c>
      <c r="L21" s="212">
        <f t="shared" ref="L21" si="8">J21/I21</f>
        <v>0.17208333333333334</v>
      </c>
    </row>
    <row r="22" spans="2:12">
      <c r="B22" s="250" t="s">
        <v>550</v>
      </c>
      <c r="C22" s="394">
        <v>80</v>
      </c>
      <c r="D22" s="213" t="s">
        <v>568</v>
      </c>
      <c r="E22" s="211">
        <v>966319</v>
      </c>
      <c r="F22" s="211" t="s">
        <v>38</v>
      </c>
      <c r="G22" s="264">
        <v>40</v>
      </c>
      <c r="H22" s="264"/>
      <c r="I22" s="263">
        <f t="shared" ref="I22:I23" si="9">G22+H22</f>
        <v>40</v>
      </c>
      <c r="J22" s="289">
        <v>13.188000000000001</v>
      </c>
      <c r="K22" s="263">
        <f t="shared" ref="K22:K24" si="10">I22-J22</f>
        <v>26.811999999999998</v>
      </c>
      <c r="L22" s="212">
        <f t="shared" ref="L22:L24" si="11">J22/I22</f>
        <v>0.32969999999999999</v>
      </c>
    </row>
    <row r="23" spans="2:12">
      <c r="B23" s="250" t="s">
        <v>550</v>
      </c>
      <c r="C23" s="396"/>
      <c r="D23" s="213" t="s">
        <v>564</v>
      </c>
      <c r="E23" s="211">
        <v>967084</v>
      </c>
      <c r="F23" s="211" t="s">
        <v>38</v>
      </c>
      <c r="G23" s="264">
        <v>9.9</v>
      </c>
      <c r="H23" s="264"/>
      <c r="I23" s="263">
        <f t="shared" si="9"/>
        <v>9.9</v>
      </c>
      <c r="J23" s="289"/>
      <c r="K23" s="263">
        <f t="shared" si="10"/>
        <v>9.9</v>
      </c>
      <c r="L23" s="212">
        <f t="shared" si="11"/>
        <v>0</v>
      </c>
    </row>
    <row r="24" spans="2:12">
      <c r="B24" s="250" t="s">
        <v>550</v>
      </c>
      <c r="C24" s="211">
        <v>81</v>
      </c>
      <c r="D24" s="261" t="s">
        <v>640</v>
      </c>
      <c r="E24" s="250">
        <v>954647</v>
      </c>
      <c r="F24" s="211" t="s">
        <v>38</v>
      </c>
      <c r="G24" s="264">
        <v>10</v>
      </c>
      <c r="H24" s="264"/>
      <c r="I24" s="263">
        <f>G24+H24</f>
        <v>10</v>
      </c>
      <c r="J24" s="289"/>
      <c r="K24" s="263">
        <f t="shared" si="10"/>
        <v>10</v>
      </c>
      <c r="L24" s="212">
        <f t="shared" si="11"/>
        <v>0</v>
      </c>
    </row>
    <row r="25" spans="2:12">
      <c r="B25" s="250" t="s">
        <v>550</v>
      </c>
      <c r="C25" s="211">
        <v>82</v>
      </c>
      <c r="D25" s="261" t="s">
        <v>641</v>
      </c>
      <c r="E25" s="250">
        <v>964694</v>
      </c>
      <c r="F25" s="211" t="s">
        <v>38</v>
      </c>
      <c r="G25" s="264">
        <v>5</v>
      </c>
      <c r="H25" s="264"/>
      <c r="I25" s="263">
        <f>G25+H25</f>
        <v>5</v>
      </c>
      <c r="J25" s="289">
        <v>1.54</v>
      </c>
      <c r="K25" s="263">
        <f>I25-J25</f>
        <v>3.46</v>
      </c>
      <c r="L25" s="212">
        <f t="shared" ref="L25" si="12">J25/I25</f>
        <v>0.308</v>
      </c>
    </row>
    <row r="26" spans="2:12">
      <c r="B26" s="250" t="s">
        <v>550</v>
      </c>
      <c r="C26" s="394">
        <v>83</v>
      </c>
      <c r="D26" s="261" t="s">
        <v>642</v>
      </c>
      <c r="E26" s="250">
        <v>959608</v>
      </c>
      <c r="F26" s="211" t="s">
        <v>38</v>
      </c>
      <c r="G26" s="264">
        <v>30</v>
      </c>
      <c r="H26" s="264"/>
      <c r="I26" s="263">
        <f t="shared" ref="I26:I27" si="13">G26+H26</f>
        <v>30</v>
      </c>
      <c r="J26" s="289">
        <v>7.524</v>
      </c>
      <c r="K26" s="263">
        <f t="shared" ref="K26:K28" si="14">I26-J26</f>
        <v>22.475999999999999</v>
      </c>
      <c r="L26" s="212">
        <f t="shared" ref="L26:L27" si="15">J26/I26</f>
        <v>0.25080000000000002</v>
      </c>
    </row>
    <row r="27" spans="2:12">
      <c r="B27" s="250" t="s">
        <v>550</v>
      </c>
      <c r="C27" s="396"/>
      <c r="D27" s="261" t="s">
        <v>643</v>
      </c>
      <c r="E27" s="250">
        <v>910104</v>
      </c>
      <c r="F27" s="211" t="s">
        <v>38</v>
      </c>
      <c r="G27" s="264">
        <v>20</v>
      </c>
      <c r="H27" s="264"/>
      <c r="I27" s="263">
        <f t="shared" si="13"/>
        <v>20</v>
      </c>
      <c r="J27" s="289"/>
      <c r="K27" s="263">
        <f t="shared" si="14"/>
        <v>20</v>
      </c>
      <c r="L27" s="212">
        <f t="shared" si="15"/>
        <v>0</v>
      </c>
    </row>
    <row r="28" spans="2:12">
      <c r="B28" s="250" t="s">
        <v>550</v>
      </c>
      <c r="C28" s="211">
        <v>84</v>
      </c>
      <c r="D28" s="261" t="s">
        <v>561</v>
      </c>
      <c r="E28" s="211">
        <v>968869</v>
      </c>
      <c r="F28" s="211" t="s">
        <v>38</v>
      </c>
      <c r="G28" s="264">
        <v>22</v>
      </c>
      <c r="H28" s="264"/>
      <c r="I28" s="263">
        <f>G28+H28</f>
        <v>22</v>
      </c>
      <c r="J28" s="289"/>
      <c r="K28" s="263">
        <f t="shared" si="14"/>
        <v>22</v>
      </c>
      <c r="L28" s="212">
        <f>J28/I28</f>
        <v>0</v>
      </c>
    </row>
    <row r="29" spans="2:12">
      <c r="B29" s="250" t="s">
        <v>550</v>
      </c>
      <c r="C29" s="211">
        <v>85</v>
      </c>
      <c r="D29" s="261" t="s">
        <v>644</v>
      </c>
      <c r="E29" s="211">
        <v>902750</v>
      </c>
      <c r="F29" s="211" t="s">
        <v>38</v>
      </c>
      <c r="G29" s="264">
        <v>9.5</v>
      </c>
      <c r="H29" s="264"/>
      <c r="I29" s="263">
        <f>G29+H29</f>
        <v>9.5</v>
      </c>
      <c r="J29" s="289">
        <v>9.5</v>
      </c>
      <c r="K29" s="263">
        <f>I29-J29</f>
        <v>0</v>
      </c>
      <c r="L29" s="251">
        <f>J29/I29</f>
        <v>1</v>
      </c>
    </row>
    <row r="30" spans="2:12">
      <c r="B30" s="211" t="s">
        <v>550</v>
      </c>
      <c r="C30" s="394">
        <v>86</v>
      </c>
      <c r="D30" s="213" t="s">
        <v>645</v>
      </c>
      <c r="E30" s="211">
        <v>954878</v>
      </c>
      <c r="F30" s="394" t="s">
        <v>38</v>
      </c>
      <c r="G30" s="397">
        <v>40</v>
      </c>
      <c r="H30" s="214"/>
      <c r="I30" s="397">
        <f>G30+H30+H31+H32</f>
        <v>40</v>
      </c>
      <c r="J30" s="289">
        <v>7.14</v>
      </c>
      <c r="K30" s="397">
        <f>I30-J30+J31+J32</f>
        <v>33.700000000000003</v>
      </c>
      <c r="L30" s="409">
        <f>(J30+J31+J32)/I30</f>
        <v>0.19949999999999998</v>
      </c>
    </row>
    <row r="31" spans="2:12">
      <c r="B31" s="211" t="s">
        <v>550</v>
      </c>
      <c r="C31" s="395"/>
      <c r="D31" s="213" t="s">
        <v>566</v>
      </c>
      <c r="E31" s="211">
        <v>966009</v>
      </c>
      <c r="F31" s="395"/>
      <c r="G31" s="398"/>
      <c r="H31" s="214"/>
      <c r="I31" s="398"/>
      <c r="J31" s="289">
        <v>0.84</v>
      </c>
      <c r="K31" s="398"/>
      <c r="L31" s="410"/>
    </row>
    <row r="32" spans="2:12">
      <c r="B32" s="211" t="s">
        <v>550</v>
      </c>
      <c r="C32" s="396"/>
      <c r="D32" s="213" t="s">
        <v>567</v>
      </c>
      <c r="E32" s="211">
        <v>960127</v>
      </c>
      <c r="F32" s="396"/>
      <c r="G32" s="399"/>
      <c r="H32" s="214"/>
      <c r="I32" s="399"/>
      <c r="J32" s="289"/>
      <c r="K32" s="399"/>
      <c r="L32" s="411"/>
    </row>
    <row r="33" spans="2:12">
      <c r="B33" s="211" t="s">
        <v>550</v>
      </c>
      <c r="C33" s="406">
        <v>88</v>
      </c>
      <c r="D33" s="261" t="s">
        <v>643</v>
      </c>
      <c r="E33" s="250">
        <v>910104</v>
      </c>
      <c r="F33" s="394" t="s">
        <v>38</v>
      </c>
      <c r="G33" s="264">
        <v>12</v>
      </c>
      <c r="H33" s="264"/>
      <c r="I33" s="264">
        <f>G33+H33</f>
        <v>12</v>
      </c>
      <c r="J33" s="290">
        <v>9.0440000000000005</v>
      </c>
      <c r="K33" s="264">
        <f>I33-J33</f>
        <v>2.9559999999999995</v>
      </c>
      <c r="L33" s="212">
        <f>J33/I33</f>
        <v>0.75366666666666671</v>
      </c>
    </row>
    <row r="34" spans="2:12">
      <c r="B34" s="211" t="s">
        <v>550</v>
      </c>
      <c r="C34" s="408"/>
      <c r="D34" s="261" t="s">
        <v>646</v>
      </c>
      <c r="E34" s="250">
        <v>6574</v>
      </c>
      <c r="F34" s="396"/>
      <c r="G34" s="264">
        <v>0</v>
      </c>
      <c r="H34" s="264"/>
      <c r="I34" s="264">
        <f>G34+H34</f>
        <v>0</v>
      </c>
      <c r="J34" s="290"/>
      <c r="K34" s="264">
        <f>I34-J34</f>
        <v>0</v>
      </c>
      <c r="L34" s="212">
        <v>0</v>
      </c>
    </row>
    <row r="35" spans="2:12">
      <c r="B35" s="250" t="s">
        <v>550</v>
      </c>
      <c r="C35" s="211">
        <v>89</v>
      </c>
      <c r="D35" s="261" t="s">
        <v>647</v>
      </c>
      <c r="E35" s="211">
        <v>960106</v>
      </c>
      <c r="F35" s="211" t="s">
        <v>38</v>
      </c>
      <c r="G35" s="264">
        <v>5</v>
      </c>
      <c r="H35" s="264"/>
      <c r="I35" s="263">
        <f>G35+H35</f>
        <v>5</v>
      </c>
      <c r="J35" s="289">
        <v>1.0640000000000001</v>
      </c>
      <c r="K35" s="263">
        <f>I35-J35</f>
        <v>3.9359999999999999</v>
      </c>
      <c r="L35" s="212">
        <f>J35/I35</f>
        <v>0.21280000000000002</v>
      </c>
    </row>
    <row r="36" spans="2:12">
      <c r="B36" s="250" t="s">
        <v>550</v>
      </c>
      <c r="C36" s="394">
        <v>91</v>
      </c>
      <c r="D36" s="261" t="s">
        <v>648</v>
      </c>
      <c r="E36" s="211">
        <v>697398</v>
      </c>
      <c r="F36" s="211" t="s">
        <v>38</v>
      </c>
      <c r="G36" s="264">
        <v>20</v>
      </c>
      <c r="H36" s="264"/>
      <c r="I36" s="263">
        <f t="shared" ref="I36:I40" si="16">G36+H36</f>
        <v>20</v>
      </c>
      <c r="J36" s="289">
        <v>3.7120000000000002</v>
      </c>
      <c r="K36" s="263">
        <f t="shared" ref="K36:K40" si="17">I36-J36</f>
        <v>16.288</v>
      </c>
      <c r="L36" s="212">
        <f t="shared" ref="L36:L40" si="18">J36/I36</f>
        <v>0.18560000000000001</v>
      </c>
    </row>
    <row r="37" spans="2:12">
      <c r="B37" s="250" t="s">
        <v>550</v>
      </c>
      <c r="C37" s="395"/>
      <c r="D37" s="261" t="s">
        <v>640</v>
      </c>
      <c r="E37" s="211">
        <v>954647</v>
      </c>
      <c r="F37" s="211" t="s">
        <v>38</v>
      </c>
      <c r="G37" s="264">
        <v>10</v>
      </c>
      <c r="H37" s="264"/>
      <c r="I37" s="263">
        <f t="shared" si="16"/>
        <v>10</v>
      </c>
      <c r="J37" s="289">
        <v>3.6619999999999999</v>
      </c>
      <c r="K37" s="263">
        <f t="shared" si="17"/>
        <v>6.3380000000000001</v>
      </c>
      <c r="L37" s="212">
        <f t="shared" si="18"/>
        <v>0.36619999999999997</v>
      </c>
    </row>
    <row r="38" spans="2:12">
      <c r="B38" s="250" t="s">
        <v>550</v>
      </c>
      <c r="C38" s="395"/>
      <c r="D38" s="261" t="s">
        <v>563</v>
      </c>
      <c r="E38" s="211">
        <v>953713</v>
      </c>
      <c r="F38" s="211" t="s">
        <v>38</v>
      </c>
      <c r="G38" s="264">
        <v>10</v>
      </c>
      <c r="H38" s="264"/>
      <c r="I38" s="263">
        <f t="shared" si="16"/>
        <v>10</v>
      </c>
      <c r="J38" s="289"/>
      <c r="K38" s="263">
        <f t="shared" si="17"/>
        <v>10</v>
      </c>
      <c r="L38" s="212">
        <f t="shared" si="18"/>
        <v>0</v>
      </c>
    </row>
    <row r="39" spans="2:12">
      <c r="B39" s="250" t="s">
        <v>550</v>
      </c>
      <c r="C39" s="395"/>
      <c r="D39" s="261" t="s">
        <v>562</v>
      </c>
      <c r="E39" s="211">
        <v>902359</v>
      </c>
      <c r="F39" s="211" t="s">
        <v>38</v>
      </c>
      <c r="G39" s="264">
        <v>10</v>
      </c>
      <c r="H39" s="264"/>
      <c r="I39" s="263">
        <f t="shared" si="16"/>
        <v>10</v>
      </c>
      <c r="J39" s="289">
        <v>4.2969999999999997</v>
      </c>
      <c r="K39" s="263">
        <f t="shared" si="17"/>
        <v>5.7030000000000003</v>
      </c>
      <c r="L39" s="212">
        <f t="shared" si="18"/>
        <v>0.42969999999999997</v>
      </c>
    </row>
    <row r="40" spans="2:12">
      <c r="B40" s="250" t="s">
        <v>550</v>
      </c>
      <c r="C40" s="396"/>
      <c r="D40" s="261" t="s">
        <v>569</v>
      </c>
      <c r="E40" s="211">
        <v>697455</v>
      </c>
      <c r="F40" s="211" t="s">
        <v>38</v>
      </c>
      <c r="G40" s="264">
        <v>10</v>
      </c>
      <c r="H40" s="264"/>
      <c r="I40" s="263">
        <f t="shared" si="16"/>
        <v>10</v>
      </c>
      <c r="J40" s="289"/>
      <c r="K40" s="263">
        <f t="shared" si="17"/>
        <v>10</v>
      </c>
      <c r="L40" s="212">
        <f t="shared" si="18"/>
        <v>0</v>
      </c>
    </row>
    <row r="41" spans="2:12">
      <c r="B41" s="250" t="s">
        <v>550</v>
      </c>
      <c r="C41" s="211">
        <v>92</v>
      </c>
      <c r="D41" s="261" t="s">
        <v>584</v>
      </c>
      <c r="E41" s="211">
        <v>966152</v>
      </c>
      <c r="F41" s="211" t="s">
        <v>38</v>
      </c>
      <c r="G41" s="264">
        <v>5</v>
      </c>
      <c r="H41" s="264"/>
      <c r="I41" s="263">
        <f>G41+H41</f>
        <v>5</v>
      </c>
      <c r="J41" s="289"/>
      <c r="K41" s="263">
        <f>I41-J41</f>
        <v>5</v>
      </c>
      <c r="L41" s="212">
        <f>J41/I41</f>
        <v>0</v>
      </c>
    </row>
    <row r="42" spans="2:12">
      <c r="B42" s="250" t="s">
        <v>550</v>
      </c>
      <c r="C42" s="394">
        <v>93</v>
      </c>
      <c r="D42" s="261" t="s">
        <v>649</v>
      </c>
      <c r="E42" s="211">
        <v>967590</v>
      </c>
      <c r="F42" s="211" t="s">
        <v>38</v>
      </c>
      <c r="G42" s="264">
        <v>2.6</v>
      </c>
      <c r="H42" s="264"/>
      <c r="I42" s="263">
        <f t="shared" ref="I42:I45" si="19">G42+H42</f>
        <v>2.6</v>
      </c>
      <c r="J42" s="289">
        <v>1.68</v>
      </c>
      <c r="K42" s="263">
        <f t="shared" ref="K42:K43" si="20">I42-J42</f>
        <v>0.92000000000000015</v>
      </c>
      <c r="L42" s="212">
        <f t="shared" ref="L42:L43" si="21">J42/I42</f>
        <v>0.64615384615384608</v>
      </c>
    </row>
    <row r="43" spans="2:12">
      <c r="B43" s="250" t="s">
        <v>550</v>
      </c>
      <c r="C43" s="396"/>
      <c r="D43" s="261" t="s">
        <v>650</v>
      </c>
      <c r="E43" s="211">
        <v>962295</v>
      </c>
      <c r="F43" s="211" t="s">
        <v>38</v>
      </c>
      <c r="G43" s="264">
        <v>4</v>
      </c>
      <c r="H43" s="264"/>
      <c r="I43" s="263">
        <f t="shared" si="19"/>
        <v>4</v>
      </c>
      <c r="J43" s="289">
        <v>2.4079999999999999</v>
      </c>
      <c r="K43" s="263">
        <f t="shared" si="20"/>
        <v>1.5920000000000001</v>
      </c>
      <c r="L43" s="212">
        <f t="shared" si="21"/>
        <v>0.60199999999999998</v>
      </c>
    </row>
    <row r="44" spans="2:12">
      <c r="B44" s="211" t="s">
        <v>550</v>
      </c>
      <c r="C44" s="394">
        <v>95</v>
      </c>
      <c r="D44" s="213" t="s">
        <v>651</v>
      </c>
      <c r="E44" s="211">
        <v>969202</v>
      </c>
      <c r="F44" s="211" t="s">
        <v>38</v>
      </c>
      <c r="G44" s="214">
        <v>5</v>
      </c>
      <c r="H44" s="211"/>
      <c r="I44" s="265">
        <f t="shared" si="19"/>
        <v>5</v>
      </c>
      <c r="J44" s="289"/>
      <c r="K44" s="265">
        <f t="shared" ref="K44:K45" si="22">I44-J44</f>
        <v>5</v>
      </c>
      <c r="L44" s="212">
        <f t="shared" ref="L44:L45" si="23">J44/I44</f>
        <v>0</v>
      </c>
    </row>
    <row r="45" spans="2:12">
      <c r="B45" s="211" t="s">
        <v>550</v>
      </c>
      <c r="C45" s="396"/>
      <c r="D45" s="213" t="s">
        <v>652</v>
      </c>
      <c r="E45" s="211">
        <v>958709</v>
      </c>
      <c r="F45" s="211" t="s">
        <v>38</v>
      </c>
      <c r="G45" s="214">
        <v>5</v>
      </c>
      <c r="H45" s="211"/>
      <c r="I45" s="265">
        <f t="shared" si="19"/>
        <v>5</v>
      </c>
      <c r="J45" s="289"/>
      <c r="K45" s="265">
        <f t="shared" si="22"/>
        <v>5</v>
      </c>
      <c r="L45" s="212">
        <f t="shared" si="23"/>
        <v>0</v>
      </c>
    </row>
    <row r="46" spans="2:12">
      <c r="B46" s="250" t="s">
        <v>550</v>
      </c>
      <c r="C46" s="211">
        <v>96</v>
      </c>
      <c r="D46" s="261" t="s">
        <v>644</v>
      </c>
      <c r="E46" s="211">
        <v>902750</v>
      </c>
      <c r="F46" s="211" t="s">
        <v>38</v>
      </c>
      <c r="G46" s="264">
        <v>20</v>
      </c>
      <c r="H46" s="264"/>
      <c r="I46" s="265">
        <f>G46+H46</f>
        <v>20</v>
      </c>
      <c r="J46" s="289">
        <v>0.113</v>
      </c>
      <c r="K46" s="265">
        <f>I46-J46</f>
        <v>19.887</v>
      </c>
      <c r="L46" s="212">
        <f>J46/I46</f>
        <v>5.6500000000000005E-3</v>
      </c>
    </row>
    <row r="47" spans="2:12">
      <c r="B47" s="211" t="s">
        <v>550</v>
      </c>
      <c r="C47" s="394">
        <v>98</v>
      </c>
      <c r="D47" s="213" t="s">
        <v>664</v>
      </c>
      <c r="E47" s="211">
        <v>902384</v>
      </c>
      <c r="F47" s="211" t="s">
        <v>38</v>
      </c>
      <c r="G47" s="214">
        <v>10</v>
      </c>
      <c r="H47" s="211"/>
      <c r="I47" s="266">
        <f t="shared" ref="I47:I48" si="24">G47+H47</f>
        <v>10</v>
      </c>
      <c r="J47" s="289"/>
      <c r="K47" s="266">
        <f t="shared" ref="K47:K48" si="25">I47-J47</f>
        <v>10</v>
      </c>
      <c r="L47" s="212">
        <f t="shared" ref="L47:L51" si="26">J47/I47</f>
        <v>0</v>
      </c>
    </row>
    <row r="48" spans="2:12">
      <c r="B48" s="211" t="s">
        <v>550</v>
      </c>
      <c r="C48" s="396"/>
      <c r="D48" s="213" t="s">
        <v>665</v>
      </c>
      <c r="E48" s="211">
        <v>966729</v>
      </c>
      <c r="F48" s="211" t="s">
        <v>38</v>
      </c>
      <c r="G48" s="214">
        <v>10</v>
      </c>
      <c r="H48" s="211"/>
      <c r="I48" s="266">
        <f t="shared" si="24"/>
        <v>10</v>
      </c>
      <c r="J48" s="289"/>
      <c r="K48" s="266">
        <f t="shared" si="25"/>
        <v>10</v>
      </c>
      <c r="L48" s="212">
        <f t="shared" si="26"/>
        <v>0</v>
      </c>
    </row>
    <row r="49" spans="2:12">
      <c r="B49" s="211" t="s">
        <v>550</v>
      </c>
      <c r="C49" s="394">
        <v>99</v>
      </c>
      <c r="D49" s="213" t="s">
        <v>645</v>
      </c>
      <c r="E49" s="211">
        <v>954878</v>
      </c>
      <c r="F49" s="394" t="s">
        <v>38</v>
      </c>
      <c r="G49" s="214">
        <v>14.5</v>
      </c>
      <c r="H49" s="214"/>
      <c r="I49" s="281">
        <f>G49+H49</f>
        <v>14.5</v>
      </c>
      <c r="J49" s="289">
        <v>13.16</v>
      </c>
      <c r="K49" s="281">
        <f>G49-J49</f>
        <v>1.3399999999999999</v>
      </c>
      <c r="L49" s="212">
        <f t="shared" si="26"/>
        <v>0.90758620689655178</v>
      </c>
    </row>
    <row r="50" spans="2:12">
      <c r="B50" s="211" t="s">
        <v>550</v>
      </c>
      <c r="C50" s="395"/>
      <c r="D50" s="213" t="s">
        <v>640</v>
      </c>
      <c r="E50" s="211">
        <v>954647</v>
      </c>
      <c r="F50" s="395"/>
      <c r="G50" s="214">
        <v>20</v>
      </c>
      <c r="H50" s="214"/>
      <c r="I50" s="281">
        <f t="shared" ref="I50:I51" si="27">G50+H50</f>
        <v>20</v>
      </c>
      <c r="J50" s="289"/>
      <c r="K50" s="281">
        <f>G50-J50</f>
        <v>20</v>
      </c>
      <c r="L50" s="212">
        <f t="shared" si="26"/>
        <v>0</v>
      </c>
    </row>
    <row r="51" spans="2:12">
      <c r="B51" s="211" t="s">
        <v>550</v>
      </c>
      <c r="C51" s="396"/>
      <c r="D51" s="213" t="s">
        <v>562</v>
      </c>
      <c r="E51" s="211">
        <v>902359</v>
      </c>
      <c r="F51" s="396"/>
      <c r="G51" s="214">
        <v>15</v>
      </c>
      <c r="H51" s="214"/>
      <c r="I51" s="281">
        <f t="shared" si="27"/>
        <v>15</v>
      </c>
      <c r="J51" s="289"/>
      <c r="K51" s="281">
        <f>G51-J51</f>
        <v>15</v>
      </c>
      <c r="L51" s="212">
        <f t="shared" si="26"/>
        <v>0</v>
      </c>
    </row>
    <row r="52" spans="2:12">
      <c r="B52" s="250" t="s">
        <v>550</v>
      </c>
      <c r="C52" s="211">
        <v>101</v>
      </c>
      <c r="D52" s="261" t="s">
        <v>641</v>
      </c>
      <c r="E52" s="211">
        <v>964694</v>
      </c>
      <c r="F52" s="211" t="s">
        <v>38</v>
      </c>
      <c r="G52" s="264">
        <v>10.5</v>
      </c>
      <c r="H52" s="264"/>
      <c r="I52" s="282">
        <f>G52+H52</f>
        <v>10.5</v>
      </c>
      <c r="J52" s="289">
        <v>1.1200000000000001</v>
      </c>
      <c r="K52" s="282">
        <f>I52-J52</f>
        <v>9.379999999999999</v>
      </c>
      <c r="L52" s="212">
        <f>J52/I52</f>
        <v>0.10666666666666667</v>
      </c>
    </row>
  </sheetData>
  <mergeCells count="24">
    <mergeCell ref="L30:L32"/>
    <mergeCell ref="C33:C34"/>
    <mergeCell ref="C26:C27"/>
    <mergeCell ref="C22:C23"/>
    <mergeCell ref="B12:B18"/>
    <mergeCell ref="C12:C18"/>
    <mergeCell ref="F12:F18"/>
    <mergeCell ref="B2:L2"/>
    <mergeCell ref="B3:L3"/>
    <mergeCell ref="B8:B11"/>
    <mergeCell ref="C8:C11"/>
    <mergeCell ref="F8:F11"/>
    <mergeCell ref="C49:C51"/>
    <mergeCell ref="F49:F51"/>
    <mergeCell ref="K30:K32"/>
    <mergeCell ref="F33:F34"/>
    <mergeCell ref="C30:C32"/>
    <mergeCell ref="F30:F32"/>
    <mergeCell ref="G30:G32"/>
    <mergeCell ref="I30:I32"/>
    <mergeCell ref="C47:C48"/>
    <mergeCell ref="C44:C45"/>
    <mergeCell ref="C36:C40"/>
    <mergeCell ref="C42:C43"/>
  </mergeCells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2"/>
  <sheetViews>
    <sheetView zoomScaleNormal="100" workbookViewId="0">
      <selection activeCell="G18" sqref="G18"/>
    </sheetView>
  </sheetViews>
  <sheetFormatPr baseColWidth="10" defaultColWidth="11.5703125" defaultRowHeight="12"/>
  <cols>
    <col min="1" max="1" width="2.28515625" style="192" customWidth="1"/>
    <col min="2" max="2" width="34" style="89" customWidth="1"/>
    <col min="3" max="3" width="19.5703125" style="89" bestFit="1" customWidth="1"/>
    <col min="4" max="4" width="11.5703125" style="89"/>
    <col min="5" max="5" width="14.140625" style="89" customWidth="1"/>
    <col min="6" max="6" width="14" style="89" customWidth="1"/>
    <col min="7" max="7" width="18.42578125" style="89" bestFit="1" customWidth="1"/>
    <col min="8" max="10" width="11.5703125" style="89"/>
    <col min="11" max="25" width="11.5703125" style="192"/>
    <col min="26" max="16384" width="11.5703125" style="89"/>
  </cols>
  <sheetData>
    <row r="1" spans="2:33" s="192" customFormat="1"/>
    <row r="2" spans="2:33" ht="20.100000000000001" customHeight="1">
      <c r="B2" s="412" t="s">
        <v>661</v>
      </c>
      <c r="C2" s="413"/>
      <c r="D2" s="413"/>
      <c r="E2" s="413"/>
      <c r="F2" s="413"/>
      <c r="G2" s="413"/>
      <c r="H2" s="413"/>
      <c r="I2" s="413"/>
      <c r="J2" s="414"/>
      <c r="Z2" s="192"/>
      <c r="AA2" s="192"/>
      <c r="AB2" s="192"/>
      <c r="AC2" s="192"/>
      <c r="AD2" s="192"/>
      <c r="AE2" s="192"/>
      <c r="AF2" s="192"/>
      <c r="AG2" s="192"/>
    </row>
    <row r="3" spans="2:33" ht="20.100000000000001" customHeight="1">
      <c r="B3" s="415">
        <f>RESUMEN!C4</f>
        <v>44561</v>
      </c>
      <c r="C3" s="416"/>
      <c r="D3" s="416"/>
      <c r="E3" s="416"/>
      <c r="F3" s="416"/>
      <c r="G3" s="416"/>
      <c r="H3" s="416"/>
      <c r="I3" s="416"/>
      <c r="J3" s="417"/>
      <c r="Z3" s="192"/>
      <c r="AA3" s="192"/>
      <c r="AB3" s="192"/>
      <c r="AC3" s="192"/>
      <c r="AD3" s="192"/>
      <c r="AE3" s="192"/>
      <c r="AF3" s="192"/>
      <c r="AG3" s="192"/>
    </row>
    <row r="4" spans="2:33" s="192" customFormat="1"/>
    <row r="5" spans="2:33" s="192" customFormat="1"/>
    <row r="6" spans="2:33">
      <c r="B6" s="418" t="s">
        <v>40</v>
      </c>
      <c r="C6" s="308" t="s">
        <v>34</v>
      </c>
      <c r="D6" s="418" t="s">
        <v>41</v>
      </c>
      <c r="E6" s="419" t="s">
        <v>42</v>
      </c>
      <c r="F6" s="419"/>
      <c r="G6" s="345" t="s">
        <v>43</v>
      </c>
      <c r="H6" s="420" t="s">
        <v>29</v>
      </c>
      <c r="I6" s="418" t="s">
        <v>44</v>
      </c>
      <c r="J6" s="418" t="s">
        <v>32</v>
      </c>
    </row>
    <row r="7" spans="2:33">
      <c r="B7" s="418"/>
      <c r="C7" s="308"/>
      <c r="D7" s="418"/>
      <c r="E7" s="193" t="s">
        <v>45</v>
      </c>
      <c r="F7" s="193" t="s">
        <v>46</v>
      </c>
      <c r="G7" s="345"/>
      <c r="H7" s="420"/>
      <c r="I7" s="418"/>
      <c r="J7" s="418"/>
    </row>
    <row r="8" spans="2:33">
      <c r="B8" s="189" t="s">
        <v>47</v>
      </c>
      <c r="C8" s="189" t="s">
        <v>38</v>
      </c>
      <c r="D8" s="99">
        <v>50</v>
      </c>
      <c r="E8" s="194">
        <v>0</v>
      </c>
      <c r="F8" s="293">
        <v>0.23499999999999999</v>
      </c>
      <c r="G8" s="194">
        <f>E8+F8</f>
        <v>0.23499999999999999</v>
      </c>
      <c r="H8" s="100">
        <f>D8-G8</f>
        <v>49.765000000000001</v>
      </c>
      <c r="I8" s="195">
        <f t="shared" ref="I8" si="0">G8/D8</f>
        <v>4.6999999999999993E-3</v>
      </c>
      <c r="J8" s="196"/>
    </row>
    <row r="9" spans="2:33">
      <c r="B9" s="189" t="s">
        <v>48</v>
      </c>
      <c r="C9" s="189" t="s">
        <v>38</v>
      </c>
      <c r="D9" s="99">
        <v>50</v>
      </c>
      <c r="E9" s="194">
        <v>0</v>
      </c>
      <c r="F9" s="194">
        <v>0</v>
      </c>
      <c r="G9" s="194">
        <f>E9+F9</f>
        <v>0</v>
      </c>
      <c r="H9" s="100">
        <f>D9-G9</f>
        <v>50</v>
      </c>
      <c r="I9" s="195">
        <f>G9/D9</f>
        <v>0</v>
      </c>
      <c r="J9" s="196"/>
    </row>
    <row r="10" spans="2:33" s="192" customFormat="1">
      <c r="F10" s="110"/>
    </row>
    <row r="11" spans="2:33" s="192" customFormat="1"/>
    <row r="12" spans="2:33" s="192" customFormat="1"/>
    <row r="13" spans="2:33" s="192" customFormat="1"/>
    <row r="14" spans="2:33" s="192" customFormat="1">
      <c r="B14" s="422" t="s">
        <v>476</v>
      </c>
      <c r="C14" s="423"/>
      <c r="D14" s="423"/>
      <c r="E14" s="423"/>
      <c r="F14" s="423"/>
      <c r="G14" s="423"/>
      <c r="H14" s="424"/>
    </row>
    <row r="15" spans="2:33" s="192" customFormat="1">
      <c r="B15" s="425">
        <f>B3</f>
        <v>44561</v>
      </c>
      <c r="C15" s="426"/>
      <c r="D15" s="426"/>
      <c r="E15" s="426"/>
      <c r="F15" s="426"/>
      <c r="G15" s="426"/>
      <c r="H15" s="427"/>
    </row>
    <row r="16" spans="2:33" s="192" customFormat="1"/>
    <row r="17" spans="2:10" s="192" customFormat="1">
      <c r="B17" s="197" t="s">
        <v>84</v>
      </c>
      <c r="C17" s="197" t="s">
        <v>34</v>
      </c>
      <c r="D17" s="197" t="s">
        <v>31</v>
      </c>
      <c r="E17" s="197" t="s">
        <v>333</v>
      </c>
      <c r="F17" s="197" t="s">
        <v>45</v>
      </c>
      <c r="G17" s="197" t="s">
        <v>46</v>
      </c>
      <c r="H17" s="197" t="s">
        <v>36</v>
      </c>
      <c r="I17" s="197" t="s">
        <v>7</v>
      </c>
      <c r="J17" s="197" t="s">
        <v>86</v>
      </c>
    </row>
    <row r="18" spans="2:10" s="192" customFormat="1">
      <c r="B18" s="371">
        <v>318</v>
      </c>
      <c r="C18" s="421" t="s">
        <v>663</v>
      </c>
      <c r="D18" s="197" t="s">
        <v>662</v>
      </c>
      <c r="E18" s="198">
        <v>100</v>
      </c>
      <c r="F18" s="294">
        <v>11.475</v>
      </c>
      <c r="G18" s="294">
        <v>7.9000000000000001E-2</v>
      </c>
      <c r="H18" s="198">
        <f>F18+G18</f>
        <v>11.554</v>
      </c>
      <c r="I18" s="199">
        <f>+E18-H18</f>
        <v>88.445999999999998</v>
      </c>
      <c r="J18" s="200">
        <f>+H18/E18</f>
        <v>0.11554</v>
      </c>
    </row>
    <row r="19" spans="2:10" s="192" customFormat="1">
      <c r="B19" s="371"/>
      <c r="C19" s="421"/>
      <c r="D19" s="197"/>
      <c r="E19" s="198"/>
      <c r="F19" s="197"/>
      <c r="G19" s="197"/>
      <c r="H19" s="198"/>
      <c r="I19" s="199">
        <f>+E19-H19</f>
        <v>0</v>
      </c>
      <c r="J19" s="200" t="e">
        <f>+H19/E19</f>
        <v>#DIV/0!</v>
      </c>
    </row>
    <row r="20" spans="2:10" s="192" customFormat="1">
      <c r="E20" s="201"/>
      <c r="H20" s="202"/>
    </row>
    <row r="21" spans="2:10" s="192" customFormat="1"/>
    <row r="22" spans="2:10" s="192" customFormat="1"/>
    <row r="23" spans="2:10" s="192" customFormat="1"/>
    <row r="24" spans="2:10" s="192" customFormat="1"/>
    <row r="25" spans="2:10" s="192" customFormat="1"/>
    <row r="26" spans="2:10" s="192" customFormat="1"/>
    <row r="27" spans="2:10" s="192" customFormat="1"/>
    <row r="28" spans="2:10" s="192" customFormat="1"/>
    <row r="29" spans="2:10" s="192" customFormat="1"/>
    <row r="30" spans="2:10" s="192" customFormat="1"/>
    <row r="31" spans="2:10" s="192" customFormat="1"/>
    <row r="32" spans="2:10" s="192" customFormat="1"/>
    <row r="33" s="192" customFormat="1"/>
    <row r="34" s="192" customFormat="1"/>
    <row r="35" s="192" customFormat="1"/>
    <row r="36" s="192" customFormat="1"/>
    <row r="37" s="192" customFormat="1"/>
    <row r="38" s="192" customFormat="1"/>
    <row r="39" s="192" customFormat="1"/>
    <row r="40" s="192" customFormat="1"/>
    <row r="41" s="192" customFormat="1"/>
    <row r="42" s="192" customFormat="1"/>
    <row r="43" s="192" customFormat="1"/>
    <row r="44" s="192" customFormat="1"/>
    <row r="45" s="192" customFormat="1"/>
    <row r="46" s="192" customFormat="1"/>
    <row r="47" s="192" customFormat="1"/>
    <row r="48" s="192" customFormat="1"/>
    <row r="49" s="192" customFormat="1"/>
    <row r="50" s="192" customFormat="1"/>
    <row r="51" s="192" customFormat="1"/>
    <row r="52" s="192" customFormat="1"/>
    <row r="53" s="192" customFormat="1"/>
    <row r="54" s="192" customFormat="1"/>
    <row r="55" s="192" customFormat="1"/>
    <row r="56" s="192" customFormat="1"/>
    <row r="57" s="192" customFormat="1"/>
    <row r="58" s="192" customFormat="1"/>
    <row r="59" s="192" customFormat="1"/>
    <row r="60" s="192" customFormat="1"/>
    <row r="61" s="192" customFormat="1"/>
    <row r="62" s="192" customFormat="1"/>
  </sheetData>
  <mergeCells count="14">
    <mergeCell ref="B18:B19"/>
    <mergeCell ref="C18:C19"/>
    <mergeCell ref="B14:H14"/>
    <mergeCell ref="B15:H15"/>
    <mergeCell ref="J6:J7"/>
    <mergeCell ref="B2:J2"/>
    <mergeCell ref="B3:J3"/>
    <mergeCell ref="B6:B7"/>
    <mergeCell ref="C6:C7"/>
    <mergeCell ref="D6:D7"/>
    <mergeCell ref="E6:F6"/>
    <mergeCell ref="G6:G7"/>
    <mergeCell ref="H6:H7"/>
    <mergeCell ref="I6:I7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43"/>
  <sheetViews>
    <sheetView showGridLines="0" topLeftCell="A910" zoomScale="80" zoomScaleNormal="80" workbookViewId="0">
      <selection activeCell="M940" sqref="M940"/>
    </sheetView>
  </sheetViews>
  <sheetFormatPr baseColWidth="10" defaultColWidth="14.42578125" defaultRowHeight="15.75" customHeight="1"/>
  <cols>
    <col min="1" max="1" width="30.5703125" style="235" bestFit="1" customWidth="1"/>
    <col min="2" max="2" width="22.85546875" style="235" customWidth="1"/>
    <col min="3" max="3" width="6.85546875" style="235" customWidth="1"/>
    <col min="4" max="4" width="17.5703125" style="235" customWidth="1"/>
    <col min="5" max="5" width="74.5703125" style="235" customWidth="1"/>
    <col min="6" max="6" width="14.140625" style="235" customWidth="1"/>
    <col min="7" max="7" width="16.140625" style="235" customWidth="1"/>
    <col min="8" max="8" width="13.28515625" style="235" customWidth="1"/>
    <col min="9" max="9" width="20.42578125" style="235" bestFit="1" customWidth="1"/>
    <col min="10" max="10" width="14.42578125" style="235" bestFit="1" customWidth="1"/>
    <col min="11" max="11" width="11.140625" style="235" customWidth="1"/>
    <col min="12" max="12" width="11" style="235" customWidth="1"/>
    <col min="13" max="13" width="20" style="237" bestFit="1" customWidth="1"/>
    <col min="14" max="14" width="15.28515625" style="234" customWidth="1"/>
    <col min="15" max="15" width="14.42578125" style="234"/>
    <col min="16" max="16384" width="14.42578125" style="235"/>
  </cols>
  <sheetData>
    <row r="1" spans="1:17" ht="15.75" customHeight="1">
      <c r="A1" s="230" t="s">
        <v>207</v>
      </c>
      <c r="B1" s="230" t="s">
        <v>208</v>
      </c>
      <c r="C1" s="230" t="s">
        <v>31</v>
      </c>
      <c r="D1" s="230" t="s">
        <v>209</v>
      </c>
      <c r="E1" s="230" t="s">
        <v>210</v>
      </c>
      <c r="F1" s="230" t="s">
        <v>211</v>
      </c>
      <c r="G1" s="230" t="s">
        <v>212</v>
      </c>
      <c r="H1" s="230" t="s">
        <v>85</v>
      </c>
      <c r="I1" s="230" t="s">
        <v>213</v>
      </c>
      <c r="J1" s="230" t="s">
        <v>214</v>
      </c>
      <c r="K1" s="230" t="s">
        <v>364</v>
      </c>
      <c r="L1" s="230" t="s">
        <v>7</v>
      </c>
      <c r="M1" s="231" t="s">
        <v>215</v>
      </c>
      <c r="N1" s="229" t="s">
        <v>216</v>
      </c>
      <c r="O1" s="232" t="s">
        <v>217</v>
      </c>
      <c r="P1" s="232" t="s">
        <v>354</v>
      </c>
      <c r="Q1" s="232" t="s">
        <v>355</v>
      </c>
    </row>
    <row r="2" spans="1:17" ht="15">
      <c r="A2" s="238" t="s">
        <v>51</v>
      </c>
      <c r="B2" s="238" t="s">
        <v>52</v>
      </c>
      <c r="C2" s="238" t="s">
        <v>37</v>
      </c>
      <c r="D2" s="238" t="s">
        <v>53</v>
      </c>
      <c r="E2" s="238" t="str">
        <f>+'CUOTA ARTESANAL'!E7</f>
        <v>AREA NORTE</v>
      </c>
      <c r="F2" s="238" t="s">
        <v>54</v>
      </c>
      <c r="G2" s="238" t="s">
        <v>56</v>
      </c>
      <c r="H2" s="253">
        <f>'CUOTA ARTESANAL'!G7</f>
        <v>11.946</v>
      </c>
      <c r="I2" s="253">
        <f>'CUOTA ARTESANAL'!H7</f>
        <v>0</v>
      </c>
      <c r="J2" s="253">
        <f>'CUOTA ARTESANAL'!I7</f>
        <v>11.946</v>
      </c>
      <c r="K2" s="253">
        <f>'CUOTA ARTESANAL'!J7</f>
        <v>0</v>
      </c>
      <c r="L2" s="253">
        <f>'CUOTA ARTESANAL'!K7</f>
        <v>11.946</v>
      </c>
      <c r="M2" s="254">
        <f>'CUOTA ARTESANAL'!L7</f>
        <v>0</v>
      </c>
      <c r="N2" s="240" t="str">
        <f>'CUOTA ARTESANAL'!M7</f>
        <v xml:space="preserve"> -</v>
      </c>
      <c r="O2" s="241">
        <f>RESUMEN!$C$4</f>
        <v>44561</v>
      </c>
      <c r="P2" s="233">
        <v>2021</v>
      </c>
      <c r="Q2" s="233"/>
    </row>
    <row r="3" spans="1:17" ht="15">
      <c r="A3" s="238" t="s">
        <v>51</v>
      </c>
      <c r="B3" s="238" t="s">
        <v>52</v>
      </c>
      <c r="C3" s="238" t="s">
        <v>37</v>
      </c>
      <c r="D3" s="238" t="s">
        <v>53</v>
      </c>
      <c r="E3" s="238" t="str">
        <f>+'CUOTA ARTESANAL'!E7</f>
        <v>AREA NORTE</v>
      </c>
      <c r="F3" s="238" t="s">
        <v>57</v>
      </c>
      <c r="G3" s="238" t="s">
        <v>58</v>
      </c>
      <c r="H3" s="253">
        <f>'CUOTA ARTESANAL'!G8</f>
        <v>11.946</v>
      </c>
      <c r="I3" s="253">
        <f>'CUOTA ARTESANAL'!H8</f>
        <v>0</v>
      </c>
      <c r="J3" s="253">
        <f>'CUOTA ARTESANAL'!I8</f>
        <v>23.891999999999999</v>
      </c>
      <c r="K3" s="253">
        <f>'CUOTA ARTESANAL'!J8</f>
        <v>4.8000000000000001E-2</v>
      </c>
      <c r="L3" s="253">
        <f>'CUOTA ARTESANAL'!K8</f>
        <v>23.844000000000001</v>
      </c>
      <c r="M3" s="254">
        <f>'CUOTA ARTESANAL'!L8</f>
        <v>2.0090406830738324E-3</v>
      </c>
      <c r="N3" s="240" t="str">
        <f>'CUOTA ARTESANAL'!M8</f>
        <v xml:space="preserve"> -</v>
      </c>
      <c r="O3" s="241">
        <f>RESUMEN!$C$4</f>
        <v>44561</v>
      </c>
      <c r="P3" s="233">
        <v>2021</v>
      </c>
      <c r="Q3" s="233"/>
    </row>
    <row r="4" spans="1:17" ht="15">
      <c r="A4" s="238" t="s">
        <v>51</v>
      </c>
      <c r="B4" s="238" t="s">
        <v>52</v>
      </c>
      <c r="C4" s="238" t="s">
        <v>37</v>
      </c>
      <c r="D4" s="238" t="s">
        <v>53</v>
      </c>
      <c r="E4" s="238" t="str">
        <f>+'CUOTA ARTESANAL'!E7</f>
        <v>AREA NORTE</v>
      </c>
      <c r="F4" s="238" t="s">
        <v>54</v>
      </c>
      <c r="G4" s="238" t="s">
        <v>58</v>
      </c>
      <c r="H4" s="253">
        <f>'CUOTA ARTESANAL'!N7</f>
        <v>23.891999999999999</v>
      </c>
      <c r="I4" s="253">
        <f>'CUOTA ARTESANAL'!O7</f>
        <v>0</v>
      </c>
      <c r="J4" s="253">
        <f>'CUOTA ARTESANAL'!P7</f>
        <v>23.891999999999999</v>
      </c>
      <c r="K4" s="253">
        <f>'CUOTA ARTESANAL'!Q7</f>
        <v>4.8000000000000001E-2</v>
      </c>
      <c r="L4" s="253">
        <f>'CUOTA ARTESANAL'!R7</f>
        <v>23.844000000000001</v>
      </c>
      <c r="M4" s="254">
        <f>'CUOTA ARTESANAL'!S7</f>
        <v>2.0090406830738324E-3</v>
      </c>
      <c r="N4" s="240" t="s">
        <v>218</v>
      </c>
      <c r="O4" s="241">
        <f>RESUMEN!$C$4</f>
        <v>44561</v>
      </c>
      <c r="P4" s="233">
        <v>2021</v>
      </c>
      <c r="Q4" s="233"/>
    </row>
    <row r="5" spans="1:17" ht="15">
      <c r="A5" s="238" t="s">
        <v>51</v>
      </c>
      <c r="B5" s="238" t="s">
        <v>52</v>
      </c>
      <c r="C5" s="238" t="s">
        <v>37</v>
      </c>
      <c r="D5" s="238" t="s">
        <v>66</v>
      </c>
      <c r="E5" s="238" t="str">
        <f>+'CUOTA ARTESANAL'!E9</f>
        <v>A.G PESCADORES ARTESANALES, BUZOS Y MARISCADORES DE COQUIMBO RAG 55-4</v>
      </c>
      <c r="F5" s="238" t="s">
        <v>54</v>
      </c>
      <c r="G5" s="238" t="s">
        <v>56</v>
      </c>
      <c r="H5" s="253">
        <f>'CUOTA ARTESANAL'!G9</f>
        <v>112.84099999999999</v>
      </c>
      <c r="I5" s="253">
        <f>'CUOTA ARTESANAL'!H9</f>
        <v>0</v>
      </c>
      <c r="J5" s="253">
        <f>'CUOTA ARTESANAL'!I9</f>
        <v>112.84099999999999</v>
      </c>
      <c r="K5" s="253">
        <f>'CUOTA ARTESANAL'!J9</f>
        <v>81.394000000000005</v>
      </c>
      <c r="L5" s="253">
        <f>'CUOTA ARTESANAL'!K9</f>
        <v>31.446999999999989</v>
      </c>
      <c r="M5" s="254">
        <f>'CUOTA ARTESANAL'!L9</f>
        <v>0.7213158337838198</v>
      </c>
      <c r="N5" s="242" t="str">
        <f>'CUOTA ARTESANAL'!M9</f>
        <v xml:space="preserve"> -</v>
      </c>
      <c r="O5" s="241">
        <f>RESUMEN!$C$4</f>
        <v>44561</v>
      </c>
      <c r="P5" s="233">
        <v>2021</v>
      </c>
      <c r="Q5" s="233"/>
    </row>
    <row r="6" spans="1:17" ht="15">
      <c r="A6" s="238" t="s">
        <v>51</v>
      </c>
      <c r="B6" s="238" t="s">
        <v>52</v>
      </c>
      <c r="C6" s="238" t="s">
        <v>37</v>
      </c>
      <c r="D6" s="238" t="s">
        <v>66</v>
      </c>
      <c r="E6" s="238" t="str">
        <f>+'CUOTA ARTESANAL'!E9</f>
        <v>A.G PESCADORES ARTESANALES, BUZOS Y MARISCADORES DE COQUIMBO RAG 55-4</v>
      </c>
      <c r="F6" s="238" t="s">
        <v>57</v>
      </c>
      <c r="G6" s="238" t="s">
        <v>58</v>
      </c>
      <c r="H6" s="253">
        <f>'CUOTA ARTESANAL'!G10</f>
        <v>112.84099999999999</v>
      </c>
      <c r="I6" s="253">
        <f>'CUOTA ARTESANAL'!H10</f>
        <v>0</v>
      </c>
      <c r="J6" s="253">
        <f>'CUOTA ARTESANAL'!I10</f>
        <v>144.28799999999998</v>
      </c>
      <c r="K6" s="253">
        <f>'CUOTA ARTESANAL'!J10</f>
        <v>124.32</v>
      </c>
      <c r="L6" s="253">
        <f>'CUOTA ARTESANAL'!K10</f>
        <v>19.967999999999989</v>
      </c>
      <c r="M6" s="254">
        <f>'CUOTA ARTESANAL'!L10</f>
        <v>0.8616101131071191</v>
      </c>
      <c r="N6" s="242" t="str">
        <f>'CUOTA ARTESANAL'!M10</f>
        <v xml:space="preserve"> -</v>
      </c>
      <c r="O6" s="241">
        <f>RESUMEN!$C$4</f>
        <v>44561</v>
      </c>
      <c r="P6" s="233">
        <v>2021</v>
      </c>
      <c r="Q6" s="233"/>
    </row>
    <row r="7" spans="1:17" ht="15">
      <c r="A7" s="238" t="s">
        <v>51</v>
      </c>
      <c r="B7" s="238" t="s">
        <v>52</v>
      </c>
      <c r="C7" s="238" t="s">
        <v>37</v>
      </c>
      <c r="D7" s="238" t="s">
        <v>66</v>
      </c>
      <c r="E7" s="238" t="str">
        <f>+'CUOTA ARTESANAL'!E9</f>
        <v>A.G PESCADORES ARTESANALES, BUZOS Y MARISCADORES DE COQUIMBO RAG 55-4</v>
      </c>
      <c r="F7" s="238" t="s">
        <v>54</v>
      </c>
      <c r="G7" s="238" t="s">
        <v>58</v>
      </c>
      <c r="H7" s="253">
        <f>'CUOTA ARTESANAL'!N9</f>
        <v>225.68199999999999</v>
      </c>
      <c r="I7" s="253">
        <f>'CUOTA ARTESANAL'!O9</f>
        <v>0</v>
      </c>
      <c r="J7" s="253">
        <f>'CUOTA ARTESANAL'!P9</f>
        <v>225.68199999999999</v>
      </c>
      <c r="K7" s="253">
        <f>'CUOTA ARTESANAL'!Q9</f>
        <v>205.714</v>
      </c>
      <c r="L7" s="253">
        <f>'CUOTA ARTESANAL'!R9</f>
        <v>19.967999999999989</v>
      </c>
      <c r="M7" s="254">
        <f>'CUOTA ARTESANAL'!S9</f>
        <v>0.91152152143281262</v>
      </c>
      <c r="N7" s="240" t="s">
        <v>218</v>
      </c>
      <c r="O7" s="241">
        <f>RESUMEN!$C$4</f>
        <v>44561</v>
      </c>
      <c r="P7" s="233">
        <v>2021</v>
      </c>
      <c r="Q7" s="233"/>
    </row>
    <row r="8" spans="1:17" ht="15">
      <c r="A8" s="238" t="s">
        <v>51</v>
      </c>
      <c r="B8" s="238" t="s">
        <v>52</v>
      </c>
      <c r="C8" s="238" t="s">
        <v>37</v>
      </c>
      <c r="D8" s="238" t="s">
        <v>330</v>
      </c>
      <c r="E8" s="238" t="str">
        <f>+'CUOTA ARTESANAL'!E11</f>
        <v>RESIDUAL CENTRO</v>
      </c>
      <c r="F8" s="238" t="s">
        <v>54</v>
      </c>
      <c r="G8" s="238" t="s">
        <v>56</v>
      </c>
      <c r="H8" s="253">
        <f>'CUOTA ARTESANAL'!G11</f>
        <v>143.81399999999999</v>
      </c>
      <c r="I8" s="253">
        <f>'CUOTA ARTESANAL'!H11</f>
        <v>0</v>
      </c>
      <c r="J8" s="253">
        <f>'CUOTA ARTESANAL'!I11</f>
        <v>143.81399999999999</v>
      </c>
      <c r="K8" s="253">
        <f>'CUOTA ARTESANAL'!J11</f>
        <v>41.682000000000002</v>
      </c>
      <c r="L8" s="253">
        <f>'CUOTA ARTESANAL'!K11</f>
        <v>102.13199999999999</v>
      </c>
      <c r="M8" s="254">
        <f>'CUOTA ARTESANAL'!L11</f>
        <v>0.28983270057157162</v>
      </c>
      <c r="N8" s="240" t="str">
        <f>'CUOTA ARTESANAL'!M11</f>
        <v xml:space="preserve"> -</v>
      </c>
      <c r="O8" s="241">
        <f>RESUMEN!$C$4</f>
        <v>44561</v>
      </c>
      <c r="P8" s="233">
        <v>2021</v>
      </c>
      <c r="Q8" s="233"/>
    </row>
    <row r="9" spans="1:17" ht="15">
      <c r="A9" s="238" t="s">
        <v>51</v>
      </c>
      <c r="B9" s="238" t="s">
        <v>52</v>
      </c>
      <c r="C9" s="238" t="s">
        <v>37</v>
      </c>
      <c r="D9" s="238" t="s">
        <v>330</v>
      </c>
      <c r="E9" s="238" t="str">
        <f>+'CUOTA ARTESANAL'!E11</f>
        <v>RESIDUAL CENTRO</v>
      </c>
      <c r="F9" s="238" t="s">
        <v>57</v>
      </c>
      <c r="G9" s="238" t="s">
        <v>58</v>
      </c>
      <c r="H9" s="253">
        <f>'CUOTA ARTESANAL'!G12</f>
        <v>143.81399999999999</v>
      </c>
      <c r="I9" s="253">
        <f>'CUOTA ARTESANAL'!H12</f>
        <v>0</v>
      </c>
      <c r="J9" s="253">
        <f>'CUOTA ARTESANAL'!I12</f>
        <v>245.94599999999997</v>
      </c>
      <c r="K9" s="253">
        <f>'CUOTA ARTESANAL'!J12</f>
        <v>34.966000000000001</v>
      </c>
      <c r="L9" s="253">
        <f>'CUOTA ARTESANAL'!K12</f>
        <v>210.97999999999996</v>
      </c>
      <c r="M9" s="254">
        <f>'CUOTA ARTESANAL'!L12</f>
        <v>0.14216941930342436</v>
      </c>
      <c r="N9" s="240" t="str">
        <f>'CUOTA ARTESANAL'!M12</f>
        <v xml:space="preserve"> -</v>
      </c>
      <c r="O9" s="241">
        <f>RESUMEN!$C$4</f>
        <v>44561</v>
      </c>
      <c r="P9" s="233">
        <v>2021</v>
      </c>
      <c r="Q9" s="233"/>
    </row>
    <row r="10" spans="1:17" ht="15">
      <c r="A10" s="238" t="s">
        <v>51</v>
      </c>
      <c r="B10" s="238" t="s">
        <v>52</v>
      </c>
      <c r="C10" s="238" t="s">
        <v>37</v>
      </c>
      <c r="D10" s="238" t="s">
        <v>330</v>
      </c>
      <c r="E10" s="238" t="str">
        <f>+'CUOTA ARTESANAL'!E11</f>
        <v>RESIDUAL CENTRO</v>
      </c>
      <c r="F10" s="238" t="s">
        <v>54</v>
      </c>
      <c r="G10" s="238" t="s">
        <v>58</v>
      </c>
      <c r="H10" s="253">
        <f>'CUOTA ARTESANAL'!N11</f>
        <v>287.62799999999999</v>
      </c>
      <c r="I10" s="253">
        <f>'CUOTA ARTESANAL'!O11</f>
        <v>0</v>
      </c>
      <c r="J10" s="253">
        <f>'CUOTA ARTESANAL'!P11</f>
        <v>287.62799999999999</v>
      </c>
      <c r="K10" s="253">
        <f>'CUOTA ARTESANAL'!Q11</f>
        <v>76.647999999999996</v>
      </c>
      <c r="L10" s="253">
        <f>'CUOTA ARTESANAL'!R11</f>
        <v>210.98</v>
      </c>
      <c r="M10" s="254">
        <f>'CUOTA ARTESANAL'!S11</f>
        <v>0.26648309622150834</v>
      </c>
      <c r="N10" s="240" t="s">
        <v>218</v>
      </c>
      <c r="O10" s="241">
        <f>RESUMEN!$C$4</f>
        <v>44561</v>
      </c>
      <c r="P10" s="233">
        <v>2021</v>
      </c>
      <c r="Q10" s="233"/>
    </row>
    <row r="11" spans="1:17" ht="15">
      <c r="A11" s="238" t="s">
        <v>51</v>
      </c>
      <c r="B11" s="238" t="s">
        <v>52</v>
      </c>
      <c r="C11" s="238" t="s">
        <v>37</v>
      </c>
      <c r="D11" s="238" t="s">
        <v>53</v>
      </c>
      <c r="E11" s="238" t="str">
        <f>+'CUOTA ARTESANAL'!E13</f>
        <v>AREA SUR</v>
      </c>
      <c r="F11" s="238" t="s">
        <v>54</v>
      </c>
      <c r="G11" s="238" t="s">
        <v>56</v>
      </c>
      <c r="H11" s="253">
        <f>'CUOTA ARTESANAL'!G13</f>
        <v>39.835000000000001</v>
      </c>
      <c r="I11" s="253">
        <f>'CUOTA ARTESANAL'!H13</f>
        <v>0</v>
      </c>
      <c r="J11" s="253">
        <f>'CUOTA ARTESANAL'!I13</f>
        <v>39.835000000000001</v>
      </c>
      <c r="K11" s="253">
        <f>'CUOTA ARTESANAL'!J13</f>
        <v>3.3130000000000002</v>
      </c>
      <c r="L11" s="253">
        <f>'CUOTA ARTESANAL'!K13</f>
        <v>36.521999999999998</v>
      </c>
      <c r="M11" s="254">
        <f>'CUOTA ARTESANAL'!L13</f>
        <v>8.3168068281661858E-2</v>
      </c>
      <c r="N11" s="242" t="str">
        <f>'CUOTA ARTESANAL'!M13</f>
        <v xml:space="preserve"> -</v>
      </c>
      <c r="O11" s="241">
        <f>RESUMEN!$C$4</f>
        <v>44561</v>
      </c>
      <c r="P11" s="233">
        <v>2021</v>
      </c>
      <c r="Q11" s="233"/>
    </row>
    <row r="12" spans="1:17" ht="15">
      <c r="A12" s="238" t="s">
        <v>51</v>
      </c>
      <c r="B12" s="238" t="s">
        <v>52</v>
      </c>
      <c r="C12" s="238" t="s">
        <v>37</v>
      </c>
      <c r="D12" s="238" t="s">
        <v>53</v>
      </c>
      <c r="E12" s="238" t="str">
        <f>+'CUOTA ARTESANAL'!E13</f>
        <v>AREA SUR</v>
      </c>
      <c r="F12" s="238" t="s">
        <v>57</v>
      </c>
      <c r="G12" s="238" t="s">
        <v>58</v>
      </c>
      <c r="H12" s="253">
        <f>'CUOTA ARTESANAL'!G14</f>
        <v>39.835000000000001</v>
      </c>
      <c r="I12" s="253">
        <f>'CUOTA ARTESANAL'!H14</f>
        <v>0</v>
      </c>
      <c r="J12" s="253">
        <f>'CUOTA ARTESANAL'!I14</f>
        <v>76.356999999999999</v>
      </c>
      <c r="K12" s="253">
        <f>'CUOTA ARTESANAL'!J14</f>
        <v>15.872</v>
      </c>
      <c r="L12" s="253">
        <f>'CUOTA ARTESANAL'!K14</f>
        <v>60.484999999999999</v>
      </c>
      <c r="M12" s="254">
        <f>'CUOTA ARTESANAL'!L14</f>
        <v>0.20786568356535748</v>
      </c>
      <c r="N12" s="242" t="str">
        <f>'CUOTA ARTESANAL'!M14</f>
        <v xml:space="preserve"> -</v>
      </c>
      <c r="O12" s="241">
        <f>RESUMEN!$C$4</f>
        <v>44561</v>
      </c>
      <c r="P12" s="233">
        <v>2021</v>
      </c>
      <c r="Q12" s="233"/>
    </row>
    <row r="13" spans="1:17" ht="15">
      <c r="A13" s="238" t="s">
        <v>51</v>
      </c>
      <c r="B13" s="238" t="s">
        <v>52</v>
      </c>
      <c r="C13" s="238" t="s">
        <v>37</v>
      </c>
      <c r="D13" s="238" t="s">
        <v>53</v>
      </c>
      <c r="E13" s="238" t="str">
        <f>+'CUOTA ARTESANAL'!E13</f>
        <v>AREA SUR</v>
      </c>
      <c r="F13" s="238" t="s">
        <v>54</v>
      </c>
      <c r="G13" s="238" t="s">
        <v>58</v>
      </c>
      <c r="H13" s="253">
        <f>'CUOTA ARTESANAL'!N13</f>
        <v>79.67</v>
      </c>
      <c r="I13" s="253">
        <f>'CUOTA ARTESANAL'!O13</f>
        <v>0</v>
      </c>
      <c r="J13" s="253">
        <f>'CUOTA ARTESANAL'!P13</f>
        <v>79.67</v>
      </c>
      <c r="K13" s="253">
        <f>'CUOTA ARTESANAL'!Q13</f>
        <v>19.184999999999999</v>
      </c>
      <c r="L13" s="253">
        <f>'CUOTA ARTESANAL'!R13</f>
        <v>60.484999999999999</v>
      </c>
      <c r="M13" s="254">
        <f>'CUOTA ARTESANAL'!S13</f>
        <v>0.24080582402409939</v>
      </c>
      <c r="N13" s="242" t="s">
        <v>218</v>
      </c>
      <c r="O13" s="241">
        <f>RESUMEN!$C$4</f>
        <v>44561</v>
      </c>
      <c r="P13" s="233">
        <v>2021</v>
      </c>
      <c r="Q13" s="233"/>
    </row>
    <row r="14" spans="1:17" ht="15.75" customHeight="1">
      <c r="A14" s="230" t="s">
        <v>51</v>
      </c>
      <c r="B14" s="230" t="s">
        <v>52</v>
      </c>
      <c r="C14" s="269" t="s">
        <v>37</v>
      </c>
      <c r="D14" s="269" t="s">
        <v>83</v>
      </c>
      <c r="E14" s="269" t="s">
        <v>82</v>
      </c>
      <c r="F14" s="230" t="s">
        <v>54</v>
      </c>
      <c r="G14" s="230" t="s">
        <v>58</v>
      </c>
      <c r="H14" s="270">
        <f>RESUMEN!F9</f>
        <v>616.87199999999996</v>
      </c>
      <c r="I14" s="270">
        <f>RESUMEN!G9</f>
        <v>0</v>
      </c>
      <c r="J14" s="270">
        <f>RESUMEN!H9</f>
        <v>616.87199999999996</v>
      </c>
      <c r="K14" s="270">
        <f>RESUMEN!I9</f>
        <v>301.59500000000003</v>
      </c>
      <c r="L14" s="270">
        <f>RESUMEN!J9</f>
        <v>315.27699999999993</v>
      </c>
      <c r="M14" s="271">
        <f>RESUMEN!K9</f>
        <v>0.48891017909712231</v>
      </c>
      <c r="N14" s="229" t="s">
        <v>218</v>
      </c>
      <c r="O14" s="232">
        <f>RESUMEN!$C$4</f>
        <v>44561</v>
      </c>
      <c r="P14" s="269">
        <v>2021</v>
      </c>
      <c r="Q14" s="269"/>
    </row>
    <row r="15" spans="1:17" ht="15">
      <c r="A15" s="238" t="s">
        <v>51</v>
      </c>
      <c r="B15" s="238" t="s">
        <v>52</v>
      </c>
      <c r="C15" s="238" t="s">
        <v>70</v>
      </c>
      <c r="D15" s="238" t="s">
        <v>53</v>
      </c>
      <c r="E15" s="238" t="str">
        <f>+'CUOTA ARTESANAL'!E20</f>
        <v>AREA NORTE QUINTERO</v>
      </c>
      <c r="F15" s="238" t="s">
        <v>54</v>
      </c>
      <c r="G15" s="238" t="s">
        <v>56</v>
      </c>
      <c r="H15" s="253">
        <f>'CUOTA ARTESANAL'!G20</f>
        <v>335.78300000000002</v>
      </c>
      <c r="I15" s="253">
        <f>'CUOTA ARTESANAL'!H20</f>
        <v>0</v>
      </c>
      <c r="J15" s="253">
        <f>'CUOTA ARTESANAL'!I20</f>
        <v>335.78300000000002</v>
      </c>
      <c r="K15" s="253">
        <f>'CUOTA ARTESANAL'!J20</f>
        <v>171.48400000000001</v>
      </c>
      <c r="L15" s="253">
        <f>'CUOTA ARTESANAL'!K20</f>
        <v>164.29900000000001</v>
      </c>
      <c r="M15" s="254">
        <f>'CUOTA ARTESANAL'!L20</f>
        <v>0.51069887397515656</v>
      </c>
      <c r="N15" s="240" t="str">
        <f>'CUOTA ARTESANAL'!M20</f>
        <v>-</v>
      </c>
      <c r="O15" s="241">
        <f>RESUMEN!$C$4</f>
        <v>44561</v>
      </c>
      <c r="P15" s="233">
        <v>2021</v>
      </c>
      <c r="Q15" s="233"/>
    </row>
    <row r="16" spans="1:17" ht="15">
      <c r="A16" s="238" t="s">
        <v>51</v>
      </c>
      <c r="B16" s="238" t="s">
        <v>52</v>
      </c>
      <c r="C16" s="238" t="s">
        <v>70</v>
      </c>
      <c r="D16" s="238" t="s">
        <v>53</v>
      </c>
      <c r="E16" s="238" t="str">
        <f>+'CUOTA ARTESANAL'!E20</f>
        <v>AREA NORTE QUINTERO</v>
      </c>
      <c r="F16" s="238" t="s">
        <v>57</v>
      </c>
      <c r="G16" s="238" t="s">
        <v>58</v>
      </c>
      <c r="H16" s="253">
        <f>'CUOTA ARTESANAL'!G21</f>
        <v>335.78300000000002</v>
      </c>
      <c r="I16" s="253">
        <f>'CUOTA ARTESANAL'!H21</f>
        <v>0</v>
      </c>
      <c r="J16" s="253">
        <f>'CUOTA ARTESANAL'!I21</f>
        <v>500.08199999999999</v>
      </c>
      <c r="K16" s="253">
        <f>'CUOTA ARTESANAL'!J21</f>
        <v>353.50400000000002</v>
      </c>
      <c r="L16" s="253">
        <f>'CUOTA ARTESANAL'!K21</f>
        <v>146.57799999999997</v>
      </c>
      <c r="M16" s="254">
        <f>'CUOTA ARTESANAL'!L21</f>
        <v>0.70689206970056917</v>
      </c>
      <c r="N16" s="240" t="str">
        <f>'CUOTA ARTESANAL'!M21</f>
        <v>-</v>
      </c>
      <c r="O16" s="241">
        <f>RESUMEN!$C$4</f>
        <v>44561</v>
      </c>
      <c r="P16" s="233">
        <v>2021</v>
      </c>
      <c r="Q16" s="233"/>
    </row>
    <row r="17" spans="1:17" ht="15">
      <c r="A17" s="238" t="s">
        <v>51</v>
      </c>
      <c r="B17" s="238" t="s">
        <v>52</v>
      </c>
      <c r="C17" s="238" t="s">
        <v>70</v>
      </c>
      <c r="D17" s="238" t="s">
        <v>53</v>
      </c>
      <c r="E17" s="238" t="str">
        <f>+'CUOTA ARTESANAL'!E20</f>
        <v>AREA NORTE QUINTERO</v>
      </c>
      <c r="F17" s="238" t="s">
        <v>54</v>
      </c>
      <c r="G17" s="238" t="s">
        <v>58</v>
      </c>
      <c r="H17" s="253">
        <f>'CUOTA ARTESANAL'!N20</f>
        <v>671.56600000000003</v>
      </c>
      <c r="I17" s="253">
        <f>'CUOTA ARTESANAL'!O20</f>
        <v>0</v>
      </c>
      <c r="J17" s="253">
        <f>'CUOTA ARTESANAL'!P20</f>
        <v>671.56600000000003</v>
      </c>
      <c r="K17" s="253">
        <f>'CUOTA ARTESANAL'!Q20</f>
        <v>524.98800000000006</v>
      </c>
      <c r="L17" s="253">
        <f>'CUOTA ARTESANAL'!R20</f>
        <v>146.57799999999997</v>
      </c>
      <c r="M17" s="254">
        <f>'CUOTA ARTESANAL'!S20</f>
        <v>0.78173701467912315</v>
      </c>
      <c r="N17" s="240" t="s">
        <v>218</v>
      </c>
      <c r="O17" s="241">
        <f>RESUMEN!$C$4</f>
        <v>44561</v>
      </c>
      <c r="P17" s="233">
        <v>2021</v>
      </c>
      <c r="Q17" s="233"/>
    </row>
    <row r="18" spans="1:17" ht="15">
      <c r="A18" s="238" t="s">
        <v>51</v>
      </c>
      <c r="B18" s="238" t="s">
        <v>52</v>
      </c>
      <c r="C18" s="238" t="s">
        <v>70</v>
      </c>
      <c r="D18" s="238" t="s">
        <v>66</v>
      </c>
      <c r="E18" s="238" t="str">
        <f>+'CUOTA ARTESANAL'!E22</f>
        <v>STI PESCADORES ARTESANALES DE CALETA PORTALES  RSU 05.10.0037</v>
      </c>
      <c r="F18" s="238" t="s">
        <v>54</v>
      </c>
      <c r="G18" s="238" t="s">
        <v>56</v>
      </c>
      <c r="H18" s="253">
        <f>'CUOTA ARTESANAL'!G22</f>
        <v>600.51199999999994</v>
      </c>
      <c r="I18" s="253">
        <f>'CUOTA ARTESANAL'!H22</f>
        <v>0</v>
      </c>
      <c r="J18" s="253">
        <f>'CUOTA ARTESANAL'!I22</f>
        <v>600.51199999999994</v>
      </c>
      <c r="K18" s="253">
        <f>'CUOTA ARTESANAL'!J22</f>
        <v>145.59100000000001</v>
      </c>
      <c r="L18" s="253">
        <f>'CUOTA ARTESANAL'!K22</f>
        <v>454.92099999999994</v>
      </c>
      <c r="M18" s="254">
        <f>'CUOTA ARTESANAL'!L22</f>
        <v>0.2424447804540126</v>
      </c>
      <c r="N18" s="240" t="str">
        <f>'CUOTA ARTESANAL'!M22</f>
        <v>-</v>
      </c>
      <c r="O18" s="241">
        <f>RESUMEN!$C$4</f>
        <v>44561</v>
      </c>
      <c r="P18" s="233">
        <v>2021</v>
      </c>
      <c r="Q18" s="233"/>
    </row>
    <row r="19" spans="1:17" ht="15">
      <c r="A19" s="238" t="s">
        <v>51</v>
      </c>
      <c r="B19" s="238" t="s">
        <v>52</v>
      </c>
      <c r="C19" s="238" t="s">
        <v>70</v>
      </c>
      <c r="D19" s="238" t="s">
        <v>66</v>
      </c>
      <c r="E19" s="238" t="str">
        <f>+'CUOTA ARTESANAL'!E22</f>
        <v>STI PESCADORES ARTESANALES DE CALETA PORTALES  RSU 05.10.0037</v>
      </c>
      <c r="F19" s="238" t="s">
        <v>57</v>
      </c>
      <c r="G19" s="238" t="s">
        <v>58</v>
      </c>
      <c r="H19" s="253">
        <f>'CUOTA ARTESANAL'!G23</f>
        <v>600.51199999999994</v>
      </c>
      <c r="I19" s="253">
        <f>'CUOTA ARTESANAL'!H23</f>
        <v>-700</v>
      </c>
      <c r="J19" s="253">
        <f>'CUOTA ARTESANAL'!I23</f>
        <v>355.43299999999988</v>
      </c>
      <c r="K19" s="253">
        <f>'CUOTA ARTESANAL'!J23</f>
        <v>115.395</v>
      </c>
      <c r="L19" s="253">
        <f>'CUOTA ARTESANAL'!K23</f>
        <v>240.0379999999999</v>
      </c>
      <c r="M19" s="254">
        <f>'CUOTA ARTESANAL'!L23</f>
        <v>0.3246603438622751</v>
      </c>
      <c r="N19" s="240" t="str">
        <f>'CUOTA ARTESANAL'!M23</f>
        <v>-</v>
      </c>
      <c r="O19" s="241">
        <f>RESUMEN!$C$4</f>
        <v>44561</v>
      </c>
      <c r="P19" s="233">
        <v>2021</v>
      </c>
      <c r="Q19" s="233"/>
    </row>
    <row r="20" spans="1:17" ht="15">
      <c r="A20" s="238" t="s">
        <v>51</v>
      </c>
      <c r="B20" s="238" t="s">
        <v>52</v>
      </c>
      <c r="C20" s="238" t="s">
        <v>70</v>
      </c>
      <c r="D20" s="238" t="s">
        <v>66</v>
      </c>
      <c r="E20" s="238" t="str">
        <f>+'CUOTA ARTESANAL'!E22</f>
        <v>STI PESCADORES ARTESANALES DE CALETA PORTALES  RSU 05.10.0037</v>
      </c>
      <c r="F20" s="238" t="s">
        <v>54</v>
      </c>
      <c r="G20" s="238" t="s">
        <v>58</v>
      </c>
      <c r="H20" s="253">
        <f>'CUOTA ARTESANAL'!N22</f>
        <v>1201.0239999999999</v>
      </c>
      <c r="I20" s="253">
        <f>'CUOTA ARTESANAL'!O22</f>
        <v>-700</v>
      </c>
      <c r="J20" s="253">
        <f>'CUOTA ARTESANAL'!P22</f>
        <v>501.02399999999989</v>
      </c>
      <c r="K20" s="253">
        <f>'CUOTA ARTESANAL'!Q22</f>
        <v>260.98599999999999</v>
      </c>
      <c r="L20" s="253">
        <f>'CUOTA ARTESANAL'!R22</f>
        <v>240.0379999999999</v>
      </c>
      <c r="M20" s="254">
        <f>'CUOTA ARTESANAL'!S22</f>
        <v>0.52090518617870607</v>
      </c>
      <c r="N20" s="240" t="s">
        <v>218</v>
      </c>
      <c r="O20" s="241">
        <f>RESUMEN!$C$4</f>
        <v>44561</v>
      </c>
      <c r="P20" s="233">
        <v>2021</v>
      </c>
      <c r="Q20" s="233"/>
    </row>
    <row r="21" spans="1:17" ht="15">
      <c r="A21" s="238" t="s">
        <v>51</v>
      </c>
      <c r="B21" s="238" t="s">
        <v>52</v>
      </c>
      <c r="C21" s="238" t="s">
        <v>70</v>
      </c>
      <c r="D21" s="238" t="s">
        <v>66</v>
      </c>
      <c r="E21" s="238" t="str">
        <f>+'CUOTA ARTESANAL'!E24</f>
        <v>STI ARTESANALES DE CON CON  RSU 50.60.0043</v>
      </c>
      <c r="F21" s="238" t="s">
        <v>54</v>
      </c>
      <c r="G21" s="238" t="s">
        <v>56</v>
      </c>
      <c r="H21" s="253">
        <f>'CUOTA ARTESANAL'!G24</f>
        <v>74.316000000000003</v>
      </c>
      <c r="I21" s="253">
        <f>'CUOTA ARTESANAL'!H24</f>
        <v>0</v>
      </c>
      <c r="J21" s="253">
        <f>'CUOTA ARTESANAL'!I24</f>
        <v>74.316000000000003</v>
      </c>
      <c r="K21" s="253">
        <f>'CUOTA ARTESANAL'!J24</f>
        <v>11.989000000000001</v>
      </c>
      <c r="L21" s="253">
        <f>'CUOTA ARTESANAL'!K24</f>
        <v>62.326999999999998</v>
      </c>
      <c r="M21" s="254">
        <f>'CUOTA ARTESANAL'!L24</f>
        <v>0.16132461381129232</v>
      </c>
      <c r="N21" s="240" t="str">
        <f>'CUOTA ARTESANAL'!M24</f>
        <v>-</v>
      </c>
      <c r="O21" s="241">
        <f>RESUMEN!$C$4</f>
        <v>44561</v>
      </c>
      <c r="P21" s="233">
        <v>2021</v>
      </c>
      <c r="Q21" s="233"/>
    </row>
    <row r="22" spans="1:17" ht="15">
      <c r="A22" s="238" t="s">
        <v>51</v>
      </c>
      <c r="B22" s="238" t="s">
        <v>52</v>
      </c>
      <c r="C22" s="238" t="s">
        <v>70</v>
      </c>
      <c r="D22" s="238" t="s">
        <v>66</v>
      </c>
      <c r="E22" s="238" t="str">
        <f>+'CUOTA ARTESANAL'!E24</f>
        <v>STI ARTESANALES DE CON CON  RSU 50.60.0043</v>
      </c>
      <c r="F22" s="238" t="s">
        <v>57</v>
      </c>
      <c r="G22" s="238" t="s">
        <v>58</v>
      </c>
      <c r="H22" s="253">
        <f>'CUOTA ARTESANAL'!G25</f>
        <v>74.316000000000003</v>
      </c>
      <c r="I22" s="253">
        <f>'CUOTA ARTESANAL'!H25</f>
        <v>0</v>
      </c>
      <c r="J22" s="253">
        <f>'CUOTA ARTESANAL'!I25</f>
        <v>136.643</v>
      </c>
      <c r="K22" s="253">
        <f>'CUOTA ARTESANAL'!J25</f>
        <v>21.6</v>
      </c>
      <c r="L22" s="253">
        <f>'CUOTA ARTESANAL'!K25</f>
        <v>115.04300000000001</v>
      </c>
      <c r="M22" s="254">
        <f>'CUOTA ARTESANAL'!L25</f>
        <v>0.15807615465117131</v>
      </c>
      <c r="N22" s="240" t="str">
        <f>'CUOTA ARTESANAL'!M25</f>
        <v>-</v>
      </c>
      <c r="O22" s="241">
        <f>RESUMEN!$C$4</f>
        <v>44561</v>
      </c>
      <c r="P22" s="233">
        <v>2021</v>
      </c>
      <c r="Q22" s="233"/>
    </row>
    <row r="23" spans="1:17" ht="15">
      <c r="A23" s="238" t="s">
        <v>51</v>
      </c>
      <c r="B23" s="238" t="s">
        <v>52</v>
      </c>
      <c r="C23" s="238" t="s">
        <v>70</v>
      </c>
      <c r="D23" s="238" t="s">
        <v>66</v>
      </c>
      <c r="E23" s="238" t="str">
        <f>+'CUOTA ARTESANAL'!E24</f>
        <v>STI ARTESANALES DE CON CON  RSU 50.60.0043</v>
      </c>
      <c r="F23" s="238" t="s">
        <v>54</v>
      </c>
      <c r="G23" s="238" t="s">
        <v>58</v>
      </c>
      <c r="H23" s="253">
        <f>'CUOTA ARTESANAL'!N24</f>
        <v>148.63200000000001</v>
      </c>
      <c r="I23" s="253">
        <f>'CUOTA ARTESANAL'!O24</f>
        <v>0</v>
      </c>
      <c r="J23" s="253">
        <f>'CUOTA ARTESANAL'!P24</f>
        <v>148.63200000000001</v>
      </c>
      <c r="K23" s="253">
        <f>'CUOTA ARTESANAL'!Q24</f>
        <v>33.588999999999999</v>
      </c>
      <c r="L23" s="253">
        <f>'CUOTA ARTESANAL'!R24</f>
        <v>115.04300000000001</v>
      </c>
      <c r="M23" s="254">
        <f>'CUOTA ARTESANAL'!S24</f>
        <v>0.22598767425588029</v>
      </c>
      <c r="N23" s="240" t="s">
        <v>218</v>
      </c>
      <c r="O23" s="241">
        <f>RESUMEN!$C$4</f>
        <v>44561</v>
      </c>
      <c r="P23" s="233">
        <v>2021</v>
      </c>
      <c r="Q23" s="233"/>
    </row>
    <row r="24" spans="1:17" ht="15">
      <c r="A24" s="238" t="s">
        <v>51</v>
      </c>
      <c r="B24" s="238" t="s">
        <v>52</v>
      </c>
      <c r="C24" s="238" t="s">
        <v>70</v>
      </c>
      <c r="D24" s="238" t="s">
        <v>66</v>
      </c>
      <c r="E24" s="238" t="str">
        <f>+'CUOTA ARTESANAL'!E26</f>
        <v>STI PESCADORES ARTESANALES DE CALETA HIGUERILLA RSU 50.60.0048</v>
      </c>
      <c r="F24" s="238" t="s">
        <v>54</v>
      </c>
      <c r="G24" s="238" t="s">
        <v>56</v>
      </c>
      <c r="H24" s="253">
        <f>'CUOTA ARTESANAL'!G26</f>
        <v>89.884</v>
      </c>
      <c r="I24" s="253">
        <f>'CUOTA ARTESANAL'!H26</f>
        <v>0</v>
      </c>
      <c r="J24" s="253">
        <f>'CUOTA ARTESANAL'!I26</f>
        <v>89.884</v>
      </c>
      <c r="K24" s="253">
        <f>'CUOTA ARTESANAL'!J26</f>
        <v>17.151</v>
      </c>
      <c r="L24" s="253">
        <f>'CUOTA ARTESANAL'!K26</f>
        <v>72.733000000000004</v>
      </c>
      <c r="M24" s="254">
        <f>'CUOTA ARTESANAL'!L26</f>
        <v>0.19081260291041788</v>
      </c>
      <c r="N24" s="240" t="str">
        <f>'CUOTA ARTESANAL'!M26</f>
        <v>-</v>
      </c>
      <c r="O24" s="241">
        <f>RESUMEN!$C$4</f>
        <v>44561</v>
      </c>
      <c r="P24" s="233">
        <v>2021</v>
      </c>
      <c r="Q24" s="233"/>
    </row>
    <row r="25" spans="1:17" ht="15">
      <c r="A25" s="238" t="s">
        <v>51</v>
      </c>
      <c r="B25" s="238" t="s">
        <v>52</v>
      </c>
      <c r="C25" s="238" t="s">
        <v>70</v>
      </c>
      <c r="D25" s="238" t="s">
        <v>66</v>
      </c>
      <c r="E25" s="238" t="str">
        <f>+'CUOTA ARTESANAL'!E26</f>
        <v>STI PESCADORES ARTESANALES DE CALETA HIGUERILLA RSU 50.60.0048</v>
      </c>
      <c r="F25" s="238" t="s">
        <v>57</v>
      </c>
      <c r="G25" s="238" t="s">
        <v>58</v>
      </c>
      <c r="H25" s="253">
        <f>'CUOTA ARTESANAL'!G27</f>
        <v>89.884</v>
      </c>
      <c r="I25" s="253">
        <f>'CUOTA ARTESANAL'!H27</f>
        <v>0</v>
      </c>
      <c r="J25" s="253">
        <f>'CUOTA ARTESANAL'!I27</f>
        <v>162.61700000000002</v>
      </c>
      <c r="K25" s="253">
        <f>'CUOTA ARTESANAL'!J27</f>
        <v>19.036999999999999</v>
      </c>
      <c r="L25" s="253">
        <f>'CUOTA ARTESANAL'!K27</f>
        <v>143.58000000000001</v>
      </c>
      <c r="M25" s="254">
        <f>'CUOTA ARTESANAL'!L27</f>
        <v>0.117066481364187</v>
      </c>
      <c r="N25" s="240" t="str">
        <f>'CUOTA ARTESANAL'!M27</f>
        <v>-</v>
      </c>
      <c r="O25" s="241">
        <f>RESUMEN!$C$4</f>
        <v>44561</v>
      </c>
      <c r="P25" s="233">
        <v>2021</v>
      </c>
      <c r="Q25" s="233"/>
    </row>
    <row r="26" spans="1:17" ht="15">
      <c r="A26" s="238" t="s">
        <v>51</v>
      </c>
      <c r="B26" s="238" t="s">
        <v>52</v>
      </c>
      <c r="C26" s="238" t="s">
        <v>70</v>
      </c>
      <c r="D26" s="238" t="s">
        <v>66</v>
      </c>
      <c r="E26" s="238" t="str">
        <f>+'CUOTA ARTESANAL'!E26</f>
        <v>STI PESCADORES ARTESANALES DE CALETA HIGUERILLA RSU 50.60.0048</v>
      </c>
      <c r="F26" s="238" t="s">
        <v>54</v>
      </c>
      <c r="G26" s="238" t="s">
        <v>58</v>
      </c>
      <c r="H26" s="253">
        <f>'CUOTA ARTESANAL'!N26</f>
        <v>179.768</v>
      </c>
      <c r="I26" s="253">
        <f>'CUOTA ARTESANAL'!O26</f>
        <v>0</v>
      </c>
      <c r="J26" s="253">
        <f>'CUOTA ARTESANAL'!P26</f>
        <v>179.768</v>
      </c>
      <c r="K26" s="253">
        <f>'CUOTA ARTESANAL'!Q26</f>
        <v>36.188000000000002</v>
      </c>
      <c r="L26" s="253">
        <f>'CUOTA ARTESANAL'!R26</f>
        <v>143.57999999999998</v>
      </c>
      <c r="M26" s="254">
        <f>'CUOTA ARTESANAL'!S26</f>
        <v>0.20130390280806373</v>
      </c>
      <c r="N26" s="240" t="s">
        <v>218</v>
      </c>
      <c r="O26" s="241">
        <f>RESUMEN!$C$4</f>
        <v>44561</v>
      </c>
      <c r="P26" s="233">
        <v>2021</v>
      </c>
      <c r="Q26" s="233"/>
    </row>
    <row r="27" spans="1:17" ht="15">
      <c r="A27" s="238" t="s">
        <v>51</v>
      </c>
      <c r="B27" s="238" t="s">
        <v>52</v>
      </c>
      <c r="C27" s="238" t="s">
        <v>70</v>
      </c>
      <c r="D27" s="238" t="s">
        <v>66</v>
      </c>
      <c r="E27" s="238" t="str">
        <f>+'CUOTA ARTESANAL'!E28</f>
        <v>STI PESCADORES CALETA EL MEMBRILLO RSU 50.10.0061</v>
      </c>
      <c r="F27" s="238" t="s">
        <v>54</v>
      </c>
      <c r="G27" s="238" t="s">
        <v>56</v>
      </c>
      <c r="H27" s="253">
        <f>'CUOTA ARTESANAL'!G28</f>
        <v>163.119</v>
      </c>
      <c r="I27" s="253">
        <f>'CUOTA ARTESANAL'!H28</f>
        <v>0</v>
      </c>
      <c r="J27" s="253">
        <f>'CUOTA ARTESANAL'!I28</f>
        <v>163.119</v>
      </c>
      <c r="K27" s="253">
        <f>'CUOTA ARTESANAL'!J28</f>
        <v>89.866</v>
      </c>
      <c r="L27" s="253">
        <f>'CUOTA ARTESANAL'!K28</f>
        <v>73.253</v>
      </c>
      <c r="M27" s="254">
        <f>'CUOTA ARTESANAL'!L28</f>
        <v>0.55092294582482726</v>
      </c>
      <c r="N27" s="240" t="str">
        <f>'CUOTA ARTESANAL'!M28</f>
        <v>-</v>
      </c>
      <c r="O27" s="241">
        <f>RESUMEN!$C$4</f>
        <v>44561</v>
      </c>
      <c r="P27" s="233">
        <v>2021</v>
      </c>
      <c r="Q27" s="233"/>
    </row>
    <row r="28" spans="1:17" ht="15">
      <c r="A28" s="238" t="s">
        <v>51</v>
      </c>
      <c r="B28" s="238" t="s">
        <v>52</v>
      </c>
      <c r="C28" s="238" t="s">
        <v>70</v>
      </c>
      <c r="D28" s="238" t="s">
        <v>66</v>
      </c>
      <c r="E28" s="238" t="str">
        <f>+'CUOTA ARTESANAL'!E28</f>
        <v>STI PESCADORES CALETA EL MEMBRILLO RSU 50.10.0061</v>
      </c>
      <c r="F28" s="238" t="s">
        <v>57</v>
      </c>
      <c r="G28" s="238" t="s">
        <v>58</v>
      </c>
      <c r="H28" s="253">
        <f>'CUOTA ARTESANAL'!G29</f>
        <v>163.119</v>
      </c>
      <c r="I28" s="253">
        <f>'CUOTA ARTESANAL'!H29</f>
        <v>-150</v>
      </c>
      <c r="J28" s="253">
        <f>'CUOTA ARTESANAL'!I29</f>
        <v>86.372</v>
      </c>
      <c r="K28" s="253">
        <f>'CUOTA ARTESANAL'!J29</f>
        <v>74.328000000000003</v>
      </c>
      <c r="L28" s="253">
        <f>'CUOTA ARTESANAL'!K29</f>
        <v>12.043999999999997</v>
      </c>
      <c r="M28" s="254">
        <f>'CUOTA ARTESANAL'!L29</f>
        <v>0.8605566618811652</v>
      </c>
      <c r="N28" s="240" t="str">
        <f>'CUOTA ARTESANAL'!M29</f>
        <v>-</v>
      </c>
      <c r="O28" s="241">
        <f>RESUMEN!$C$4</f>
        <v>44561</v>
      </c>
      <c r="P28" s="233">
        <v>2021</v>
      </c>
      <c r="Q28" s="233"/>
    </row>
    <row r="29" spans="1:17" ht="15">
      <c r="A29" s="238" t="s">
        <v>51</v>
      </c>
      <c r="B29" s="238" t="s">
        <v>52</v>
      </c>
      <c r="C29" s="238" t="s">
        <v>70</v>
      </c>
      <c r="D29" s="238" t="s">
        <v>66</v>
      </c>
      <c r="E29" s="238" t="str">
        <f>+'CUOTA ARTESANAL'!E28</f>
        <v>STI PESCADORES CALETA EL MEMBRILLO RSU 50.10.0061</v>
      </c>
      <c r="F29" s="238" t="s">
        <v>54</v>
      </c>
      <c r="G29" s="238" t="s">
        <v>58</v>
      </c>
      <c r="H29" s="253">
        <f>'CUOTA ARTESANAL'!N28</f>
        <v>326.238</v>
      </c>
      <c r="I29" s="253">
        <f>'CUOTA ARTESANAL'!O28</f>
        <v>-150</v>
      </c>
      <c r="J29" s="253">
        <f>'CUOTA ARTESANAL'!P28</f>
        <v>176.238</v>
      </c>
      <c r="K29" s="253">
        <f>'CUOTA ARTESANAL'!Q28</f>
        <v>164.19400000000002</v>
      </c>
      <c r="L29" s="253">
        <f>'CUOTA ARTESANAL'!R28</f>
        <v>12.043999999999983</v>
      </c>
      <c r="M29" s="254">
        <f>'CUOTA ARTESANAL'!S28</f>
        <v>0.9316605953313134</v>
      </c>
      <c r="N29" s="240" t="s">
        <v>218</v>
      </c>
      <c r="O29" s="241">
        <f>RESUMEN!$C$4</f>
        <v>44561</v>
      </c>
      <c r="P29" s="233">
        <v>2021</v>
      </c>
      <c r="Q29" s="233"/>
    </row>
    <row r="30" spans="1:17" ht="15">
      <c r="A30" s="238" t="s">
        <v>51</v>
      </c>
      <c r="B30" s="238" t="s">
        <v>52</v>
      </c>
      <c r="C30" s="238" t="s">
        <v>70</v>
      </c>
      <c r="D30" s="238" t="s">
        <v>65</v>
      </c>
      <c r="E30" s="238" t="str">
        <f>+'CUOTA ARTESANAL'!E30</f>
        <v>RESIDUAL CENTRO VALPARAÍSO</v>
      </c>
      <c r="F30" s="238" t="s">
        <v>54</v>
      </c>
      <c r="G30" s="238" t="s">
        <v>56</v>
      </c>
      <c r="H30" s="253">
        <f>'CUOTA ARTESANAL'!G30</f>
        <v>185.85499999999999</v>
      </c>
      <c r="I30" s="253">
        <f>'CUOTA ARTESANAL'!H30</f>
        <v>0</v>
      </c>
      <c r="J30" s="253">
        <f>'CUOTA ARTESANAL'!I30</f>
        <v>185.85499999999999</v>
      </c>
      <c r="K30" s="253">
        <f>'CUOTA ARTESANAL'!J30</f>
        <v>8.0997000000000003</v>
      </c>
      <c r="L30" s="253">
        <f>'CUOTA ARTESANAL'!K30</f>
        <v>177.75529999999998</v>
      </c>
      <c r="M30" s="254">
        <f>'CUOTA ARTESANAL'!L30</f>
        <v>4.3580748432918141E-2</v>
      </c>
      <c r="N30" s="240" t="str">
        <f>'CUOTA ARTESANAL'!M30</f>
        <v>-</v>
      </c>
      <c r="O30" s="241">
        <f>RESUMEN!$C$4</f>
        <v>44561</v>
      </c>
      <c r="P30" s="233">
        <v>2021</v>
      </c>
      <c r="Q30" s="233"/>
    </row>
    <row r="31" spans="1:17" ht="15">
      <c r="A31" s="238" t="s">
        <v>51</v>
      </c>
      <c r="B31" s="238" t="s">
        <v>52</v>
      </c>
      <c r="C31" s="238" t="s">
        <v>70</v>
      </c>
      <c r="D31" s="238" t="s">
        <v>65</v>
      </c>
      <c r="E31" s="238" t="str">
        <f>+'CUOTA ARTESANAL'!E30</f>
        <v>RESIDUAL CENTRO VALPARAÍSO</v>
      </c>
      <c r="F31" s="238" t="s">
        <v>57</v>
      </c>
      <c r="G31" s="238" t="s">
        <v>58</v>
      </c>
      <c r="H31" s="253">
        <f>'CUOTA ARTESANAL'!G31</f>
        <v>185.85499999999999</v>
      </c>
      <c r="I31" s="253">
        <f>'CUOTA ARTESANAL'!H31</f>
        <v>0</v>
      </c>
      <c r="J31" s="253">
        <f>'CUOTA ARTESANAL'!I31</f>
        <v>363.61029999999994</v>
      </c>
      <c r="K31" s="253">
        <f>'CUOTA ARTESANAL'!J31</f>
        <v>7.8676000000000004</v>
      </c>
      <c r="L31" s="253">
        <f>'CUOTA ARTESANAL'!K31</f>
        <v>355.74269999999996</v>
      </c>
      <c r="M31" s="254">
        <f>'CUOTA ARTESANAL'!L31</f>
        <v>2.1637450864290704E-2</v>
      </c>
      <c r="N31" s="240" t="str">
        <f>'CUOTA ARTESANAL'!M31</f>
        <v>-</v>
      </c>
      <c r="O31" s="241">
        <f>RESUMEN!$C$4</f>
        <v>44561</v>
      </c>
      <c r="P31" s="233">
        <v>2021</v>
      </c>
      <c r="Q31" s="233"/>
    </row>
    <row r="32" spans="1:17" ht="15">
      <c r="A32" s="238" t="s">
        <v>51</v>
      </c>
      <c r="B32" s="238" t="s">
        <v>52</v>
      </c>
      <c r="C32" s="238" t="s">
        <v>70</v>
      </c>
      <c r="D32" s="238" t="s">
        <v>65</v>
      </c>
      <c r="E32" s="238" t="str">
        <f>+'CUOTA ARTESANAL'!E30</f>
        <v>RESIDUAL CENTRO VALPARAÍSO</v>
      </c>
      <c r="F32" s="238" t="s">
        <v>54</v>
      </c>
      <c r="G32" s="238" t="s">
        <v>58</v>
      </c>
      <c r="H32" s="253">
        <f>'CUOTA ARTESANAL'!N30</f>
        <v>371.71</v>
      </c>
      <c r="I32" s="253">
        <f>'CUOTA ARTESANAL'!O30</f>
        <v>0</v>
      </c>
      <c r="J32" s="253">
        <f>'CUOTA ARTESANAL'!P30</f>
        <v>371.71</v>
      </c>
      <c r="K32" s="253">
        <f>'CUOTA ARTESANAL'!Q30</f>
        <v>15.967300000000002</v>
      </c>
      <c r="L32" s="253">
        <f>'CUOTA ARTESANAL'!R30</f>
        <v>355.74269999999996</v>
      </c>
      <c r="M32" s="254">
        <f>'CUOTA ARTESANAL'!S30</f>
        <v>4.2956336929326634E-2</v>
      </c>
      <c r="N32" s="240" t="s">
        <v>218</v>
      </c>
      <c r="O32" s="241">
        <f>RESUMEN!$C$4</f>
        <v>44561</v>
      </c>
      <c r="P32" s="233">
        <v>2021</v>
      </c>
      <c r="Q32" s="233"/>
    </row>
    <row r="33" spans="1:17" ht="15">
      <c r="A33" s="238" t="s">
        <v>51</v>
      </c>
      <c r="B33" s="238" t="s">
        <v>52</v>
      </c>
      <c r="C33" s="238" t="s">
        <v>70</v>
      </c>
      <c r="D33" s="238" t="s">
        <v>53</v>
      </c>
      <c r="E33" s="238" t="str">
        <f>+'CUOTA ARTESANAL'!E32</f>
        <v>RESIDUAL SUR SAN ANTONIO</v>
      </c>
      <c r="F33" s="238" t="s">
        <v>54</v>
      </c>
      <c r="G33" s="238" t="s">
        <v>54</v>
      </c>
      <c r="H33" s="253">
        <f>'CUOTA ARTESANAL'!G32</f>
        <v>152.041</v>
      </c>
      <c r="I33" s="253">
        <f>'CUOTA ARTESANAL'!H32</f>
        <v>0</v>
      </c>
      <c r="J33" s="253">
        <f>'CUOTA ARTESANAL'!I32</f>
        <v>152.041</v>
      </c>
      <c r="K33" s="253">
        <f>'CUOTA ARTESANAL'!J32</f>
        <v>169.40100000000001</v>
      </c>
      <c r="L33" s="253">
        <f>'CUOTA ARTESANAL'!K32</f>
        <v>-17.360000000000014</v>
      </c>
      <c r="M33" s="254">
        <f>'CUOTA ARTESANAL'!L32</f>
        <v>1.1141797278365706</v>
      </c>
      <c r="N33" s="241">
        <f>'CUOTA ARTESANAL'!M32</f>
        <v>44223</v>
      </c>
      <c r="O33" s="241">
        <f>RESUMEN!$C$4</f>
        <v>44561</v>
      </c>
      <c r="P33" s="233">
        <v>2021</v>
      </c>
      <c r="Q33" s="233"/>
    </row>
    <row r="34" spans="1:17" ht="15">
      <c r="A34" s="238" t="s">
        <v>51</v>
      </c>
      <c r="B34" s="238" t="s">
        <v>52</v>
      </c>
      <c r="C34" s="238" t="s">
        <v>70</v>
      </c>
      <c r="D34" s="238" t="s">
        <v>53</v>
      </c>
      <c r="E34" s="238" t="str">
        <f>+'CUOTA ARTESANAL'!E32</f>
        <v>RESIDUAL SUR SAN ANTONIO</v>
      </c>
      <c r="F34" s="238" t="s">
        <v>55</v>
      </c>
      <c r="G34" s="238" t="s">
        <v>55</v>
      </c>
      <c r="H34" s="253">
        <f>'CUOTA ARTESANAL'!G33</f>
        <v>152.041</v>
      </c>
      <c r="I34" s="253">
        <f>'CUOTA ARTESANAL'!H33</f>
        <v>0</v>
      </c>
      <c r="J34" s="253">
        <f>'CUOTA ARTESANAL'!I33</f>
        <v>134.68099999999998</v>
      </c>
      <c r="K34" s="253">
        <f>'CUOTA ARTESANAL'!J33</f>
        <v>124.738</v>
      </c>
      <c r="L34" s="253">
        <f>'CUOTA ARTESANAL'!K33</f>
        <v>9.9429999999999836</v>
      </c>
      <c r="M34" s="254">
        <f>'CUOTA ARTESANAL'!L33</f>
        <v>0.92617369933398186</v>
      </c>
      <c r="N34" s="241" t="str">
        <f>'CUOTA ARTESANAL'!M33</f>
        <v>-</v>
      </c>
      <c r="O34" s="241">
        <f>RESUMEN!$C$4</f>
        <v>44561</v>
      </c>
      <c r="P34" s="233">
        <v>2021</v>
      </c>
      <c r="Q34" s="233"/>
    </row>
    <row r="35" spans="1:17" ht="15">
      <c r="A35" s="238" t="s">
        <v>51</v>
      </c>
      <c r="B35" s="238" t="s">
        <v>52</v>
      </c>
      <c r="C35" s="238" t="s">
        <v>70</v>
      </c>
      <c r="D35" s="238" t="s">
        <v>53</v>
      </c>
      <c r="E35" s="238" t="str">
        <f>+'CUOTA ARTESANAL'!E32</f>
        <v>RESIDUAL SUR SAN ANTONIO</v>
      </c>
      <c r="F35" s="238" t="s">
        <v>59</v>
      </c>
      <c r="G35" s="238" t="s">
        <v>59</v>
      </c>
      <c r="H35" s="253">
        <f>'CUOTA ARTESANAL'!G34</f>
        <v>228.042</v>
      </c>
      <c r="I35" s="253">
        <f>'CUOTA ARTESANAL'!H34</f>
        <v>0</v>
      </c>
      <c r="J35" s="253">
        <f>'CUOTA ARTESANAL'!I34</f>
        <v>237.98499999999999</v>
      </c>
      <c r="K35" s="253">
        <f>'CUOTA ARTESANAL'!J34</f>
        <v>202.43799999999999</v>
      </c>
      <c r="L35" s="253">
        <f>'CUOTA ARTESANAL'!K34</f>
        <v>35.546999999999997</v>
      </c>
      <c r="M35" s="254">
        <f>'CUOTA ARTESANAL'!L34</f>
        <v>0.85063344328424062</v>
      </c>
      <c r="N35" s="240">
        <f>'CUOTA ARTESANAL'!M34</f>
        <v>44280</v>
      </c>
      <c r="O35" s="241">
        <f>RESUMEN!$C$4</f>
        <v>44561</v>
      </c>
      <c r="P35" s="233">
        <v>2021</v>
      </c>
      <c r="Q35" s="233"/>
    </row>
    <row r="36" spans="1:17" ht="15">
      <c r="A36" s="238" t="s">
        <v>51</v>
      </c>
      <c r="B36" s="238" t="s">
        <v>52</v>
      </c>
      <c r="C36" s="238" t="s">
        <v>70</v>
      </c>
      <c r="D36" s="238" t="s">
        <v>53</v>
      </c>
      <c r="E36" s="238" t="str">
        <f>+'CUOTA ARTESANAL'!E32</f>
        <v>RESIDUAL SUR SAN ANTONIO</v>
      </c>
      <c r="F36" s="238" t="s">
        <v>60</v>
      </c>
      <c r="G36" s="238" t="s">
        <v>60</v>
      </c>
      <c r="H36" s="253">
        <f>'CUOTA ARTESANAL'!G35</f>
        <v>76.042000000000002</v>
      </c>
      <c r="I36" s="253">
        <f>'CUOTA ARTESANAL'!H35</f>
        <v>0</v>
      </c>
      <c r="J36" s="253">
        <f>'CUOTA ARTESANAL'!I35</f>
        <v>111.589</v>
      </c>
      <c r="K36" s="253">
        <f>'CUOTA ARTESANAL'!J35</f>
        <v>115.649</v>
      </c>
      <c r="L36" s="253">
        <f>'CUOTA ARTESANAL'!K35</f>
        <v>-4.0600000000000023</v>
      </c>
      <c r="M36" s="254">
        <f>'CUOTA ARTESANAL'!L35</f>
        <v>1.0363835145041178</v>
      </c>
      <c r="N36" s="240" t="str">
        <f>'CUOTA ARTESANAL'!M35</f>
        <v>-</v>
      </c>
      <c r="O36" s="241">
        <f>RESUMEN!$C$4</f>
        <v>44561</v>
      </c>
      <c r="P36" s="233">
        <v>2021</v>
      </c>
      <c r="Q36" s="233"/>
    </row>
    <row r="37" spans="1:17" ht="15">
      <c r="A37" s="238" t="s">
        <v>51</v>
      </c>
      <c r="B37" s="238" t="s">
        <v>52</v>
      </c>
      <c r="C37" s="238" t="s">
        <v>70</v>
      </c>
      <c r="D37" s="238" t="s">
        <v>53</v>
      </c>
      <c r="E37" s="238" t="str">
        <f>+'CUOTA ARTESANAL'!E32</f>
        <v>RESIDUAL SUR SAN ANTONIO</v>
      </c>
      <c r="F37" s="238" t="s">
        <v>61</v>
      </c>
      <c r="G37" s="238" t="s">
        <v>61</v>
      </c>
      <c r="H37" s="253">
        <f>'CUOTA ARTESANAL'!G36</f>
        <v>152.042</v>
      </c>
      <c r="I37" s="253">
        <f>'CUOTA ARTESANAL'!H36</f>
        <v>0</v>
      </c>
      <c r="J37" s="253">
        <f>'CUOTA ARTESANAL'!I36</f>
        <v>147.982</v>
      </c>
      <c r="K37" s="253">
        <f>'CUOTA ARTESANAL'!J36</f>
        <v>82.31</v>
      </c>
      <c r="L37" s="253">
        <f>'CUOTA ARTESANAL'!K36</f>
        <v>65.671999999999997</v>
      </c>
      <c r="M37" s="254">
        <f>'CUOTA ARTESANAL'!L36</f>
        <v>0.55621629657661065</v>
      </c>
      <c r="N37" s="240" t="str">
        <f>'CUOTA ARTESANAL'!M36</f>
        <v>-</v>
      </c>
      <c r="O37" s="241">
        <f>RESUMEN!$C$4</f>
        <v>44561</v>
      </c>
      <c r="P37" s="233">
        <v>2021</v>
      </c>
      <c r="Q37" s="233"/>
    </row>
    <row r="38" spans="1:17" ht="15">
      <c r="A38" s="238" t="s">
        <v>51</v>
      </c>
      <c r="B38" s="238" t="s">
        <v>52</v>
      </c>
      <c r="C38" s="238" t="s">
        <v>70</v>
      </c>
      <c r="D38" s="238" t="s">
        <v>53</v>
      </c>
      <c r="E38" s="238" t="str">
        <f>+'CUOTA ARTESANAL'!E32</f>
        <v>RESIDUAL SUR SAN ANTONIO</v>
      </c>
      <c r="F38" s="238" t="s">
        <v>56</v>
      </c>
      <c r="G38" s="238" t="s">
        <v>56</v>
      </c>
      <c r="H38" s="253">
        <f>'CUOTA ARTESANAL'!G37</f>
        <v>152.042</v>
      </c>
      <c r="I38" s="253">
        <f>'CUOTA ARTESANAL'!H37</f>
        <v>0</v>
      </c>
      <c r="J38" s="253">
        <f>'CUOTA ARTESANAL'!I37</f>
        <v>217.714</v>
      </c>
      <c r="K38" s="253">
        <f>'CUOTA ARTESANAL'!J37</f>
        <v>70.248999999999995</v>
      </c>
      <c r="L38" s="253">
        <f>'CUOTA ARTESANAL'!K37</f>
        <v>147.465</v>
      </c>
      <c r="M38" s="254">
        <f>'CUOTA ARTESANAL'!L37</f>
        <v>0.32266643394545136</v>
      </c>
      <c r="N38" s="240" t="str">
        <f>'CUOTA ARTESANAL'!M37</f>
        <v>-</v>
      </c>
      <c r="O38" s="241">
        <f>RESUMEN!$C$4</f>
        <v>44561</v>
      </c>
      <c r="P38" s="233">
        <v>2021</v>
      </c>
      <c r="Q38" s="233"/>
    </row>
    <row r="39" spans="1:17" ht="15">
      <c r="A39" s="238" t="s">
        <v>51</v>
      </c>
      <c r="B39" s="238" t="s">
        <v>52</v>
      </c>
      <c r="C39" s="238" t="s">
        <v>70</v>
      </c>
      <c r="D39" s="238" t="s">
        <v>53</v>
      </c>
      <c r="E39" s="238" t="str">
        <f>+'CUOTA ARTESANAL'!E32</f>
        <v>RESIDUAL SUR SAN ANTONIO</v>
      </c>
      <c r="F39" s="238" t="s">
        <v>57</v>
      </c>
      <c r="G39" s="238" t="s">
        <v>57</v>
      </c>
      <c r="H39" s="253">
        <f>'CUOTA ARTESANAL'!G38</f>
        <v>182.45</v>
      </c>
      <c r="I39" s="253">
        <f>'CUOTA ARTESANAL'!H38</f>
        <v>0</v>
      </c>
      <c r="J39" s="253">
        <f>'CUOTA ARTESANAL'!I38</f>
        <v>329.91499999999996</v>
      </c>
      <c r="K39" s="253">
        <f>'CUOTA ARTESANAL'!J38</f>
        <v>70.510000000000005</v>
      </c>
      <c r="L39" s="253">
        <f>'CUOTA ARTESANAL'!K38</f>
        <v>259.40499999999997</v>
      </c>
      <c r="M39" s="254">
        <f>'CUOTA ARTESANAL'!L38</f>
        <v>0.21372171619962721</v>
      </c>
      <c r="N39" s="240" t="str">
        <f>'CUOTA ARTESANAL'!M38</f>
        <v>-</v>
      </c>
      <c r="O39" s="241">
        <f>RESUMEN!$C$4</f>
        <v>44561</v>
      </c>
      <c r="P39" s="233">
        <v>2021</v>
      </c>
      <c r="Q39" s="233"/>
    </row>
    <row r="40" spans="1:17" ht="15">
      <c r="A40" s="238" t="s">
        <v>51</v>
      </c>
      <c r="B40" s="238" t="s">
        <v>52</v>
      </c>
      <c r="C40" s="238" t="s">
        <v>70</v>
      </c>
      <c r="D40" s="238" t="s">
        <v>53</v>
      </c>
      <c r="E40" s="238" t="str">
        <f>+'CUOTA ARTESANAL'!E32</f>
        <v>RESIDUAL SUR SAN ANTONIO</v>
      </c>
      <c r="F40" s="238" t="s">
        <v>62</v>
      </c>
      <c r="G40" s="238" t="s">
        <v>62</v>
      </c>
      <c r="H40" s="253">
        <f>'CUOTA ARTESANAL'!G39</f>
        <v>182.45</v>
      </c>
      <c r="I40" s="253">
        <f>'CUOTA ARTESANAL'!H39</f>
        <v>0</v>
      </c>
      <c r="J40" s="253">
        <f>'CUOTA ARTESANAL'!I39</f>
        <v>441.85499999999996</v>
      </c>
      <c r="K40" s="253">
        <f>'CUOTA ARTESANAL'!J39</f>
        <v>132.941</v>
      </c>
      <c r="L40" s="253">
        <f>'CUOTA ARTESANAL'!K39</f>
        <v>308.91399999999999</v>
      </c>
      <c r="M40" s="254">
        <f>'CUOTA ARTESANAL'!L39</f>
        <v>0.30087019497346418</v>
      </c>
      <c r="N40" s="240" t="str">
        <f>'CUOTA ARTESANAL'!M39</f>
        <v>-</v>
      </c>
      <c r="O40" s="241">
        <f>RESUMEN!$C$4</f>
        <v>44561</v>
      </c>
      <c r="P40" s="233">
        <v>2021</v>
      </c>
      <c r="Q40" s="233"/>
    </row>
    <row r="41" spans="1:17" ht="15">
      <c r="A41" s="238" t="s">
        <v>51</v>
      </c>
      <c r="B41" s="238" t="s">
        <v>52</v>
      </c>
      <c r="C41" s="238" t="s">
        <v>70</v>
      </c>
      <c r="D41" s="238" t="s">
        <v>53</v>
      </c>
      <c r="E41" s="238" t="str">
        <f>+'CUOTA ARTESANAL'!E32</f>
        <v>RESIDUAL SUR SAN ANTONIO</v>
      </c>
      <c r="F41" s="238" t="s">
        <v>63</v>
      </c>
      <c r="G41" s="238" t="s">
        <v>63</v>
      </c>
      <c r="H41" s="253">
        <f>'CUOTA ARTESANAL'!G40</f>
        <v>182.45</v>
      </c>
      <c r="I41" s="253">
        <f>'CUOTA ARTESANAL'!H40</f>
        <v>0</v>
      </c>
      <c r="J41" s="253">
        <f>'CUOTA ARTESANAL'!I40</f>
        <v>491.36399999999998</v>
      </c>
      <c r="K41" s="253">
        <f>'CUOTA ARTESANAL'!J40</f>
        <v>134.21899999999999</v>
      </c>
      <c r="L41" s="253">
        <f>'CUOTA ARTESANAL'!K40</f>
        <v>357.14499999999998</v>
      </c>
      <c r="M41" s="254">
        <f>'CUOTA ARTESANAL'!L40</f>
        <v>0.2731559495608144</v>
      </c>
      <c r="N41" s="240" t="str">
        <f>'CUOTA ARTESANAL'!M40</f>
        <v>-</v>
      </c>
      <c r="O41" s="241">
        <f>RESUMEN!$C$4</f>
        <v>44561</v>
      </c>
      <c r="P41" s="233">
        <v>2021</v>
      </c>
      <c r="Q41" s="233"/>
    </row>
    <row r="42" spans="1:17" ht="15">
      <c r="A42" s="238" t="s">
        <v>51</v>
      </c>
      <c r="B42" s="238" t="s">
        <v>52</v>
      </c>
      <c r="C42" s="238" t="s">
        <v>70</v>
      </c>
      <c r="D42" s="238" t="s">
        <v>53</v>
      </c>
      <c r="E42" s="238" t="str">
        <f>+'CUOTA ARTESANAL'!E32</f>
        <v>RESIDUAL SUR SAN ANTONIO</v>
      </c>
      <c r="F42" s="238" t="s">
        <v>64</v>
      </c>
      <c r="G42" s="238" t="s">
        <v>64</v>
      </c>
      <c r="H42" s="253">
        <f>'CUOTA ARTESANAL'!G41</f>
        <v>182.45</v>
      </c>
      <c r="I42" s="253">
        <f>'CUOTA ARTESANAL'!H41</f>
        <v>0</v>
      </c>
      <c r="J42" s="253">
        <f>'CUOTA ARTESANAL'!I41</f>
        <v>539.59500000000003</v>
      </c>
      <c r="K42" s="253">
        <f>'CUOTA ARTESANAL'!J41</f>
        <v>142.64500000000001</v>
      </c>
      <c r="L42" s="253">
        <f>'CUOTA ARTESANAL'!K41</f>
        <v>396.95000000000005</v>
      </c>
      <c r="M42" s="254">
        <f>'CUOTA ARTESANAL'!L41</f>
        <v>0.26435567416302969</v>
      </c>
      <c r="N42" s="240" t="str">
        <f>'CUOTA ARTESANAL'!M41</f>
        <v>-</v>
      </c>
      <c r="O42" s="241">
        <f>RESUMEN!$C$4</f>
        <v>44561</v>
      </c>
      <c r="P42" s="233">
        <v>2021</v>
      </c>
      <c r="Q42" s="233"/>
    </row>
    <row r="43" spans="1:17" ht="15">
      <c r="A43" s="238" t="s">
        <v>51</v>
      </c>
      <c r="B43" s="238" t="s">
        <v>52</v>
      </c>
      <c r="C43" s="238" t="s">
        <v>70</v>
      </c>
      <c r="D43" s="238" t="s">
        <v>53</v>
      </c>
      <c r="E43" s="238" t="str">
        <f>+'CUOTA ARTESANAL'!E32</f>
        <v>RESIDUAL SUR SAN ANTONIO</v>
      </c>
      <c r="F43" s="238" t="s">
        <v>58</v>
      </c>
      <c r="G43" s="238" t="s">
        <v>58</v>
      </c>
      <c r="H43" s="253">
        <f>'CUOTA ARTESANAL'!G42</f>
        <v>182.45</v>
      </c>
      <c r="I43" s="253">
        <f>'CUOTA ARTESANAL'!H42</f>
        <v>0</v>
      </c>
      <c r="J43" s="253">
        <f>'CUOTA ARTESANAL'!I42</f>
        <v>579.40000000000009</v>
      </c>
      <c r="K43" s="253">
        <f>'CUOTA ARTESANAL'!J42</f>
        <v>234.244</v>
      </c>
      <c r="L43" s="253">
        <f>'CUOTA ARTESANAL'!K42</f>
        <v>345.15600000000006</v>
      </c>
      <c r="M43" s="254">
        <f>'CUOTA ARTESANAL'!L42</f>
        <v>0.40428719364860194</v>
      </c>
      <c r="N43" s="240" t="str">
        <f>'CUOTA ARTESANAL'!M42</f>
        <v>-</v>
      </c>
      <c r="O43" s="241">
        <f>RESUMEN!$C$4</f>
        <v>44561</v>
      </c>
      <c r="P43" s="233">
        <v>2021</v>
      </c>
      <c r="Q43" s="233"/>
    </row>
    <row r="44" spans="1:17" ht="15">
      <c r="A44" s="238" t="s">
        <v>51</v>
      </c>
      <c r="B44" s="238" t="s">
        <v>52</v>
      </c>
      <c r="C44" s="238" t="s">
        <v>70</v>
      </c>
      <c r="D44" s="238" t="s">
        <v>53</v>
      </c>
      <c r="E44" s="238" t="str">
        <f>+'CUOTA ARTESANAL'!E32</f>
        <v>RESIDUAL SUR SAN ANTONIO</v>
      </c>
      <c r="F44" s="238" t="s">
        <v>54</v>
      </c>
      <c r="G44" s="238" t="s">
        <v>58</v>
      </c>
      <c r="H44" s="253">
        <f>'CUOTA ARTESANAL'!N32</f>
        <v>1824.5</v>
      </c>
      <c r="I44" s="253">
        <f>'CUOTA ARTESANAL'!O32</f>
        <v>0</v>
      </c>
      <c r="J44" s="253">
        <f>'CUOTA ARTESANAL'!P32</f>
        <v>1824.5</v>
      </c>
      <c r="K44" s="253">
        <f>'CUOTA ARTESANAL'!Q32</f>
        <v>1479.3440000000001</v>
      </c>
      <c r="L44" s="253">
        <f>'CUOTA ARTESANAL'!R32</f>
        <v>345.15599999999995</v>
      </c>
      <c r="M44" s="254">
        <f>'CUOTA ARTESANAL'!S32</f>
        <v>0.8108215949575226</v>
      </c>
      <c r="N44" s="240" t="s">
        <v>218</v>
      </c>
      <c r="O44" s="241">
        <f>RESUMEN!$C$4</f>
        <v>44561</v>
      </c>
      <c r="P44" s="233">
        <v>2021</v>
      </c>
      <c r="Q44" s="233"/>
    </row>
    <row r="45" spans="1:17" ht="15">
      <c r="A45" s="230" t="s">
        <v>51</v>
      </c>
      <c r="B45" s="230" t="s">
        <v>52</v>
      </c>
      <c r="C45" s="230" t="s">
        <v>70</v>
      </c>
      <c r="D45" s="269" t="s">
        <v>83</v>
      </c>
      <c r="E45" s="269" t="s">
        <v>82</v>
      </c>
      <c r="F45" s="230" t="s">
        <v>54</v>
      </c>
      <c r="G45" s="230" t="s">
        <v>58</v>
      </c>
      <c r="H45" s="272">
        <f>RESUMEN!F10</f>
        <v>4723.4379999999992</v>
      </c>
      <c r="I45" s="272">
        <f>RESUMEN!G10</f>
        <v>-850</v>
      </c>
      <c r="J45" s="272">
        <f>RESUMEN!H10</f>
        <v>3873.4379999999992</v>
      </c>
      <c r="K45" s="272">
        <f>RESUMEN!I10</f>
        <v>2515.2563</v>
      </c>
      <c r="L45" s="272">
        <f>RESUMEN!J10</f>
        <v>1358.1816999999992</v>
      </c>
      <c r="M45" s="273">
        <f>RESUMEN!K10</f>
        <v>0.64936015498376387</v>
      </c>
      <c r="N45" s="229" t="s">
        <v>218</v>
      </c>
      <c r="O45" s="232">
        <f>RESUMEN!$C$4</f>
        <v>44561</v>
      </c>
      <c r="P45" s="269">
        <v>2021</v>
      </c>
      <c r="Q45" s="233"/>
    </row>
    <row r="46" spans="1:17" ht="15">
      <c r="A46" s="238" t="s">
        <v>51</v>
      </c>
      <c r="B46" s="238" t="s">
        <v>52</v>
      </c>
      <c r="C46" s="238" t="s">
        <v>71</v>
      </c>
      <c r="D46" s="238" t="s">
        <v>53</v>
      </c>
      <c r="E46" s="238" t="str">
        <f>'CUOTA ARTESANAL'!D48</f>
        <v>AREA NORTE</v>
      </c>
      <c r="F46" s="238" t="s">
        <v>54</v>
      </c>
      <c r="G46" s="238" t="s">
        <v>56</v>
      </c>
      <c r="H46" s="253">
        <f>'CUOTA ARTESANAL'!G48</f>
        <v>14.417999999999999</v>
      </c>
      <c r="I46" s="253">
        <f>'CUOTA ARTESANAL'!H48</f>
        <v>0</v>
      </c>
      <c r="J46" s="253">
        <f>'CUOTA ARTESANAL'!I48</f>
        <v>14.417999999999999</v>
      </c>
      <c r="K46" s="253">
        <f>'CUOTA ARTESANAL'!J48</f>
        <v>6.3419999999999996</v>
      </c>
      <c r="L46" s="253">
        <f>'CUOTA ARTESANAL'!K48</f>
        <v>8.0760000000000005</v>
      </c>
      <c r="M46" s="254">
        <f>'CUOTA ARTESANAL'!L48</f>
        <v>0.43986683312526009</v>
      </c>
      <c r="N46" s="240" t="str">
        <f>'CUOTA ARTESANAL'!M48</f>
        <v>-</v>
      </c>
      <c r="O46" s="241">
        <f>RESUMEN!$C$4</f>
        <v>44561</v>
      </c>
      <c r="P46" s="233">
        <v>2021</v>
      </c>
      <c r="Q46" s="233"/>
    </row>
    <row r="47" spans="1:17" ht="15">
      <c r="A47" s="238" t="s">
        <v>51</v>
      </c>
      <c r="B47" s="238" t="s">
        <v>52</v>
      </c>
      <c r="C47" s="238" t="s">
        <v>71</v>
      </c>
      <c r="D47" s="238" t="s">
        <v>53</v>
      </c>
      <c r="E47" s="238" t="str">
        <f>'CUOTA ARTESANAL'!D48</f>
        <v>AREA NORTE</v>
      </c>
      <c r="F47" s="238" t="s">
        <v>57</v>
      </c>
      <c r="G47" s="238" t="s">
        <v>58</v>
      </c>
      <c r="H47" s="253">
        <f>'CUOTA ARTESANAL'!G49</f>
        <v>14.417999999999999</v>
      </c>
      <c r="I47" s="253">
        <f>'CUOTA ARTESANAL'!H49</f>
        <v>0</v>
      </c>
      <c r="J47" s="253">
        <f>'CUOTA ARTESANAL'!I49</f>
        <v>22.494</v>
      </c>
      <c r="K47" s="253">
        <f>'CUOTA ARTESANAL'!J49</f>
        <v>0.61599999999999999</v>
      </c>
      <c r="L47" s="253">
        <f>'CUOTA ARTESANAL'!K49</f>
        <v>21.878</v>
      </c>
      <c r="M47" s="254">
        <f>'CUOTA ARTESANAL'!L49</f>
        <v>2.7385080465902017E-2</v>
      </c>
      <c r="N47" s="240" t="str">
        <f>'CUOTA ARTESANAL'!M49</f>
        <v>-</v>
      </c>
      <c r="O47" s="241">
        <f>RESUMEN!$C$4</f>
        <v>44561</v>
      </c>
      <c r="P47" s="233">
        <v>2021</v>
      </c>
      <c r="Q47" s="233"/>
    </row>
    <row r="48" spans="1:17" ht="15">
      <c r="A48" s="238" t="s">
        <v>51</v>
      </c>
      <c r="B48" s="238" t="s">
        <v>52</v>
      </c>
      <c r="C48" s="238" t="s">
        <v>71</v>
      </c>
      <c r="D48" s="238" t="s">
        <v>53</v>
      </c>
      <c r="E48" s="238" t="str">
        <f>'CUOTA ARTESANAL'!D48</f>
        <v>AREA NORTE</v>
      </c>
      <c r="F48" s="238" t="s">
        <v>54</v>
      </c>
      <c r="G48" s="238" t="s">
        <v>58</v>
      </c>
      <c r="H48" s="253">
        <f>H46+H47</f>
        <v>28.835999999999999</v>
      </c>
      <c r="I48" s="253">
        <f>I46+I47</f>
        <v>0</v>
      </c>
      <c r="J48" s="253">
        <f>H48-I48</f>
        <v>28.835999999999999</v>
      </c>
      <c r="K48" s="253">
        <f>K46+K47</f>
        <v>6.9579999999999993</v>
      </c>
      <c r="L48" s="253">
        <f>J48-K48</f>
        <v>21.878</v>
      </c>
      <c r="M48" s="254">
        <f>K48/J48</f>
        <v>0.24129560271882369</v>
      </c>
      <c r="N48" s="240" t="s">
        <v>218</v>
      </c>
      <c r="O48" s="241">
        <f>RESUMEN!$C$4</f>
        <v>44561</v>
      </c>
      <c r="P48" s="233">
        <v>2021</v>
      </c>
      <c r="Q48" s="233"/>
    </row>
    <row r="49" spans="1:17" s="236" customFormat="1" ht="15">
      <c r="A49" s="238" t="s">
        <v>51</v>
      </c>
      <c r="B49" s="238" t="s">
        <v>52</v>
      </c>
      <c r="C49" s="238" t="s">
        <v>71</v>
      </c>
      <c r="D49" s="238" t="s">
        <v>337</v>
      </c>
      <c r="E49" s="243" t="str">
        <f>+'CUOTA ARTESANAL'!E50</f>
        <v>CLAUDIO ALEJANDRO II (RPA 698613)</v>
      </c>
      <c r="F49" s="238" t="s">
        <v>54</v>
      </c>
      <c r="G49" s="238" t="s">
        <v>56</v>
      </c>
      <c r="H49" s="253">
        <f>'CUOTA ARTESANAL'!G50</f>
        <v>7.0590000000000002</v>
      </c>
      <c r="I49" s="253">
        <f>'CUOTA ARTESANAL'!H50</f>
        <v>0</v>
      </c>
      <c r="J49" s="253">
        <f>'CUOTA ARTESANAL'!I50</f>
        <v>7.0590000000000002</v>
      </c>
      <c r="K49" s="253">
        <f>'CUOTA ARTESANAL'!J50</f>
        <v>3.4159999999999999</v>
      </c>
      <c r="L49" s="253">
        <f>'CUOTA ARTESANAL'!K50</f>
        <v>3.6430000000000002</v>
      </c>
      <c r="M49" s="254">
        <f>'CUOTA ARTESANAL'!L50</f>
        <v>0.48392123530245074</v>
      </c>
      <c r="N49" s="240" t="str">
        <f>'CUOTA ARTESANAL'!M50</f>
        <v>-</v>
      </c>
      <c r="O49" s="241">
        <f>RESUMEN!$C$4</f>
        <v>44561</v>
      </c>
      <c r="P49" s="233">
        <v>2021</v>
      </c>
      <c r="Q49" s="228"/>
    </row>
    <row r="50" spans="1:17" s="236" customFormat="1" ht="15">
      <c r="A50" s="238" t="s">
        <v>51</v>
      </c>
      <c r="B50" s="238" t="s">
        <v>52</v>
      </c>
      <c r="C50" s="238" t="s">
        <v>71</v>
      </c>
      <c r="D50" s="238" t="s">
        <v>337</v>
      </c>
      <c r="E50" s="243" t="str">
        <f>+'CUOTA ARTESANAL'!E50</f>
        <v>CLAUDIO ALEJANDRO II (RPA 698613)</v>
      </c>
      <c r="F50" s="238" t="s">
        <v>57</v>
      </c>
      <c r="G50" s="238" t="s">
        <v>58</v>
      </c>
      <c r="H50" s="253">
        <f>'CUOTA ARTESANAL'!G51</f>
        <v>7.0590000000000002</v>
      </c>
      <c r="I50" s="253">
        <f>'CUOTA ARTESANAL'!H51</f>
        <v>0</v>
      </c>
      <c r="J50" s="253">
        <f>'CUOTA ARTESANAL'!I51</f>
        <v>10.702</v>
      </c>
      <c r="K50" s="253">
        <f>'CUOTA ARTESANAL'!J51</f>
        <v>3.36</v>
      </c>
      <c r="L50" s="253">
        <f>'CUOTA ARTESANAL'!K51</f>
        <v>7.3420000000000005</v>
      </c>
      <c r="M50" s="254">
        <f>'CUOTA ARTESANAL'!L51</f>
        <v>0.31396000747523828</v>
      </c>
      <c r="N50" s="240" t="str">
        <f>'CUOTA ARTESANAL'!M51</f>
        <v>-</v>
      </c>
      <c r="O50" s="241">
        <f>RESUMEN!$C$4</f>
        <v>44561</v>
      </c>
      <c r="P50" s="233">
        <v>2021</v>
      </c>
      <c r="Q50" s="228"/>
    </row>
    <row r="51" spans="1:17" s="236" customFormat="1" ht="15">
      <c r="A51" s="238" t="s">
        <v>51</v>
      </c>
      <c r="B51" s="238" t="s">
        <v>52</v>
      </c>
      <c r="C51" s="238" t="s">
        <v>71</v>
      </c>
      <c r="D51" s="238" t="s">
        <v>337</v>
      </c>
      <c r="E51" s="243" t="str">
        <f>+'CUOTA ARTESANAL'!E50</f>
        <v>CLAUDIO ALEJANDRO II (RPA 698613)</v>
      </c>
      <c r="F51" s="238" t="s">
        <v>54</v>
      </c>
      <c r="G51" s="238" t="s">
        <v>58</v>
      </c>
      <c r="H51" s="253">
        <f>'CUOTA ARTESANAL'!N50</f>
        <v>14.118</v>
      </c>
      <c r="I51" s="253">
        <f>'CUOTA ARTESANAL'!O50</f>
        <v>0</v>
      </c>
      <c r="J51" s="253">
        <f>'CUOTA ARTESANAL'!P50</f>
        <v>14.118</v>
      </c>
      <c r="K51" s="253">
        <f>'CUOTA ARTESANAL'!Q50</f>
        <v>6.7759999999999998</v>
      </c>
      <c r="L51" s="253">
        <f>'CUOTA ARTESANAL'!R50</f>
        <v>7.3420000000000005</v>
      </c>
      <c r="M51" s="254">
        <f>'CUOTA ARTESANAL'!S50</f>
        <v>0.47995466779997165</v>
      </c>
      <c r="N51" s="239" t="str">
        <f>'CUOTA ARTESANAL'!M50</f>
        <v>-</v>
      </c>
      <c r="O51" s="241">
        <f>RESUMEN!$C$4</f>
        <v>44561</v>
      </c>
      <c r="P51" s="233">
        <v>2021</v>
      </c>
      <c r="Q51" s="228"/>
    </row>
    <row r="52" spans="1:17" s="236" customFormat="1" ht="15">
      <c r="A52" s="238" t="s">
        <v>51</v>
      </c>
      <c r="B52" s="238" t="s">
        <v>52</v>
      </c>
      <c r="C52" s="238" t="s">
        <v>71</v>
      </c>
      <c r="D52" s="238" t="s">
        <v>337</v>
      </c>
      <c r="E52" s="243" t="str">
        <f>+'CUOTA ARTESANAL'!E52</f>
        <v>GONZALO HERNAN (968343)</v>
      </c>
      <c r="F52" s="238" t="s">
        <v>54</v>
      </c>
      <c r="G52" s="238" t="s">
        <v>56</v>
      </c>
      <c r="H52" s="253">
        <f>'CUOTA ARTESANAL'!G52</f>
        <v>7.0620000000000003</v>
      </c>
      <c r="I52" s="253">
        <f>'CUOTA ARTESANAL'!H52</f>
        <v>0</v>
      </c>
      <c r="J52" s="253">
        <f>'CUOTA ARTESANAL'!I52</f>
        <v>7.0620000000000003</v>
      </c>
      <c r="K52" s="253">
        <f>'CUOTA ARTESANAL'!J52</f>
        <v>3.9180000000000001</v>
      </c>
      <c r="L52" s="253">
        <f>'CUOTA ARTESANAL'!K52</f>
        <v>3.1440000000000001</v>
      </c>
      <c r="M52" s="254">
        <f>'CUOTA ARTESANAL'!L52</f>
        <v>0.55480033984706878</v>
      </c>
      <c r="N52" s="240" t="str">
        <f>'CUOTA ARTESANAL'!M52</f>
        <v>-</v>
      </c>
      <c r="O52" s="241">
        <f>RESUMEN!$C$4</f>
        <v>44561</v>
      </c>
      <c r="P52" s="233">
        <v>2021</v>
      </c>
      <c r="Q52" s="228"/>
    </row>
    <row r="53" spans="1:17" s="236" customFormat="1" ht="15">
      <c r="A53" s="238" t="s">
        <v>51</v>
      </c>
      <c r="B53" s="238" t="s">
        <v>52</v>
      </c>
      <c r="C53" s="238" t="s">
        <v>71</v>
      </c>
      <c r="D53" s="238" t="s">
        <v>337</v>
      </c>
      <c r="E53" s="243" t="str">
        <f>+'CUOTA ARTESANAL'!E52</f>
        <v>GONZALO HERNAN (968343)</v>
      </c>
      <c r="F53" s="238" t="s">
        <v>57</v>
      </c>
      <c r="G53" s="238" t="s">
        <v>58</v>
      </c>
      <c r="H53" s="253">
        <f>'CUOTA ARTESANAL'!G53</f>
        <v>7.0620000000000003</v>
      </c>
      <c r="I53" s="253">
        <f>'CUOTA ARTESANAL'!H53</f>
        <v>0</v>
      </c>
      <c r="J53" s="253">
        <f>'CUOTA ARTESANAL'!I53</f>
        <v>10.206</v>
      </c>
      <c r="K53" s="253">
        <f>'CUOTA ARTESANAL'!J53</f>
        <v>3.8639999999999999</v>
      </c>
      <c r="L53" s="253">
        <f>'CUOTA ARTESANAL'!K53</f>
        <v>6.3419999999999996</v>
      </c>
      <c r="M53" s="254">
        <f>'CUOTA ARTESANAL'!L53</f>
        <v>0.37860082304526749</v>
      </c>
      <c r="N53" s="240" t="str">
        <f>'CUOTA ARTESANAL'!M53</f>
        <v>-</v>
      </c>
      <c r="O53" s="241">
        <f>RESUMEN!$C$4</f>
        <v>44561</v>
      </c>
      <c r="P53" s="233">
        <v>2021</v>
      </c>
      <c r="Q53" s="228"/>
    </row>
    <row r="54" spans="1:17" s="236" customFormat="1" ht="15">
      <c r="A54" s="238" t="s">
        <v>51</v>
      </c>
      <c r="B54" s="238" t="s">
        <v>52</v>
      </c>
      <c r="C54" s="238" t="s">
        <v>71</v>
      </c>
      <c r="D54" s="238" t="s">
        <v>337</v>
      </c>
      <c r="E54" s="243" t="str">
        <f>+'CUOTA ARTESANAL'!E52</f>
        <v>GONZALO HERNAN (968343)</v>
      </c>
      <c r="F54" s="238" t="s">
        <v>54</v>
      </c>
      <c r="G54" s="238" t="s">
        <v>58</v>
      </c>
      <c r="H54" s="253">
        <f>'CUOTA ARTESANAL'!N52</f>
        <v>14.124000000000001</v>
      </c>
      <c r="I54" s="253">
        <f>'CUOTA ARTESANAL'!O52</f>
        <v>0</v>
      </c>
      <c r="J54" s="253">
        <f>'CUOTA ARTESANAL'!P52</f>
        <v>14.124000000000001</v>
      </c>
      <c r="K54" s="253">
        <f>'CUOTA ARTESANAL'!Q52</f>
        <v>7.782</v>
      </c>
      <c r="L54" s="253">
        <f>'CUOTA ARTESANAL'!R52</f>
        <v>6.3420000000000005</v>
      </c>
      <c r="M54" s="254">
        <f>'CUOTA ARTESANAL'!S52</f>
        <v>0.55097706032285465</v>
      </c>
      <c r="N54" s="240" t="str">
        <f>'CUOTA ARTESANAL'!M52</f>
        <v>-</v>
      </c>
      <c r="O54" s="241">
        <f>RESUMEN!$C$4</f>
        <v>44561</v>
      </c>
      <c r="P54" s="233">
        <v>2021</v>
      </c>
      <c r="Q54" s="228"/>
    </row>
    <row r="55" spans="1:17" s="236" customFormat="1" ht="15">
      <c r="A55" s="238" t="s">
        <v>51</v>
      </c>
      <c r="B55" s="238" t="s">
        <v>52</v>
      </c>
      <c r="C55" s="238" t="s">
        <v>71</v>
      </c>
      <c r="D55" s="238" t="s">
        <v>337</v>
      </c>
      <c r="E55" s="243" t="str">
        <f>+'CUOTA ARTESANAL'!E54</f>
        <v>MARIA ELIANA (RPA 958902)</v>
      </c>
      <c r="F55" s="238" t="s">
        <v>54</v>
      </c>
      <c r="G55" s="238" t="s">
        <v>56</v>
      </c>
      <c r="H55" s="253">
        <f>'CUOTA ARTESANAL'!G54</f>
        <v>7.0629999999999997</v>
      </c>
      <c r="I55" s="253">
        <f>'CUOTA ARTESANAL'!H54</f>
        <v>0</v>
      </c>
      <c r="J55" s="253">
        <f>'CUOTA ARTESANAL'!I54</f>
        <v>7.0629999999999997</v>
      </c>
      <c r="K55" s="253">
        <f>'CUOTA ARTESANAL'!J54</f>
        <v>2.464</v>
      </c>
      <c r="L55" s="253">
        <f>'CUOTA ARTESANAL'!K54</f>
        <v>4.5990000000000002</v>
      </c>
      <c r="M55" s="254">
        <f>'CUOTA ARTESANAL'!L54</f>
        <v>0.34886025768087214</v>
      </c>
      <c r="N55" s="240" t="str">
        <f>'CUOTA ARTESANAL'!M54</f>
        <v>-</v>
      </c>
      <c r="O55" s="241">
        <f>RESUMEN!$C$4</f>
        <v>44561</v>
      </c>
      <c r="P55" s="233">
        <v>2021</v>
      </c>
      <c r="Q55" s="228"/>
    </row>
    <row r="56" spans="1:17" s="236" customFormat="1" ht="15">
      <c r="A56" s="238" t="s">
        <v>51</v>
      </c>
      <c r="B56" s="238" t="s">
        <v>52</v>
      </c>
      <c r="C56" s="238" t="s">
        <v>71</v>
      </c>
      <c r="D56" s="238" t="s">
        <v>337</v>
      </c>
      <c r="E56" s="243" t="str">
        <f>+'CUOTA ARTESANAL'!E54</f>
        <v>MARIA ELIANA (RPA 958902)</v>
      </c>
      <c r="F56" s="238" t="s">
        <v>57</v>
      </c>
      <c r="G56" s="238" t="s">
        <v>58</v>
      </c>
      <c r="H56" s="253">
        <f>'CUOTA ARTESANAL'!G55</f>
        <v>7.0629999999999997</v>
      </c>
      <c r="I56" s="253">
        <f>'CUOTA ARTESANAL'!H55</f>
        <v>0</v>
      </c>
      <c r="J56" s="253">
        <f>'CUOTA ARTESANAL'!I55</f>
        <v>11.661999999999999</v>
      </c>
      <c r="K56" s="253">
        <f>'CUOTA ARTESANAL'!J55</f>
        <v>1.512</v>
      </c>
      <c r="L56" s="253">
        <f>'CUOTA ARTESANAL'!K55</f>
        <v>10.149999999999999</v>
      </c>
      <c r="M56" s="254">
        <f>'CUOTA ARTESANAL'!L55</f>
        <v>0.12965186074429774</v>
      </c>
      <c r="N56" s="240" t="str">
        <f>'CUOTA ARTESANAL'!M55</f>
        <v>-</v>
      </c>
      <c r="O56" s="241">
        <f>RESUMEN!$C$4</f>
        <v>44561</v>
      </c>
      <c r="P56" s="233">
        <v>2021</v>
      </c>
      <c r="Q56" s="228"/>
    </row>
    <row r="57" spans="1:17" s="236" customFormat="1" ht="15">
      <c r="A57" s="238" t="s">
        <v>51</v>
      </c>
      <c r="B57" s="238" t="s">
        <v>52</v>
      </c>
      <c r="C57" s="238" t="s">
        <v>71</v>
      </c>
      <c r="D57" s="238" t="s">
        <v>337</v>
      </c>
      <c r="E57" s="243" t="str">
        <f>+'CUOTA ARTESANAL'!E54</f>
        <v>MARIA ELIANA (RPA 958902)</v>
      </c>
      <c r="F57" s="238" t="s">
        <v>54</v>
      </c>
      <c r="G57" s="238" t="s">
        <v>58</v>
      </c>
      <c r="H57" s="253">
        <f>'CUOTA ARTESANAL'!N54</f>
        <v>14.125999999999999</v>
      </c>
      <c r="I57" s="253">
        <f>'CUOTA ARTESANAL'!O54</f>
        <v>0</v>
      </c>
      <c r="J57" s="253">
        <f>'CUOTA ARTESANAL'!P54</f>
        <v>14.125999999999999</v>
      </c>
      <c r="K57" s="253">
        <f>'CUOTA ARTESANAL'!Q54</f>
        <v>3.976</v>
      </c>
      <c r="L57" s="253">
        <f>'CUOTA ARTESANAL'!R54</f>
        <v>10.149999999999999</v>
      </c>
      <c r="M57" s="254">
        <f>'CUOTA ARTESANAL'!S54</f>
        <v>0.28146679881070369</v>
      </c>
      <c r="N57" s="240" t="str">
        <f>'CUOTA ARTESANAL'!M54</f>
        <v>-</v>
      </c>
      <c r="O57" s="241">
        <f>RESUMEN!$C$4</f>
        <v>44561</v>
      </c>
      <c r="P57" s="233">
        <v>2021</v>
      </c>
      <c r="Q57" s="228"/>
    </row>
    <row r="58" spans="1:17" s="236" customFormat="1" ht="15">
      <c r="A58" s="238" t="s">
        <v>51</v>
      </c>
      <c r="B58" s="238" t="s">
        <v>52</v>
      </c>
      <c r="C58" s="238" t="s">
        <v>71</v>
      </c>
      <c r="D58" s="238" t="s">
        <v>337</v>
      </c>
      <c r="E58" s="243" t="str">
        <f>+'CUOTA ARTESANAL'!E56</f>
        <v>FACUNDO (RPA 698356)</v>
      </c>
      <c r="F58" s="238" t="s">
        <v>54</v>
      </c>
      <c r="G58" s="238" t="s">
        <v>56</v>
      </c>
      <c r="H58" s="253">
        <f>'CUOTA ARTESANAL'!G56</f>
        <v>7.0620000000000003</v>
      </c>
      <c r="I58" s="253">
        <f>'CUOTA ARTESANAL'!H56</f>
        <v>0</v>
      </c>
      <c r="J58" s="253">
        <f>'CUOTA ARTESANAL'!I56</f>
        <v>7.0620000000000003</v>
      </c>
      <c r="K58" s="253">
        <f>'CUOTA ARTESANAL'!J56</f>
        <v>5.2919999999999998</v>
      </c>
      <c r="L58" s="253">
        <f>'CUOTA ARTESANAL'!K56</f>
        <v>1.7700000000000005</v>
      </c>
      <c r="M58" s="254">
        <f>'CUOTA ARTESANAL'!L56</f>
        <v>0.74936278674596424</v>
      </c>
      <c r="N58" s="240" t="str">
        <f>'CUOTA ARTESANAL'!M56</f>
        <v>-</v>
      </c>
      <c r="O58" s="241">
        <f>RESUMEN!$C$4</f>
        <v>44561</v>
      </c>
      <c r="P58" s="233">
        <v>2021</v>
      </c>
      <c r="Q58" s="228"/>
    </row>
    <row r="59" spans="1:17" s="236" customFormat="1" ht="15">
      <c r="A59" s="238" t="s">
        <v>51</v>
      </c>
      <c r="B59" s="238" t="s">
        <v>52</v>
      </c>
      <c r="C59" s="238" t="s">
        <v>71</v>
      </c>
      <c r="D59" s="238" t="s">
        <v>337</v>
      </c>
      <c r="E59" s="243" t="str">
        <f>+'CUOTA ARTESANAL'!E56</f>
        <v>FACUNDO (RPA 698356)</v>
      </c>
      <c r="F59" s="238" t="s">
        <v>57</v>
      </c>
      <c r="G59" s="238" t="s">
        <v>58</v>
      </c>
      <c r="H59" s="253">
        <f>'CUOTA ARTESANAL'!G57</f>
        <v>7.0620000000000003</v>
      </c>
      <c r="I59" s="253">
        <f>'CUOTA ARTESANAL'!H57</f>
        <v>0</v>
      </c>
      <c r="J59" s="253">
        <f>'CUOTA ARTESANAL'!I57</f>
        <v>8.8320000000000007</v>
      </c>
      <c r="K59" s="253">
        <f>'CUOTA ARTESANAL'!J57</f>
        <v>0.53200000000000003</v>
      </c>
      <c r="L59" s="253">
        <f>'CUOTA ARTESANAL'!K57</f>
        <v>8.3000000000000007</v>
      </c>
      <c r="M59" s="254">
        <f>'CUOTA ARTESANAL'!L57</f>
        <v>6.0235507246376808E-2</v>
      </c>
      <c r="N59" s="240" t="str">
        <f>'CUOTA ARTESANAL'!M57</f>
        <v>-</v>
      </c>
      <c r="O59" s="241">
        <f>RESUMEN!$C$4</f>
        <v>44561</v>
      </c>
      <c r="P59" s="233">
        <v>2021</v>
      </c>
      <c r="Q59" s="228"/>
    </row>
    <row r="60" spans="1:17" s="236" customFormat="1" ht="15">
      <c r="A60" s="238" t="s">
        <v>51</v>
      </c>
      <c r="B60" s="238" t="s">
        <v>52</v>
      </c>
      <c r="C60" s="238" t="s">
        <v>71</v>
      </c>
      <c r="D60" s="238" t="s">
        <v>337</v>
      </c>
      <c r="E60" s="243" t="str">
        <f>+'CUOTA ARTESANAL'!E56</f>
        <v>FACUNDO (RPA 698356)</v>
      </c>
      <c r="F60" s="238" t="s">
        <v>54</v>
      </c>
      <c r="G60" s="238" t="s">
        <v>58</v>
      </c>
      <c r="H60" s="253">
        <f>'CUOTA ARTESANAL'!N56</f>
        <v>14.124000000000001</v>
      </c>
      <c r="I60" s="253">
        <f>'CUOTA ARTESANAL'!O56</f>
        <v>0</v>
      </c>
      <c r="J60" s="253">
        <f>'CUOTA ARTESANAL'!P56</f>
        <v>14.124000000000001</v>
      </c>
      <c r="K60" s="253">
        <f>'CUOTA ARTESANAL'!Q56</f>
        <v>5.8239999999999998</v>
      </c>
      <c r="L60" s="253">
        <f>'CUOTA ARTESANAL'!R56</f>
        <v>8.3000000000000007</v>
      </c>
      <c r="M60" s="254">
        <f>'CUOTA ARTESANAL'!S56</f>
        <v>0.41234777683375812</v>
      </c>
      <c r="N60" s="240" t="s">
        <v>218</v>
      </c>
      <c r="O60" s="241">
        <f>RESUMEN!$C$4</f>
        <v>44561</v>
      </c>
      <c r="P60" s="233">
        <v>2021</v>
      </c>
      <c r="Q60" s="228"/>
    </row>
    <row r="61" spans="1:17" s="236" customFormat="1" ht="15">
      <c r="A61" s="238" t="s">
        <v>51</v>
      </c>
      <c r="B61" s="238" t="s">
        <v>52</v>
      </c>
      <c r="C61" s="238" t="s">
        <v>71</v>
      </c>
      <c r="D61" s="238" t="s">
        <v>337</v>
      </c>
      <c r="E61" s="243" t="str">
        <f>+'CUOTA ARTESANAL'!E58</f>
        <v>EL FARO (RPA 964544)</v>
      </c>
      <c r="F61" s="238" t="s">
        <v>54</v>
      </c>
      <c r="G61" s="238" t="s">
        <v>56</v>
      </c>
      <c r="H61" s="253">
        <f>'CUOTA ARTESANAL'!G58</f>
        <v>7.0659999999999998</v>
      </c>
      <c r="I61" s="253">
        <f>'CUOTA ARTESANAL'!H58</f>
        <v>0</v>
      </c>
      <c r="J61" s="253">
        <f>'CUOTA ARTESANAL'!I58</f>
        <v>7.0659999999999998</v>
      </c>
      <c r="K61" s="253">
        <f>'CUOTA ARTESANAL'!J58</f>
        <v>2.2120000000000002</v>
      </c>
      <c r="L61" s="253">
        <f>'CUOTA ARTESANAL'!K58</f>
        <v>4.8539999999999992</v>
      </c>
      <c r="M61" s="254">
        <f>'CUOTA ARTESANAL'!L58</f>
        <v>0.3130484007925276</v>
      </c>
      <c r="N61" s="240" t="str">
        <f>'CUOTA ARTESANAL'!M58</f>
        <v>-</v>
      </c>
      <c r="O61" s="241">
        <f>RESUMEN!$C$4</f>
        <v>44561</v>
      </c>
      <c r="P61" s="233">
        <v>2021</v>
      </c>
      <c r="Q61" s="228"/>
    </row>
    <row r="62" spans="1:17" s="236" customFormat="1" ht="15">
      <c r="A62" s="238" t="s">
        <v>51</v>
      </c>
      <c r="B62" s="238" t="s">
        <v>52</v>
      </c>
      <c r="C62" s="238" t="s">
        <v>71</v>
      </c>
      <c r="D62" s="238" t="s">
        <v>337</v>
      </c>
      <c r="E62" s="243" t="str">
        <f>+'CUOTA ARTESANAL'!E58</f>
        <v>EL FARO (RPA 964544)</v>
      </c>
      <c r="F62" s="238" t="s">
        <v>57</v>
      </c>
      <c r="G62" s="238" t="s">
        <v>58</v>
      </c>
      <c r="H62" s="253">
        <f>'CUOTA ARTESANAL'!G59</f>
        <v>7.0650000000000004</v>
      </c>
      <c r="I62" s="253">
        <f>'CUOTA ARTESANAL'!H59</f>
        <v>0</v>
      </c>
      <c r="J62" s="253">
        <f>'CUOTA ARTESANAL'!I59</f>
        <v>11.919</v>
      </c>
      <c r="K62" s="253">
        <f>'CUOTA ARTESANAL'!J59</f>
        <v>0.75600000000000001</v>
      </c>
      <c r="L62" s="253">
        <f>'CUOTA ARTESANAL'!K59</f>
        <v>11.163</v>
      </c>
      <c r="M62" s="254">
        <f>'CUOTA ARTESANAL'!L59</f>
        <v>6.3428139944626219E-2</v>
      </c>
      <c r="N62" s="240" t="str">
        <f>'CUOTA ARTESANAL'!M59</f>
        <v>-</v>
      </c>
      <c r="O62" s="241">
        <f>RESUMEN!$C$4</f>
        <v>44561</v>
      </c>
      <c r="P62" s="233">
        <v>2021</v>
      </c>
      <c r="Q62" s="228"/>
    </row>
    <row r="63" spans="1:17" s="236" customFormat="1" ht="15">
      <c r="A63" s="238" t="s">
        <v>51</v>
      </c>
      <c r="B63" s="238" t="s">
        <v>52</v>
      </c>
      <c r="C63" s="238" t="s">
        <v>71</v>
      </c>
      <c r="D63" s="238" t="s">
        <v>337</v>
      </c>
      <c r="E63" s="243" t="str">
        <f>+'CUOTA ARTESANAL'!E58</f>
        <v>EL FARO (RPA 964544)</v>
      </c>
      <c r="F63" s="238" t="s">
        <v>54</v>
      </c>
      <c r="G63" s="238" t="s">
        <v>58</v>
      </c>
      <c r="H63" s="253">
        <f>'CUOTA ARTESANAL'!N58</f>
        <v>14.131</v>
      </c>
      <c r="I63" s="253">
        <f>'CUOTA ARTESANAL'!O58</f>
        <v>0</v>
      </c>
      <c r="J63" s="253">
        <f>'CUOTA ARTESANAL'!P58</f>
        <v>14.131</v>
      </c>
      <c r="K63" s="253">
        <f>'CUOTA ARTESANAL'!Q58</f>
        <v>2.968</v>
      </c>
      <c r="L63" s="253">
        <f>'CUOTA ARTESANAL'!R58</f>
        <v>11.163</v>
      </c>
      <c r="M63" s="254">
        <f>'CUOTA ARTESANAL'!S58</f>
        <v>0.21003467553605548</v>
      </c>
      <c r="N63" s="240" t="s">
        <v>218</v>
      </c>
      <c r="O63" s="241">
        <f>RESUMEN!$C$4</f>
        <v>44561</v>
      </c>
      <c r="P63" s="233">
        <v>2021</v>
      </c>
      <c r="Q63" s="228"/>
    </row>
    <row r="64" spans="1:17" s="236" customFormat="1" ht="15">
      <c r="A64" s="238" t="s">
        <v>51</v>
      </c>
      <c r="B64" s="238" t="s">
        <v>52</v>
      </c>
      <c r="C64" s="238" t="s">
        <v>71</v>
      </c>
      <c r="D64" s="238" t="s">
        <v>337</v>
      </c>
      <c r="E64" s="243" t="str">
        <f>+'CUOTA ARTESANAL'!E60</f>
        <v>ERICAR (RPA 957516)</v>
      </c>
      <c r="F64" s="238" t="s">
        <v>57</v>
      </c>
      <c r="G64" s="238" t="s">
        <v>56</v>
      </c>
      <c r="H64" s="253">
        <f>+'CUOTA ARTESANAL'!G60</f>
        <v>7.056</v>
      </c>
      <c r="I64" s="253">
        <f>+'CUOTA ARTESANAL'!H60</f>
        <v>0</v>
      </c>
      <c r="J64" s="253">
        <f>+'CUOTA ARTESANAL'!I60</f>
        <v>7.056</v>
      </c>
      <c r="K64" s="253">
        <f>+'CUOTA ARTESANAL'!J60</f>
        <v>0</v>
      </c>
      <c r="L64" s="253">
        <f>+'CUOTA ARTESANAL'!K60</f>
        <v>7.056</v>
      </c>
      <c r="M64" s="254">
        <f>+'CUOTA ARTESANAL'!L60</f>
        <v>0</v>
      </c>
      <c r="N64" s="240" t="str">
        <f>+'CUOTA ARTESANAL'!M60</f>
        <v>-</v>
      </c>
      <c r="O64" s="241">
        <f>RESUMEN!$C$4</f>
        <v>44561</v>
      </c>
      <c r="P64" s="233">
        <v>2021</v>
      </c>
      <c r="Q64" s="228"/>
    </row>
    <row r="65" spans="1:17" s="236" customFormat="1" ht="15">
      <c r="A65" s="238" t="s">
        <v>51</v>
      </c>
      <c r="B65" s="238" t="s">
        <v>52</v>
      </c>
      <c r="C65" s="238" t="s">
        <v>71</v>
      </c>
      <c r="D65" s="238" t="s">
        <v>337</v>
      </c>
      <c r="E65" s="243" t="str">
        <f>+'CUOTA ARTESANAL'!E60</f>
        <v>ERICAR (RPA 957516)</v>
      </c>
      <c r="F65" s="238" t="s">
        <v>54</v>
      </c>
      <c r="G65" s="238" t="s">
        <v>58</v>
      </c>
      <c r="H65" s="253">
        <f>+'CUOTA ARTESANAL'!G61</f>
        <v>7.056</v>
      </c>
      <c r="I65" s="253">
        <f>+'CUOTA ARTESANAL'!H61</f>
        <v>0</v>
      </c>
      <c r="J65" s="253">
        <f>+'CUOTA ARTESANAL'!I61</f>
        <v>14.112</v>
      </c>
      <c r="K65" s="253">
        <f>+'CUOTA ARTESANAL'!J61</f>
        <v>0.56000000000000005</v>
      </c>
      <c r="L65" s="253">
        <f>+'CUOTA ARTESANAL'!K61</f>
        <v>13.552</v>
      </c>
      <c r="M65" s="254">
        <f>+'CUOTA ARTESANAL'!L61</f>
        <v>3.9682539682539687E-2</v>
      </c>
      <c r="N65" s="240" t="str">
        <f>+'CUOTA ARTESANAL'!M61</f>
        <v>-</v>
      </c>
      <c r="O65" s="241">
        <f>RESUMEN!$C$4</f>
        <v>44561</v>
      </c>
      <c r="P65" s="233">
        <v>2021</v>
      </c>
      <c r="Q65" s="228"/>
    </row>
    <row r="66" spans="1:17" s="236" customFormat="1" ht="15">
      <c r="A66" s="238" t="s">
        <v>51</v>
      </c>
      <c r="B66" s="238" t="s">
        <v>52</v>
      </c>
      <c r="C66" s="238" t="s">
        <v>71</v>
      </c>
      <c r="D66" s="238" t="s">
        <v>337</v>
      </c>
      <c r="E66" s="243" t="str">
        <f>+'CUOTA ARTESANAL'!E60</f>
        <v>ERICAR (RPA 957516)</v>
      </c>
      <c r="F66" s="238" t="s">
        <v>57</v>
      </c>
      <c r="G66" s="238" t="s">
        <v>58</v>
      </c>
      <c r="H66" s="253">
        <f>'CUOTA ARTESANAL'!N60</f>
        <v>14.112</v>
      </c>
      <c r="I66" s="253">
        <f>'CUOTA ARTESANAL'!O60</f>
        <v>0</v>
      </c>
      <c r="J66" s="253">
        <f>'CUOTA ARTESANAL'!P60</f>
        <v>14.112</v>
      </c>
      <c r="K66" s="253">
        <f>'CUOTA ARTESANAL'!Q60</f>
        <v>0.56000000000000005</v>
      </c>
      <c r="L66" s="253">
        <f>'CUOTA ARTESANAL'!R60</f>
        <v>13.552</v>
      </c>
      <c r="M66" s="254">
        <f>'CUOTA ARTESANAL'!S60</f>
        <v>3.9682539682539687E-2</v>
      </c>
      <c r="N66" s="240" t="s">
        <v>218</v>
      </c>
      <c r="O66" s="241">
        <f>RESUMEN!$C$4</f>
        <v>44561</v>
      </c>
      <c r="P66" s="233">
        <v>2021</v>
      </c>
      <c r="Q66" s="228"/>
    </row>
    <row r="67" spans="1:17" s="236" customFormat="1" ht="15">
      <c r="A67" s="238" t="s">
        <v>51</v>
      </c>
      <c r="B67" s="238" t="s">
        <v>52</v>
      </c>
      <c r="C67" s="238" t="s">
        <v>71</v>
      </c>
      <c r="D67" s="238" t="s">
        <v>337</v>
      </c>
      <c r="E67" s="243" t="str">
        <f>+'CUOTA ARTESANAL'!E62</f>
        <v>SAN JOSE III (RPA 962034)</v>
      </c>
      <c r="F67" s="238" t="s">
        <v>54</v>
      </c>
      <c r="G67" s="238" t="s">
        <v>56</v>
      </c>
      <c r="H67" s="253">
        <f>'CUOTA ARTESANAL'!G62</f>
        <v>7.0570000000000004</v>
      </c>
      <c r="I67" s="253">
        <f>'CUOTA ARTESANAL'!H62</f>
        <v>0</v>
      </c>
      <c r="J67" s="253">
        <f>'CUOTA ARTESANAL'!I62</f>
        <v>7.0570000000000004</v>
      </c>
      <c r="K67" s="253">
        <f>'CUOTA ARTESANAL'!J62</f>
        <v>0</v>
      </c>
      <c r="L67" s="253">
        <f>'CUOTA ARTESANAL'!K62</f>
        <v>7.0570000000000004</v>
      </c>
      <c r="M67" s="254">
        <f>'CUOTA ARTESANAL'!L62</f>
        <v>0</v>
      </c>
      <c r="N67" s="240" t="str">
        <f>'CUOTA ARTESANAL'!M62</f>
        <v>-</v>
      </c>
      <c r="O67" s="241">
        <f>RESUMEN!$C$4</f>
        <v>44561</v>
      </c>
      <c r="P67" s="233">
        <v>2021</v>
      </c>
      <c r="Q67" s="228"/>
    </row>
    <row r="68" spans="1:17" s="236" customFormat="1" ht="15">
      <c r="A68" s="238" t="s">
        <v>51</v>
      </c>
      <c r="B68" s="238" t="s">
        <v>52</v>
      </c>
      <c r="C68" s="238" t="s">
        <v>71</v>
      </c>
      <c r="D68" s="238" t="s">
        <v>337</v>
      </c>
      <c r="E68" s="243" t="str">
        <f>+'CUOTA ARTESANAL'!E62</f>
        <v>SAN JOSE III (RPA 962034)</v>
      </c>
      <c r="F68" s="238" t="s">
        <v>57</v>
      </c>
      <c r="G68" s="238" t="s">
        <v>58</v>
      </c>
      <c r="H68" s="253">
        <f>'CUOTA ARTESANAL'!G63</f>
        <v>7.0570000000000004</v>
      </c>
      <c r="I68" s="253">
        <f>'CUOTA ARTESANAL'!H63</f>
        <v>0</v>
      </c>
      <c r="J68" s="253">
        <f>'CUOTA ARTESANAL'!I63</f>
        <v>14.114000000000001</v>
      </c>
      <c r="K68" s="253">
        <f>'CUOTA ARTESANAL'!J63</f>
        <v>0.84</v>
      </c>
      <c r="L68" s="253">
        <f>'CUOTA ARTESANAL'!K63</f>
        <v>13.274000000000001</v>
      </c>
      <c r="M68" s="254">
        <f>'CUOTA ARTESANAL'!L63</f>
        <v>5.9515374805157992E-2</v>
      </c>
      <c r="N68" s="240" t="str">
        <f>'CUOTA ARTESANAL'!M63</f>
        <v>-</v>
      </c>
      <c r="O68" s="241">
        <f>RESUMEN!$C$4</f>
        <v>44561</v>
      </c>
      <c r="P68" s="233">
        <v>2021</v>
      </c>
      <c r="Q68" s="228"/>
    </row>
    <row r="69" spans="1:17" s="236" customFormat="1" ht="15">
      <c r="A69" s="238" t="s">
        <v>51</v>
      </c>
      <c r="B69" s="238" t="s">
        <v>52</v>
      </c>
      <c r="C69" s="238" t="s">
        <v>71</v>
      </c>
      <c r="D69" s="238" t="s">
        <v>337</v>
      </c>
      <c r="E69" s="243" t="str">
        <f>+'CUOTA ARTESANAL'!E62</f>
        <v>SAN JOSE III (RPA 962034)</v>
      </c>
      <c r="F69" s="238" t="s">
        <v>54</v>
      </c>
      <c r="G69" s="238" t="s">
        <v>58</v>
      </c>
      <c r="H69" s="253">
        <f>'CUOTA ARTESANAL'!N62</f>
        <v>14.114000000000001</v>
      </c>
      <c r="I69" s="253">
        <f>'CUOTA ARTESANAL'!O62</f>
        <v>0</v>
      </c>
      <c r="J69" s="253">
        <f>'CUOTA ARTESANAL'!P62</f>
        <v>14.114000000000001</v>
      </c>
      <c r="K69" s="253">
        <f>'CUOTA ARTESANAL'!Q62</f>
        <v>0.84</v>
      </c>
      <c r="L69" s="253">
        <f>'CUOTA ARTESANAL'!R62</f>
        <v>13.274000000000001</v>
      </c>
      <c r="M69" s="254">
        <f>'CUOTA ARTESANAL'!S62</f>
        <v>5.9515374805157992E-2</v>
      </c>
      <c r="N69" s="240" t="s">
        <v>218</v>
      </c>
      <c r="O69" s="241">
        <f>RESUMEN!$C$4</f>
        <v>44561</v>
      </c>
      <c r="P69" s="233">
        <v>2021</v>
      </c>
      <c r="Q69" s="228"/>
    </row>
    <row r="70" spans="1:17" s="236" customFormat="1" ht="15">
      <c r="A70" s="238" t="s">
        <v>51</v>
      </c>
      <c r="B70" s="238" t="s">
        <v>52</v>
      </c>
      <c r="C70" s="238" t="s">
        <v>71</v>
      </c>
      <c r="D70" s="238" t="s">
        <v>337</v>
      </c>
      <c r="E70" s="243" t="str">
        <f>+'CUOTA ARTESANAL'!E64</f>
        <v>BEN-HUR II (RPA 962110)</v>
      </c>
      <c r="F70" s="238" t="s">
        <v>57</v>
      </c>
      <c r="G70" s="238" t="s">
        <v>56</v>
      </c>
      <c r="H70" s="253">
        <f>'CUOTA ARTESANAL'!G64</f>
        <v>7.0549999999999997</v>
      </c>
      <c r="I70" s="253">
        <f>'CUOTA ARTESANAL'!H64</f>
        <v>0</v>
      </c>
      <c r="J70" s="253">
        <f>'CUOTA ARTESANAL'!I64</f>
        <v>7.0549999999999997</v>
      </c>
      <c r="K70" s="253">
        <f>'CUOTA ARTESANAL'!J64</f>
        <v>3.03</v>
      </c>
      <c r="L70" s="253">
        <f>'CUOTA ARTESANAL'!K64</f>
        <v>4.0250000000000004</v>
      </c>
      <c r="M70" s="254">
        <f>'CUOTA ARTESANAL'!L64</f>
        <v>0.42948263642806517</v>
      </c>
      <c r="N70" s="240" t="str">
        <f>'CUOTA ARTESANAL'!M64</f>
        <v>-</v>
      </c>
      <c r="O70" s="241">
        <f>RESUMEN!$C$4</f>
        <v>44561</v>
      </c>
      <c r="P70" s="233">
        <v>2021</v>
      </c>
      <c r="Q70" s="228"/>
    </row>
    <row r="71" spans="1:17" s="236" customFormat="1" ht="15">
      <c r="A71" s="238" t="s">
        <v>51</v>
      </c>
      <c r="B71" s="238" t="s">
        <v>52</v>
      </c>
      <c r="C71" s="238" t="s">
        <v>71</v>
      </c>
      <c r="D71" s="238" t="s">
        <v>337</v>
      </c>
      <c r="E71" s="243" t="str">
        <f>+'CUOTA ARTESANAL'!E64</f>
        <v>BEN-HUR II (RPA 962110)</v>
      </c>
      <c r="F71" s="238" t="s">
        <v>54</v>
      </c>
      <c r="G71" s="238" t="s">
        <v>58</v>
      </c>
      <c r="H71" s="253">
        <f>'CUOTA ARTESANAL'!G65</f>
        <v>7.0549999999999997</v>
      </c>
      <c r="I71" s="253">
        <f>'CUOTA ARTESANAL'!H65</f>
        <v>0</v>
      </c>
      <c r="J71" s="253">
        <f>'CUOTA ARTESANAL'!I65</f>
        <v>11.08</v>
      </c>
      <c r="K71" s="253">
        <f>'CUOTA ARTESANAL'!J65</f>
        <v>1.89</v>
      </c>
      <c r="L71" s="253">
        <f>'CUOTA ARTESANAL'!K65</f>
        <v>9.19</v>
      </c>
      <c r="M71" s="254">
        <f>'CUOTA ARTESANAL'!L65</f>
        <v>0.17057761732851984</v>
      </c>
      <c r="N71" s="240" t="str">
        <f>'CUOTA ARTESANAL'!M65</f>
        <v>-</v>
      </c>
      <c r="O71" s="241">
        <f>RESUMEN!$C$4</f>
        <v>44561</v>
      </c>
      <c r="P71" s="233">
        <v>2021</v>
      </c>
      <c r="Q71" s="228"/>
    </row>
    <row r="72" spans="1:17" s="236" customFormat="1" ht="15">
      <c r="A72" s="238" t="s">
        <v>51</v>
      </c>
      <c r="B72" s="238" t="s">
        <v>52</v>
      </c>
      <c r="C72" s="238" t="s">
        <v>71</v>
      </c>
      <c r="D72" s="238" t="s">
        <v>337</v>
      </c>
      <c r="E72" s="243" t="str">
        <f>+'CUOTA ARTESANAL'!E64</f>
        <v>BEN-HUR II (RPA 962110)</v>
      </c>
      <c r="F72" s="238" t="s">
        <v>57</v>
      </c>
      <c r="G72" s="238" t="s">
        <v>58</v>
      </c>
      <c r="H72" s="253">
        <f>'CUOTA ARTESANAL'!N64</f>
        <v>14.11</v>
      </c>
      <c r="I72" s="253">
        <f>'CUOTA ARTESANAL'!O64</f>
        <v>0</v>
      </c>
      <c r="J72" s="253">
        <f>'CUOTA ARTESANAL'!P64</f>
        <v>14.11</v>
      </c>
      <c r="K72" s="253">
        <f>'CUOTA ARTESANAL'!Q64</f>
        <v>4.92</v>
      </c>
      <c r="L72" s="253">
        <f>'CUOTA ARTESANAL'!R64</f>
        <v>9.19</v>
      </c>
      <c r="M72" s="254">
        <f>'CUOTA ARTESANAL'!S64</f>
        <v>0.34868887313961733</v>
      </c>
      <c r="N72" s="240" t="s">
        <v>218</v>
      </c>
      <c r="O72" s="241">
        <f>RESUMEN!$C$4</f>
        <v>44561</v>
      </c>
      <c r="P72" s="233">
        <v>2021</v>
      </c>
      <c r="Q72" s="228"/>
    </row>
    <row r="73" spans="1:17" s="236" customFormat="1" ht="15">
      <c r="A73" s="238" t="s">
        <v>51</v>
      </c>
      <c r="B73" s="238" t="s">
        <v>52</v>
      </c>
      <c r="C73" s="238" t="s">
        <v>71</v>
      </c>
      <c r="D73" s="238" t="s">
        <v>337</v>
      </c>
      <c r="E73" s="243" t="str">
        <f>+'CUOTA ARTESANAL'!E66</f>
        <v>EL LEYTON (RPA 900331)</v>
      </c>
      <c r="F73" s="238" t="s">
        <v>54</v>
      </c>
      <c r="G73" s="238" t="s">
        <v>56</v>
      </c>
      <c r="H73" s="253">
        <f>'CUOTA ARTESANAL'!G66</f>
        <v>7.0640000000000001</v>
      </c>
      <c r="I73" s="253">
        <f>'CUOTA ARTESANAL'!H66</f>
        <v>0</v>
      </c>
      <c r="J73" s="253">
        <f>'CUOTA ARTESANAL'!I66</f>
        <v>7.0640000000000001</v>
      </c>
      <c r="K73" s="253">
        <f>'CUOTA ARTESANAL'!J66</f>
        <v>5.32</v>
      </c>
      <c r="L73" s="253">
        <f>'CUOTA ARTESANAL'!K66</f>
        <v>1.7439999999999998</v>
      </c>
      <c r="M73" s="254">
        <f>'CUOTA ARTESANAL'!L66</f>
        <v>0.75311438278595699</v>
      </c>
      <c r="N73" s="240" t="str">
        <f>'CUOTA ARTESANAL'!M66</f>
        <v>-</v>
      </c>
      <c r="O73" s="241">
        <f>RESUMEN!$C$4</f>
        <v>44561</v>
      </c>
      <c r="P73" s="233">
        <v>2021</v>
      </c>
      <c r="Q73" s="228"/>
    </row>
    <row r="74" spans="1:17" s="236" customFormat="1" ht="15">
      <c r="A74" s="238" t="s">
        <v>51</v>
      </c>
      <c r="B74" s="238" t="s">
        <v>52</v>
      </c>
      <c r="C74" s="238" t="s">
        <v>71</v>
      </c>
      <c r="D74" s="238" t="s">
        <v>337</v>
      </c>
      <c r="E74" s="243" t="str">
        <f>+'CUOTA ARTESANAL'!E66</f>
        <v>EL LEYTON (RPA 900331)</v>
      </c>
      <c r="F74" s="238" t="s">
        <v>57</v>
      </c>
      <c r="G74" s="238" t="s">
        <v>58</v>
      </c>
      <c r="H74" s="253">
        <f>'CUOTA ARTESANAL'!G67</f>
        <v>7.0640000000000001</v>
      </c>
      <c r="I74" s="253">
        <f>'CUOTA ARTESANAL'!H67</f>
        <v>0</v>
      </c>
      <c r="J74" s="253">
        <f>'CUOTA ARTESANAL'!I67</f>
        <v>8.8079999999999998</v>
      </c>
      <c r="K74" s="253">
        <f>'CUOTA ARTESANAL'!J67</f>
        <v>5.4039999999999999</v>
      </c>
      <c r="L74" s="253">
        <f>'CUOTA ARTESANAL'!K67</f>
        <v>3.4039999999999999</v>
      </c>
      <c r="M74" s="254">
        <f>'CUOTA ARTESANAL'!L67</f>
        <v>0.61353315168029066</v>
      </c>
      <c r="N74" s="240" t="str">
        <f>'CUOTA ARTESANAL'!M67</f>
        <v>-</v>
      </c>
      <c r="O74" s="241">
        <f>RESUMEN!$C$4</f>
        <v>44561</v>
      </c>
      <c r="P74" s="233">
        <v>2021</v>
      </c>
      <c r="Q74" s="228"/>
    </row>
    <row r="75" spans="1:17" s="236" customFormat="1" ht="15">
      <c r="A75" s="238" t="s">
        <v>51</v>
      </c>
      <c r="B75" s="238" t="s">
        <v>52</v>
      </c>
      <c r="C75" s="238" t="s">
        <v>71</v>
      </c>
      <c r="D75" s="238" t="s">
        <v>337</v>
      </c>
      <c r="E75" s="243" t="str">
        <f>+'CUOTA ARTESANAL'!E66</f>
        <v>EL LEYTON (RPA 900331)</v>
      </c>
      <c r="F75" s="238" t="s">
        <v>54</v>
      </c>
      <c r="G75" s="238" t="s">
        <v>58</v>
      </c>
      <c r="H75" s="253">
        <f>'CUOTA ARTESANAL'!N66</f>
        <v>14.128</v>
      </c>
      <c r="I75" s="253">
        <f>'CUOTA ARTESANAL'!O66</f>
        <v>0</v>
      </c>
      <c r="J75" s="253">
        <f>'CUOTA ARTESANAL'!P66</f>
        <v>14.128</v>
      </c>
      <c r="K75" s="253">
        <f>'CUOTA ARTESANAL'!Q66</f>
        <v>10.724</v>
      </c>
      <c r="L75" s="253">
        <f>'CUOTA ARTESANAL'!R66</f>
        <v>3.4039999999999999</v>
      </c>
      <c r="M75" s="254">
        <f>'CUOTA ARTESANAL'!S66</f>
        <v>0.75906002265005668</v>
      </c>
      <c r="N75" s="240" t="s">
        <v>218</v>
      </c>
      <c r="O75" s="241">
        <f>RESUMEN!$C$4</f>
        <v>44561</v>
      </c>
      <c r="P75" s="233">
        <v>2021</v>
      </c>
      <c r="Q75" s="228"/>
    </row>
    <row r="76" spans="1:17" s="236" customFormat="1" ht="15">
      <c r="A76" s="238" t="s">
        <v>51</v>
      </c>
      <c r="B76" s="238" t="s">
        <v>52</v>
      </c>
      <c r="C76" s="238" t="s">
        <v>71</v>
      </c>
      <c r="D76" s="238" t="s">
        <v>337</v>
      </c>
      <c r="E76" s="243" t="str">
        <f>+'CUOTA ARTESANAL'!E68</f>
        <v>EL SALINERO (RPA 697275)</v>
      </c>
      <c r="F76" s="238" t="s">
        <v>57</v>
      </c>
      <c r="G76" s="238" t="s">
        <v>56</v>
      </c>
      <c r="H76" s="253">
        <f>'CUOTA ARTESANAL'!G68</f>
        <v>7.0629999999999997</v>
      </c>
      <c r="I76" s="253">
        <f>'CUOTA ARTESANAL'!H68</f>
        <v>0</v>
      </c>
      <c r="J76" s="253">
        <f>'CUOTA ARTESANAL'!I68</f>
        <v>7.0629999999999997</v>
      </c>
      <c r="K76" s="253">
        <f>'CUOTA ARTESANAL'!J68</f>
        <v>7.3079999999999998</v>
      </c>
      <c r="L76" s="253">
        <f>'CUOTA ARTESANAL'!K68</f>
        <v>-0.24500000000000011</v>
      </c>
      <c r="M76" s="254">
        <f>'CUOTA ARTESANAL'!L68</f>
        <v>1.0346878097125867</v>
      </c>
      <c r="N76" s="240">
        <f>'CUOTA ARTESANAL'!M68</f>
        <v>44369</v>
      </c>
      <c r="O76" s="241">
        <f>RESUMEN!$C$4</f>
        <v>44561</v>
      </c>
      <c r="P76" s="233">
        <v>2021</v>
      </c>
      <c r="Q76" s="228"/>
    </row>
    <row r="77" spans="1:17" s="236" customFormat="1" ht="15">
      <c r="A77" s="238" t="s">
        <v>51</v>
      </c>
      <c r="B77" s="238" t="s">
        <v>52</v>
      </c>
      <c r="C77" s="238" t="s">
        <v>71</v>
      </c>
      <c r="D77" s="238" t="s">
        <v>337</v>
      </c>
      <c r="E77" s="243" t="str">
        <f>+'CUOTA ARTESANAL'!E68</f>
        <v>EL SALINERO (RPA 697275)</v>
      </c>
      <c r="F77" s="238" t="s">
        <v>54</v>
      </c>
      <c r="G77" s="238" t="s">
        <v>58</v>
      </c>
      <c r="H77" s="253">
        <f>'CUOTA ARTESANAL'!G69</f>
        <v>7.0629999999999997</v>
      </c>
      <c r="I77" s="253">
        <f>'CUOTA ARTESANAL'!H69</f>
        <v>0</v>
      </c>
      <c r="J77" s="253">
        <f>'CUOTA ARTESANAL'!I69</f>
        <v>6.8179999999999996</v>
      </c>
      <c r="K77" s="253">
        <f>'CUOTA ARTESANAL'!J69</f>
        <v>5.1520000000000001</v>
      </c>
      <c r="L77" s="253">
        <f>'CUOTA ARTESANAL'!K69</f>
        <v>1.6659999999999995</v>
      </c>
      <c r="M77" s="254">
        <f>'CUOTA ARTESANAL'!L69</f>
        <v>0.75564681724846006</v>
      </c>
      <c r="N77" s="240" t="str">
        <f>'CUOTA ARTESANAL'!M69</f>
        <v>-</v>
      </c>
      <c r="O77" s="241">
        <f>RESUMEN!$C$4</f>
        <v>44561</v>
      </c>
      <c r="P77" s="233">
        <v>2021</v>
      </c>
      <c r="Q77" s="228"/>
    </row>
    <row r="78" spans="1:17" s="236" customFormat="1" ht="15">
      <c r="A78" s="238" t="s">
        <v>51</v>
      </c>
      <c r="B78" s="238" t="s">
        <v>52</v>
      </c>
      <c r="C78" s="238" t="s">
        <v>71</v>
      </c>
      <c r="D78" s="238" t="s">
        <v>337</v>
      </c>
      <c r="E78" s="243" t="str">
        <f>+'CUOTA ARTESANAL'!E68</f>
        <v>EL SALINERO (RPA 697275)</v>
      </c>
      <c r="F78" s="238" t="s">
        <v>57</v>
      </c>
      <c r="G78" s="238" t="s">
        <v>58</v>
      </c>
      <c r="H78" s="253">
        <f>'CUOTA ARTESANAL'!N68</f>
        <v>14.125999999999999</v>
      </c>
      <c r="I78" s="253">
        <f>'CUOTA ARTESANAL'!O68</f>
        <v>0</v>
      </c>
      <c r="J78" s="253">
        <f>'CUOTA ARTESANAL'!P68</f>
        <v>14.125999999999999</v>
      </c>
      <c r="K78" s="253">
        <f>'CUOTA ARTESANAL'!Q68</f>
        <v>12.46</v>
      </c>
      <c r="L78" s="253">
        <f>'CUOTA ARTESANAL'!R68</f>
        <v>1.6659999999999986</v>
      </c>
      <c r="M78" s="254">
        <f>'CUOTA ARTESANAL'!S68</f>
        <v>0.88206144697720523</v>
      </c>
      <c r="N78" s="240" t="s">
        <v>218</v>
      </c>
      <c r="O78" s="241">
        <f>RESUMEN!$C$4</f>
        <v>44561</v>
      </c>
      <c r="P78" s="233">
        <v>2021</v>
      </c>
      <c r="Q78" s="228"/>
    </row>
    <row r="79" spans="1:17" s="236" customFormat="1" ht="15">
      <c r="A79" s="238" t="s">
        <v>51</v>
      </c>
      <c r="B79" s="238" t="s">
        <v>52</v>
      </c>
      <c r="C79" s="238" t="s">
        <v>71</v>
      </c>
      <c r="D79" s="238" t="s">
        <v>337</v>
      </c>
      <c r="E79" s="243" t="str">
        <f>+'CUOTA ARTESANAL'!E70</f>
        <v>BENJAMIN II (RPA 967308)</v>
      </c>
      <c r="F79" s="238" t="s">
        <v>54</v>
      </c>
      <c r="G79" s="238" t="s">
        <v>56</v>
      </c>
      <c r="H79" s="253">
        <f>'CUOTA ARTESANAL'!G70</f>
        <v>7.0650000000000004</v>
      </c>
      <c r="I79" s="253">
        <f>'CUOTA ARTESANAL'!H70</f>
        <v>0</v>
      </c>
      <c r="J79" s="253">
        <f>'CUOTA ARTESANAL'!I70</f>
        <v>7.0650000000000004</v>
      </c>
      <c r="K79" s="253">
        <f>'CUOTA ARTESANAL'!J70</f>
        <v>2.044</v>
      </c>
      <c r="L79" s="253">
        <f>'CUOTA ARTESANAL'!K70</f>
        <v>5.0210000000000008</v>
      </c>
      <c r="M79" s="254">
        <f>'CUOTA ARTESANAL'!L70</f>
        <v>0.28931351733899502</v>
      </c>
      <c r="N79" s="240" t="str">
        <f>'CUOTA ARTESANAL'!M70</f>
        <v>-</v>
      </c>
      <c r="O79" s="241">
        <f>RESUMEN!$C$4</f>
        <v>44561</v>
      </c>
      <c r="P79" s="233">
        <v>2021</v>
      </c>
      <c r="Q79" s="228"/>
    </row>
    <row r="80" spans="1:17" s="236" customFormat="1" ht="15">
      <c r="A80" s="238" t="s">
        <v>51</v>
      </c>
      <c r="B80" s="238" t="s">
        <v>52</v>
      </c>
      <c r="C80" s="238" t="s">
        <v>71</v>
      </c>
      <c r="D80" s="238" t="s">
        <v>337</v>
      </c>
      <c r="E80" s="243" t="str">
        <f>+'CUOTA ARTESANAL'!E70</f>
        <v>BENJAMIN II (RPA 967308)</v>
      </c>
      <c r="F80" s="238" t="s">
        <v>57</v>
      </c>
      <c r="G80" s="238" t="s">
        <v>58</v>
      </c>
      <c r="H80" s="253">
        <f>'CUOTA ARTESANAL'!G71</f>
        <v>7.0650000000000004</v>
      </c>
      <c r="I80" s="253">
        <f>'CUOTA ARTESANAL'!H71</f>
        <v>0</v>
      </c>
      <c r="J80" s="253">
        <f>'CUOTA ARTESANAL'!I71</f>
        <v>12.086000000000002</v>
      </c>
      <c r="K80" s="253">
        <f>'CUOTA ARTESANAL'!J71</f>
        <v>11.704000000000001</v>
      </c>
      <c r="L80" s="253">
        <f>'CUOTA ARTESANAL'!K71</f>
        <v>0.38200000000000145</v>
      </c>
      <c r="M80" s="254">
        <f>'CUOTA ARTESANAL'!L71</f>
        <v>0.96839318219427428</v>
      </c>
      <c r="N80" s="240" t="str">
        <f>'CUOTA ARTESANAL'!M71</f>
        <v>-</v>
      </c>
      <c r="O80" s="241">
        <f>RESUMEN!$C$4</f>
        <v>44561</v>
      </c>
      <c r="P80" s="233">
        <v>2021</v>
      </c>
      <c r="Q80" s="228"/>
    </row>
    <row r="81" spans="1:17" s="236" customFormat="1" ht="15">
      <c r="A81" s="238" t="s">
        <v>51</v>
      </c>
      <c r="B81" s="238" t="s">
        <v>52</v>
      </c>
      <c r="C81" s="238" t="s">
        <v>71</v>
      </c>
      <c r="D81" s="238" t="s">
        <v>337</v>
      </c>
      <c r="E81" s="243" t="str">
        <f>+'CUOTA ARTESANAL'!E70</f>
        <v>BENJAMIN II (RPA 967308)</v>
      </c>
      <c r="F81" s="238" t="s">
        <v>54</v>
      </c>
      <c r="G81" s="238" t="s">
        <v>58</v>
      </c>
      <c r="H81" s="253">
        <f>'CUOTA ARTESANAL'!N70</f>
        <v>14.13</v>
      </c>
      <c r="I81" s="253">
        <f>'CUOTA ARTESANAL'!O70</f>
        <v>0</v>
      </c>
      <c r="J81" s="253">
        <f>'CUOTA ARTESANAL'!P70</f>
        <v>14.13</v>
      </c>
      <c r="K81" s="253">
        <f>'CUOTA ARTESANAL'!Q70</f>
        <v>13.748000000000001</v>
      </c>
      <c r="L81" s="253">
        <f>'CUOTA ARTESANAL'!R70</f>
        <v>0.38199999999999967</v>
      </c>
      <c r="M81" s="254">
        <f>'CUOTA ARTESANAL'!S70</f>
        <v>0.97296532200990804</v>
      </c>
      <c r="N81" s="240" t="s">
        <v>218</v>
      </c>
      <c r="O81" s="241">
        <f>RESUMEN!$C$4</f>
        <v>44561</v>
      </c>
      <c r="P81" s="233">
        <v>2021</v>
      </c>
      <c r="Q81" s="228"/>
    </row>
    <row r="82" spans="1:17" s="236" customFormat="1" ht="15">
      <c r="A82" s="238" t="s">
        <v>51</v>
      </c>
      <c r="B82" s="238" t="s">
        <v>52</v>
      </c>
      <c r="C82" s="238" t="s">
        <v>71</v>
      </c>
      <c r="D82" s="238" t="s">
        <v>337</v>
      </c>
      <c r="E82" s="243" t="str">
        <f>+'CUOTA ARTESANAL'!E72</f>
        <v>SAN MARCOS III (RPA 968849)</v>
      </c>
      <c r="F82" s="238" t="s">
        <v>57</v>
      </c>
      <c r="G82" s="238" t="s">
        <v>56</v>
      </c>
      <c r="H82" s="253">
        <f>'CUOTA ARTESANAL'!G72</f>
        <v>7.056</v>
      </c>
      <c r="I82" s="253">
        <f>'CUOTA ARTESANAL'!H72</f>
        <v>0</v>
      </c>
      <c r="J82" s="253">
        <f>'CUOTA ARTESANAL'!I72</f>
        <v>7.056</v>
      </c>
      <c r="K82" s="253">
        <f>'CUOTA ARTESANAL'!J72</f>
        <v>1.82</v>
      </c>
      <c r="L82" s="253">
        <f>'CUOTA ARTESANAL'!K72</f>
        <v>5.2359999999999998</v>
      </c>
      <c r="M82" s="254">
        <f>'CUOTA ARTESANAL'!L72</f>
        <v>0.25793650793650796</v>
      </c>
      <c r="N82" s="240" t="str">
        <f>'CUOTA ARTESANAL'!M72</f>
        <v>-</v>
      </c>
      <c r="O82" s="241">
        <f>RESUMEN!$C$4</f>
        <v>44561</v>
      </c>
      <c r="P82" s="233">
        <v>2021</v>
      </c>
      <c r="Q82" s="228"/>
    </row>
    <row r="83" spans="1:17" s="236" customFormat="1" ht="15">
      <c r="A83" s="238" t="s">
        <v>51</v>
      </c>
      <c r="B83" s="238" t="s">
        <v>52</v>
      </c>
      <c r="C83" s="238" t="s">
        <v>71</v>
      </c>
      <c r="D83" s="238" t="s">
        <v>337</v>
      </c>
      <c r="E83" s="243" t="str">
        <f>+'CUOTA ARTESANAL'!E72</f>
        <v>SAN MARCOS III (RPA 968849)</v>
      </c>
      <c r="F83" s="238" t="s">
        <v>54</v>
      </c>
      <c r="G83" s="238" t="s">
        <v>58</v>
      </c>
      <c r="H83" s="253">
        <f>'CUOTA ARTESANAL'!G73</f>
        <v>7.056</v>
      </c>
      <c r="I83" s="253">
        <f>'CUOTA ARTESANAL'!H73</f>
        <v>0</v>
      </c>
      <c r="J83" s="253">
        <f>'CUOTA ARTESANAL'!I73</f>
        <v>12.292</v>
      </c>
      <c r="K83" s="253">
        <f>'CUOTA ARTESANAL'!J73</f>
        <v>2.8</v>
      </c>
      <c r="L83" s="253">
        <f>'CUOTA ARTESANAL'!K73</f>
        <v>9.4920000000000009</v>
      </c>
      <c r="M83" s="254">
        <f>'CUOTA ARTESANAL'!L73</f>
        <v>0.22779043280182232</v>
      </c>
      <c r="N83" s="240" t="str">
        <f>'CUOTA ARTESANAL'!M73</f>
        <v>-</v>
      </c>
      <c r="O83" s="241">
        <f>RESUMEN!$C$4</f>
        <v>44561</v>
      </c>
      <c r="P83" s="233">
        <v>2021</v>
      </c>
      <c r="Q83" s="228"/>
    </row>
    <row r="84" spans="1:17" s="236" customFormat="1" ht="15">
      <c r="A84" s="238" t="s">
        <v>51</v>
      </c>
      <c r="B84" s="238" t="s">
        <v>52</v>
      </c>
      <c r="C84" s="238" t="s">
        <v>71</v>
      </c>
      <c r="D84" s="238" t="s">
        <v>337</v>
      </c>
      <c r="E84" s="243" t="str">
        <f>+'CUOTA ARTESANAL'!E72</f>
        <v>SAN MARCOS III (RPA 968849)</v>
      </c>
      <c r="F84" s="238" t="s">
        <v>57</v>
      </c>
      <c r="G84" s="238" t="s">
        <v>58</v>
      </c>
      <c r="H84" s="253">
        <f>'CUOTA ARTESANAL'!N72</f>
        <v>14.112</v>
      </c>
      <c r="I84" s="253">
        <f>'CUOTA ARTESANAL'!O72</f>
        <v>0</v>
      </c>
      <c r="J84" s="253">
        <f>'CUOTA ARTESANAL'!P72</f>
        <v>14.112</v>
      </c>
      <c r="K84" s="253">
        <f>'CUOTA ARTESANAL'!Q72</f>
        <v>4.62</v>
      </c>
      <c r="L84" s="253">
        <f>'CUOTA ARTESANAL'!R72</f>
        <v>9.4920000000000009</v>
      </c>
      <c r="M84" s="254">
        <f>'CUOTA ARTESANAL'!S72</f>
        <v>0.32738095238095238</v>
      </c>
      <c r="N84" s="240" t="s">
        <v>218</v>
      </c>
      <c r="O84" s="241">
        <f>RESUMEN!$C$4</f>
        <v>44561</v>
      </c>
      <c r="P84" s="233">
        <v>2021</v>
      </c>
      <c r="Q84" s="228"/>
    </row>
    <row r="85" spans="1:17" s="236" customFormat="1" ht="15">
      <c r="A85" s="238" t="s">
        <v>51</v>
      </c>
      <c r="B85" s="238" t="s">
        <v>52</v>
      </c>
      <c r="C85" s="238" t="s">
        <v>71</v>
      </c>
      <c r="D85" s="238" t="s">
        <v>337</v>
      </c>
      <c r="E85" s="243" t="str">
        <f>+'CUOTA ARTESANAL'!E74</f>
        <v>RUTH CAROLINA (RPA 969109)</v>
      </c>
      <c r="F85" s="238" t="s">
        <v>54</v>
      </c>
      <c r="G85" s="238" t="s">
        <v>56</v>
      </c>
      <c r="H85" s="253">
        <f>'CUOTA ARTESANAL'!G74</f>
        <v>7.0659999999999998</v>
      </c>
      <c r="I85" s="253">
        <f>'CUOTA ARTESANAL'!H74</f>
        <v>0</v>
      </c>
      <c r="J85" s="253">
        <f>'CUOTA ARTESANAL'!I74</f>
        <v>7.0659999999999998</v>
      </c>
      <c r="K85" s="253">
        <f>'CUOTA ARTESANAL'!J74</f>
        <v>5.46</v>
      </c>
      <c r="L85" s="253">
        <f>'CUOTA ARTESANAL'!K74</f>
        <v>1.6059999999999999</v>
      </c>
      <c r="M85" s="254">
        <f>'CUOTA ARTESANAL'!L74</f>
        <v>0.7727144070195302</v>
      </c>
      <c r="N85" s="240" t="str">
        <f>'CUOTA ARTESANAL'!M74</f>
        <v>-</v>
      </c>
      <c r="O85" s="241">
        <f>RESUMEN!$C$4</f>
        <v>44561</v>
      </c>
      <c r="P85" s="233">
        <v>2021</v>
      </c>
      <c r="Q85" s="228"/>
    </row>
    <row r="86" spans="1:17" s="236" customFormat="1" ht="15">
      <c r="A86" s="238" t="s">
        <v>51</v>
      </c>
      <c r="B86" s="238" t="s">
        <v>52</v>
      </c>
      <c r="C86" s="238" t="s">
        <v>71</v>
      </c>
      <c r="D86" s="238" t="s">
        <v>337</v>
      </c>
      <c r="E86" s="243" t="str">
        <f>+'CUOTA ARTESANAL'!E74</f>
        <v>RUTH CAROLINA (RPA 969109)</v>
      </c>
      <c r="F86" s="238" t="s">
        <v>57</v>
      </c>
      <c r="G86" s="238" t="s">
        <v>58</v>
      </c>
      <c r="H86" s="253">
        <f>'CUOTA ARTESANAL'!G75</f>
        <v>7.0659999999999998</v>
      </c>
      <c r="I86" s="253">
        <f>'CUOTA ARTESANAL'!H75</f>
        <v>0</v>
      </c>
      <c r="J86" s="253">
        <f>'CUOTA ARTESANAL'!I75</f>
        <v>8.6720000000000006</v>
      </c>
      <c r="K86" s="253">
        <f>'CUOTA ARTESANAL'!J75</f>
        <v>7.7839999999999998</v>
      </c>
      <c r="L86" s="253">
        <f>'CUOTA ARTESANAL'!K75</f>
        <v>0.88800000000000079</v>
      </c>
      <c r="M86" s="254">
        <f>'CUOTA ARTESANAL'!L75</f>
        <v>0.89760147601476004</v>
      </c>
      <c r="N86" s="240" t="str">
        <f>'CUOTA ARTESANAL'!M75</f>
        <v>-</v>
      </c>
      <c r="O86" s="241">
        <f>RESUMEN!$C$4</f>
        <v>44561</v>
      </c>
      <c r="P86" s="233">
        <v>2021</v>
      </c>
      <c r="Q86" s="228"/>
    </row>
    <row r="87" spans="1:17" s="236" customFormat="1" ht="15">
      <c r="A87" s="238" t="s">
        <v>51</v>
      </c>
      <c r="B87" s="238" t="s">
        <v>52</v>
      </c>
      <c r="C87" s="238" t="s">
        <v>71</v>
      </c>
      <c r="D87" s="238" t="s">
        <v>337</v>
      </c>
      <c r="E87" s="243" t="str">
        <f>+'CUOTA ARTESANAL'!E74</f>
        <v>RUTH CAROLINA (RPA 969109)</v>
      </c>
      <c r="F87" s="238" t="s">
        <v>54</v>
      </c>
      <c r="G87" s="238" t="s">
        <v>58</v>
      </c>
      <c r="H87" s="253">
        <f>'CUOTA ARTESANAL'!N74</f>
        <v>14.132</v>
      </c>
      <c r="I87" s="253">
        <f>'CUOTA ARTESANAL'!O74</f>
        <v>0</v>
      </c>
      <c r="J87" s="253">
        <f>'CUOTA ARTESANAL'!P74</f>
        <v>14.132</v>
      </c>
      <c r="K87" s="253">
        <f>'CUOTA ARTESANAL'!Q74</f>
        <v>13.244</v>
      </c>
      <c r="L87" s="253">
        <f>'CUOTA ARTESANAL'!R74</f>
        <v>0.8879999999999999</v>
      </c>
      <c r="M87" s="254">
        <f>'CUOTA ARTESANAL'!S74</f>
        <v>0.93716388338522505</v>
      </c>
      <c r="N87" s="240" t="s">
        <v>218</v>
      </c>
      <c r="O87" s="241">
        <f>RESUMEN!$C$4</f>
        <v>44561</v>
      </c>
      <c r="P87" s="233">
        <v>2021</v>
      </c>
      <c r="Q87" s="228"/>
    </row>
    <row r="88" spans="1:17" s="236" customFormat="1" ht="15">
      <c r="A88" s="238" t="s">
        <v>51</v>
      </c>
      <c r="B88" s="238" t="s">
        <v>52</v>
      </c>
      <c r="C88" s="238" t="s">
        <v>71</v>
      </c>
      <c r="D88" s="238" t="s">
        <v>337</v>
      </c>
      <c r="E88" s="243" t="str">
        <f>+'CUOTA ARTESANAL'!E76</f>
        <v>SANTA ROSA II (RPA 954991)</v>
      </c>
      <c r="F88" s="238" t="s">
        <v>57</v>
      </c>
      <c r="G88" s="238" t="s">
        <v>56</v>
      </c>
      <c r="H88" s="253">
        <f>'CUOTA ARTESANAL'!G76</f>
        <v>7.06</v>
      </c>
      <c r="I88" s="253">
        <f>'CUOTA ARTESANAL'!H76</f>
        <v>0</v>
      </c>
      <c r="J88" s="253">
        <f>'CUOTA ARTESANAL'!I76</f>
        <v>7.06</v>
      </c>
      <c r="K88" s="253">
        <f>'CUOTA ARTESANAL'!J76</f>
        <v>0.56000000000000005</v>
      </c>
      <c r="L88" s="253">
        <f>'CUOTA ARTESANAL'!K76</f>
        <v>6.5</v>
      </c>
      <c r="M88" s="254">
        <f>'CUOTA ARTESANAL'!L76</f>
        <v>7.9320113314447604E-2</v>
      </c>
      <c r="N88" s="240" t="str">
        <f>'CUOTA ARTESANAL'!M76</f>
        <v>-</v>
      </c>
      <c r="O88" s="241">
        <f>RESUMEN!$C$4</f>
        <v>44561</v>
      </c>
      <c r="P88" s="233">
        <v>2021</v>
      </c>
      <c r="Q88" s="228"/>
    </row>
    <row r="89" spans="1:17" s="236" customFormat="1" ht="15">
      <c r="A89" s="238" t="s">
        <v>51</v>
      </c>
      <c r="B89" s="238" t="s">
        <v>52</v>
      </c>
      <c r="C89" s="238" t="s">
        <v>71</v>
      </c>
      <c r="D89" s="238" t="s">
        <v>337</v>
      </c>
      <c r="E89" s="243" t="str">
        <f>+'CUOTA ARTESANAL'!E76</f>
        <v>SANTA ROSA II (RPA 954991)</v>
      </c>
      <c r="F89" s="238" t="s">
        <v>54</v>
      </c>
      <c r="G89" s="238" t="s">
        <v>58</v>
      </c>
      <c r="H89" s="253">
        <f>'CUOTA ARTESANAL'!G77</f>
        <v>7.06</v>
      </c>
      <c r="I89" s="253">
        <f>'CUOTA ARTESANAL'!H77</f>
        <v>0</v>
      </c>
      <c r="J89" s="253">
        <f>'CUOTA ARTESANAL'!I77</f>
        <v>13.559999999999999</v>
      </c>
      <c r="K89" s="253">
        <f>'CUOTA ARTESANAL'!J77</f>
        <v>10.64</v>
      </c>
      <c r="L89" s="253">
        <f>'CUOTA ARTESANAL'!K77</f>
        <v>2.9199999999999982</v>
      </c>
      <c r="M89" s="254">
        <f>'CUOTA ARTESANAL'!L77</f>
        <v>0.78466076696165199</v>
      </c>
      <c r="N89" s="240" t="str">
        <f>'CUOTA ARTESANAL'!M77</f>
        <v>-</v>
      </c>
      <c r="O89" s="241">
        <f>RESUMEN!$C$4</f>
        <v>44561</v>
      </c>
      <c r="P89" s="233">
        <v>2021</v>
      </c>
      <c r="Q89" s="228"/>
    </row>
    <row r="90" spans="1:17" s="236" customFormat="1" ht="15">
      <c r="A90" s="238" t="s">
        <v>51</v>
      </c>
      <c r="B90" s="238" t="s">
        <v>52</v>
      </c>
      <c r="C90" s="238" t="s">
        <v>71</v>
      </c>
      <c r="D90" s="238" t="s">
        <v>337</v>
      </c>
      <c r="E90" s="243" t="str">
        <f>+'CUOTA ARTESANAL'!E76</f>
        <v>SANTA ROSA II (RPA 954991)</v>
      </c>
      <c r="F90" s="238" t="s">
        <v>57</v>
      </c>
      <c r="G90" s="238" t="s">
        <v>58</v>
      </c>
      <c r="H90" s="253">
        <f>'CUOTA ARTESANAL'!N76</f>
        <v>14.12</v>
      </c>
      <c r="I90" s="253">
        <f>'CUOTA ARTESANAL'!O76</f>
        <v>0</v>
      </c>
      <c r="J90" s="253">
        <f>'CUOTA ARTESANAL'!P76</f>
        <v>14.12</v>
      </c>
      <c r="K90" s="253">
        <f>'CUOTA ARTESANAL'!Q76</f>
        <v>11.200000000000001</v>
      </c>
      <c r="L90" s="253">
        <f>'CUOTA ARTESANAL'!R76</f>
        <v>2.9199999999999982</v>
      </c>
      <c r="M90" s="254">
        <f>'CUOTA ARTESANAL'!S76</f>
        <v>0.79320113314447604</v>
      </c>
      <c r="N90" s="240" t="s">
        <v>218</v>
      </c>
      <c r="O90" s="241">
        <f>RESUMEN!$C$4</f>
        <v>44561</v>
      </c>
      <c r="P90" s="233">
        <v>2021</v>
      </c>
      <c r="Q90" s="228"/>
    </row>
    <row r="91" spans="1:17" s="236" customFormat="1" ht="15">
      <c r="A91" s="238" t="s">
        <v>51</v>
      </c>
      <c r="B91" s="238" t="s">
        <v>52</v>
      </c>
      <c r="C91" s="238" t="s">
        <v>71</v>
      </c>
      <c r="D91" s="238" t="s">
        <v>337</v>
      </c>
      <c r="E91" s="243" t="str">
        <f>+'CUOTA ARTESANAL'!E78</f>
        <v>LA NENA 2.0 (RPA 698614)</v>
      </c>
      <c r="F91" s="238" t="s">
        <v>54</v>
      </c>
      <c r="G91" s="238" t="s">
        <v>56</v>
      </c>
      <c r="H91" s="253">
        <f>'CUOTA ARTESANAL'!G78</f>
        <v>7.0579999999999998</v>
      </c>
      <c r="I91" s="253">
        <f>'CUOTA ARTESANAL'!H78</f>
        <v>0</v>
      </c>
      <c r="J91" s="253">
        <f>'CUOTA ARTESANAL'!I78</f>
        <v>7.0579999999999998</v>
      </c>
      <c r="K91" s="253">
        <f>'CUOTA ARTESANAL'!J78</f>
        <v>3.1920000000000002</v>
      </c>
      <c r="L91" s="253">
        <f>'CUOTA ARTESANAL'!K78</f>
        <v>3.8659999999999997</v>
      </c>
      <c r="M91" s="254">
        <f>'CUOTA ARTESANAL'!L78</f>
        <v>0.45225276282232929</v>
      </c>
      <c r="N91" s="240" t="str">
        <f>'CUOTA ARTESANAL'!M78</f>
        <v>-</v>
      </c>
      <c r="O91" s="241">
        <f>RESUMEN!$C$4</f>
        <v>44561</v>
      </c>
      <c r="P91" s="233">
        <v>2021</v>
      </c>
      <c r="Q91" s="228"/>
    </row>
    <row r="92" spans="1:17" s="236" customFormat="1" ht="15">
      <c r="A92" s="238" t="s">
        <v>51</v>
      </c>
      <c r="B92" s="238" t="s">
        <v>52</v>
      </c>
      <c r="C92" s="238" t="s">
        <v>71</v>
      </c>
      <c r="D92" s="238" t="s">
        <v>337</v>
      </c>
      <c r="E92" s="243" t="str">
        <f>+'CUOTA ARTESANAL'!E78</f>
        <v>LA NENA 2.0 (RPA 698614)</v>
      </c>
      <c r="F92" s="238" t="s">
        <v>57</v>
      </c>
      <c r="G92" s="238" t="s">
        <v>58</v>
      </c>
      <c r="H92" s="253">
        <f>'CUOTA ARTESANAL'!G79</f>
        <v>7.0579999999999998</v>
      </c>
      <c r="I92" s="253">
        <f>'CUOTA ARTESANAL'!H79</f>
        <v>0</v>
      </c>
      <c r="J92" s="253">
        <f>'CUOTA ARTESANAL'!I79</f>
        <v>10.923999999999999</v>
      </c>
      <c r="K92" s="253">
        <f>'CUOTA ARTESANAL'!J79</f>
        <v>10.108000000000001</v>
      </c>
      <c r="L92" s="253">
        <f>'CUOTA ARTESANAL'!K79</f>
        <v>0.81599999999999895</v>
      </c>
      <c r="M92" s="254">
        <f>'CUOTA ARTESANAL'!L79</f>
        <v>0.92530208714756512</v>
      </c>
      <c r="N92" s="240" t="str">
        <f>'CUOTA ARTESANAL'!M79</f>
        <v>-</v>
      </c>
      <c r="O92" s="241">
        <f>RESUMEN!$C$4</f>
        <v>44561</v>
      </c>
      <c r="P92" s="233">
        <v>2021</v>
      </c>
      <c r="Q92" s="228"/>
    </row>
    <row r="93" spans="1:17" s="236" customFormat="1" ht="15">
      <c r="A93" s="238" t="s">
        <v>51</v>
      </c>
      <c r="B93" s="238" t="s">
        <v>52</v>
      </c>
      <c r="C93" s="238" t="s">
        <v>71</v>
      </c>
      <c r="D93" s="238" t="s">
        <v>337</v>
      </c>
      <c r="E93" s="243" t="str">
        <f>+'CUOTA ARTESANAL'!E78</f>
        <v>LA NENA 2.0 (RPA 698614)</v>
      </c>
      <c r="F93" s="238" t="s">
        <v>54</v>
      </c>
      <c r="G93" s="238" t="s">
        <v>58</v>
      </c>
      <c r="H93" s="253">
        <f>'CUOTA ARTESANAL'!N78</f>
        <v>14.116</v>
      </c>
      <c r="I93" s="253">
        <f>'CUOTA ARTESANAL'!O78</f>
        <v>0</v>
      </c>
      <c r="J93" s="253">
        <f>'CUOTA ARTESANAL'!P78</f>
        <v>14.116</v>
      </c>
      <c r="K93" s="253">
        <f>'CUOTA ARTESANAL'!Q78</f>
        <v>13.3</v>
      </c>
      <c r="L93" s="253">
        <f>'CUOTA ARTESANAL'!R78</f>
        <v>0.81599999999999895</v>
      </c>
      <c r="M93" s="254">
        <f>'CUOTA ARTESANAL'!S78</f>
        <v>0.9421932558798527</v>
      </c>
      <c r="N93" s="240" t="s">
        <v>218</v>
      </c>
      <c r="O93" s="241">
        <f>RESUMEN!$C$4</f>
        <v>44561</v>
      </c>
      <c r="P93" s="233">
        <v>2021</v>
      </c>
      <c r="Q93" s="228"/>
    </row>
    <row r="94" spans="1:17" s="236" customFormat="1" ht="15">
      <c r="A94" s="238" t="s">
        <v>51</v>
      </c>
      <c r="B94" s="238" t="s">
        <v>52</v>
      </c>
      <c r="C94" s="238" t="s">
        <v>71</v>
      </c>
      <c r="D94" s="238" t="s">
        <v>337</v>
      </c>
      <c r="E94" s="243" t="str">
        <f>+'CUOTA ARTESANAL'!E80</f>
        <v>HURACAN III (RPA 698423)</v>
      </c>
      <c r="F94" s="238" t="s">
        <v>57</v>
      </c>
      <c r="G94" s="238" t="s">
        <v>56</v>
      </c>
      <c r="H94" s="253">
        <f>'CUOTA ARTESANAL'!G80</f>
        <v>7.0579999999999998</v>
      </c>
      <c r="I94" s="253">
        <f>'CUOTA ARTESANAL'!H80</f>
        <v>0</v>
      </c>
      <c r="J94" s="253">
        <f>'CUOTA ARTESANAL'!I80</f>
        <v>7.0579999999999998</v>
      </c>
      <c r="K94" s="253">
        <f>'CUOTA ARTESANAL'!J80</f>
        <v>1.96</v>
      </c>
      <c r="L94" s="253">
        <f>'CUOTA ARTESANAL'!K80</f>
        <v>5.0979999999999999</v>
      </c>
      <c r="M94" s="254">
        <f>'CUOTA ARTESANAL'!L80</f>
        <v>0.27769906489090396</v>
      </c>
      <c r="N94" s="240" t="str">
        <f>'CUOTA ARTESANAL'!M80</f>
        <v>-</v>
      </c>
      <c r="O94" s="241">
        <f>RESUMEN!$C$4</f>
        <v>44561</v>
      </c>
      <c r="P94" s="233">
        <v>2021</v>
      </c>
      <c r="Q94" s="228"/>
    </row>
    <row r="95" spans="1:17" s="236" customFormat="1" ht="15">
      <c r="A95" s="238" t="s">
        <v>51</v>
      </c>
      <c r="B95" s="238" t="s">
        <v>52</v>
      </c>
      <c r="C95" s="238" t="s">
        <v>71</v>
      </c>
      <c r="D95" s="238" t="s">
        <v>337</v>
      </c>
      <c r="E95" s="243" t="str">
        <f>+'CUOTA ARTESANAL'!E80</f>
        <v>HURACAN III (RPA 698423)</v>
      </c>
      <c r="F95" s="238" t="s">
        <v>54</v>
      </c>
      <c r="G95" s="238" t="s">
        <v>58</v>
      </c>
      <c r="H95" s="253">
        <f>'CUOTA ARTESANAL'!G81</f>
        <v>7.0579999999999998</v>
      </c>
      <c r="I95" s="253">
        <f>'CUOTA ARTESANAL'!H81</f>
        <v>0</v>
      </c>
      <c r="J95" s="253">
        <f>'CUOTA ARTESANAL'!I81</f>
        <v>12.155999999999999</v>
      </c>
      <c r="K95" s="253">
        <f>'CUOTA ARTESANAL'!J81</f>
        <v>8.9039999999999999</v>
      </c>
      <c r="L95" s="253">
        <f>'CUOTA ARTESANAL'!K81</f>
        <v>3.2519999999999989</v>
      </c>
      <c r="M95" s="254">
        <f>'CUOTA ARTESANAL'!L81</f>
        <v>0.73247778874629821</v>
      </c>
      <c r="N95" s="240" t="str">
        <f>'CUOTA ARTESANAL'!M81</f>
        <v>-</v>
      </c>
      <c r="O95" s="241">
        <f>RESUMEN!$C$4</f>
        <v>44561</v>
      </c>
      <c r="P95" s="233">
        <v>2021</v>
      </c>
      <c r="Q95" s="228"/>
    </row>
    <row r="96" spans="1:17" s="236" customFormat="1" ht="15">
      <c r="A96" s="238" t="s">
        <v>51</v>
      </c>
      <c r="B96" s="238" t="s">
        <v>52</v>
      </c>
      <c r="C96" s="238" t="s">
        <v>71</v>
      </c>
      <c r="D96" s="238" t="s">
        <v>337</v>
      </c>
      <c r="E96" s="243" t="str">
        <f>+'CUOTA ARTESANAL'!E80</f>
        <v>HURACAN III (RPA 698423)</v>
      </c>
      <c r="F96" s="238" t="s">
        <v>57</v>
      </c>
      <c r="G96" s="238" t="s">
        <v>58</v>
      </c>
      <c r="H96" s="253">
        <f>'CUOTA ARTESANAL'!N80</f>
        <v>14.116</v>
      </c>
      <c r="I96" s="253">
        <f>'CUOTA ARTESANAL'!O80</f>
        <v>0</v>
      </c>
      <c r="J96" s="253">
        <f>'CUOTA ARTESANAL'!P80</f>
        <v>14.116</v>
      </c>
      <c r="K96" s="253">
        <f>'CUOTA ARTESANAL'!Q80</f>
        <v>10.864000000000001</v>
      </c>
      <c r="L96" s="253">
        <f>'CUOTA ARTESANAL'!R80</f>
        <v>3.2519999999999989</v>
      </c>
      <c r="M96" s="254">
        <f>'CUOTA ARTESANAL'!S80</f>
        <v>0.7696231226976481</v>
      </c>
      <c r="N96" s="240" t="s">
        <v>218</v>
      </c>
      <c r="O96" s="241">
        <f>RESUMEN!$C$4</f>
        <v>44561</v>
      </c>
      <c r="P96" s="233">
        <v>2021</v>
      </c>
      <c r="Q96" s="228"/>
    </row>
    <row r="97" spans="1:17" s="236" customFormat="1" ht="15">
      <c r="A97" s="238" t="s">
        <v>51</v>
      </c>
      <c r="B97" s="238" t="s">
        <v>52</v>
      </c>
      <c r="C97" s="238" t="s">
        <v>71</v>
      </c>
      <c r="D97" s="238" t="s">
        <v>337</v>
      </c>
      <c r="E97" s="243" t="str">
        <f>+'CUOTA ARTESANAL'!E82</f>
        <v>CRISTOPHER II (RPA 969226)</v>
      </c>
      <c r="F97" s="238" t="s">
        <v>54</v>
      </c>
      <c r="G97" s="238" t="s">
        <v>56</v>
      </c>
      <c r="H97" s="253">
        <f>'CUOTA ARTESANAL'!G82</f>
        <v>7.0549999999999997</v>
      </c>
      <c r="I97" s="253">
        <f>'CUOTA ARTESANAL'!H82</f>
        <v>0</v>
      </c>
      <c r="J97" s="253">
        <f>'CUOTA ARTESANAL'!I82</f>
        <v>7.0549999999999997</v>
      </c>
      <c r="K97" s="253">
        <f>'CUOTA ARTESANAL'!J82</f>
        <v>2.6040000000000001</v>
      </c>
      <c r="L97" s="253">
        <f>'CUOTA ARTESANAL'!K82</f>
        <v>4.4509999999999996</v>
      </c>
      <c r="M97" s="254">
        <f>'CUOTA ARTESANAL'!L82</f>
        <v>0.36909992912827783</v>
      </c>
      <c r="N97" s="240" t="str">
        <f>'CUOTA ARTESANAL'!M82</f>
        <v>-</v>
      </c>
      <c r="O97" s="241">
        <f>RESUMEN!$C$4</f>
        <v>44561</v>
      </c>
      <c r="P97" s="233">
        <v>2021</v>
      </c>
      <c r="Q97" s="228"/>
    </row>
    <row r="98" spans="1:17" s="236" customFormat="1" ht="15">
      <c r="A98" s="238" t="s">
        <v>51</v>
      </c>
      <c r="B98" s="238" t="s">
        <v>52</v>
      </c>
      <c r="C98" s="238" t="s">
        <v>71</v>
      </c>
      <c r="D98" s="238" t="s">
        <v>337</v>
      </c>
      <c r="E98" s="243" t="str">
        <f>+'CUOTA ARTESANAL'!E82</f>
        <v>CRISTOPHER II (RPA 969226)</v>
      </c>
      <c r="F98" s="238" t="s">
        <v>57</v>
      </c>
      <c r="G98" s="238" t="s">
        <v>58</v>
      </c>
      <c r="H98" s="253">
        <f>'CUOTA ARTESANAL'!G83</f>
        <v>7.0549999999999997</v>
      </c>
      <c r="I98" s="253">
        <f>'CUOTA ARTESANAL'!H83</f>
        <v>0</v>
      </c>
      <c r="J98" s="253">
        <f>'CUOTA ARTESANAL'!I83</f>
        <v>11.506</v>
      </c>
      <c r="K98" s="253">
        <f>'CUOTA ARTESANAL'!J83</f>
        <v>9.016</v>
      </c>
      <c r="L98" s="253">
        <f>'CUOTA ARTESANAL'!K83</f>
        <v>2.4900000000000002</v>
      </c>
      <c r="M98" s="254">
        <f>'CUOTA ARTESANAL'!L83</f>
        <v>0.78359116982443944</v>
      </c>
      <c r="N98" s="240" t="str">
        <f>'CUOTA ARTESANAL'!M83</f>
        <v>-</v>
      </c>
      <c r="O98" s="241">
        <f>RESUMEN!$C$4</f>
        <v>44561</v>
      </c>
      <c r="P98" s="233">
        <v>2021</v>
      </c>
      <c r="Q98" s="228"/>
    </row>
    <row r="99" spans="1:17" s="236" customFormat="1" ht="15">
      <c r="A99" s="238" t="s">
        <v>51</v>
      </c>
      <c r="B99" s="238" t="s">
        <v>52</v>
      </c>
      <c r="C99" s="238" t="s">
        <v>71</v>
      </c>
      <c r="D99" s="238" t="s">
        <v>337</v>
      </c>
      <c r="E99" s="243" t="str">
        <f>+'CUOTA ARTESANAL'!E82</f>
        <v>CRISTOPHER II (RPA 969226)</v>
      </c>
      <c r="F99" s="238" t="s">
        <v>54</v>
      </c>
      <c r="G99" s="238" t="s">
        <v>58</v>
      </c>
      <c r="H99" s="253">
        <f>'CUOTA ARTESANAL'!N82</f>
        <v>14.11</v>
      </c>
      <c r="I99" s="253">
        <f>'CUOTA ARTESANAL'!O82</f>
        <v>0</v>
      </c>
      <c r="J99" s="253">
        <f>'CUOTA ARTESANAL'!P82</f>
        <v>14.11</v>
      </c>
      <c r="K99" s="253">
        <f>'CUOTA ARTESANAL'!Q82</f>
        <v>11.620000000000001</v>
      </c>
      <c r="L99" s="253">
        <f>'CUOTA ARTESANAL'!R82</f>
        <v>2.4899999999999984</v>
      </c>
      <c r="M99" s="254">
        <f>'CUOTA ARTESANAL'!S82</f>
        <v>0.82352941176470595</v>
      </c>
      <c r="N99" s="240" t="s">
        <v>218</v>
      </c>
      <c r="O99" s="241">
        <f>RESUMEN!$C$4</f>
        <v>44561</v>
      </c>
      <c r="P99" s="233">
        <v>2021</v>
      </c>
      <c r="Q99" s="228"/>
    </row>
    <row r="100" spans="1:17" s="236" customFormat="1" ht="15">
      <c r="A100" s="238" t="s">
        <v>51</v>
      </c>
      <c r="B100" s="238" t="s">
        <v>52</v>
      </c>
      <c r="C100" s="238" t="s">
        <v>71</v>
      </c>
      <c r="D100" s="238" t="s">
        <v>337</v>
      </c>
      <c r="E100" s="243" t="str">
        <f>+'CUOTA ARTESANAL'!E84</f>
        <v>PATO CHONCHON IV (RPA 969349)</v>
      </c>
      <c r="F100" s="238" t="s">
        <v>57</v>
      </c>
      <c r="G100" s="238" t="s">
        <v>56</v>
      </c>
      <c r="H100" s="253">
        <f>'CUOTA ARTESANAL'!G84</f>
        <v>7.0620000000000003</v>
      </c>
      <c r="I100" s="253">
        <f>'CUOTA ARTESANAL'!H84</f>
        <v>0</v>
      </c>
      <c r="J100" s="253">
        <f>'CUOTA ARTESANAL'!I84</f>
        <v>7.0620000000000003</v>
      </c>
      <c r="K100" s="253">
        <f>'CUOTA ARTESANAL'!J84</f>
        <v>4.9260000000000002</v>
      </c>
      <c r="L100" s="253">
        <f>'CUOTA ARTESANAL'!K84</f>
        <v>2.1360000000000001</v>
      </c>
      <c r="M100" s="254">
        <f>'CUOTA ARTESANAL'!L84</f>
        <v>0.69753610875106198</v>
      </c>
      <c r="N100" s="240" t="str">
        <f>'CUOTA ARTESANAL'!M84</f>
        <v>-</v>
      </c>
      <c r="O100" s="241">
        <f>RESUMEN!$C$4</f>
        <v>44561</v>
      </c>
      <c r="P100" s="233">
        <v>2021</v>
      </c>
      <c r="Q100" s="228"/>
    </row>
    <row r="101" spans="1:17" s="236" customFormat="1" ht="15">
      <c r="A101" s="238" t="s">
        <v>51</v>
      </c>
      <c r="B101" s="238" t="s">
        <v>52</v>
      </c>
      <c r="C101" s="238" t="s">
        <v>71</v>
      </c>
      <c r="D101" s="238" t="s">
        <v>337</v>
      </c>
      <c r="E101" s="243" t="str">
        <f>+'CUOTA ARTESANAL'!E84</f>
        <v>PATO CHONCHON IV (RPA 969349)</v>
      </c>
      <c r="F101" s="238" t="s">
        <v>54</v>
      </c>
      <c r="G101" s="238" t="s">
        <v>58</v>
      </c>
      <c r="H101" s="253">
        <f>'CUOTA ARTESANAL'!G85</f>
        <v>7.0629999999999997</v>
      </c>
      <c r="I101" s="253">
        <f>'CUOTA ARTESANAL'!H85</f>
        <v>0</v>
      </c>
      <c r="J101" s="253">
        <f>'CUOTA ARTESANAL'!I85</f>
        <v>9.1989999999999998</v>
      </c>
      <c r="K101" s="253">
        <f>'CUOTA ARTESANAL'!J85</f>
        <v>6.2160000000000002</v>
      </c>
      <c r="L101" s="253">
        <f>'CUOTA ARTESANAL'!K85</f>
        <v>2.9829999999999997</v>
      </c>
      <c r="M101" s="254">
        <f>'CUOTA ARTESANAL'!L85</f>
        <v>0.67572562235025546</v>
      </c>
      <c r="N101" s="240" t="str">
        <f>'CUOTA ARTESANAL'!M85</f>
        <v>-</v>
      </c>
      <c r="O101" s="241">
        <f>RESUMEN!$C$4</f>
        <v>44561</v>
      </c>
      <c r="P101" s="233">
        <v>2021</v>
      </c>
      <c r="Q101" s="228"/>
    </row>
    <row r="102" spans="1:17" s="236" customFormat="1" ht="15">
      <c r="A102" s="238" t="s">
        <v>51</v>
      </c>
      <c r="B102" s="238" t="s">
        <v>52</v>
      </c>
      <c r="C102" s="238" t="s">
        <v>71</v>
      </c>
      <c r="D102" s="238" t="s">
        <v>337</v>
      </c>
      <c r="E102" s="243" t="str">
        <f>+'CUOTA ARTESANAL'!E84</f>
        <v>PATO CHONCHON IV (RPA 969349)</v>
      </c>
      <c r="F102" s="238" t="s">
        <v>57</v>
      </c>
      <c r="G102" s="238" t="s">
        <v>58</v>
      </c>
      <c r="H102" s="253">
        <f>'CUOTA ARTESANAL'!N84</f>
        <v>14.125</v>
      </c>
      <c r="I102" s="253">
        <f>'CUOTA ARTESANAL'!O84</f>
        <v>0</v>
      </c>
      <c r="J102" s="253">
        <f>'CUOTA ARTESANAL'!P84</f>
        <v>14.125</v>
      </c>
      <c r="K102" s="253">
        <f>'CUOTA ARTESANAL'!Q84</f>
        <v>11.141999999999999</v>
      </c>
      <c r="L102" s="253">
        <f>'CUOTA ARTESANAL'!R84</f>
        <v>2.9830000000000005</v>
      </c>
      <c r="M102" s="254">
        <f>'CUOTA ARTESANAL'!S84</f>
        <v>0.78881415929203536</v>
      </c>
      <c r="N102" s="240" t="s">
        <v>218</v>
      </c>
      <c r="O102" s="241">
        <f>RESUMEN!$C$4</f>
        <v>44561</v>
      </c>
      <c r="P102" s="233">
        <v>2021</v>
      </c>
      <c r="Q102" s="228"/>
    </row>
    <row r="103" spans="1:17" s="236" customFormat="1" ht="15">
      <c r="A103" s="238" t="s">
        <v>51</v>
      </c>
      <c r="B103" s="238" t="s">
        <v>52</v>
      </c>
      <c r="C103" s="238" t="s">
        <v>71</v>
      </c>
      <c r="D103" s="238" t="s">
        <v>337</v>
      </c>
      <c r="E103" s="243" t="str">
        <f>+'CUOTA ARTESANAL'!E86</f>
        <v>LOS PITAS (RPA 698380)</v>
      </c>
      <c r="F103" s="238" t="s">
        <v>54</v>
      </c>
      <c r="G103" s="238" t="s">
        <v>56</v>
      </c>
      <c r="H103" s="253">
        <f>'CUOTA ARTESANAL'!G86</f>
        <v>7.0640000000000001</v>
      </c>
      <c r="I103" s="253">
        <f>'CUOTA ARTESANAL'!H86</f>
        <v>0</v>
      </c>
      <c r="J103" s="253">
        <f>'CUOTA ARTESANAL'!I86</f>
        <v>7.0640000000000001</v>
      </c>
      <c r="K103" s="253">
        <f>'CUOTA ARTESANAL'!J86</f>
        <v>4.4800000000000004</v>
      </c>
      <c r="L103" s="253">
        <f>'CUOTA ARTESANAL'!K86</f>
        <v>2.5839999999999996</v>
      </c>
      <c r="M103" s="254">
        <f>'CUOTA ARTESANAL'!L86</f>
        <v>0.63420158550396377</v>
      </c>
      <c r="N103" s="240" t="str">
        <f>'CUOTA ARTESANAL'!M86</f>
        <v>-</v>
      </c>
      <c r="O103" s="241">
        <f>RESUMEN!$C$4</f>
        <v>44561</v>
      </c>
      <c r="P103" s="233">
        <v>2021</v>
      </c>
      <c r="Q103" s="228"/>
    </row>
    <row r="104" spans="1:17" s="236" customFormat="1" ht="15">
      <c r="A104" s="238" t="s">
        <v>51</v>
      </c>
      <c r="B104" s="238" t="s">
        <v>52</v>
      </c>
      <c r="C104" s="238" t="s">
        <v>71</v>
      </c>
      <c r="D104" s="238" t="s">
        <v>337</v>
      </c>
      <c r="E104" s="243" t="str">
        <f>+'CUOTA ARTESANAL'!E86</f>
        <v>LOS PITAS (RPA 698380)</v>
      </c>
      <c r="F104" s="238" t="s">
        <v>57</v>
      </c>
      <c r="G104" s="238" t="s">
        <v>58</v>
      </c>
      <c r="H104" s="253">
        <f>'CUOTA ARTESANAL'!G87</f>
        <v>7.0640000000000001</v>
      </c>
      <c r="I104" s="253">
        <f>'CUOTA ARTESANAL'!H87</f>
        <v>0</v>
      </c>
      <c r="J104" s="253">
        <f>'CUOTA ARTESANAL'!I87</f>
        <v>9.6479999999999997</v>
      </c>
      <c r="K104" s="253">
        <f>'CUOTA ARTESANAL'!J87</f>
        <v>9.3800000000000008</v>
      </c>
      <c r="L104" s="253">
        <f>'CUOTA ARTESANAL'!K87</f>
        <v>0.26799999999999891</v>
      </c>
      <c r="M104" s="254">
        <f>'CUOTA ARTESANAL'!L87</f>
        <v>0.97222222222222232</v>
      </c>
      <c r="N104" s="240" t="str">
        <f>'CUOTA ARTESANAL'!M87</f>
        <v>-</v>
      </c>
      <c r="O104" s="241">
        <f>RESUMEN!$C$4</f>
        <v>44561</v>
      </c>
      <c r="P104" s="233">
        <v>2021</v>
      </c>
      <c r="Q104" s="228"/>
    </row>
    <row r="105" spans="1:17" s="236" customFormat="1" ht="15">
      <c r="A105" s="238" t="s">
        <v>51</v>
      </c>
      <c r="B105" s="238" t="s">
        <v>52</v>
      </c>
      <c r="C105" s="238" t="s">
        <v>71</v>
      </c>
      <c r="D105" s="238" t="s">
        <v>337</v>
      </c>
      <c r="E105" s="243" t="str">
        <f>+'CUOTA ARTESANAL'!E86</f>
        <v>LOS PITAS (RPA 698380)</v>
      </c>
      <c r="F105" s="238" t="s">
        <v>54</v>
      </c>
      <c r="G105" s="238" t="s">
        <v>58</v>
      </c>
      <c r="H105" s="253">
        <f>'CUOTA ARTESANAL'!N86</f>
        <v>14.128</v>
      </c>
      <c r="I105" s="253">
        <f>'CUOTA ARTESANAL'!O86</f>
        <v>0</v>
      </c>
      <c r="J105" s="253">
        <f>'CUOTA ARTESANAL'!P86</f>
        <v>14.128</v>
      </c>
      <c r="K105" s="253">
        <f>'CUOTA ARTESANAL'!Q86</f>
        <v>13.860000000000001</v>
      </c>
      <c r="L105" s="253">
        <f>'CUOTA ARTESANAL'!R86</f>
        <v>0.26799999999999891</v>
      </c>
      <c r="M105" s="254">
        <f>'CUOTA ARTESANAL'!S86</f>
        <v>0.98103057757644407</v>
      </c>
      <c r="N105" s="240" t="s">
        <v>218</v>
      </c>
      <c r="O105" s="241">
        <f>RESUMEN!$C$4</f>
        <v>44561</v>
      </c>
      <c r="P105" s="233">
        <v>2021</v>
      </c>
      <c r="Q105" s="228"/>
    </row>
    <row r="106" spans="1:17" s="236" customFormat="1" ht="15">
      <c r="A106" s="238" t="s">
        <v>51</v>
      </c>
      <c r="B106" s="238" t="s">
        <v>52</v>
      </c>
      <c r="C106" s="238" t="s">
        <v>71</v>
      </c>
      <c r="D106" s="238" t="s">
        <v>337</v>
      </c>
      <c r="E106" s="243" t="str">
        <f>+'CUOTA ARTESANAL'!E88</f>
        <v>CHICO PITA II (RPA 697703)</v>
      </c>
      <c r="F106" s="238" t="s">
        <v>57</v>
      </c>
      <c r="G106" s="238" t="s">
        <v>56</v>
      </c>
      <c r="H106" s="253">
        <f>'CUOTA ARTESANAL'!G88</f>
        <v>7.0640000000000001</v>
      </c>
      <c r="I106" s="253">
        <f>'CUOTA ARTESANAL'!H88</f>
        <v>0</v>
      </c>
      <c r="J106" s="253">
        <f>'CUOTA ARTESANAL'!I88</f>
        <v>7.0640000000000001</v>
      </c>
      <c r="K106" s="253">
        <f>'CUOTA ARTESANAL'!J88</f>
        <v>5.74</v>
      </c>
      <c r="L106" s="253">
        <f>'CUOTA ARTESANAL'!K88</f>
        <v>1.3239999999999998</v>
      </c>
      <c r="M106" s="254">
        <f>'CUOTA ARTESANAL'!L88</f>
        <v>0.8125707814269536</v>
      </c>
      <c r="N106" s="240" t="str">
        <f>'CUOTA ARTESANAL'!M88</f>
        <v>-</v>
      </c>
      <c r="O106" s="241">
        <f>RESUMEN!$C$4</f>
        <v>44561</v>
      </c>
      <c r="P106" s="233">
        <v>2021</v>
      </c>
      <c r="Q106" s="228"/>
    </row>
    <row r="107" spans="1:17" s="236" customFormat="1" ht="15">
      <c r="A107" s="238" t="s">
        <v>51</v>
      </c>
      <c r="B107" s="238" t="s">
        <v>52</v>
      </c>
      <c r="C107" s="238" t="s">
        <v>71</v>
      </c>
      <c r="D107" s="238" t="s">
        <v>337</v>
      </c>
      <c r="E107" s="243" t="str">
        <f>+'CUOTA ARTESANAL'!E88</f>
        <v>CHICO PITA II (RPA 697703)</v>
      </c>
      <c r="F107" s="238" t="s">
        <v>54</v>
      </c>
      <c r="G107" s="238" t="s">
        <v>58</v>
      </c>
      <c r="H107" s="253">
        <f>'CUOTA ARTESANAL'!G89</f>
        <v>7.0640000000000001</v>
      </c>
      <c r="I107" s="253">
        <f>'CUOTA ARTESANAL'!H89</f>
        <v>0</v>
      </c>
      <c r="J107" s="253">
        <f>'CUOTA ARTESANAL'!I89</f>
        <v>8.3879999999999999</v>
      </c>
      <c r="K107" s="253">
        <f>'CUOTA ARTESANAL'!J89</f>
        <v>6.6920000000000002</v>
      </c>
      <c r="L107" s="253">
        <f>'CUOTA ARTESANAL'!K89</f>
        <v>1.6959999999999997</v>
      </c>
      <c r="M107" s="254">
        <f>'CUOTA ARTESANAL'!L89</f>
        <v>0.79780639008106824</v>
      </c>
      <c r="N107" s="240" t="str">
        <f>'CUOTA ARTESANAL'!M89</f>
        <v>-</v>
      </c>
      <c r="O107" s="241">
        <f>RESUMEN!$C$4</f>
        <v>44561</v>
      </c>
      <c r="P107" s="233">
        <v>2021</v>
      </c>
      <c r="Q107" s="228"/>
    </row>
    <row r="108" spans="1:17" s="236" customFormat="1" ht="15">
      <c r="A108" s="238" t="s">
        <v>51</v>
      </c>
      <c r="B108" s="238" t="s">
        <v>52</v>
      </c>
      <c r="C108" s="238" t="s">
        <v>71</v>
      </c>
      <c r="D108" s="238" t="s">
        <v>337</v>
      </c>
      <c r="E108" s="243" t="str">
        <f>+'CUOTA ARTESANAL'!E88</f>
        <v>CHICO PITA II (RPA 697703)</v>
      </c>
      <c r="F108" s="238" t="s">
        <v>57</v>
      </c>
      <c r="G108" s="238" t="s">
        <v>58</v>
      </c>
      <c r="H108" s="253">
        <f>'CUOTA ARTESANAL'!N88</f>
        <v>14.128</v>
      </c>
      <c r="I108" s="253">
        <f>'CUOTA ARTESANAL'!O88</f>
        <v>0</v>
      </c>
      <c r="J108" s="253">
        <f>'CUOTA ARTESANAL'!P88</f>
        <v>14.128</v>
      </c>
      <c r="K108" s="253">
        <f>'CUOTA ARTESANAL'!Q88</f>
        <v>12.432</v>
      </c>
      <c r="L108" s="253">
        <f>'CUOTA ARTESANAL'!R88</f>
        <v>1.6959999999999997</v>
      </c>
      <c r="M108" s="254">
        <f>'CUOTA ARTESANAL'!S88</f>
        <v>0.87995469988674979</v>
      </c>
      <c r="N108" s="240" t="s">
        <v>218</v>
      </c>
      <c r="O108" s="241">
        <f>RESUMEN!$C$4</f>
        <v>44561</v>
      </c>
      <c r="P108" s="233">
        <v>2021</v>
      </c>
      <c r="Q108" s="228"/>
    </row>
    <row r="109" spans="1:17" s="236" customFormat="1" ht="15">
      <c r="A109" s="238" t="s">
        <v>51</v>
      </c>
      <c r="B109" s="238" t="s">
        <v>52</v>
      </c>
      <c r="C109" s="238" t="s">
        <v>71</v>
      </c>
      <c r="D109" s="238" t="s">
        <v>337</v>
      </c>
      <c r="E109" s="243" t="str">
        <f>+'CUOTA ARTESANAL'!E90</f>
        <v>LA SOFI (RPA 954560)</v>
      </c>
      <c r="F109" s="238" t="s">
        <v>54</v>
      </c>
      <c r="G109" s="238" t="s">
        <v>56</v>
      </c>
      <c r="H109" s="253">
        <f>'CUOTA ARTESANAL'!G90</f>
        <v>7.0629999999999997</v>
      </c>
      <c r="I109" s="253">
        <f>'CUOTA ARTESANAL'!H90</f>
        <v>0</v>
      </c>
      <c r="J109" s="253">
        <f>'CUOTA ARTESANAL'!I90</f>
        <v>7.0629999999999997</v>
      </c>
      <c r="K109" s="253">
        <f>'CUOTA ARTESANAL'!J90</f>
        <v>5.74</v>
      </c>
      <c r="L109" s="253">
        <f>'CUOTA ARTESANAL'!K90</f>
        <v>1.3229999999999995</v>
      </c>
      <c r="M109" s="254">
        <f>'CUOTA ARTESANAL'!L90</f>
        <v>0.81268582755203178</v>
      </c>
      <c r="N109" s="240" t="str">
        <f>'CUOTA ARTESANAL'!M90</f>
        <v>-</v>
      </c>
      <c r="O109" s="241">
        <f>RESUMEN!$C$4</f>
        <v>44561</v>
      </c>
      <c r="P109" s="233">
        <v>2021</v>
      </c>
      <c r="Q109" s="228"/>
    </row>
    <row r="110" spans="1:17" s="236" customFormat="1" ht="15">
      <c r="A110" s="238" t="s">
        <v>51</v>
      </c>
      <c r="B110" s="238" t="s">
        <v>52</v>
      </c>
      <c r="C110" s="238" t="s">
        <v>71</v>
      </c>
      <c r="D110" s="238" t="s">
        <v>337</v>
      </c>
      <c r="E110" s="243" t="str">
        <f>+'CUOTA ARTESANAL'!E90</f>
        <v>LA SOFI (RPA 954560)</v>
      </c>
      <c r="F110" s="238" t="s">
        <v>57</v>
      </c>
      <c r="G110" s="238" t="s">
        <v>58</v>
      </c>
      <c r="H110" s="253">
        <f>'CUOTA ARTESANAL'!G91</f>
        <v>7.0629999999999997</v>
      </c>
      <c r="I110" s="253">
        <f>'CUOTA ARTESANAL'!H91</f>
        <v>0</v>
      </c>
      <c r="J110" s="253">
        <f>'CUOTA ARTESANAL'!I91</f>
        <v>8.3859999999999992</v>
      </c>
      <c r="K110" s="253">
        <f>'CUOTA ARTESANAL'!J91</f>
        <v>6.58</v>
      </c>
      <c r="L110" s="253">
        <f>'CUOTA ARTESANAL'!K91</f>
        <v>1.8059999999999992</v>
      </c>
      <c r="M110" s="254">
        <f>'CUOTA ARTESANAL'!L91</f>
        <v>0.78464106844741244</v>
      </c>
      <c r="N110" s="240" t="str">
        <f>'CUOTA ARTESANAL'!M91</f>
        <v>-</v>
      </c>
      <c r="O110" s="241">
        <f>RESUMEN!$C$4</f>
        <v>44561</v>
      </c>
      <c r="P110" s="233">
        <v>2021</v>
      </c>
      <c r="Q110" s="228"/>
    </row>
    <row r="111" spans="1:17" s="236" customFormat="1" ht="15">
      <c r="A111" s="238" t="s">
        <v>51</v>
      </c>
      <c r="B111" s="238" t="s">
        <v>52</v>
      </c>
      <c r="C111" s="238" t="s">
        <v>71</v>
      </c>
      <c r="D111" s="238" t="s">
        <v>337</v>
      </c>
      <c r="E111" s="243" t="str">
        <f>+'CUOTA ARTESANAL'!E90</f>
        <v>LA SOFI (RPA 954560)</v>
      </c>
      <c r="F111" s="238" t="s">
        <v>54</v>
      </c>
      <c r="G111" s="238" t="s">
        <v>58</v>
      </c>
      <c r="H111" s="253">
        <f>'CUOTA ARTESANAL'!N90</f>
        <v>14.125999999999999</v>
      </c>
      <c r="I111" s="253">
        <f>'CUOTA ARTESANAL'!O90</f>
        <v>0</v>
      </c>
      <c r="J111" s="253">
        <f>'CUOTA ARTESANAL'!P90</f>
        <v>14.125999999999999</v>
      </c>
      <c r="K111" s="253">
        <f>'CUOTA ARTESANAL'!Q90</f>
        <v>12.32</v>
      </c>
      <c r="L111" s="253">
        <f>'CUOTA ARTESANAL'!R90</f>
        <v>1.8059999999999992</v>
      </c>
      <c r="M111" s="254">
        <f>'CUOTA ARTESANAL'!S90</f>
        <v>0.87215064420218047</v>
      </c>
      <c r="N111" s="240" t="s">
        <v>218</v>
      </c>
      <c r="O111" s="241">
        <f>RESUMEN!$C$4</f>
        <v>44561</v>
      </c>
      <c r="P111" s="233">
        <v>2021</v>
      </c>
      <c r="Q111" s="228"/>
    </row>
    <row r="112" spans="1:17" s="236" customFormat="1" ht="15">
      <c r="A112" s="238" t="s">
        <v>51</v>
      </c>
      <c r="B112" s="238" t="s">
        <v>52</v>
      </c>
      <c r="C112" s="238" t="s">
        <v>71</v>
      </c>
      <c r="D112" s="238" t="s">
        <v>337</v>
      </c>
      <c r="E112" s="243" t="str">
        <f>+'CUOTA ARTESANAL'!E92</f>
        <v>ELISABETH II (RPA 698351)</v>
      </c>
      <c r="F112" s="238" t="s">
        <v>57</v>
      </c>
      <c r="G112" s="238" t="s">
        <v>56</v>
      </c>
      <c r="H112" s="253">
        <f>'CUOTA ARTESANAL'!G92</f>
        <v>7.06</v>
      </c>
      <c r="I112" s="253">
        <f>'CUOTA ARTESANAL'!H92</f>
        <v>0</v>
      </c>
      <c r="J112" s="253">
        <f>'CUOTA ARTESANAL'!I92</f>
        <v>7.06</v>
      </c>
      <c r="K112" s="253">
        <f>'CUOTA ARTESANAL'!J92</f>
        <v>5.702</v>
      </c>
      <c r="L112" s="253">
        <f>'CUOTA ARTESANAL'!K92</f>
        <v>1.3579999999999997</v>
      </c>
      <c r="M112" s="254">
        <f>'CUOTA ARTESANAL'!L92</f>
        <v>0.80764872521246467</v>
      </c>
      <c r="N112" s="240" t="str">
        <f>'CUOTA ARTESANAL'!M92</f>
        <v>-</v>
      </c>
      <c r="O112" s="241">
        <f>RESUMEN!$C$4</f>
        <v>44561</v>
      </c>
      <c r="P112" s="233">
        <v>2021</v>
      </c>
      <c r="Q112" s="228"/>
    </row>
    <row r="113" spans="1:17" s="236" customFormat="1" ht="15">
      <c r="A113" s="238" t="s">
        <v>51</v>
      </c>
      <c r="B113" s="238" t="s">
        <v>52</v>
      </c>
      <c r="C113" s="238" t="s">
        <v>71</v>
      </c>
      <c r="D113" s="238" t="s">
        <v>337</v>
      </c>
      <c r="E113" s="243" t="str">
        <f>+'CUOTA ARTESANAL'!E92</f>
        <v>ELISABETH II (RPA 698351)</v>
      </c>
      <c r="F113" s="238" t="s">
        <v>54</v>
      </c>
      <c r="G113" s="238" t="s">
        <v>58</v>
      </c>
      <c r="H113" s="253">
        <f>'CUOTA ARTESANAL'!G93</f>
        <v>7.06</v>
      </c>
      <c r="I113" s="253">
        <f>'CUOTA ARTESANAL'!H93</f>
        <v>0</v>
      </c>
      <c r="J113" s="253">
        <f>'CUOTA ARTESANAL'!I93</f>
        <v>8.4179999999999993</v>
      </c>
      <c r="K113" s="253">
        <f>'CUOTA ARTESANAL'!J93</f>
        <v>2.492</v>
      </c>
      <c r="L113" s="253">
        <f>'CUOTA ARTESANAL'!K93</f>
        <v>5.9259999999999993</v>
      </c>
      <c r="M113" s="254">
        <f>'CUOTA ARTESANAL'!L93</f>
        <v>0.29603231171299599</v>
      </c>
      <c r="N113" s="240" t="str">
        <f>'CUOTA ARTESANAL'!M93</f>
        <v>-</v>
      </c>
      <c r="O113" s="241">
        <f>RESUMEN!$C$4</f>
        <v>44561</v>
      </c>
      <c r="P113" s="233">
        <v>2021</v>
      </c>
      <c r="Q113" s="228"/>
    </row>
    <row r="114" spans="1:17" s="236" customFormat="1" ht="15">
      <c r="A114" s="238" t="s">
        <v>51</v>
      </c>
      <c r="B114" s="238" t="s">
        <v>52</v>
      </c>
      <c r="C114" s="238" t="s">
        <v>71</v>
      </c>
      <c r="D114" s="238" t="s">
        <v>337</v>
      </c>
      <c r="E114" s="243" t="str">
        <f>+'CUOTA ARTESANAL'!E92</f>
        <v>ELISABETH II (RPA 698351)</v>
      </c>
      <c r="F114" s="238" t="s">
        <v>57</v>
      </c>
      <c r="G114" s="238" t="s">
        <v>58</v>
      </c>
      <c r="H114" s="253">
        <f>'CUOTA ARTESANAL'!N92</f>
        <v>14.12</v>
      </c>
      <c r="I114" s="253">
        <f>'CUOTA ARTESANAL'!O92</f>
        <v>0</v>
      </c>
      <c r="J114" s="253">
        <f>'CUOTA ARTESANAL'!P92</f>
        <v>14.12</v>
      </c>
      <c r="K114" s="253">
        <f>'CUOTA ARTESANAL'!Q92</f>
        <v>8.1939999999999991</v>
      </c>
      <c r="L114" s="253">
        <f>'CUOTA ARTESANAL'!R92</f>
        <v>5.9260000000000002</v>
      </c>
      <c r="M114" s="254">
        <f>'CUOTA ARTESANAL'!S92</f>
        <v>0.58031161473087811</v>
      </c>
      <c r="N114" s="240" t="s">
        <v>218</v>
      </c>
      <c r="O114" s="241">
        <f>RESUMEN!$C$4</f>
        <v>44561</v>
      </c>
      <c r="P114" s="233">
        <v>2021</v>
      </c>
      <c r="Q114" s="228"/>
    </row>
    <row r="115" spans="1:17" s="236" customFormat="1" ht="15">
      <c r="A115" s="238" t="s">
        <v>51</v>
      </c>
      <c r="B115" s="238" t="s">
        <v>52</v>
      </c>
      <c r="C115" s="238" t="s">
        <v>71</v>
      </c>
      <c r="D115" s="238" t="s">
        <v>337</v>
      </c>
      <c r="E115" s="243" t="str">
        <f>+'CUOTA ARTESANAL'!E94</f>
        <v>GENESIS II (RPA 968056)</v>
      </c>
      <c r="F115" s="238" t="s">
        <v>54</v>
      </c>
      <c r="G115" s="238" t="s">
        <v>56</v>
      </c>
      <c r="H115" s="253">
        <f>'CUOTA ARTESANAL'!G94</f>
        <v>7.0620000000000003</v>
      </c>
      <c r="I115" s="253">
        <f>'CUOTA ARTESANAL'!H94</f>
        <v>0</v>
      </c>
      <c r="J115" s="253">
        <f>'CUOTA ARTESANAL'!I94</f>
        <v>7.0620000000000003</v>
      </c>
      <c r="K115" s="253">
        <f>'CUOTA ARTESANAL'!J94</f>
        <v>4.7880000000000003</v>
      </c>
      <c r="L115" s="253">
        <f>'CUOTA ARTESANAL'!K94</f>
        <v>2.274</v>
      </c>
      <c r="M115" s="254">
        <f>'CUOTA ARTESANAL'!L94</f>
        <v>0.67799490229396775</v>
      </c>
      <c r="N115" s="240" t="str">
        <f>'CUOTA ARTESANAL'!M94</f>
        <v>-</v>
      </c>
      <c r="O115" s="241">
        <f>RESUMEN!$C$4</f>
        <v>44561</v>
      </c>
      <c r="P115" s="233">
        <v>2021</v>
      </c>
      <c r="Q115" s="228"/>
    </row>
    <row r="116" spans="1:17" s="236" customFormat="1" ht="15">
      <c r="A116" s="238" t="s">
        <v>51</v>
      </c>
      <c r="B116" s="238" t="s">
        <v>52</v>
      </c>
      <c r="C116" s="238" t="s">
        <v>71</v>
      </c>
      <c r="D116" s="238" t="s">
        <v>337</v>
      </c>
      <c r="E116" s="243" t="str">
        <f>+'CUOTA ARTESANAL'!E94</f>
        <v>GENESIS II (RPA 968056)</v>
      </c>
      <c r="F116" s="238" t="s">
        <v>57</v>
      </c>
      <c r="G116" s="238" t="s">
        <v>58</v>
      </c>
      <c r="H116" s="253">
        <f>'CUOTA ARTESANAL'!G95</f>
        <v>7.0620000000000003</v>
      </c>
      <c r="I116" s="253">
        <f>'CUOTA ARTESANAL'!H95</f>
        <v>0</v>
      </c>
      <c r="J116" s="253">
        <f>'CUOTA ARTESANAL'!I95</f>
        <v>9.3360000000000003</v>
      </c>
      <c r="K116" s="253">
        <f>'CUOTA ARTESANAL'!J95</f>
        <v>8.2880000000000003</v>
      </c>
      <c r="L116" s="253">
        <f>'CUOTA ARTESANAL'!K95</f>
        <v>1.048</v>
      </c>
      <c r="M116" s="254">
        <f>'CUOTA ARTESANAL'!L95</f>
        <v>0.88774635818337622</v>
      </c>
      <c r="N116" s="240" t="str">
        <f>'CUOTA ARTESANAL'!M95</f>
        <v>-</v>
      </c>
      <c r="O116" s="241">
        <f>RESUMEN!$C$4</f>
        <v>44561</v>
      </c>
      <c r="P116" s="233">
        <v>2021</v>
      </c>
      <c r="Q116" s="228"/>
    </row>
    <row r="117" spans="1:17" s="236" customFormat="1" ht="15">
      <c r="A117" s="238" t="s">
        <v>51</v>
      </c>
      <c r="B117" s="238" t="s">
        <v>52</v>
      </c>
      <c r="C117" s="238" t="s">
        <v>71</v>
      </c>
      <c r="D117" s="238" t="s">
        <v>337</v>
      </c>
      <c r="E117" s="243" t="str">
        <f>+'CUOTA ARTESANAL'!E94</f>
        <v>GENESIS II (RPA 968056)</v>
      </c>
      <c r="F117" s="238" t="s">
        <v>54</v>
      </c>
      <c r="G117" s="238" t="s">
        <v>58</v>
      </c>
      <c r="H117" s="253">
        <f>'CUOTA ARTESANAL'!N94</f>
        <v>14.124000000000001</v>
      </c>
      <c r="I117" s="253">
        <f>'CUOTA ARTESANAL'!O94</f>
        <v>0</v>
      </c>
      <c r="J117" s="253">
        <f>'CUOTA ARTESANAL'!P94</f>
        <v>14.124000000000001</v>
      </c>
      <c r="K117" s="253">
        <f>'CUOTA ARTESANAL'!Q94</f>
        <v>13.076000000000001</v>
      </c>
      <c r="L117" s="253">
        <f>'CUOTA ARTESANAL'!R94</f>
        <v>1.048</v>
      </c>
      <c r="M117" s="254">
        <f>'CUOTA ARTESANAL'!S94</f>
        <v>0.92580005664117815</v>
      </c>
      <c r="N117" s="240" t="s">
        <v>218</v>
      </c>
      <c r="O117" s="241">
        <f>RESUMEN!$C$4</f>
        <v>44561</v>
      </c>
      <c r="P117" s="233">
        <v>2021</v>
      </c>
      <c r="Q117" s="228"/>
    </row>
    <row r="118" spans="1:17" s="236" customFormat="1" ht="15">
      <c r="A118" s="238" t="s">
        <v>51</v>
      </c>
      <c r="B118" s="238" t="s">
        <v>52</v>
      </c>
      <c r="C118" s="238" t="s">
        <v>71</v>
      </c>
      <c r="D118" s="238" t="s">
        <v>337</v>
      </c>
      <c r="E118" s="243" t="str">
        <f>+'CUOTA ARTESANAL'!E96</f>
        <v>LOS CHUNGAS (RPA 698647)</v>
      </c>
      <c r="F118" s="238" t="s">
        <v>57</v>
      </c>
      <c r="G118" s="238" t="s">
        <v>56</v>
      </c>
      <c r="H118" s="253">
        <f>'CUOTA ARTESANAL'!G96</f>
        <v>7.077</v>
      </c>
      <c r="I118" s="253">
        <f>'CUOTA ARTESANAL'!H96</f>
        <v>0</v>
      </c>
      <c r="J118" s="253">
        <f>'CUOTA ARTESANAL'!I96</f>
        <v>7.077</v>
      </c>
      <c r="K118" s="253">
        <f>'CUOTA ARTESANAL'!J96</f>
        <v>0.42</v>
      </c>
      <c r="L118" s="253">
        <f>'CUOTA ARTESANAL'!K96</f>
        <v>6.657</v>
      </c>
      <c r="M118" s="254">
        <f>'CUOTA ARTESANAL'!L96</f>
        <v>5.9347181008902072E-2</v>
      </c>
      <c r="N118" s="240" t="str">
        <f>'CUOTA ARTESANAL'!M96</f>
        <v>-</v>
      </c>
      <c r="O118" s="241">
        <f>RESUMEN!$C$4</f>
        <v>44561</v>
      </c>
      <c r="P118" s="233">
        <v>2021</v>
      </c>
      <c r="Q118" s="228"/>
    </row>
    <row r="119" spans="1:17" s="236" customFormat="1" ht="15">
      <c r="A119" s="238" t="s">
        <v>51</v>
      </c>
      <c r="B119" s="238" t="s">
        <v>52</v>
      </c>
      <c r="C119" s="238" t="s">
        <v>71</v>
      </c>
      <c r="D119" s="238" t="s">
        <v>337</v>
      </c>
      <c r="E119" s="243" t="str">
        <f>+'CUOTA ARTESANAL'!E96</f>
        <v>LOS CHUNGAS (RPA 698647)</v>
      </c>
      <c r="F119" s="238" t="s">
        <v>54</v>
      </c>
      <c r="G119" s="238" t="s">
        <v>58</v>
      </c>
      <c r="H119" s="253">
        <f>'CUOTA ARTESANAL'!G97</f>
        <v>7.077</v>
      </c>
      <c r="I119" s="253">
        <f>'CUOTA ARTESANAL'!H97</f>
        <v>0</v>
      </c>
      <c r="J119" s="253">
        <f>'CUOTA ARTESANAL'!I97</f>
        <v>13.734</v>
      </c>
      <c r="K119" s="253">
        <f>'CUOTA ARTESANAL'!J97</f>
        <v>13.132</v>
      </c>
      <c r="L119" s="253">
        <f>'CUOTA ARTESANAL'!K97</f>
        <v>0.60200000000000031</v>
      </c>
      <c r="M119" s="254">
        <f>'CUOTA ARTESANAL'!L97</f>
        <v>0.95616717635066262</v>
      </c>
      <c r="N119" s="240" t="str">
        <f>'CUOTA ARTESANAL'!M97</f>
        <v>-</v>
      </c>
      <c r="O119" s="241">
        <f>RESUMEN!$C$4</f>
        <v>44561</v>
      </c>
      <c r="P119" s="233">
        <v>2021</v>
      </c>
      <c r="Q119" s="228"/>
    </row>
    <row r="120" spans="1:17" s="236" customFormat="1" ht="15">
      <c r="A120" s="238" t="s">
        <v>51</v>
      </c>
      <c r="B120" s="238" t="s">
        <v>52</v>
      </c>
      <c r="C120" s="238" t="s">
        <v>71</v>
      </c>
      <c r="D120" s="238" t="s">
        <v>337</v>
      </c>
      <c r="E120" s="243" t="str">
        <f>+'CUOTA ARTESANAL'!E96</f>
        <v>LOS CHUNGAS (RPA 698647)</v>
      </c>
      <c r="F120" s="238" t="s">
        <v>57</v>
      </c>
      <c r="G120" s="238" t="s">
        <v>58</v>
      </c>
      <c r="H120" s="253">
        <f>'CUOTA ARTESANAL'!N96</f>
        <v>14.154</v>
      </c>
      <c r="I120" s="253">
        <f>'CUOTA ARTESANAL'!O96</f>
        <v>0</v>
      </c>
      <c r="J120" s="253">
        <f>'CUOTA ARTESANAL'!P96</f>
        <v>14.154</v>
      </c>
      <c r="K120" s="253">
        <f>'CUOTA ARTESANAL'!Q96</f>
        <v>13.552</v>
      </c>
      <c r="L120" s="253">
        <f>'CUOTA ARTESANAL'!R96</f>
        <v>0.60200000000000031</v>
      </c>
      <c r="M120" s="254">
        <f>'CUOTA ARTESANAL'!S96</f>
        <v>0.95746785361028686</v>
      </c>
      <c r="N120" s="240" t="s">
        <v>218</v>
      </c>
      <c r="O120" s="241">
        <f>RESUMEN!$C$4</f>
        <v>44561</v>
      </c>
      <c r="P120" s="233">
        <v>2021</v>
      </c>
      <c r="Q120" s="228"/>
    </row>
    <row r="121" spans="1:17" s="236" customFormat="1" ht="15">
      <c r="A121" s="238" t="s">
        <v>51</v>
      </c>
      <c r="B121" s="238" t="s">
        <v>52</v>
      </c>
      <c r="C121" s="238" t="s">
        <v>71</v>
      </c>
      <c r="D121" s="238" t="s">
        <v>337</v>
      </c>
      <c r="E121" s="243" t="str">
        <f>+'CUOTA ARTESANAL'!E98</f>
        <v>MAR Y LUZ (967771)</v>
      </c>
      <c r="F121" s="238" t="s">
        <v>54</v>
      </c>
      <c r="G121" s="238" t="s">
        <v>56</v>
      </c>
      <c r="H121" s="253">
        <f>'CUOTA ARTESANAL'!G98</f>
        <v>7.0640000000000001</v>
      </c>
      <c r="I121" s="253">
        <f>'CUOTA ARTESANAL'!H98</f>
        <v>0</v>
      </c>
      <c r="J121" s="253">
        <f>'CUOTA ARTESANAL'!I98</f>
        <v>7.0640000000000001</v>
      </c>
      <c r="K121" s="253">
        <f>'CUOTA ARTESANAL'!J98</f>
        <v>6.02</v>
      </c>
      <c r="L121" s="253">
        <f>'CUOTA ARTESANAL'!K98</f>
        <v>1.0440000000000005</v>
      </c>
      <c r="M121" s="254">
        <f>'CUOTA ARTESANAL'!L98</f>
        <v>0.85220838052095127</v>
      </c>
      <c r="N121" s="240" t="str">
        <f>'CUOTA ARTESANAL'!M98</f>
        <v>-</v>
      </c>
      <c r="O121" s="241">
        <f>RESUMEN!$C$4</f>
        <v>44561</v>
      </c>
      <c r="P121" s="233">
        <v>2021</v>
      </c>
      <c r="Q121" s="228"/>
    </row>
    <row r="122" spans="1:17" s="236" customFormat="1" ht="15">
      <c r="A122" s="238" t="s">
        <v>51</v>
      </c>
      <c r="B122" s="238" t="s">
        <v>52</v>
      </c>
      <c r="C122" s="238" t="s">
        <v>71</v>
      </c>
      <c r="D122" s="238" t="s">
        <v>337</v>
      </c>
      <c r="E122" s="243" t="str">
        <f>+'CUOTA ARTESANAL'!E98</f>
        <v>MAR Y LUZ (967771)</v>
      </c>
      <c r="F122" s="238" t="s">
        <v>57</v>
      </c>
      <c r="G122" s="238" t="s">
        <v>58</v>
      </c>
      <c r="H122" s="253">
        <f>'CUOTA ARTESANAL'!G99</f>
        <v>7.0640000000000001</v>
      </c>
      <c r="I122" s="253">
        <f>'CUOTA ARTESANAL'!H99</f>
        <v>0</v>
      </c>
      <c r="J122" s="253">
        <f>'CUOTA ARTESANAL'!I99</f>
        <v>8.1080000000000005</v>
      </c>
      <c r="K122" s="253">
        <f>'CUOTA ARTESANAL'!J99</f>
        <v>7.532</v>
      </c>
      <c r="L122" s="253">
        <f>'CUOTA ARTESANAL'!K99</f>
        <v>0.57600000000000051</v>
      </c>
      <c r="M122" s="254">
        <f>'CUOTA ARTESANAL'!L99</f>
        <v>0.92895905278737045</v>
      </c>
      <c r="N122" s="240" t="str">
        <f>'CUOTA ARTESANAL'!M99</f>
        <v>-</v>
      </c>
      <c r="O122" s="241">
        <f>RESUMEN!$C$4</f>
        <v>44561</v>
      </c>
      <c r="P122" s="233">
        <v>2021</v>
      </c>
      <c r="Q122" s="228"/>
    </row>
    <row r="123" spans="1:17" s="236" customFormat="1" ht="15">
      <c r="A123" s="238" t="s">
        <v>51</v>
      </c>
      <c r="B123" s="238" t="s">
        <v>52</v>
      </c>
      <c r="C123" s="238" t="s">
        <v>71</v>
      </c>
      <c r="D123" s="238" t="s">
        <v>337</v>
      </c>
      <c r="E123" s="243" t="str">
        <f>+'CUOTA ARTESANAL'!E98</f>
        <v>MAR Y LUZ (967771)</v>
      </c>
      <c r="F123" s="238" t="s">
        <v>54</v>
      </c>
      <c r="G123" s="238" t="s">
        <v>58</v>
      </c>
      <c r="H123" s="253">
        <f>'CUOTA ARTESANAL'!N98</f>
        <v>14.128</v>
      </c>
      <c r="I123" s="253">
        <f>'CUOTA ARTESANAL'!O98</f>
        <v>0</v>
      </c>
      <c r="J123" s="253">
        <f>'CUOTA ARTESANAL'!P98</f>
        <v>14.128</v>
      </c>
      <c r="K123" s="253">
        <f>'CUOTA ARTESANAL'!Q98</f>
        <v>13.552</v>
      </c>
      <c r="L123" s="253">
        <f>'CUOTA ARTESANAL'!R98</f>
        <v>0.57600000000000051</v>
      </c>
      <c r="M123" s="254">
        <f>'CUOTA ARTESANAL'!S98</f>
        <v>0.95922989807474512</v>
      </c>
      <c r="N123" s="240" t="s">
        <v>218</v>
      </c>
      <c r="O123" s="241">
        <f>RESUMEN!$C$4</f>
        <v>44561</v>
      </c>
      <c r="P123" s="233">
        <v>2021</v>
      </c>
      <c r="Q123" s="228"/>
    </row>
    <row r="124" spans="1:17" s="236" customFormat="1" ht="15">
      <c r="A124" s="238" t="s">
        <v>51</v>
      </c>
      <c r="B124" s="238" t="s">
        <v>52</v>
      </c>
      <c r="C124" s="238" t="s">
        <v>71</v>
      </c>
      <c r="D124" s="238" t="s">
        <v>337</v>
      </c>
      <c r="E124" s="243" t="str">
        <f>+'CUOTA ARTESANAL'!E100</f>
        <v>VAY II (RPA 959029)</v>
      </c>
      <c r="F124" s="238" t="s">
        <v>57</v>
      </c>
      <c r="G124" s="238" t="s">
        <v>56</v>
      </c>
      <c r="H124" s="253">
        <f>'CUOTA ARTESANAL'!G100</f>
        <v>7.0659999999999998</v>
      </c>
      <c r="I124" s="253">
        <f>'CUOTA ARTESANAL'!H100</f>
        <v>0</v>
      </c>
      <c r="J124" s="253">
        <f>'CUOTA ARTESANAL'!I100</f>
        <v>7.0659999999999998</v>
      </c>
      <c r="K124" s="253">
        <f>'CUOTA ARTESANAL'!J100</f>
        <v>5.88</v>
      </c>
      <c r="L124" s="253">
        <f>'CUOTA ARTESANAL'!K100</f>
        <v>1.1859999999999999</v>
      </c>
      <c r="M124" s="254">
        <f>'CUOTA ARTESANAL'!L100</f>
        <v>0.83215397679026326</v>
      </c>
      <c r="N124" s="240" t="str">
        <f>'CUOTA ARTESANAL'!M100</f>
        <v>-</v>
      </c>
      <c r="O124" s="241">
        <f>RESUMEN!$C$4</f>
        <v>44561</v>
      </c>
      <c r="P124" s="233">
        <v>2021</v>
      </c>
      <c r="Q124" s="228"/>
    </row>
    <row r="125" spans="1:17" s="236" customFormat="1" ht="15">
      <c r="A125" s="238" t="s">
        <v>51</v>
      </c>
      <c r="B125" s="238" t="s">
        <v>52</v>
      </c>
      <c r="C125" s="238" t="s">
        <v>71</v>
      </c>
      <c r="D125" s="238" t="s">
        <v>337</v>
      </c>
      <c r="E125" s="243" t="str">
        <f>+'CUOTA ARTESANAL'!E100</f>
        <v>VAY II (RPA 959029)</v>
      </c>
      <c r="F125" s="238" t="s">
        <v>54</v>
      </c>
      <c r="G125" s="238" t="s">
        <v>58</v>
      </c>
      <c r="H125" s="253">
        <f>'CUOTA ARTESANAL'!G101</f>
        <v>7.0659999999999998</v>
      </c>
      <c r="I125" s="253">
        <f>'CUOTA ARTESANAL'!H101</f>
        <v>0</v>
      </c>
      <c r="J125" s="253">
        <f>'CUOTA ARTESANAL'!I101</f>
        <v>8.2519999999999989</v>
      </c>
      <c r="K125" s="253">
        <f>'CUOTA ARTESANAL'!J101</f>
        <v>7.7560000000000002</v>
      </c>
      <c r="L125" s="253">
        <f>'CUOTA ARTESANAL'!K101</f>
        <v>0.49599999999999866</v>
      </c>
      <c r="M125" s="254">
        <f>'CUOTA ARTESANAL'!L101</f>
        <v>0.93989335918565209</v>
      </c>
      <c r="N125" s="240" t="str">
        <f>'CUOTA ARTESANAL'!M101</f>
        <v>-</v>
      </c>
      <c r="O125" s="241">
        <f>RESUMEN!$C$4</f>
        <v>44561</v>
      </c>
      <c r="P125" s="233">
        <v>2021</v>
      </c>
      <c r="Q125" s="228"/>
    </row>
    <row r="126" spans="1:17" s="236" customFormat="1" ht="15">
      <c r="A126" s="238" t="s">
        <v>51</v>
      </c>
      <c r="B126" s="238" t="s">
        <v>52</v>
      </c>
      <c r="C126" s="238" t="s">
        <v>71</v>
      </c>
      <c r="D126" s="238" t="s">
        <v>337</v>
      </c>
      <c r="E126" s="243" t="str">
        <f>+'CUOTA ARTESANAL'!E100</f>
        <v>VAY II (RPA 959029)</v>
      </c>
      <c r="F126" s="238" t="s">
        <v>57</v>
      </c>
      <c r="G126" s="238" t="s">
        <v>58</v>
      </c>
      <c r="H126" s="253">
        <f>'CUOTA ARTESANAL'!N100</f>
        <v>14.132</v>
      </c>
      <c r="I126" s="253">
        <f>'CUOTA ARTESANAL'!O100</f>
        <v>0</v>
      </c>
      <c r="J126" s="253">
        <f>'CUOTA ARTESANAL'!P100</f>
        <v>14.132</v>
      </c>
      <c r="K126" s="253">
        <f>'CUOTA ARTESANAL'!Q100</f>
        <v>13.635999999999999</v>
      </c>
      <c r="L126" s="253">
        <f>'CUOTA ARTESANAL'!R100</f>
        <v>0.49600000000000044</v>
      </c>
      <c r="M126" s="254">
        <f>'CUOTA ARTESANAL'!S100</f>
        <v>0.96490234927823382</v>
      </c>
      <c r="N126" s="240" t="s">
        <v>218</v>
      </c>
      <c r="O126" s="241">
        <f>RESUMEN!$C$4</f>
        <v>44561</v>
      </c>
      <c r="P126" s="233">
        <v>2021</v>
      </c>
      <c r="Q126" s="228"/>
    </row>
    <row r="127" spans="1:17" s="236" customFormat="1" ht="15">
      <c r="A127" s="238" t="s">
        <v>51</v>
      </c>
      <c r="B127" s="238" t="s">
        <v>52</v>
      </c>
      <c r="C127" s="238" t="s">
        <v>71</v>
      </c>
      <c r="D127" s="238" t="s">
        <v>337</v>
      </c>
      <c r="E127" s="243" t="str">
        <f>+'CUOTA ARTESANAL'!E102</f>
        <v>CRISTOBAL  (RPA 698519)</v>
      </c>
      <c r="F127" s="238" t="s">
        <v>54</v>
      </c>
      <c r="G127" s="238" t="s">
        <v>56</v>
      </c>
      <c r="H127" s="253">
        <f>'CUOTA ARTESANAL'!G102</f>
        <v>7.0620000000000003</v>
      </c>
      <c r="I127" s="253">
        <f>'CUOTA ARTESANAL'!H102</f>
        <v>0</v>
      </c>
      <c r="J127" s="253">
        <f>'CUOTA ARTESANAL'!I102</f>
        <v>7.0620000000000003</v>
      </c>
      <c r="K127" s="253">
        <f>'CUOTA ARTESANAL'!J102</f>
        <v>4.6760000000000002</v>
      </c>
      <c r="L127" s="253">
        <f>'CUOTA ARTESANAL'!K102</f>
        <v>2.3860000000000001</v>
      </c>
      <c r="M127" s="254">
        <f>'CUOTA ARTESANAL'!L102</f>
        <v>0.66213537241574627</v>
      </c>
      <c r="N127" s="240" t="str">
        <f>'CUOTA ARTESANAL'!M102</f>
        <v>-</v>
      </c>
      <c r="O127" s="241">
        <f>RESUMEN!$C$4</f>
        <v>44561</v>
      </c>
      <c r="P127" s="233">
        <v>2021</v>
      </c>
      <c r="Q127" s="228"/>
    </row>
    <row r="128" spans="1:17" s="236" customFormat="1" ht="15">
      <c r="A128" s="238" t="s">
        <v>51</v>
      </c>
      <c r="B128" s="238" t="s">
        <v>52</v>
      </c>
      <c r="C128" s="238" t="s">
        <v>71</v>
      </c>
      <c r="D128" s="238" t="s">
        <v>337</v>
      </c>
      <c r="E128" s="243" t="str">
        <f>+'CUOTA ARTESANAL'!E102</f>
        <v>CRISTOBAL  (RPA 698519)</v>
      </c>
      <c r="F128" s="238" t="s">
        <v>57</v>
      </c>
      <c r="G128" s="238" t="s">
        <v>58</v>
      </c>
      <c r="H128" s="253">
        <f>'CUOTA ARTESANAL'!G103</f>
        <v>7.0620000000000003</v>
      </c>
      <c r="I128" s="253">
        <f>'CUOTA ARTESANAL'!H103</f>
        <v>0</v>
      </c>
      <c r="J128" s="253">
        <f>'CUOTA ARTESANAL'!I103</f>
        <v>9.4480000000000004</v>
      </c>
      <c r="K128" s="253">
        <f>'CUOTA ARTESANAL'!J103</f>
        <v>8.26</v>
      </c>
      <c r="L128" s="253">
        <f>'CUOTA ARTESANAL'!K103</f>
        <v>1.1880000000000006</v>
      </c>
      <c r="M128" s="254">
        <f>'CUOTA ARTESANAL'!L103</f>
        <v>0.87425910245554606</v>
      </c>
      <c r="N128" s="240" t="str">
        <f>'CUOTA ARTESANAL'!M103</f>
        <v>-</v>
      </c>
      <c r="O128" s="241">
        <f>RESUMEN!$C$4</f>
        <v>44561</v>
      </c>
      <c r="P128" s="233">
        <v>2021</v>
      </c>
      <c r="Q128" s="228"/>
    </row>
    <row r="129" spans="1:17" s="236" customFormat="1" ht="15">
      <c r="A129" s="238" t="s">
        <v>51</v>
      </c>
      <c r="B129" s="238" t="s">
        <v>52</v>
      </c>
      <c r="C129" s="238" t="s">
        <v>71</v>
      </c>
      <c r="D129" s="238" t="s">
        <v>337</v>
      </c>
      <c r="E129" s="243" t="str">
        <f>+'CUOTA ARTESANAL'!E102</f>
        <v>CRISTOBAL  (RPA 698519)</v>
      </c>
      <c r="F129" s="238" t="s">
        <v>54</v>
      </c>
      <c r="G129" s="238" t="s">
        <v>58</v>
      </c>
      <c r="H129" s="253">
        <f>'CUOTA ARTESANAL'!N102</f>
        <v>14.124000000000001</v>
      </c>
      <c r="I129" s="253">
        <f>'CUOTA ARTESANAL'!O102</f>
        <v>0</v>
      </c>
      <c r="J129" s="253">
        <f>'CUOTA ARTESANAL'!P102</f>
        <v>14.124000000000001</v>
      </c>
      <c r="K129" s="253">
        <f>'CUOTA ARTESANAL'!Q102</f>
        <v>12.936</v>
      </c>
      <c r="L129" s="253">
        <f>'CUOTA ARTESANAL'!R102</f>
        <v>1.1880000000000006</v>
      </c>
      <c r="M129" s="254">
        <f>'CUOTA ARTESANAL'!S102</f>
        <v>0.91588785046728971</v>
      </c>
      <c r="N129" s="240" t="s">
        <v>218</v>
      </c>
      <c r="O129" s="241">
        <f>RESUMEN!$C$4</f>
        <v>44561</v>
      </c>
      <c r="P129" s="233">
        <v>2021</v>
      </c>
      <c r="Q129" s="228"/>
    </row>
    <row r="130" spans="1:17" s="236" customFormat="1" ht="15">
      <c r="A130" s="238" t="s">
        <v>51</v>
      </c>
      <c r="B130" s="238" t="s">
        <v>52</v>
      </c>
      <c r="C130" s="238" t="s">
        <v>71</v>
      </c>
      <c r="D130" s="238" t="s">
        <v>337</v>
      </c>
      <c r="E130" s="243" t="str">
        <f>+'CUOTA ARTESANAL'!E104</f>
        <v>EL CHUNGA IV (RPA 697345)</v>
      </c>
      <c r="F130" s="238" t="s">
        <v>57</v>
      </c>
      <c r="G130" s="238" t="s">
        <v>56</v>
      </c>
      <c r="H130" s="253">
        <f>'CUOTA ARTESANAL'!G104</f>
        <v>7.06</v>
      </c>
      <c r="I130" s="253">
        <f>'CUOTA ARTESANAL'!H104</f>
        <v>0</v>
      </c>
      <c r="J130" s="253">
        <f>'CUOTA ARTESANAL'!I104</f>
        <v>7.06</v>
      </c>
      <c r="K130" s="253">
        <f>'CUOTA ARTESANAL'!J104</f>
        <v>6.58</v>
      </c>
      <c r="L130" s="253">
        <f>'CUOTA ARTESANAL'!K104</f>
        <v>0.47999999999999954</v>
      </c>
      <c r="M130" s="254">
        <f>'CUOTA ARTESANAL'!L104</f>
        <v>0.93201133144475923</v>
      </c>
      <c r="N130" s="240" t="str">
        <f>'CUOTA ARTESANAL'!M104</f>
        <v>-</v>
      </c>
      <c r="O130" s="241">
        <f>RESUMEN!$C$4</f>
        <v>44561</v>
      </c>
      <c r="P130" s="233">
        <v>2021</v>
      </c>
      <c r="Q130" s="228"/>
    </row>
    <row r="131" spans="1:17" s="236" customFormat="1" ht="15">
      <c r="A131" s="238" t="s">
        <v>51</v>
      </c>
      <c r="B131" s="238" t="s">
        <v>52</v>
      </c>
      <c r="C131" s="238" t="s">
        <v>71</v>
      </c>
      <c r="D131" s="238" t="s">
        <v>337</v>
      </c>
      <c r="E131" s="243" t="str">
        <f>+'CUOTA ARTESANAL'!E104</f>
        <v>EL CHUNGA IV (RPA 697345)</v>
      </c>
      <c r="F131" s="238" t="s">
        <v>54</v>
      </c>
      <c r="G131" s="238" t="s">
        <v>58</v>
      </c>
      <c r="H131" s="253">
        <f>'CUOTA ARTESANAL'!G105</f>
        <v>7.06</v>
      </c>
      <c r="I131" s="253">
        <f>'CUOTA ARTESANAL'!H105</f>
        <v>0</v>
      </c>
      <c r="J131" s="253">
        <f>'CUOTA ARTESANAL'!I105</f>
        <v>7.5399999999999991</v>
      </c>
      <c r="K131" s="253">
        <f>'CUOTA ARTESANAL'!J105</f>
        <v>6.6079999999999997</v>
      </c>
      <c r="L131" s="253">
        <f>'CUOTA ARTESANAL'!K105</f>
        <v>0.9319999999999995</v>
      </c>
      <c r="M131" s="254">
        <f>'CUOTA ARTESANAL'!L105</f>
        <v>0.87639257294429718</v>
      </c>
      <c r="N131" s="240" t="str">
        <f>'CUOTA ARTESANAL'!M105</f>
        <v>-</v>
      </c>
      <c r="O131" s="241">
        <f>RESUMEN!$C$4</f>
        <v>44561</v>
      </c>
      <c r="P131" s="233">
        <v>2021</v>
      </c>
      <c r="Q131" s="228"/>
    </row>
    <row r="132" spans="1:17" s="236" customFormat="1" ht="15">
      <c r="A132" s="238" t="s">
        <v>51</v>
      </c>
      <c r="B132" s="238" t="s">
        <v>52</v>
      </c>
      <c r="C132" s="238" t="s">
        <v>71</v>
      </c>
      <c r="D132" s="238" t="s">
        <v>337</v>
      </c>
      <c r="E132" s="243" t="str">
        <f>+'CUOTA ARTESANAL'!E104</f>
        <v>EL CHUNGA IV (RPA 697345)</v>
      </c>
      <c r="F132" s="238" t="s">
        <v>57</v>
      </c>
      <c r="G132" s="238" t="s">
        <v>58</v>
      </c>
      <c r="H132" s="253">
        <f>'CUOTA ARTESANAL'!N104</f>
        <v>14.12</v>
      </c>
      <c r="I132" s="253">
        <f>'CUOTA ARTESANAL'!O104</f>
        <v>0</v>
      </c>
      <c r="J132" s="253">
        <f>'CUOTA ARTESANAL'!P104</f>
        <v>14.12</v>
      </c>
      <c r="K132" s="253">
        <f>'CUOTA ARTESANAL'!Q104</f>
        <v>13.187999999999999</v>
      </c>
      <c r="L132" s="253">
        <f>'CUOTA ARTESANAL'!R104</f>
        <v>0.93200000000000038</v>
      </c>
      <c r="M132" s="254">
        <f>'CUOTA ARTESANAL'!S104</f>
        <v>0.93399433427762035</v>
      </c>
      <c r="N132" s="240" t="s">
        <v>218</v>
      </c>
      <c r="O132" s="241">
        <f>RESUMEN!$C$4</f>
        <v>44561</v>
      </c>
      <c r="P132" s="233">
        <v>2021</v>
      </c>
      <c r="Q132" s="228"/>
    </row>
    <row r="133" spans="1:17" s="236" customFormat="1" ht="15">
      <c r="A133" s="238" t="s">
        <v>51</v>
      </c>
      <c r="B133" s="238" t="s">
        <v>52</v>
      </c>
      <c r="C133" s="238" t="s">
        <v>71</v>
      </c>
      <c r="D133" s="238" t="s">
        <v>337</v>
      </c>
      <c r="E133" s="243" t="str">
        <f>+'CUOTA ARTESANAL'!E106</f>
        <v>LOS GOMEZ (968121)</v>
      </c>
      <c r="F133" s="238" t="s">
        <v>54</v>
      </c>
      <c r="G133" s="238" t="s">
        <v>56</v>
      </c>
      <c r="H133" s="253">
        <f>'CUOTA ARTESANAL'!G106</f>
        <v>7.06</v>
      </c>
      <c r="I133" s="253">
        <f>'CUOTA ARTESANAL'!H106</f>
        <v>0</v>
      </c>
      <c r="J133" s="253">
        <f>'CUOTA ARTESANAL'!I106</f>
        <v>7.06</v>
      </c>
      <c r="K133" s="253">
        <f>'CUOTA ARTESANAL'!J106</f>
        <v>6.7480000000000002</v>
      </c>
      <c r="L133" s="253">
        <f>'CUOTA ARTESANAL'!K106</f>
        <v>0.31199999999999939</v>
      </c>
      <c r="M133" s="254">
        <f>'CUOTA ARTESANAL'!L106</f>
        <v>0.95580736543909361</v>
      </c>
      <c r="N133" s="240" t="str">
        <f>'CUOTA ARTESANAL'!M106</f>
        <v>-</v>
      </c>
      <c r="O133" s="241">
        <f>RESUMEN!$C$4</f>
        <v>44561</v>
      </c>
      <c r="P133" s="233">
        <v>2021</v>
      </c>
      <c r="Q133" s="228"/>
    </row>
    <row r="134" spans="1:17" s="236" customFormat="1" ht="15">
      <c r="A134" s="238" t="s">
        <v>51</v>
      </c>
      <c r="B134" s="238" t="s">
        <v>52</v>
      </c>
      <c r="C134" s="238" t="s">
        <v>71</v>
      </c>
      <c r="D134" s="238" t="s">
        <v>337</v>
      </c>
      <c r="E134" s="243" t="str">
        <f>+'CUOTA ARTESANAL'!E106</f>
        <v>LOS GOMEZ (968121)</v>
      </c>
      <c r="F134" s="238" t="s">
        <v>57</v>
      </c>
      <c r="G134" s="238" t="s">
        <v>58</v>
      </c>
      <c r="H134" s="253">
        <f>'CUOTA ARTESANAL'!G107</f>
        <v>7.06</v>
      </c>
      <c r="I134" s="253">
        <f>'CUOTA ARTESANAL'!H107</f>
        <v>0</v>
      </c>
      <c r="J134" s="253">
        <f>'CUOTA ARTESANAL'!I107</f>
        <v>7.371999999999999</v>
      </c>
      <c r="K134" s="253">
        <f>'CUOTA ARTESANAL'!J107</f>
        <v>6.2590000000000003</v>
      </c>
      <c r="L134" s="253">
        <f>'CUOTA ARTESANAL'!K107</f>
        <v>1.1129999999999987</v>
      </c>
      <c r="M134" s="254">
        <f>'CUOTA ARTESANAL'!L107</f>
        <v>0.84902333152468812</v>
      </c>
      <c r="N134" s="240" t="str">
        <f>'CUOTA ARTESANAL'!M107</f>
        <v>-</v>
      </c>
      <c r="O134" s="241">
        <f>RESUMEN!$C$4</f>
        <v>44561</v>
      </c>
      <c r="P134" s="233">
        <v>2021</v>
      </c>
      <c r="Q134" s="228"/>
    </row>
    <row r="135" spans="1:17" s="236" customFormat="1" ht="15">
      <c r="A135" s="238" t="s">
        <v>51</v>
      </c>
      <c r="B135" s="238" t="s">
        <v>52</v>
      </c>
      <c r="C135" s="238" t="s">
        <v>71</v>
      </c>
      <c r="D135" s="238" t="s">
        <v>337</v>
      </c>
      <c r="E135" s="243" t="str">
        <f>+'CUOTA ARTESANAL'!E106</f>
        <v>LOS GOMEZ (968121)</v>
      </c>
      <c r="F135" s="238" t="s">
        <v>54</v>
      </c>
      <c r="G135" s="238" t="s">
        <v>58</v>
      </c>
      <c r="H135" s="253">
        <f>'CUOTA ARTESANAL'!N106</f>
        <v>14.12</v>
      </c>
      <c r="I135" s="253">
        <f>'CUOTA ARTESANAL'!O106</f>
        <v>0</v>
      </c>
      <c r="J135" s="253">
        <f>'CUOTA ARTESANAL'!P106</f>
        <v>14.12</v>
      </c>
      <c r="K135" s="253">
        <f>'CUOTA ARTESANAL'!Q106</f>
        <v>13.007000000000001</v>
      </c>
      <c r="L135" s="253">
        <f>'CUOTA ARTESANAL'!R106</f>
        <v>1.1129999999999978</v>
      </c>
      <c r="M135" s="254">
        <f>'CUOTA ARTESANAL'!S106</f>
        <v>0.92117563739376784</v>
      </c>
      <c r="N135" s="240" t="s">
        <v>218</v>
      </c>
      <c r="O135" s="241">
        <f>RESUMEN!$C$4</f>
        <v>44561</v>
      </c>
      <c r="P135" s="233">
        <v>2021</v>
      </c>
      <c r="Q135" s="228"/>
    </row>
    <row r="136" spans="1:17" s="236" customFormat="1" ht="15">
      <c r="A136" s="238" t="s">
        <v>51</v>
      </c>
      <c r="B136" s="238" t="s">
        <v>52</v>
      </c>
      <c r="C136" s="238" t="s">
        <v>71</v>
      </c>
      <c r="D136" s="238" t="s">
        <v>337</v>
      </c>
      <c r="E136" s="243" t="str">
        <f>+'CUOTA ARTESANAL'!E108</f>
        <v>R. JUNIOR (RPA 966604)</v>
      </c>
      <c r="F136" s="238" t="s">
        <v>57</v>
      </c>
      <c r="G136" s="238" t="s">
        <v>56</v>
      </c>
      <c r="H136" s="253">
        <f>'CUOTA ARTESANAL'!G108</f>
        <v>7.056</v>
      </c>
      <c r="I136" s="253">
        <f>'CUOTA ARTESANAL'!H108</f>
        <v>0</v>
      </c>
      <c r="J136" s="253">
        <f>'CUOTA ARTESANAL'!I108</f>
        <v>7.056</v>
      </c>
      <c r="K136" s="253">
        <f>'CUOTA ARTESANAL'!J108</f>
        <v>5.0119999999999996</v>
      </c>
      <c r="L136" s="253">
        <f>'CUOTA ARTESANAL'!K108</f>
        <v>2.0440000000000005</v>
      </c>
      <c r="M136" s="254">
        <f>'CUOTA ARTESANAL'!L108</f>
        <v>0.71031746031746024</v>
      </c>
      <c r="N136" s="240" t="str">
        <f>'CUOTA ARTESANAL'!M108</f>
        <v>-</v>
      </c>
      <c r="O136" s="241">
        <f>RESUMEN!$C$4</f>
        <v>44561</v>
      </c>
      <c r="P136" s="233">
        <v>2021</v>
      </c>
      <c r="Q136" s="228"/>
    </row>
    <row r="137" spans="1:17" s="236" customFormat="1" ht="15">
      <c r="A137" s="238" t="s">
        <v>51</v>
      </c>
      <c r="B137" s="238" t="s">
        <v>52</v>
      </c>
      <c r="C137" s="238" t="s">
        <v>71</v>
      </c>
      <c r="D137" s="238" t="s">
        <v>337</v>
      </c>
      <c r="E137" s="243" t="str">
        <f>+'CUOTA ARTESANAL'!E108</f>
        <v>R. JUNIOR (RPA 966604)</v>
      </c>
      <c r="F137" s="238" t="s">
        <v>54</v>
      </c>
      <c r="G137" s="238" t="s">
        <v>58</v>
      </c>
      <c r="H137" s="253">
        <f>'CUOTA ARTESANAL'!G109</f>
        <v>7.056</v>
      </c>
      <c r="I137" s="253">
        <f>'CUOTA ARTESANAL'!H109</f>
        <v>0</v>
      </c>
      <c r="J137" s="253">
        <f>'CUOTA ARTESANAL'!I109</f>
        <v>9.1000000000000014</v>
      </c>
      <c r="K137" s="253">
        <f>'CUOTA ARTESANAL'!J109</f>
        <v>7.952</v>
      </c>
      <c r="L137" s="253">
        <f>'CUOTA ARTESANAL'!K109</f>
        <v>1.1480000000000015</v>
      </c>
      <c r="M137" s="254">
        <f>'CUOTA ARTESANAL'!L109</f>
        <v>0.87384615384615372</v>
      </c>
      <c r="N137" s="240" t="str">
        <f>'CUOTA ARTESANAL'!M109</f>
        <v>-</v>
      </c>
      <c r="O137" s="241">
        <f>RESUMEN!$C$4</f>
        <v>44561</v>
      </c>
      <c r="P137" s="233">
        <v>2021</v>
      </c>
      <c r="Q137" s="228"/>
    </row>
    <row r="138" spans="1:17" s="236" customFormat="1" ht="15">
      <c r="A138" s="238" t="s">
        <v>51</v>
      </c>
      <c r="B138" s="238" t="s">
        <v>52</v>
      </c>
      <c r="C138" s="238" t="s">
        <v>71</v>
      </c>
      <c r="D138" s="238" t="s">
        <v>337</v>
      </c>
      <c r="E138" s="243" t="str">
        <f>+'CUOTA ARTESANAL'!E108</f>
        <v>R. JUNIOR (RPA 966604)</v>
      </c>
      <c r="F138" s="238" t="s">
        <v>57</v>
      </c>
      <c r="G138" s="238" t="s">
        <v>58</v>
      </c>
      <c r="H138" s="253">
        <f>'CUOTA ARTESANAL'!N108</f>
        <v>14.112</v>
      </c>
      <c r="I138" s="253">
        <f>'CUOTA ARTESANAL'!O108</f>
        <v>0</v>
      </c>
      <c r="J138" s="253">
        <f>'CUOTA ARTESANAL'!P108</f>
        <v>14.112</v>
      </c>
      <c r="K138" s="253">
        <f>'CUOTA ARTESANAL'!Q108</f>
        <v>12.963999999999999</v>
      </c>
      <c r="L138" s="253">
        <f>'CUOTA ARTESANAL'!R108</f>
        <v>1.1480000000000015</v>
      </c>
      <c r="M138" s="254">
        <f>'CUOTA ARTESANAL'!S108</f>
        <v>0.9186507936507935</v>
      </c>
      <c r="N138" s="240" t="s">
        <v>218</v>
      </c>
      <c r="O138" s="241">
        <f>RESUMEN!$C$4</f>
        <v>44561</v>
      </c>
      <c r="P138" s="233">
        <v>2021</v>
      </c>
      <c r="Q138" s="228"/>
    </row>
    <row r="139" spans="1:17" s="236" customFormat="1" ht="15">
      <c r="A139" s="238" t="s">
        <v>51</v>
      </c>
      <c r="B139" s="238" t="s">
        <v>52</v>
      </c>
      <c r="C139" s="238" t="s">
        <v>71</v>
      </c>
      <c r="D139" s="238" t="s">
        <v>337</v>
      </c>
      <c r="E139" s="243" t="str">
        <f>+'CUOTA ARTESANAL'!E110</f>
        <v>EBEN-EZER II (RPA 969473)</v>
      </c>
      <c r="F139" s="238" t="s">
        <v>54</v>
      </c>
      <c r="G139" s="238" t="s">
        <v>56</v>
      </c>
      <c r="H139" s="253">
        <f>'CUOTA ARTESANAL'!G110</f>
        <v>7.0620000000000003</v>
      </c>
      <c r="I139" s="253">
        <f>'CUOTA ARTESANAL'!H110</f>
        <v>0</v>
      </c>
      <c r="J139" s="253">
        <f>'CUOTA ARTESANAL'!I110</f>
        <v>7.0620000000000003</v>
      </c>
      <c r="K139" s="253">
        <f>'CUOTA ARTESANAL'!J110</f>
        <v>3.3039999999999998</v>
      </c>
      <c r="L139" s="253">
        <f>'CUOTA ARTESANAL'!K110</f>
        <v>3.7580000000000005</v>
      </c>
      <c r="M139" s="254">
        <f>'CUOTA ARTESANAL'!L110</f>
        <v>0.46785613140753324</v>
      </c>
      <c r="N139" s="240" t="str">
        <f>'CUOTA ARTESANAL'!M110</f>
        <v>-</v>
      </c>
      <c r="O139" s="241">
        <f>RESUMEN!$C$4</f>
        <v>44561</v>
      </c>
      <c r="P139" s="233">
        <v>2021</v>
      </c>
      <c r="Q139" s="228"/>
    </row>
    <row r="140" spans="1:17" s="236" customFormat="1" ht="15">
      <c r="A140" s="238" t="s">
        <v>51</v>
      </c>
      <c r="B140" s="238" t="s">
        <v>52</v>
      </c>
      <c r="C140" s="238" t="s">
        <v>71</v>
      </c>
      <c r="D140" s="238" t="s">
        <v>337</v>
      </c>
      <c r="E140" s="243" t="str">
        <f>+'CUOTA ARTESANAL'!E110</f>
        <v>EBEN-EZER II (RPA 969473)</v>
      </c>
      <c r="F140" s="238" t="s">
        <v>57</v>
      </c>
      <c r="G140" s="238" t="s">
        <v>58</v>
      </c>
      <c r="H140" s="253">
        <f>'CUOTA ARTESANAL'!G111</f>
        <v>7.0620000000000003</v>
      </c>
      <c r="I140" s="253">
        <f>'CUOTA ARTESANAL'!H111</f>
        <v>0</v>
      </c>
      <c r="J140" s="253">
        <f>'CUOTA ARTESANAL'!I111</f>
        <v>10.82</v>
      </c>
      <c r="K140" s="253">
        <f>'CUOTA ARTESANAL'!J111</f>
        <v>3.8919999999999999</v>
      </c>
      <c r="L140" s="253">
        <f>'CUOTA ARTESANAL'!K111</f>
        <v>6.9280000000000008</v>
      </c>
      <c r="M140" s="254">
        <f>'CUOTA ARTESANAL'!L111</f>
        <v>0.35970425138632162</v>
      </c>
      <c r="N140" s="240" t="str">
        <f>'CUOTA ARTESANAL'!M111</f>
        <v>-</v>
      </c>
      <c r="O140" s="241">
        <f>RESUMEN!$C$4</f>
        <v>44561</v>
      </c>
      <c r="P140" s="233">
        <v>2021</v>
      </c>
      <c r="Q140" s="228"/>
    </row>
    <row r="141" spans="1:17" s="236" customFormat="1" ht="15">
      <c r="A141" s="238" t="s">
        <v>51</v>
      </c>
      <c r="B141" s="238" t="s">
        <v>52</v>
      </c>
      <c r="C141" s="238" t="s">
        <v>71</v>
      </c>
      <c r="D141" s="238" t="s">
        <v>337</v>
      </c>
      <c r="E141" s="243" t="str">
        <f>+'CUOTA ARTESANAL'!E110</f>
        <v>EBEN-EZER II (RPA 969473)</v>
      </c>
      <c r="F141" s="238" t="s">
        <v>54</v>
      </c>
      <c r="G141" s="238" t="s">
        <v>58</v>
      </c>
      <c r="H141" s="253">
        <f>'CUOTA ARTESANAL'!N110</f>
        <v>14.124000000000001</v>
      </c>
      <c r="I141" s="253">
        <f>'CUOTA ARTESANAL'!O110</f>
        <v>0</v>
      </c>
      <c r="J141" s="253">
        <f>'CUOTA ARTESANAL'!P110</f>
        <v>14.124000000000001</v>
      </c>
      <c r="K141" s="253">
        <f>'CUOTA ARTESANAL'!Q110</f>
        <v>7.1959999999999997</v>
      </c>
      <c r="L141" s="253">
        <f>'CUOTA ARTESANAL'!R110</f>
        <v>6.9280000000000008</v>
      </c>
      <c r="M141" s="254">
        <f>'CUOTA ARTESANAL'!S110</f>
        <v>0.50948739733786463</v>
      </c>
      <c r="N141" s="240" t="s">
        <v>218</v>
      </c>
      <c r="O141" s="241">
        <f>RESUMEN!$C$4</f>
        <v>44561</v>
      </c>
      <c r="P141" s="233">
        <v>2021</v>
      </c>
      <c r="Q141" s="228"/>
    </row>
    <row r="142" spans="1:17" s="236" customFormat="1" ht="15">
      <c r="A142" s="238" t="s">
        <v>51</v>
      </c>
      <c r="B142" s="238" t="s">
        <v>52</v>
      </c>
      <c r="C142" s="238" t="s">
        <v>71</v>
      </c>
      <c r="D142" s="238" t="s">
        <v>337</v>
      </c>
      <c r="E142" s="243" t="str">
        <f>+'CUOTA ARTESANAL'!E112</f>
        <v>PERLA NEGRA (RPA 953991)</v>
      </c>
      <c r="F142" s="238" t="s">
        <v>57</v>
      </c>
      <c r="G142" s="238" t="s">
        <v>56</v>
      </c>
      <c r="H142" s="253">
        <f>'CUOTA ARTESANAL'!G112</f>
        <v>7.0570000000000004</v>
      </c>
      <c r="I142" s="253">
        <f>'CUOTA ARTESANAL'!H112</f>
        <v>0</v>
      </c>
      <c r="J142" s="253">
        <f>'CUOTA ARTESANAL'!I112</f>
        <v>7.0570000000000004</v>
      </c>
      <c r="K142" s="253">
        <f>'CUOTA ARTESANAL'!J112</f>
        <v>0.14000000000000001</v>
      </c>
      <c r="L142" s="253">
        <f>'CUOTA ARTESANAL'!K112</f>
        <v>6.9170000000000007</v>
      </c>
      <c r="M142" s="254">
        <f>'CUOTA ARTESANAL'!L112</f>
        <v>1.9838458268386001E-2</v>
      </c>
      <c r="N142" s="240" t="str">
        <f>'CUOTA ARTESANAL'!M112</f>
        <v>-</v>
      </c>
      <c r="O142" s="241">
        <f>RESUMEN!$C$4</f>
        <v>44561</v>
      </c>
      <c r="P142" s="233">
        <v>2021</v>
      </c>
      <c r="Q142" s="228"/>
    </row>
    <row r="143" spans="1:17" s="236" customFormat="1" ht="15">
      <c r="A143" s="238" t="s">
        <v>51</v>
      </c>
      <c r="B143" s="238" t="s">
        <v>52</v>
      </c>
      <c r="C143" s="238" t="s">
        <v>71</v>
      </c>
      <c r="D143" s="238" t="s">
        <v>337</v>
      </c>
      <c r="E143" s="243" t="str">
        <f>+'CUOTA ARTESANAL'!E112</f>
        <v>PERLA NEGRA (RPA 953991)</v>
      </c>
      <c r="F143" s="238" t="s">
        <v>54</v>
      </c>
      <c r="G143" s="238" t="s">
        <v>58</v>
      </c>
      <c r="H143" s="253">
        <f>'CUOTA ARTESANAL'!G113</f>
        <v>7.0570000000000004</v>
      </c>
      <c r="I143" s="253">
        <f>'CUOTA ARTESANAL'!H113</f>
        <v>0</v>
      </c>
      <c r="J143" s="253">
        <f>'CUOTA ARTESANAL'!I113</f>
        <v>13.974</v>
      </c>
      <c r="K143" s="253">
        <f>'CUOTA ARTESANAL'!J113</f>
        <v>0</v>
      </c>
      <c r="L143" s="253">
        <f>'CUOTA ARTESANAL'!K113</f>
        <v>13.974</v>
      </c>
      <c r="M143" s="254">
        <f>'CUOTA ARTESANAL'!L113</f>
        <v>0</v>
      </c>
      <c r="N143" s="240" t="str">
        <f>'CUOTA ARTESANAL'!M113</f>
        <v>-</v>
      </c>
      <c r="O143" s="241">
        <f>RESUMEN!$C$4</f>
        <v>44561</v>
      </c>
      <c r="P143" s="233">
        <v>2021</v>
      </c>
      <c r="Q143" s="228"/>
    </row>
    <row r="144" spans="1:17" s="236" customFormat="1" ht="15">
      <c r="A144" s="238" t="s">
        <v>51</v>
      </c>
      <c r="B144" s="238" t="s">
        <v>52</v>
      </c>
      <c r="C144" s="238" t="s">
        <v>71</v>
      </c>
      <c r="D144" s="238" t="s">
        <v>337</v>
      </c>
      <c r="E144" s="243" t="str">
        <f>+'CUOTA ARTESANAL'!E112</f>
        <v>PERLA NEGRA (RPA 953991)</v>
      </c>
      <c r="F144" s="238" t="s">
        <v>57</v>
      </c>
      <c r="G144" s="238" t="s">
        <v>58</v>
      </c>
      <c r="H144" s="253">
        <f>'CUOTA ARTESANAL'!N112</f>
        <v>14.114000000000001</v>
      </c>
      <c r="I144" s="253">
        <f>'CUOTA ARTESANAL'!O112</f>
        <v>0</v>
      </c>
      <c r="J144" s="253">
        <f>'CUOTA ARTESANAL'!P112</f>
        <v>14.114000000000001</v>
      </c>
      <c r="K144" s="253">
        <f>'CUOTA ARTESANAL'!Q112</f>
        <v>0.14000000000000001</v>
      </c>
      <c r="L144" s="253">
        <f>'CUOTA ARTESANAL'!R112</f>
        <v>13.974</v>
      </c>
      <c r="M144" s="254">
        <f>'CUOTA ARTESANAL'!S112</f>
        <v>9.9192291341930004E-3</v>
      </c>
      <c r="N144" s="240" t="s">
        <v>218</v>
      </c>
      <c r="O144" s="241">
        <f>RESUMEN!$C$4</f>
        <v>44561</v>
      </c>
      <c r="P144" s="233">
        <v>2021</v>
      </c>
      <c r="Q144" s="228"/>
    </row>
    <row r="145" spans="1:17" s="236" customFormat="1" ht="15">
      <c r="A145" s="238" t="s">
        <v>51</v>
      </c>
      <c r="B145" s="238" t="s">
        <v>52</v>
      </c>
      <c r="C145" s="238" t="s">
        <v>71</v>
      </c>
      <c r="D145" s="238" t="s">
        <v>337</v>
      </c>
      <c r="E145" s="243" t="str">
        <f>+'CUOTA ARTESANAL'!E114</f>
        <v>FULLU (RPA 954253)</v>
      </c>
      <c r="F145" s="238" t="s">
        <v>54</v>
      </c>
      <c r="G145" s="238" t="s">
        <v>56</v>
      </c>
      <c r="H145" s="253">
        <f>'CUOTA ARTESANAL'!G114</f>
        <v>7.0549999999999997</v>
      </c>
      <c r="I145" s="253">
        <f>'CUOTA ARTESANAL'!H114</f>
        <v>0</v>
      </c>
      <c r="J145" s="253">
        <f>'CUOTA ARTESANAL'!I114</f>
        <v>7.0549999999999997</v>
      </c>
      <c r="K145" s="253">
        <f>'CUOTA ARTESANAL'!J114</f>
        <v>1.44</v>
      </c>
      <c r="L145" s="253">
        <f>'CUOTA ARTESANAL'!K114</f>
        <v>5.6150000000000002</v>
      </c>
      <c r="M145" s="254">
        <f>'CUOTA ARTESANAL'!L114</f>
        <v>0.20411055988660526</v>
      </c>
      <c r="N145" s="240" t="str">
        <f>'CUOTA ARTESANAL'!M114</f>
        <v>-</v>
      </c>
      <c r="O145" s="241">
        <f>RESUMEN!$C$4</f>
        <v>44561</v>
      </c>
      <c r="P145" s="233">
        <v>2021</v>
      </c>
      <c r="Q145" s="228"/>
    </row>
    <row r="146" spans="1:17" s="236" customFormat="1" ht="15">
      <c r="A146" s="238" t="s">
        <v>51</v>
      </c>
      <c r="B146" s="238" t="s">
        <v>52</v>
      </c>
      <c r="C146" s="238" t="s">
        <v>71</v>
      </c>
      <c r="D146" s="238" t="s">
        <v>337</v>
      </c>
      <c r="E146" s="243" t="str">
        <f>+'CUOTA ARTESANAL'!E114</f>
        <v>FULLU (RPA 954253)</v>
      </c>
      <c r="F146" s="238" t="s">
        <v>57</v>
      </c>
      <c r="G146" s="238" t="s">
        <v>58</v>
      </c>
      <c r="H146" s="253">
        <f>'CUOTA ARTESANAL'!G115</f>
        <v>7.0549999999999997</v>
      </c>
      <c r="I146" s="253">
        <f>'CUOTA ARTESANAL'!H115</f>
        <v>0</v>
      </c>
      <c r="J146" s="253">
        <f>'CUOTA ARTESANAL'!I115</f>
        <v>12.67</v>
      </c>
      <c r="K146" s="253">
        <f>'CUOTA ARTESANAL'!J115</f>
        <v>0.79600000000000004</v>
      </c>
      <c r="L146" s="253">
        <f>'CUOTA ARTESANAL'!K115</f>
        <v>11.874000000000001</v>
      </c>
      <c r="M146" s="254">
        <f>'CUOTA ARTESANAL'!L115</f>
        <v>6.2825572217837411E-2</v>
      </c>
      <c r="N146" s="240" t="str">
        <f>'CUOTA ARTESANAL'!M115</f>
        <v>-</v>
      </c>
      <c r="O146" s="241">
        <f>RESUMEN!$C$4</f>
        <v>44561</v>
      </c>
      <c r="P146" s="233">
        <v>2021</v>
      </c>
      <c r="Q146" s="228"/>
    </row>
    <row r="147" spans="1:17" s="236" customFormat="1" ht="15">
      <c r="A147" s="238" t="s">
        <v>51</v>
      </c>
      <c r="B147" s="238" t="s">
        <v>52</v>
      </c>
      <c r="C147" s="238" t="s">
        <v>71</v>
      </c>
      <c r="D147" s="238" t="s">
        <v>337</v>
      </c>
      <c r="E147" s="243" t="str">
        <f>+'CUOTA ARTESANAL'!E114</f>
        <v>FULLU (RPA 954253)</v>
      </c>
      <c r="F147" s="238" t="s">
        <v>54</v>
      </c>
      <c r="G147" s="238" t="s">
        <v>58</v>
      </c>
      <c r="H147" s="253">
        <f>'CUOTA ARTESANAL'!N114</f>
        <v>14.11</v>
      </c>
      <c r="I147" s="253">
        <f>'CUOTA ARTESANAL'!O114</f>
        <v>0</v>
      </c>
      <c r="J147" s="253">
        <f>'CUOTA ARTESANAL'!P114</f>
        <v>14.11</v>
      </c>
      <c r="K147" s="253">
        <f>'CUOTA ARTESANAL'!Q114</f>
        <v>2.2359999999999998</v>
      </c>
      <c r="L147" s="253">
        <f>'CUOTA ARTESANAL'!R114</f>
        <v>11.873999999999999</v>
      </c>
      <c r="M147" s="254">
        <f>'CUOTA ARTESANAL'!S114</f>
        <v>0.15846917080085046</v>
      </c>
      <c r="N147" s="240" t="s">
        <v>218</v>
      </c>
      <c r="O147" s="241">
        <f>RESUMEN!$C$4</f>
        <v>44561</v>
      </c>
      <c r="P147" s="233">
        <v>2021</v>
      </c>
      <c r="Q147" s="228"/>
    </row>
    <row r="148" spans="1:17" s="236" customFormat="1" ht="15">
      <c r="A148" s="238" t="s">
        <v>51</v>
      </c>
      <c r="B148" s="238" t="s">
        <v>52</v>
      </c>
      <c r="C148" s="238" t="s">
        <v>71</v>
      </c>
      <c r="D148" s="238" t="s">
        <v>337</v>
      </c>
      <c r="E148" s="243" t="str">
        <f>+'CUOTA ARTESANAL'!E116</f>
        <v>ESPERANZA I (RPA 955167)</v>
      </c>
      <c r="F148" s="238" t="s">
        <v>57</v>
      </c>
      <c r="G148" s="238" t="s">
        <v>56</v>
      </c>
      <c r="H148" s="253">
        <f>'CUOTA ARTESANAL'!G116</f>
        <v>7.0540000000000003</v>
      </c>
      <c r="I148" s="253">
        <f>'CUOTA ARTESANAL'!H116</f>
        <v>0</v>
      </c>
      <c r="J148" s="253">
        <f>'CUOTA ARTESANAL'!I116</f>
        <v>7.0540000000000003</v>
      </c>
      <c r="K148" s="253">
        <f>'CUOTA ARTESANAL'!J116</f>
        <v>0</v>
      </c>
      <c r="L148" s="253">
        <f>'CUOTA ARTESANAL'!K116</f>
        <v>7.0540000000000003</v>
      </c>
      <c r="M148" s="254">
        <f>'CUOTA ARTESANAL'!L116</f>
        <v>0</v>
      </c>
      <c r="N148" s="240" t="str">
        <f>'CUOTA ARTESANAL'!M116</f>
        <v>-</v>
      </c>
      <c r="O148" s="241">
        <f>RESUMEN!$C$4</f>
        <v>44561</v>
      </c>
      <c r="P148" s="233">
        <v>2021</v>
      </c>
      <c r="Q148" s="228"/>
    </row>
    <row r="149" spans="1:17" s="236" customFormat="1" ht="15">
      <c r="A149" s="238" t="s">
        <v>51</v>
      </c>
      <c r="B149" s="238" t="s">
        <v>52</v>
      </c>
      <c r="C149" s="238" t="s">
        <v>71</v>
      </c>
      <c r="D149" s="238" t="s">
        <v>337</v>
      </c>
      <c r="E149" s="243" t="str">
        <f>+'CUOTA ARTESANAL'!E116</f>
        <v>ESPERANZA I (RPA 955167)</v>
      </c>
      <c r="F149" s="238" t="s">
        <v>54</v>
      </c>
      <c r="G149" s="238" t="s">
        <v>58</v>
      </c>
      <c r="H149" s="253">
        <f>'CUOTA ARTESANAL'!G117</f>
        <v>7.0540000000000003</v>
      </c>
      <c r="I149" s="253">
        <f>'CUOTA ARTESANAL'!H117</f>
        <v>0</v>
      </c>
      <c r="J149" s="253">
        <f>'CUOTA ARTESANAL'!I117</f>
        <v>14.108000000000001</v>
      </c>
      <c r="K149" s="253">
        <f>'CUOTA ARTESANAL'!J117</f>
        <v>0</v>
      </c>
      <c r="L149" s="253">
        <f>'CUOTA ARTESANAL'!K117</f>
        <v>14.108000000000001</v>
      </c>
      <c r="M149" s="254">
        <f>'CUOTA ARTESANAL'!L117</f>
        <v>0</v>
      </c>
      <c r="N149" s="240" t="str">
        <f>'CUOTA ARTESANAL'!M117</f>
        <v>-</v>
      </c>
      <c r="O149" s="241">
        <f>RESUMEN!$C$4</f>
        <v>44561</v>
      </c>
      <c r="P149" s="233">
        <v>2021</v>
      </c>
      <c r="Q149" s="228"/>
    </row>
    <row r="150" spans="1:17" s="236" customFormat="1" ht="15">
      <c r="A150" s="238" t="s">
        <v>51</v>
      </c>
      <c r="B150" s="238" t="s">
        <v>52</v>
      </c>
      <c r="C150" s="238" t="s">
        <v>71</v>
      </c>
      <c r="D150" s="238" t="s">
        <v>337</v>
      </c>
      <c r="E150" s="243" t="str">
        <f>+'CUOTA ARTESANAL'!E116</f>
        <v>ESPERANZA I (RPA 955167)</v>
      </c>
      <c r="F150" s="238" t="s">
        <v>57</v>
      </c>
      <c r="G150" s="238" t="s">
        <v>58</v>
      </c>
      <c r="H150" s="253">
        <f>'CUOTA ARTESANAL'!N116</f>
        <v>14.108000000000001</v>
      </c>
      <c r="I150" s="253">
        <f>'CUOTA ARTESANAL'!O116</f>
        <v>0</v>
      </c>
      <c r="J150" s="253">
        <f>'CUOTA ARTESANAL'!P116</f>
        <v>14.108000000000001</v>
      </c>
      <c r="K150" s="253">
        <f>'CUOTA ARTESANAL'!Q116</f>
        <v>0</v>
      </c>
      <c r="L150" s="253">
        <f>'CUOTA ARTESANAL'!R116</f>
        <v>14.108000000000001</v>
      </c>
      <c r="M150" s="254">
        <f>'CUOTA ARTESANAL'!S116</f>
        <v>0</v>
      </c>
      <c r="N150" s="240" t="s">
        <v>218</v>
      </c>
      <c r="O150" s="241">
        <f>RESUMEN!$C$4</f>
        <v>44561</v>
      </c>
      <c r="P150" s="233">
        <v>2021</v>
      </c>
      <c r="Q150" s="228"/>
    </row>
    <row r="151" spans="1:17" s="236" customFormat="1" ht="15">
      <c r="A151" s="238" t="s">
        <v>51</v>
      </c>
      <c r="B151" s="238" t="s">
        <v>52</v>
      </c>
      <c r="C151" s="238" t="s">
        <v>71</v>
      </c>
      <c r="D151" s="238" t="s">
        <v>337</v>
      </c>
      <c r="E151" s="243" t="str">
        <f>+'CUOTA ARTESANAL'!E118</f>
        <v>EL PATRON (RPA 962485)</v>
      </c>
      <c r="F151" s="238" t="s">
        <v>54</v>
      </c>
      <c r="G151" s="238" t="s">
        <v>56</v>
      </c>
      <c r="H151" s="253">
        <f>'CUOTA ARTESANAL'!G118</f>
        <v>7.0609999999999999</v>
      </c>
      <c r="I151" s="253">
        <f>'CUOTA ARTESANAL'!H118</f>
        <v>0</v>
      </c>
      <c r="J151" s="253">
        <f>'CUOTA ARTESANAL'!I118</f>
        <v>7.0609999999999999</v>
      </c>
      <c r="K151" s="253">
        <f>'CUOTA ARTESANAL'!J118</f>
        <v>6.9720000000000004</v>
      </c>
      <c r="L151" s="253">
        <f>'CUOTA ARTESANAL'!K118</f>
        <v>8.8999999999999524E-2</v>
      </c>
      <c r="M151" s="254">
        <f>'CUOTA ARTESANAL'!L118</f>
        <v>0.98739555303781346</v>
      </c>
      <c r="N151" s="240" t="str">
        <f>'CUOTA ARTESANAL'!M118</f>
        <v>-</v>
      </c>
      <c r="O151" s="241">
        <f>RESUMEN!$C$4</f>
        <v>44561</v>
      </c>
      <c r="P151" s="233">
        <v>2021</v>
      </c>
      <c r="Q151" s="228"/>
    </row>
    <row r="152" spans="1:17" s="236" customFormat="1" ht="15">
      <c r="A152" s="238" t="s">
        <v>51</v>
      </c>
      <c r="B152" s="238" t="s">
        <v>52</v>
      </c>
      <c r="C152" s="238" t="s">
        <v>71</v>
      </c>
      <c r="D152" s="238" t="s">
        <v>337</v>
      </c>
      <c r="E152" s="243" t="str">
        <f>+'CUOTA ARTESANAL'!E118</f>
        <v>EL PATRON (RPA 962485)</v>
      </c>
      <c r="F152" s="238" t="s">
        <v>57</v>
      </c>
      <c r="G152" s="238" t="s">
        <v>58</v>
      </c>
      <c r="H152" s="253">
        <f>'CUOTA ARTESANAL'!G119</f>
        <v>7.0609999999999999</v>
      </c>
      <c r="I152" s="253">
        <f>'CUOTA ARTESANAL'!H119</f>
        <v>0</v>
      </c>
      <c r="J152" s="253">
        <f>'CUOTA ARTESANAL'!I119</f>
        <v>7.1499999999999995</v>
      </c>
      <c r="K152" s="253">
        <f>'CUOTA ARTESANAL'!J119</f>
        <v>0</v>
      </c>
      <c r="L152" s="253">
        <f>'CUOTA ARTESANAL'!K119</f>
        <v>7.1499999999999995</v>
      </c>
      <c r="M152" s="254">
        <f>'CUOTA ARTESANAL'!L119</f>
        <v>0</v>
      </c>
      <c r="N152" s="240" t="str">
        <f>'CUOTA ARTESANAL'!M119</f>
        <v>-</v>
      </c>
      <c r="O152" s="241">
        <f>RESUMEN!$C$4</f>
        <v>44561</v>
      </c>
      <c r="P152" s="233">
        <v>2021</v>
      </c>
      <c r="Q152" s="228"/>
    </row>
    <row r="153" spans="1:17" s="236" customFormat="1" ht="15">
      <c r="A153" s="238" t="s">
        <v>51</v>
      </c>
      <c r="B153" s="238" t="s">
        <v>52</v>
      </c>
      <c r="C153" s="238" t="s">
        <v>71</v>
      </c>
      <c r="D153" s="238" t="s">
        <v>337</v>
      </c>
      <c r="E153" s="243" t="str">
        <f>+'CUOTA ARTESANAL'!E118</f>
        <v>EL PATRON (RPA 962485)</v>
      </c>
      <c r="F153" s="238" t="s">
        <v>54</v>
      </c>
      <c r="G153" s="238" t="s">
        <v>58</v>
      </c>
      <c r="H153" s="253">
        <f>'CUOTA ARTESANAL'!N118</f>
        <v>14.122</v>
      </c>
      <c r="I153" s="253">
        <f>'CUOTA ARTESANAL'!O118</f>
        <v>0</v>
      </c>
      <c r="J153" s="253">
        <f>'CUOTA ARTESANAL'!P118</f>
        <v>14.122</v>
      </c>
      <c r="K153" s="253">
        <f>'CUOTA ARTESANAL'!Q118</f>
        <v>6.9720000000000004</v>
      </c>
      <c r="L153" s="253">
        <f>'CUOTA ARTESANAL'!R118</f>
        <v>7.1499999999999995</v>
      </c>
      <c r="M153" s="254">
        <f>'CUOTA ARTESANAL'!S118</f>
        <v>0.49369777651890673</v>
      </c>
      <c r="N153" s="240" t="s">
        <v>218</v>
      </c>
      <c r="O153" s="241">
        <f>RESUMEN!$C$4</f>
        <v>44561</v>
      </c>
      <c r="P153" s="233">
        <v>2021</v>
      </c>
      <c r="Q153" s="228"/>
    </row>
    <row r="154" spans="1:17" s="236" customFormat="1" ht="15">
      <c r="A154" s="238" t="s">
        <v>51</v>
      </c>
      <c r="B154" s="238" t="s">
        <v>52</v>
      </c>
      <c r="C154" s="238" t="s">
        <v>71</v>
      </c>
      <c r="D154" s="238" t="s">
        <v>337</v>
      </c>
      <c r="E154" s="243" t="str">
        <f>+'CUOTA ARTESANAL'!E120</f>
        <v>IBAÑEZ (RPA 697942)</v>
      </c>
      <c r="F154" s="238" t="s">
        <v>57</v>
      </c>
      <c r="G154" s="238" t="s">
        <v>56</v>
      </c>
      <c r="H154" s="253">
        <f>'CUOTA ARTESANAL'!G120</f>
        <v>7.0570000000000004</v>
      </c>
      <c r="I154" s="253">
        <f>'CUOTA ARTESANAL'!H120</f>
        <v>0</v>
      </c>
      <c r="J154" s="253">
        <f>'CUOTA ARTESANAL'!I120</f>
        <v>7.0570000000000004</v>
      </c>
      <c r="K154" s="253">
        <f>'CUOTA ARTESANAL'!J120</f>
        <v>4.9000000000000004</v>
      </c>
      <c r="L154" s="253">
        <f>'CUOTA ARTESANAL'!K120</f>
        <v>2.157</v>
      </c>
      <c r="M154" s="254">
        <f>'CUOTA ARTESANAL'!L120</f>
        <v>0.69434603939351003</v>
      </c>
      <c r="N154" s="240" t="str">
        <f>'CUOTA ARTESANAL'!M120</f>
        <v>-</v>
      </c>
      <c r="O154" s="241">
        <f>RESUMEN!$C$4</f>
        <v>44561</v>
      </c>
      <c r="P154" s="233">
        <v>2021</v>
      </c>
      <c r="Q154" s="228"/>
    </row>
    <row r="155" spans="1:17" s="236" customFormat="1" ht="15">
      <c r="A155" s="238" t="s">
        <v>51</v>
      </c>
      <c r="B155" s="238" t="s">
        <v>52</v>
      </c>
      <c r="C155" s="238" t="s">
        <v>71</v>
      </c>
      <c r="D155" s="238" t="s">
        <v>337</v>
      </c>
      <c r="E155" s="243" t="str">
        <f>+'CUOTA ARTESANAL'!E120</f>
        <v>IBAÑEZ (RPA 697942)</v>
      </c>
      <c r="F155" s="238" t="s">
        <v>54</v>
      </c>
      <c r="G155" s="238" t="s">
        <v>58</v>
      </c>
      <c r="H155" s="253">
        <f>'CUOTA ARTESANAL'!G121</f>
        <v>7.0570000000000004</v>
      </c>
      <c r="I155" s="253">
        <f>'CUOTA ARTESANAL'!H121</f>
        <v>0</v>
      </c>
      <c r="J155" s="253">
        <f>'CUOTA ARTESANAL'!I121</f>
        <v>9.2140000000000004</v>
      </c>
      <c r="K155" s="253">
        <f>'CUOTA ARTESANAL'!J121</f>
        <v>6.1559999999999997</v>
      </c>
      <c r="L155" s="253">
        <f>'CUOTA ARTESANAL'!K121</f>
        <v>3.0580000000000007</v>
      </c>
      <c r="M155" s="254">
        <f>'CUOTA ARTESANAL'!L121</f>
        <v>0.66811373996092893</v>
      </c>
      <c r="N155" s="240" t="str">
        <f>'CUOTA ARTESANAL'!M121</f>
        <v>-</v>
      </c>
      <c r="O155" s="241">
        <f>RESUMEN!$C$4</f>
        <v>44561</v>
      </c>
      <c r="P155" s="233">
        <v>2021</v>
      </c>
      <c r="Q155" s="228"/>
    </row>
    <row r="156" spans="1:17" s="236" customFormat="1" ht="15">
      <c r="A156" s="238" t="s">
        <v>51</v>
      </c>
      <c r="B156" s="238" t="s">
        <v>52</v>
      </c>
      <c r="C156" s="238" t="s">
        <v>71</v>
      </c>
      <c r="D156" s="238" t="s">
        <v>337</v>
      </c>
      <c r="E156" s="243" t="str">
        <f>+'CUOTA ARTESANAL'!E120</f>
        <v>IBAÑEZ (RPA 697942)</v>
      </c>
      <c r="F156" s="238" t="s">
        <v>57</v>
      </c>
      <c r="G156" s="238" t="s">
        <v>58</v>
      </c>
      <c r="H156" s="253">
        <f>'CUOTA ARTESANAL'!N120</f>
        <v>14.114000000000001</v>
      </c>
      <c r="I156" s="253">
        <f>'CUOTA ARTESANAL'!O120</f>
        <v>0</v>
      </c>
      <c r="J156" s="253">
        <f>'CUOTA ARTESANAL'!P120</f>
        <v>14.114000000000001</v>
      </c>
      <c r="K156" s="253">
        <f>'CUOTA ARTESANAL'!Q120</f>
        <v>11.056000000000001</v>
      </c>
      <c r="L156" s="253">
        <f>'CUOTA ARTESANAL'!R120</f>
        <v>3.0579999999999998</v>
      </c>
      <c r="M156" s="254">
        <f>'CUOTA ARTESANAL'!S120</f>
        <v>0.7833356950545558</v>
      </c>
      <c r="N156" s="240" t="s">
        <v>218</v>
      </c>
      <c r="O156" s="241">
        <f>RESUMEN!$C$4</f>
        <v>44561</v>
      </c>
      <c r="P156" s="233">
        <v>2021</v>
      </c>
      <c r="Q156" s="228"/>
    </row>
    <row r="157" spans="1:17" s="236" customFormat="1" ht="15">
      <c r="A157" s="238" t="s">
        <v>51</v>
      </c>
      <c r="B157" s="238" t="s">
        <v>52</v>
      </c>
      <c r="C157" s="238" t="s">
        <v>71</v>
      </c>
      <c r="D157" s="238" t="s">
        <v>337</v>
      </c>
      <c r="E157" s="243" t="str">
        <f>+'CUOTA ARTESANAL'!E122</f>
        <v>EL CHICO ROJAS (RPA 697974)</v>
      </c>
      <c r="F157" s="238" t="s">
        <v>54</v>
      </c>
      <c r="G157" s="238" t="s">
        <v>56</v>
      </c>
      <c r="H157" s="253">
        <f>'CUOTA ARTESANAL'!G122</f>
        <v>7.0549999999999997</v>
      </c>
      <c r="I157" s="253">
        <f>'CUOTA ARTESANAL'!H122</f>
        <v>0</v>
      </c>
      <c r="J157" s="253">
        <f>'CUOTA ARTESANAL'!I122</f>
        <v>7.0549999999999997</v>
      </c>
      <c r="K157" s="253">
        <f>'CUOTA ARTESANAL'!J122</f>
        <v>2.548</v>
      </c>
      <c r="L157" s="253">
        <f>'CUOTA ARTESANAL'!K122</f>
        <v>4.5069999999999997</v>
      </c>
      <c r="M157" s="254">
        <f>'CUOTA ARTESANAL'!L122</f>
        <v>0.36116229624379875</v>
      </c>
      <c r="N157" s="240" t="str">
        <f>'CUOTA ARTESANAL'!M122</f>
        <v>-</v>
      </c>
      <c r="O157" s="241">
        <f>RESUMEN!$C$4</f>
        <v>44561</v>
      </c>
      <c r="P157" s="233">
        <v>2021</v>
      </c>
      <c r="Q157" s="228"/>
    </row>
    <row r="158" spans="1:17" s="236" customFormat="1" ht="15">
      <c r="A158" s="238" t="s">
        <v>51</v>
      </c>
      <c r="B158" s="238" t="s">
        <v>52</v>
      </c>
      <c r="C158" s="238" t="s">
        <v>71</v>
      </c>
      <c r="D158" s="238" t="s">
        <v>337</v>
      </c>
      <c r="E158" s="243" t="str">
        <f>+'CUOTA ARTESANAL'!E122</f>
        <v>EL CHICO ROJAS (RPA 697974)</v>
      </c>
      <c r="F158" s="238" t="s">
        <v>57</v>
      </c>
      <c r="G158" s="238" t="s">
        <v>58</v>
      </c>
      <c r="H158" s="253">
        <f>'CUOTA ARTESANAL'!G123</f>
        <v>7.0549999999999997</v>
      </c>
      <c r="I158" s="253">
        <f>'CUOTA ARTESANAL'!H123</f>
        <v>0</v>
      </c>
      <c r="J158" s="253">
        <f>'CUOTA ARTESANAL'!I123</f>
        <v>11.561999999999999</v>
      </c>
      <c r="K158" s="253">
        <f>'CUOTA ARTESANAL'!J123</f>
        <v>7.702</v>
      </c>
      <c r="L158" s="253">
        <f>'CUOTA ARTESANAL'!K123</f>
        <v>3.8599999999999994</v>
      </c>
      <c r="M158" s="254">
        <f>'CUOTA ARTESANAL'!L123</f>
        <v>0.66614772530704036</v>
      </c>
      <c r="N158" s="240" t="str">
        <f>'CUOTA ARTESANAL'!M123</f>
        <v>-</v>
      </c>
      <c r="O158" s="241">
        <f>RESUMEN!$C$4</f>
        <v>44561</v>
      </c>
      <c r="P158" s="233">
        <v>2021</v>
      </c>
      <c r="Q158" s="228"/>
    </row>
    <row r="159" spans="1:17" s="236" customFormat="1" ht="15">
      <c r="A159" s="238" t="s">
        <v>51</v>
      </c>
      <c r="B159" s="238" t="s">
        <v>52</v>
      </c>
      <c r="C159" s="238" t="s">
        <v>71</v>
      </c>
      <c r="D159" s="238" t="s">
        <v>337</v>
      </c>
      <c r="E159" s="243" t="str">
        <f>+'CUOTA ARTESANAL'!E122</f>
        <v>EL CHICO ROJAS (RPA 697974)</v>
      </c>
      <c r="F159" s="238" t="s">
        <v>54</v>
      </c>
      <c r="G159" s="238" t="s">
        <v>58</v>
      </c>
      <c r="H159" s="253">
        <f>'CUOTA ARTESANAL'!N122</f>
        <v>14.11</v>
      </c>
      <c r="I159" s="253">
        <f>'CUOTA ARTESANAL'!O122</f>
        <v>0</v>
      </c>
      <c r="J159" s="253">
        <f>'CUOTA ARTESANAL'!P122</f>
        <v>14.11</v>
      </c>
      <c r="K159" s="253">
        <f>'CUOTA ARTESANAL'!Q122</f>
        <v>10.25</v>
      </c>
      <c r="L159" s="253">
        <f>'CUOTA ARTESANAL'!R122</f>
        <v>3.8599999999999994</v>
      </c>
      <c r="M159" s="254">
        <f>'CUOTA ARTESANAL'!S122</f>
        <v>0.72643515237420275</v>
      </c>
      <c r="N159" s="240" t="s">
        <v>218</v>
      </c>
      <c r="O159" s="241">
        <f>RESUMEN!$C$4</f>
        <v>44561</v>
      </c>
      <c r="P159" s="233">
        <v>2021</v>
      </c>
      <c r="Q159" s="228"/>
    </row>
    <row r="160" spans="1:17" s="258" customFormat="1" ht="15">
      <c r="A160" s="274" t="s">
        <v>51</v>
      </c>
      <c r="B160" s="274" t="s">
        <v>52</v>
      </c>
      <c r="C160" s="230" t="s">
        <v>71</v>
      </c>
      <c r="D160" s="275" t="s">
        <v>83</v>
      </c>
      <c r="E160" s="275" t="s">
        <v>82</v>
      </c>
      <c r="F160" s="230" t="s">
        <v>54</v>
      </c>
      <c r="G160" s="230" t="s">
        <v>58</v>
      </c>
      <c r="H160" s="276">
        <f>+RESUMEN!F11</f>
        <v>551.32799999999997</v>
      </c>
      <c r="I160" s="276">
        <f>+RESUMEN!G11</f>
        <v>0</v>
      </c>
      <c r="J160" s="276">
        <f>+RESUMEN!H11</f>
        <v>551.32799999999997</v>
      </c>
      <c r="K160" s="276">
        <f>+RESUMEN!I11</f>
        <v>344.09299999999996</v>
      </c>
      <c r="L160" s="276">
        <f>+RESUMEN!J11</f>
        <v>207.23500000000001</v>
      </c>
      <c r="M160" s="277">
        <f>+RESUMEN!K11</f>
        <v>0.62411667827500139</v>
      </c>
      <c r="N160" s="278" t="s">
        <v>218</v>
      </c>
      <c r="O160" s="232">
        <f>RESUMEN!$C$4</f>
        <v>44561</v>
      </c>
      <c r="P160" s="269">
        <v>2021</v>
      </c>
      <c r="Q160" s="244"/>
    </row>
    <row r="161" spans="1:17" s="236" customFormat="1" ht="15">
      <c r="A161" s="238" t="s">
        <v>51</v>
      </c>
      <c r="B161" s="238" t="s">
        <v>52</v>
      </c>
      <c r="C161" s="238" t="s">
        <v>72</v>
      </c>
      <c r="D161" s="238" t="s">
        <v>337</v>
      </c>
      <c r="E161" s="243" t="str">
        <f>+'CUOTA ARTESANAL'!E129</f>
        <v>CARLITA II (963657)</v>
      </c>
      <c r="F161" s="238" t="s">
        <v>54</v>
      </c>
      <c r="G161" s="238" t="s">
        <v>56</v>
      </c>
      <c r="H161" s="253">
        <f>'CUOTA ARTESANAL'!G129</f>
        <v>7.3789999999999996</v>
      </c>
      <c r="I161" s="253">
        <f>'CUOTA ARTESANAL'!H129</f>
        <v>0</v>
      </c>
      <c r="J161" s="253">
        <f>'CUOTA ARTESANAL'!I129</f>
        <v>7.3789999999999996</v>
      </c>
      <c r="K161" s="253">
        <f>'CUOTA ARTESANAL'!J129</f>
        <v>2.9430000000000005</v>
      </c>
      <c r="L161" s="253">
        <f>'CUOTA ARTESANAL'!K129</f>
        <v>4.4359999999999991</v>
      </c>
      <c r="M161" s="254">
        <f>'CUOTA ARTESANAL'!L129</f>
        <v>0.39883453042417683</v>
      </c>
      <c r="N161" s="240" t="str">
        <f>'CUOTA ARTESANAL'!M129</f>
        <v>-</v>
      </c>
      <c r="O161" s="241">
        <f>RESUMEN!$C$4</f>
        <v>44561</v>
      </c>
      <c r="P161" s="233">
        <v>2021</v>
      </c>
      <c r="Q161" s="228"/>
    </row>
    <row r="162" spans="1:17" s="236" customFormat="1" ht="15">
      <c r="A162" s="238" t="s">
        <v>51</v>
      </c>
      <c r="B162" s="238" t="s">
        <v>52</v>
      </c>
      <c r="C162" s="238" t="s">
        <v>72</v>
      </c>
      <c r="D162" s="238" t="s">
        <v>337</v>
      </c>
      <c r="E162" s="243" t="str">
        <f>+'CUOTA ARTESANAL'!E129</f>
        <v>CARLITA II (963657)</v>
      </c>
      <c r="F162" s="238" t="s">
        <v>57</v>
      </c>
      <c r="G162" s="238" t="s">
        <v>58</v>
      </c>
      <c r="H162" s="253">
        <f>'CUOTA ARTESANAL'!G130</f>
        <v>7.3789999999999996</v>
      </c>
      <c r="I162" s="253">
        <f>'CUOTA ARTESANAL'!H130</f>
        <v>0</v>
      </c>
      <c r="J162" s="253">
        <f>'CUOTA ARTESANAL'!I130</f>
        <v>11.814999999999998</v>
      </c>
      <c r="K162" s="253">
        <f>'CUOTA ARTESANAL'!J130</f>
        <v>11.61</v>
      </c>
      <c r="L162" s="253">
        <f>'CUOTA ARTESANAL'!K130</f>
        <v>0.20499999999999829</v>
      </c>
      <c r="M162" s="254">
        <f>'CUOTA ARTESANAL'!L130</f>
        <v>0.98264917477782499</v>
      </c>
      <c r="N162" s="240" t="str">
        <f>'CUOTA ARTESANAL'!M130</f>
        <v>-</v>
      </c>
      <c r="O162" s="241">
        <f>RESUMEN!$C$4</f>
        <v>44561</v>
      </c>
      <c r="P162" s="233">
        <v>2021</v>
      </c>
      <c r="Q162" s="228"/>
    </row>
    <row r="163" spans="1:17" s="236" customFormat="1" ht="15">
      <c r="A163" s="238" t="s">
        <v>51</v>
      </c>
      <c r="B163" s="238" t="s">
        <v>52</v>
      </c>
      <c r="C163" s="238" t="s">
        <v>72</v>
      </c>
      <c r="D163" s="238" t="s">
        <v>337</v>
      </c>
      <c r="E163" s="243" t="str">
        <f>+'CUOTA ARTESANAL'!E129</f>
        <v>CARLITA II (963657)</v>
      </c>
      <c r="F163" s="238" t="s">
        <v>54</v>
      </c>
      <c r="G163" s="238" t="s">
        <v>58</v>
      </c>
      <c r="H163" s="253">
        <f>'CUOTA ARTESANAL'!N129</f>
        <v>14.757999999999999</v>
      </c>
      <c r="I163" s="253">
        <f>'CUOTA ARTESANAL'!O129</f>
        <v>0</v>
      </c>
      <c r="J163" s="253">
        <f>'CUOTA ARTESANAL'!P129</f>
        <v>14.757999999999999</v>
      </c>
      <c r="K163" s="253">
        <f>'CUOTA ARTESANAL'!Q129</f>
        <v>14.553000000000001</v>
      </c>
      <c r="L163" s="253">
        <f>'CUOTA ARTESANAL'!R129</f>
        <v>0.20499999999999829</v>
      </c>
      <c r="M163" s="254">
        <f>'CUOTA ARTESANAL'!S129</f>
        <v>0.98610922889280406</v>
      </c>
      <c r="N163" s="240" t="s">
        <v>218</v>
      </c>
      <c r="O163" s="241">
        <f>RESUMEN!$C$4</f>
        <v>44561</v>
      </c>
      <c r="P163" s="233">
        <v>2021</v>
      </c>
      <c r="Q163" s="228"/>
    </row>
    <row r="164" spans="1:17" s="236" customFormat="1" ht="15">
      <c r="A164" s="238" t="s">
        <v>51</v>
      </c>
      <c r="B164" s="238" t="s">
        <v>52</v>
      </c>
      <c r="C164" s="238" t="s">
        <v>72</v>
      </c>
      <c r="D164" s="238" t="s">
        <v>337</v>
      </c>
      <c r="E164" s="243" t="str">
        <f>+'CUOTA ARTESANAL'!E131</f>
        <v>CRUCERO DEL MAR I (963743)</v>
      </c>
      <c r="F164" s="238" t="s">
        <v>54</v>
      </c>
      <c r="G164" s="238" t="s">
        <v>56</v>
      </c>
      <c r="H164" s="253">
        <f>'CUOTA ARTESANAL'!G131</f>
        <v>7.3789999999999996</v>
      </c>
      <c r="I164" s="253">
        <f>'CUOTA ARTESANAL'!H131</f>
        <v>0</v>
      </c>
      <c r="J164" s="253">
        <f>'CUOTA ARTESANAL'!I131</f>
        <v>7.3789999999999996</v>
      </c>
      <c r="K164" s="253">
        <f>'CUOTA ARTESANAL'!J131</f>
        <v>5.5079999999999991</v>
      </c>
      <c r="L164" s="253">
        <f>'CUOTA ARTESANAL'!K131</f>
        <v>1.8710000000000004</v>
      </c>
      <c r="M164" s="254">
        <f>'CUOTA ARTESANAL'!L131</f>
        <v>0.74644260739937651</v>
      </c>
      <c r="N164" s="240" t="str">
        <f>'CUOTA ARTESANAL'!M131</f>
        <v>-</v>
      </c>
      <c r="O164" s="241">
        <f>RESUMEN!$C$4</f>
        <v>44561</v>
      </c>
      <c r="P164" s="233">
        <v>2021</v>
      </c>
      <c r="Q164" s="228"/>
    </row>
    <row r="165" spans="1:17" s="236" customFormat="1" ht="15">
      <c r="A165" s="238" t="s">
        <v>51</v>
      </c>
      <c r="B165" s="238" t="s">
        <v>52</v>
      </c>
      <c r="C165" s="238" t="s">
        <v>72</v>
      </c>
      <c r="D165" s="238" t="s">
        <v>337</v>
      </c>
      <c r="E165" s="243" t="str">
        <f>+'CUOTA ARTESANAL'!E131</f>
        <v>CRUCERO DEL MAR I (963743)</v>
      </c>
      <c r="F165" s="238" t="s">
        <v>57</v>
      </c>
      <c r="G165" s="238" t="s">
        <v>58</v>
      </c>
      <c r="H165" s="253">
        <f>'CUOTA ARTESANAL'!G132</f>
        <v>7.3789999999999996</v>
      </c>
      <c r="I165" s="253">
        <f>'CUOTA ARTESANAL'!H132</f>
        <v>0</v>
      </c>
      <c r="J165" s="253">
        <f>'CUOTA ARTESANAL'!I132</f>
        <v>9.25</v>
      </c>
      <c r="K165" s="253">
        <f>'CUOTA ARTESANAL'!J132</f>
        <v>9.18</v>
      </c>
      <c r="L165" s="253">
        <f>'CUOTA ARTESANAL'!K132</f>
        <v>7.0000000000000284E-2</v>
      </c>
      <c r="M165" s="254">
        <f>'CUOTA ARTESANAL'!L132</f>
        <v>0.9924324324324324</v>
      </c>
      <c r="N165" s="240" t="str">
        <f>'CUOTA ARTESANAL'!M132</f>
        <v>-</v>
      </c>
      <c r="O165" s="241">
        <f>RESUMEN!$C$4</f>
        <v>44561</v>
      </c>
      <c r="P165" s="233">
        <v>2021</v>
      </c>
      <c r="Q165" s="228"/>
    </row>
    <row r="166" spans="1:17" s="236" customFormat="1" ht="15">
      <c r="A166" s="238" t="s">
        <v>51</v>
      </c>
      <c r="B166" s="238" t="s">
        <v>52</v>
      </c>
      <c r="C166" s="238" t="s">
        <v>72</v>
      </c>
      <c r="D166" s="238" t="s">
        <v>337</v>
      </c>
      <c r="E166" s="243" t="str">
        <f>+'CUOTA ARTESANAL'!E131</f>
        <v>CRUCERO DEL MAR I (963743)</v>
      </c>
      <c r="F166" s="238" t="s">
        <v>54</v>
      </c>
      <c r="G166" s="238" t="s">
        <v>58</v>
      </c>
      <c r="H166" s="253">
        <f>'CUOTA ARTESANAL'!N131</f>
        <v>14.757999999999999</v>
      </c>
      <c r="I166" s="253">
        <f>'CUOTA ARTESANAL'!O131</f>
        <v>0</v>
      </c>
      <c r="J166" s="253">
        <f>'CUOTA ARTESANAL'!P131</f>
        <v>14.757999999999999</v>
      </c>
      <c r="K166" s="253">
        <f>'CUOTA ARTESANAL'!Q131</f>
        <v>14.687999999999999</v>
      </c>
      <c r="L166" s="253">
        <f>'CUOTA ARTESANAL'!R131</f>
        <v>7.0000000000000284E-2</v>
      </c>
      <c r="M166" s="254">
        <f>'CUOTA ARTESANAL'!S131</f>
        <v>0.99525680986583542</v>
      </c>
      <c r="N166" s="240" t="s">
        <v>218</v>
      </c>
      <c r="O166" s="241">
        <f>RESUMEN!$C$4</f>
        <v>44561</v>
      </c>
      <c r="P166" s="233">
        <v>2021</v>
      </c>
      <c r="Q166" s="228"/>
    </row>
    <row r="167" spans="1:17" s="236" customFormat="1" ht="15">
      <c r="A167" s="238" t="s">
        <v>51</v>
      </c>
      <c r="B167" s="238" t="s">
        <v>52</v>
      </c>
      <c r="C167" s="238" t="s">
        <v>72</v>
      </c>
      <c r="D167" s="238" t="s">
        <v>337</v>
      </c>
      <c r="E167" s="243" t="str">
        <f>+'CUOTA ARTESANAL'!E133</f>
        <v>DIEGO ANTONIO II (697566)</v>
      </c>
      <c r="F167" s="238" t="s">
        <v>54</v>
      </c>
      <c r="G167" s="238" t="s">
        <v>56</v>
      </c>
      <c r="H167" s="253">
        <f>'CUOTA ARTESANAL'!G133</f>
        <v>7.391</v>
      </c>
      <c r="I167" s="253">
        <f>'CUOTA ARTESANAL'!H133</f>
        <v>0</v>
      </c>
      <c r="J167" s="253">
        <f>'CUOTA ARTESANAL'!I133</f>
        <v>7.391</v>
      </c>
      <c r="K167" s="253">
        <f>'CUOTA ARTESANAL'!J133</f>
        <v>3.024</v>
      </c>
      <c r="L167" s="253">
        <f>'CUOTA ARTESANAL'!K133</f>
        <v>4.367</v>
      </c>
      <c r="M167" s="254">
        <f>'CUOTA ARTESANAL'!L133</f>
        <v>0.4091462589636044</v>
      </c>
      <c r="N167" s="240" t="str">
        <f>'CUOTA ARTESANAL'!M133</f>
        <v>-</v>
      </c>
      <c r="O167" s="241">
        <f>RESUMEN!$C$4</f>
        <v>44561</v>
      </c>
      <c r="P167" s="233">
        <v>2021</v>
      </c>
      <c r="Q167" s="228"/>
    </row>
    <row r="168" spans="1:17" s="236" customFormat="1" ht="15">
      <c r="A168" s="238" t="s">
        <v>51</v>
      </c>
      <c r="B168" s="238" t="s">
        <v>52</v>
      </c>
      <c r="C168" s="238" t="s">
        <v>72</v>
      </c>
      <c r="D168" s="238" t="s">
        <v>337</v>
      </c>
      <c r="E168" s="243" t="str">
        <f>+'CUOTA ARTESANAL'!E133</f>
        <v>DIEGO ANTONIO II (697566)</v>
      </c>
      <c r="F168" s="238" t="s">
        <v>57</v>
      </c>
      <c r="G168" s="238" t="s">
        <v>58</v>
      </c>
      <c r="H168" s="253">
        <f>'CUOTA ARTESANAL'!G134</f>
        <v>7.391</v>
      </c>
      <c r="I168" s="253">
        <f>'CUOTA ARTESANAL'!H134</f>
        <v>0</v>
      </c>
      <c r="J168" s="253">
        <f>'CUOTA ARTESANAL'!I134</f>
        <v>11.757999999999999</v>
      </c>
      <c r="K168" s="253">
        <f>'CUOTA ARTESANAL'!J134</f>
        <v>9.3149999999999995</v>
      </c>
      <c r="L168" s="253">
        <f>'CUOTA ARTESANAL'!K134</f>
        <v>2.4429999999999996</v>
      </c>
      <c r="M168" s="254">
        <f>'CUOTA ARTESANAL'!L134</f>
        <v>0.79222656914441236</v>
      </c>
      <c r="N168" s="240" t="str">
        <f>'CUOTA ARTESANAL'!M134</f>
        <v>-</v>
      </c>
      <c r="O168" s="241">
        <f>RESUMEN!$C$4</f>
        <v>44561</v>
      </c>
      <c r="P168" s="233">
        <v>2021</v>
      </c>
      <c r="Q168" s="228"/>
    </row>
    <row r="169" spans="1:17" s="236" customFormat="1" ht="15">
      <c r="A169" s="238" t="s">
        <v>51</v>
      </c>
      <c r="B169" s="238" t="s">
        <v>52</v>
      </c>
      <c r="C169" s="238" t="s">
        <v>72</v>
      </c>
      <c r="D169" s="238" t="s">
        <v>337</v>
      </c>
      <c r="E169" s="243" t="str">
        <f>+'CUOTA ARTESANAL'!E133</f>
        <v>DIEGO ANTONIO II (697566)</v>
      </c>
      <c r="F169" s="238" t="s">
        <v>54</v>
      </c>
      <c r="G169" s="238" t="s">
        <v>58</v>
      </c>
      <c r="H169" s="253">
        <f>'CUOTA ARTESANAL'!N133</f>
        <v>14.782</v>
      </c>
      <c r="I169" s="253">
        <f>'CUOTA ARTESANAL'!O133</f>
        <v>0</v>
      </c>
      <c r="J169" s="253">
        <f>'CUOTA ARTESANAL'!P133</f>
        <v>14.782</v>
      </c>
      <c r="K169" s="253">
        <f>'CUOTA ARTESANAL'!Q133</f>
        <v>12.338999999999999</v>
      </c>
      <c r="L169" s="253">
        <f>'CUOTA ARTESANAL'!R133</f>
        <v>2.4430000000000014</v>
      </c>
      <c r="M169" s="254">
        <f>'CUOTA ARTESANAL'!S133</f>
        <v>0.83473143011771067</v>
      </c>
      <c r="N169" s="240" t="s">
        <v>218</v>
      </c>
      <c r="O169" s="241">
        <f>RESUMEN!$C$4</f>
        <v>44561</v>
      </c>
      <c r="P169" s="233">
        <v>2021</v>
      </c>
      <c r="Q169" s="228"/>
    </row>
    <row r="170" spans="1:17" s="236" customFormat="1" ht="15">
      <c r="A170" s="238" t="s">
        <v>51</v>
      </c>
      <c r="B170" s="238" t="s">
        <v>52</v>
      </c>
      <c r="C170" s="238" t="s">
        <v>72</v>
      </c>
      <c r="D170" s="238" t="s">
        <v>337</v>
      </c>
      <c r="E170" s="243" t="str">
        <f>+'CUOTA ARTESANAL'!E135</f>
        <v>EL NIÑO I (963683)</v>
      </c>
      <c r="F170" s="238" t="s">
        <v>54</v>
      </c>
      <c r="G170" s="238" t="s">
        <v>56</v>
      </c>
      <c r="H170" s="253">
        <f>'CUOTA ARTESANAL'!G135</f>
        <v>7.3780000000000001</v>
      </c>
      <c r="I170" s="253">
        <f>'CUOTA ARTESANAL'!H135</f>
        <v>0</v>
      </c>
      <c r="J170" s="253">
        <f>'CUOTA ARTESANAL'!I135</f>
        <v>7.3780000000000001</v>
      </c>
      <c r="K170" s="253">
        <f>'CUOTA ARTESANAL'!J135</f>
        <v>0.32400000000000001</v>
      </c>
      <c r="L170" s="253">
        <f>'CUOTA ARTESANAL'!K135</f>
        <v>7.0540000000000003</v>
      </c>
      <c r="M170" s="254">
        <f>'CUOTA ARTESANAL'!L135</f>
        <v>4.3914339929520194E-2</v>
      </c>
      <c r="N170" s="240" t="str">
        <f>'CUOTA ARTESANAL'!M135</f>
        <v>-</v>
      </c>
      <c r="O170" s="241">
        <f>RESUMEN!$C$4</f>
        <v>44561</v>
      </c>
      <c r="P170" s="233">
        <v>2021</v>
      </c>
      <c r="Q170" s="228"/>
    </row>
    <row r="171" spans="1:17" s="236" customFormat="1" ht="15">
      <c r="A171" s="238" t="s">
        <v>51</v>
      </c>
      <c r="B171" s="238" t="s">
        <v>52</v>
      </c>
      <c r="C171" s="238" t="s">
        <v>72</v>
      </c>
      <c r="D171" s="238" t="s">
        <v>337</v>
      </c>
      <c r="E171" s="243" t="str">
        <f>+'CUOTA ARTESANAL'!E135</f>
        <v>EL NIÑO I (963683)</v>
      </c>
      <c r="F171" s="238" t="s">
        <v>57</v>
      </c>
      <c r="G171" s="238" t="s">
        <v>58</v>
      </c>
      <c r="H171" s="253">
        <f>'CUOTA ARTESANAL'!G136</f>
        <v>7.3780000000000001</v>
      </c>
      <c r="I171" s="253">
        <f>'CUOTA ARTESANAL'!H136</f>
        <v>0</v>
      </c>
      <c r="J171" s="253">
        <f>'CUOTA ARTESANAL'!I136</f>
        <v>14.432</v>
      </c>
      <c r="K171" s="253">
        <f>'CUOTA ARTESANAL'!J136</f>
        <v>14.202</v>
      </c>
      <c r="L171" s="253">
        <f>'CUOTA ARTESANAL'!K136</f>
        <v>0.23000000000000043</v>
      </c>
      <c r="M171" s="254">
        <f>'CUOTA ARTESANAL'!L136</f>
        <v>0.98406319290465627</v>
      </c>
      <c r="N171" s="240" t="str">
        <f>'CUOTA ARTESANAL'!M136</f>
        <v>-</v>
      </c>
      <c r="O171" s="241">
        <f>RESUMEN!$C$4</f>
        <v>44561</v>
      </c>
      <c r="P171" s="233">
        <v>2021</v>
      </c>
      <c r="Q171" s="228"/>
    </row>
    <row r="172" spans="1:17" s="236" customFormat="1" ht="15">
      <c r="A172" s="238" t="s">
        <v>51</v>
      </c>
      <c r="B172" s="238" t="s">
        <v>52</v>
      </c>
      <c r="C172" s="238" t="s">
        <v>72</v>
      </c>
      <c r="D172" s="238" t="s">
        <v>337</v>
      </c>
      <c r="E172" s="243" t="str">
        <f>+'CUOTA ARTESANAL'!E135</f>
        <v>EL NIÑO I (963683)</v>
      </c>
      <c r="F172" s="238" t="s">
        <v>54</v>
      </c>
      <c r="G172" s="238" t="s">
        <v>58</v>
      </c>
      <c r="H172" s="253">
        <f>'CUOTA ARTESANAL'!N135</f>
        <v>14.756</v>
      </c>
      <c r="I172" s="253">
        <f>'CUOTA ARTESANAL'!O135</f>
        <v>0</v>
      </c>
      <c r="J172" s="253">
        <f>'CUOTA ARTESANAL'!P135</f>
        <v>14.756</v>
      </c>
      <c r="K172" s="253">
        <f>'CUOTA ARTESANAL'!Q135</f>
        <v>14.526</v>
      </c>
      <c r="L172" s="253">
        <f>'CUOTA ARTESANAL'!R135</f>
        <v>0.23000000000000043</v>
      </c>
      <c r="M172" s="254">
        <f>'CUOTA ARTESANAL'!S135</f>
        <v>0.98441312008674431</v>
      </c>
      <c r="N172" s="240" t="s">
        <v>218</v>
      </c>
      <c r="O172" s="241">
        <f>RESUMEN!$C$4</f>
        <v>44561</v>
      </c>
      <c r="P172" s="233">
        <v>2021</v>
      </c>
      <c r="Q172" s="228"/>
    </row>
    <row r="173" spans="1:17" s="236" customFormat="1" ht="15">
      <c r="A173" s="238" t="s">
        <v>51</v>
      </c>
      <c r="B173" s="238" t="s">
        <v>52</v>
      </c>
      <c r="C173" s="238" t="s">
        <v>72</v>
      </c>
      <c r="D173" s="238" t="s">
        <v>337</v>
      </c>
      <c r="E173" s="243" t="str">
        <f>+'CUOTA ARTESANAL'!E137</f>
        <v>EL RAUL I (959324)</v>
      </c>
      <c r="F173" s="238" t="s">
        <v>54</v>
      </c>
      <c r="G173" s="238" t="s">
        <v>56</v>
      </c>
      <c r="H173" s="253">
        <f>'CUOTA ARTESANAL'!G137</f>
        <v>7.383</v>
      </c>
      <c r="I173" s="253">
        <f>'CUOTA ARTESANAL'!H137</f>
        <v>0</v>
      </c>
      <c r="J173" s="253">
        <f>'CUOTA ARTESANAL'!I137</f>
        <v>7.383</v>
      </c>
      <c r="K173" s="253">
        <f>'CUOTA ARTESANAL'!J137</f>
        <v>3.1589999999999998</v>
      </c>
      <c r="L173" s="253">
        <f>'CUOTA ARTESANAL'!K137</f>
        <v>4.2240000000000002</v>
      </c>
      <c r="M173" s="254">
        <f>'CUOTA ARTESANAL'!L137</f>
        <v>0.4278748476229175</v>
      </c>
      <c r="N173" s="240" t="str">
        <f>'CUOTA ARTESANAL'!M137</f>
        <v>-</v>
      </c>
      <c r="O173" s="241">
        <f>RESUMEN!$C$4</f>
        <v>44561</v>
      </c>
      <c r="P173" s="233">
        <v>2021</v>
      </c>
      <c r="Q173" s="228"/>
    </row>
    <row r="174" spans="1:17" s="236" customFormat="1" ht="15">
      <c r="A174" s="238" t="s">
        <v>51</v>
      </c>
      <c r="B174" s="238" t="s">
        <v>52</v>
      </c>
      <c r="C174" s="238" t="s">
        <v>72</v>
      </c>
      <c r="D174" s="238" t="s">
        <v>337</v>
      </c>
      <c r="E174" s="243" t="str">
        <f>+'CUOTA ARTESANAL'!E137</f>
        <v>EL RAUL I (959324)</v>
      </c>
      <c r="F174" s="238" t="s">
        <v>57</v>
      </c>
      <c r="G174" s="238" t="s">
        <v>58</v>
      </c>
      <c r="H174" s="253">
        <f>'CUOTA ARTESANAL'!G138</f>
        <v>7.383</v>
      </c>
      <c r="I174" s="253">
        <f>'CUOTA ARTESANAL'!H138</f>
        <v>0</v>
      </c>
      <c r="J174" s="253">
        <f>'CUOTA ARTESANAL'!I138</f>
        <v>11.606999999999999</v>
      </c>
      <c r="K174" s="253">
        <f>'CUOTA ARTESANAL'!J138</f>
        <v>10.44</v>
      </c>
      <c r="L174" s="253">
        <f>'CUOTA ARTESANAL'!K138</f>
        <v>1.1669999999999998</v>
      </c>
      <c r="M174" s="254">
        <f>'CUOTA ARTESANAL'!L138</f>
        <v>0.89945722408891182</v>
      </c>
      <c r="N174" s="240" t="str">
        <f>'CUOTA ARTESANAL'!M138</f>
        <v>-</v>
      </c>
      <c r="O174" s="241">
        <f>RESUMEN!$C$4</f>
        <v>44561</v>
      </c>
      <c r="P174" s="233">
        <v>2021</v>
      </c>
      <c r="Q174" s="228"/>
    </row>
    <row r="175" spans="1:17" s="236" customFormat="1" ht="15">
      <c r="A175" s="238" t="s">
        <v>51</v>
      </c>
      <c r="B175" s="238" t="s">
        <v>52</v>
      </c>
      <c r="C175" s="238" t="s">
        <v>72</v>
      </c>
      <c r="D175" s="238" t="s">
        <v>337</v>
      </c>
      <c r="E175" s="243" t="str">
        <f>+'CUOTA ARTESANAL'!E137</f>
        <v>EL RAUL I (959324)</v>
      </c>
      <c r="F175" s="238" t="s">
        <v>54</v>
      </c>
      <c r="G175" s="238" t="s">
        <v>58</v>
      </c>
      <c r="H175" s="253">
        <f>'CUOTA ARTESANAL'!N137</f>
        <v>14.766</v>
      </c>
      <c r="I175" s="253">
        <f>'CUOTA ARTESANAL'!O137</f>
        <v>0</v>
      </c>
      <c r="J175" s="253">
        <f>'CUOTA ARTESANAL'!P137</f>
        <v>14.766</v>
      </c>
      <c r="K175" s="253">
        <f>'CUOTA ARTESANAL'!Q137</f>
        <v>13.599</v>
      </c>
      <c r="L175" s="253">
        <f>'CUOTA ARTESANAL'!R137</f>
        <v>1.1669999999999998</v>
      </c>
      <c r="M175" s="254">
        <f>'CUOTA ARTESANAL'!S137</f>
        <v>0.92096708655018289</v>
      </c>
      <c r="N175" s="240" t="s">
        <v>218</v>
      </c>
      <c r="O175" s="241">
        <f>RESUMEN!$C$4</f>
        <v>44561</v>
      </c>
      <c r="P175" s="233">
        <v>2021</v>
      </c>
      <c r="Q175" s="228"/>
    </row>
    <row r="176" spans="1:17" s="236" customFormat="1" ht="15">
      <c r="A176" s="238" t="s">
        <v>51</v>
      </c>
      <c r="B176" s="238" t="s">
        <v>52</v>
      </c>
      <c r="C176" s="238" t="s">
        <v>72</v>
      </c>
      <c r="D176" s="238" t="s">
        <v>337</v>
      </c>
      <c r="E176" s="243" t="str">
        <f>+'CUOTA ARTESANAL'!E139</f>
        <v>MARIA IRENE III (965110)</v>
      </c>
      <c r="F176" s="238" t="s">
        <v>54</v>
      </c>
      <c r="G176" s="238" t="s">
        <v>56</v>
      </c>
      <c r="H176" s="253">
        <f>'CUOTA ARTESANAL'!G139</f>
        <v>7.38</v>
      </c>
      <c r="I176" s="253">
        <f>'CUOTA ARTESANAL'!H139</f>
        <v>0</v>
      </c>
      <c r="J176" s="253">
        <f>'CUOTA ARTESANAL'!I139</f>
        <v>7.38</v>
      </c>
      <c r="K176" s="253">
        <f>'CUOTA ARTESANAL'!J139</f>
        <v>0.81</v>
      </c>
      <c r="L176" s="253">
        <f>'CUOTA ARTESANAL'!K139</f>
        <v>6.57</v>
      </c>
      <c r="M176" s="254">
        <f>'CUOTA ARTESANAL'!L139</f>
        <v>0.10975609756097562</v>
      </c>
      <c r="N176" s="240" t="str">
        <f>'CUOTA ARTESANAL'!M139</f>
        <v>-</v>
      </c>
      <c r="O176" s="241">
        <f>RESUMEN!$C$4</f>
        <v>44561</v>
      </c>
      <c r="P176" s="233">
        <v>2021</v>
      </c>
      <c r="Q176" s="228"/>
    </row>
    <row r="177" spans="1:17" s="236" customFormat="1" ht="15">
      <c r="A177" s="238" t="s">
        <v>51</v>
      </c>
      <c r="B177" s="238" t="s">
        <v>52</v>
      </c>
      <c r="C177" s="238" t="s">
        <v>72</v>
      </c>
      <c r="D177" s="238" t="s">
        <v>337</v>
      </c>
      <c r="E177" s="243" t="str">
        <f>+'CUOTA ARTESANAL'!E139</f>
        <v>MARIA IRENE III (965110)</v>
      </c>
      <c r="F177" s="238" t="s">
        <v>57</v>
      </c>
      <c r="G177" s="238" t="s">
        <v>58</v>
      </c>
      <c r="H177" s="253">
        <f>'CUOTA ARTESANAL'!G140</f>
        <v>7.38</v>
      </c>
      <c r="I177" s="253">
        <f>'CUOTA ARTESANAL'!H140</f>
        <v>0</v>
      </c>
      <c r="J177" s="253">
        <f>'CUOTA ARTESANAL'!I140</f>
        <v>13.95</v>
      </c>
      <c r="K177" s="253">
        <f>'CUOTA ARTESANAL'!J140</f>
        <v>11.709</v>
      </c>
      <c r="L177" s="253">
        <f>'CUOTA ARTESANAL'!K140</f>
        <v>2.2409999999999997</v>
      </c>
      <c r="M177" s="254">
        <f>'CUOTA ARTESANAL'!L140</f>
        <v>0.83935483870967742</v>
      </c>
      <c r="N177" s="240" t="str">
        <f>'CUOTA ARTESANAL'!M140</f>
        <v>-</v>
      </c>
      <c r="O177" s="241">
        <f>RESUMEN!$C$4</f>
        <v>44561</v>
      </c>
      <c r="P177" s="233">
        <v>2021</v>
      </c>
      <c r="Q177" s="228"/>
    </row>
    <row r="178" spans="1:17" s="236" customFormat="1" ht="15">
      <c r="A178" s="238" t="s">
        <v>51</v>
      </c>
      <c r="B178" s="238" t="s">
        <v>52</v>
      </c>
      <c r="C178" s="238" t="s">
        <v>72</v>
      </c>
      <c r="D178" s="238" t="s">
        <v>337</v>
      </c>
      <c r="E178" s="243" t="str">
        <f>+'CUOTA ARTESANAL'!E139</f>
        <v>MARIA IRENE III (965110)</v>
      </c>
      <c r="F178" s="238" t="s">
        <v>54</v>
      </c>
      <c r="G178" s="238" t="s">
        <v>58</v>
      </c>
      <c r="H178" s="253">
        <f>'CUOTA ARTESANAL'!N139</f>
        <v>14.76</v>
      </c>
      <c r="I178" s="253">
        <f>'CUOTA ARTESANAL'!O139</f>
        <v>0</v>
      </c>
      <c r="J178" s="253">
        <f>'CUOTA ARTESANAL'!P139</f>
        <v>14.76</v>
      </c>
      <c r="K178" s="253">
        <f>'CUOTA ARTESANAL'!Q139</f>
        <v>12.519</v>
      </c>
      <c r="L178" s="253">
        <f>'CUOTA ARTESANAL'!R139</f>
        <v>2.2409999999999997</v>
      </c>
      <c r="M178" s="254">
        <f>'CUOTA ARTESANAL'!S139</f>
        <v>0.84817073170731705</v>
      </c>
      <c r="N178" s="240" t="s">
        <v>218</v>
      </c>
      <c r="O178" s="241">
        <f>RESUMEN!$C$4</f>
        <v>44561</v>
      </c>
      <c r="P178" s="233">
        <v>2021</v>
      </c>
      <c r="Q178" s="228"/>
    </row>
    <row r="179" spans="1:17" s="236" customFormat="1" ht="15">
      <c r="A179" s="238" t="s">
        <v>51</v>
      </c>
      <c r="B179" s="238" t="s">
        <v>52</v>
      </c>
      <c r="C179" s="238" t="s">
        <v>72</v>
      </c>
      <c r="D179" s="238" t="s">
        <v>337</v>
      </c>
      <c r="E179" s="243" t="str">
        <f>+'CUOTA ARTESANAL'!E141</f>
        <v>MARIA VICTORIA II (968372)</v>
      </c>
      <c r="F179" s="238" t="s">
        <v>54</v>
      </c>
      <c r="G179" s="238" t="s">
        <v>56</v>
      </c>
      <c r="H179" s="253">
        <f>'CUOTA ARTESANAL'!G141</f>
        <v>7.3819999999999997</v>
      </c>
      <c r="I179" s="253">
        <f>'CUOTA ARTESANAL'!H141</f>
        <v>0</v>
      </c>
      <c r="J179" s="253">
        <f>'CUOTA ARTESANAL'!I141</f>
        <v>7.3819999999999997</v>
      </c>
      <c r="K179" s="253">
        <f>'CUOTA ARTESANAL'!J141</f>
        <v>3.1590000000000003</v>
      </c>
      <c r="L179" s="253">
        <f>'CUOTA ARTESANAL'!K141</f>
        <v>4.222999999999999</v>
      </c>
      <c r="M179" s="254">
        <f>'CUOTA ARTESANAL'!L141</f>
        <v>0.42793280953671098</v>
      </c>
      <c r="N179" s="240" t="str">
        <f>'CUOTA ARTESANAL'!M141</f>
        <v>-</v>
      </c>
      <c r="O179" s="241">
        <f>RESUMEN!$C$4</f>
        <v>44561</v>
      </c>
      <c r="P179" s="233">
        <v>2021</v>
      </c>
      <c r="Q179" s="228"/>
    </row>
    <row r="180" spans="1:17" s="236" customFormat="1" ht="15">
      <c r="A180" s="238" t="s">
        <v>51</v>
      </c>
      <c r="B180" s="238" t="s">
        <v>52</v>
      </c>
      <c r="C180" s="238" t="s">
        <v>72</v>
      </c>
      <c r="D180" s="238" t="s">
        <v>337</v>
      </c>
      <c r="E180" s="243" t="str">
        <f>+'CUOTA ARTESANAL'!E141</f>
        <v>MARIA VICTORIA II (968372)</v>
      </c>
      <c r="F180" s="238" t="s">
        <v>57</v>
      </c>
      <c r="G180" s="238" t="s">
        <v>58</v>
      </c>
      <c r="H180" s="253">
        <f>'CUOTA ARTESANAL'!G142</f>
        <v>7.3819999999999997</v>
      </c>
      <c r="I180" s="253">
        <f>'CUOTA ARTESANAL'!H142</f>
        <v>0</v>
      </c>
      <c r="J180" s="253">
        <f>'CUOTA ARTESANAL'!I142</f>
        <v>11.604999999999999</v>
      </c>
      <c r="K180" s="253">
        <f>'CUOTA ARTESANAL'!J142</f>
        <v>9.6389999999999993</v>
      </c>
      <c r="L180" s="253">
        <f>'CUOTA ARTESANAL'!K142</f>
        <v>1.9659999999999993</v>
      </c>
      <c r="M180" s="254">
        <f>'CUOTA ARTESANAL'!L142</f>
        <v>0.83059026281775106</v>
      </c>
      <c r="N180" s="240" t="str">
        <f>'CUOTA ARTESANAL'!M142</f>
        <v>-</v>
      </c>
      <c r="O180" s="241">
        <f>RESUMEN!$C$4</f>
        <v>44561</v>
      </c>
      <c r="P180" s="233">
        <v>2021</v>
      </c>
      <c r="Q180" s="228"/>
    </row>
    <row r="181" spans="1:17" s="236" customFormat="1" ht="15">
      <c r="A181" s="238" t="s">
        <v>51</v>
      </c>
      <c r="B181" s="238" t="s">
        <v>52</v>
      </c>
      <c r="C181" s="238" t="s">
        <v>72</v>
      </c>
      <c r="D181" s="238" t="s">
        <v>337</v>
      </c>
      <c r="E181" s="243" t="str">
        <f>+'CUOTA ARTESANAL'!E141</f>
        <v>MARIA VICTORIA II (968372)</v>
      </c>
      <c r="F181" s="238" t="s">
        <v>54</v>
      </c>
      <c r="G181" s="238" t="s">
        <v>58</v>
      </c>
      <c r="H181" s="253">
        <f>'CUOTA ARTESANAL'!N141</f>
        <v>14.763999999999999</v>
      </c>
      <c r="I181" s="253">
        <f>'CUOTA ARTESANAL'!O141</f>
        <v>0</v>
      </c>
      <c r="J181" s="253">
        <f>'CUOTA ARTESANAL'!P141</f>
        <v>14.763999999999999</v>
      </c>
      <c r="K181" s="253">
        <f>'CUOTA ARTESANAL'!Q141</f>
        <v>12.798</v>
      </c>
      <c r="L181" s="253">
        <f>'CUOTA ARTESANAL'!R141</f>
        <v>1.9659999999999993</v>
      </c>
      <c r="M181" s="254">
        <f>'CUOTA ARTESANAL'!S141</f>
        <v>0.86683825521538882</v>
      </c>
      <c r="N181" s="240" t="s">
        <v>218</v>
      </c>
      <c r="O181" s="241">
        <f>RESUMEN!$C$4</f>
        <v>44561</v>
      </c>
      <c r="P181" s="233">
        <v>2021</v>
      </c>
      <c r="Q181" s="228"/>
    </row>
    <row r="182" spans="1:17" s="236" customFormat="1" ht="15">
      <c r="A182" s="238" t="s">
        <v>51</v>
      </c>
      <c r="B182" s="238" t="s">
        <v>52</v>
      </c>
      <c r="C182" s="238" t="s">
        <v>72</v>
      </c>
      <c r="D182" s="238" t="s">
        <v>337</v>
      </c>
      <c r="E182" s="243" t="str">
        <f>+'CUOTA ARTESANAL'!E143</f>
        <v>PINGÜINO I (956576)</v>
      </c>
      <c r="F182" s="238" t="s">
        <v>54</v>
      </c>
      <c r="G182" s="238" t="s">
        <v>56</v>
      </c>
      <c r="H182" s="253">
        <f>'CUOTA ARTESANAL'!G143</f>
        <v>7.3819999999999997</v>
      </c>
      <c r="I182" s="253">
        <f>'CUOTA ARTESANAL'!H143</f>
        <v>0</v>
      </c>
      <c r="J182" s="253">
        <f>'CUOTA ARTESANAL'!I143</f>
        <v>7.3819999999999997</v>
      </c>
      <c r="K182" s="253">
        <f>'CUOTA ARTESANAL'!J143</f>
        <v>0.86399999999999999</v>
      </c>
      <c r="L182" s="253">
        <f>'CUOTA ARTESANAL'!K143</f>
        <v>6.5179999999999998</v>
      </c>
      <c r="M182" s="254">
        <f>'CUOTA ARTESANAL'!L143</f>
        <v>0.11704145218098076</v>
      </c>
      <c r="N182" s="240" t="str">
        <f>'CUOTA ARTESANAL'!M143</f>
        <v>-</v>
      </c>
      <c r="O182" s="241">
        <f>RESUMEN!$C$4</f>
        <v>44561</v>
      </c>
      <c r="P182" s="233">
        <v>2021</v>
      </c>
      <c r="Q182" s="228"/>
    </row>
    <row r="183" spans="1:17" s="236" customFormat="1" ht="15">
      <c r="A183" s="238" t="s">
        <v>51</v>
      </c>
      <c r="B183" s="238" t="s">
        <v>52</v>
      </c>
      <c r="C183" s="238" t="s">
        <v>72</v>
      </c>
      <c r="D183" s="238" t="s">
        <v>337</v>
      </c>
      <c r="E183" s="243" t="str">
        <f>+'CUOTA ARTESANAL'!E143</f>
        <v>PINGÜINO I (956576)</v>
      </c>
      <c r="F183" s="238" t="s">
        <v>57</v>
      </c>
      <c r="G183" s="238" t="s">
        <v>58</v>
      </c>
      <c r="H183" s="253">
        <f>'CUOTA ARTESANAL'!G144</f>
        <v>7.3819999999999997</v>
      </c>
      <c r="I183" s="253">
        <f>'CUOTA ARTESANAL'!H144</f>
        <v>0</v>
      </c>
      <c r="J183" s="253">
        <f>'CUOTA ARTESANAL'!I144</f>
        <v>13.899999999999999</v>
      </c>
      <c r="K183" s="253">
        <f>'CUOTA ARTESANAL'!J144</f>
        <v>8.0459999999999994</v>
      </c>
      <c r="L183" s="253">
        <f>'CUOTA ARTESANAL'!K144</f>
        <v>5.8539999999999992</v>
      </c>
      <c r="M183" s="254">
        <f>'CUOTA ARTESANAL'!L144</f>
        <v>0.57884892086330941</v>
      </c>
      <c r="N183" s="240" t="str">
        <f>'CUOTA ARTESANAL'!M144</f>
        <v>-</v>
      </c>
      <c r="O183" s="241">
        <f>RESUMEN!$C$4</f>
        <v>44561</v>
      </c>
      <c r="P183" s="233">
        <v>2021</v>
      </c>
      <c r="Q183" s="228"/>
    </row>
    <row r="184" spans="1:17" s="236" customFormat="1" ht="15">
      <c r="A184" s="238" t="s">
        <v>51</v>
      </c>
      <c r="B184" s="238" t="s">
        <v>52</v>
      </c>
      <c r="C184" s="238" t="s">
        <v>72</v>
      </c>
      <c r="D184" s="238" t="s">
        <v>337</v>
      </c>
      <c r="E184" s="243" t="str">
        <f>+'CUOTA ARTESANAL'!E143</f>
        <v>PINGÜINO I (956576)</v>
      </c>
      <c r="F184" s="238" t="s">
        <v>54</v>
      </c>
      <c r="G184" s="238" t="s">
        <v>58</v>
      </c>
      <c r="H184" s="253">
        <f>'CUOTA ARTESANAL'!N143</f>
        <v>14.763999999999999</v>
      </c>
      <c r="I184" s="253">
        <f>'CUOTA ARTESANAL'!O143</f>
        <v>0</v>
      </c>
      <c r="J184" s="253">
        <f>'CUOTA ARTESANAL'!P143</f>
        <v>14.763999999999999</v>
      </c>
      <c r="K184" s="253">
        <f>'CUOTA ARTESANAL'!Q143</f>
        <v>8.91</v>
      </c>
      <c r="L184" s="253">
        <f>'CUOTA ARTESANAL'!R143</f>
        <v>5.8539999999999992</v>
      </c>
      <c r="M184" s="254">
        <f>'CUOTA ARTESANAL'!S143</f>
        <v>0.60349498780818212</v>
      </c>
      <c r="N184" s="240" t="s">
        <v>218</v>
      </c>
      <c r="O184" s="241">
        <f>RESUMEN!$C$4</f>
        <v>44561</v>
      </c>
      <c r="P184" s="233">
        <v>2021</v>
      </c>
      <c r="Q184" s="228"/>
    </row>
    <row r="185" spans="1:17" s="236" customFormat="1" ht="15">
      <c r="A185" s="238" t="s">
        <v>51</v>
      </c>
      <c r="B185" s="238" t="s">
        <v>52</v>
      </c>
      <c r="C185" s="238" t="s">
        <v>72</v>
      </c>
      <c r="D185" s="238" t="s">
        <v>337</v>
      </c>
      <c r="E185" s="243" t="str">
        <f>+'CUOTA ARTESANAL'!E145</f>
        <v>SANTA ROSA III (968954)</v>
      </c>
      <c r="F185" s="238" t="s">
        <v>54</v>
      </c>
      <c r="G185" s="238" t="s">
        <v>56</v>
      </c>
      <c r="H185" s="253">
        <f>'CUOTA ARTESANAL'!G145</f>
        <v>7.3789999999999996</v>
      </c>
      <c r="I185" s="253">
        <f>'CUOTA ARTESANAL'!H145</f>
        <v>0</v>
      </c>
      <c r="J185" s="253">
        <f>'CUOTA ARTESANAL'!I145</f>
        <v>7.3789999999999996</v>
      </c>
      <c r="K185" s="253">
        <f>'CUOTA ARTESANAL'!J145</f>
        <v>2.052</v>
      </c>
      <c r="L185" s="253">
        <f>'CUOTA ARTESANAL'!K145</f>
        <v>5.327</v>
      </c>
      <c r="M185" s="254">
        <f>'CUOTA ARTESANAL'!L145</f>
        <v>0.27808646158015993</v>
      </c>
      <c r="N185" s="240" t="str">
        <f>'CUOTA ARTESANAL'!M145</f>
        <v>-</v>
      </c>
      <c r="O185" s="241">
        <f>RESUMEN!$C$4</f>
        <v>44561</v>
      </c>
      <c r="P185" s="233">
        <v>2021</v>
      </c>
      <c r="Q185" s="228"/>
    </row>
    <row r="186" spans="1:17" s="236" customFormat="1" ht="15">
      <c r="A186" s="238" t="s">
        <v>51</v>
      </c>
      <c r="B186" s="238" t="s">
        <v>52</v>
      </c>
      <c r="C186" s="238" t="s">
        <v>72</v>
      </c>
      <c r="D186" s="238" t="s">
        <v>337</v>
      </c>
      <c r="E186" s="243" t="str">
        <f>+'CUOTA ARTESANAL'!E145</f>
        <v>SANTA ROSA III (968954)</v>
      </c>
      <c r="F186" s="238" t="s">
        <v>57</v>
      </c>
      <c r="G186" s="238" t="s">
        <v>58</v>
      </c>
      <c r="H186" s="253">
        <f>'CUOTA ARTESANAL'!G146</f>
        <v>7.3789999999999996</v>
      </c>
      <c r="I186" s="253">
        <f>'CUOTA ARTESANAL'!H146</f>
        <v>0</v>
      </c>
      <c r="J186" s="253">
        <f>'CUOTA ARTESANAL'!I146</f>
        <v>12.706</v>
      </c>
      <c r="K186" s="253">
        <f>'CUOTA ARTESANAL'!J146</f>
        <v>11.698</v>
      </c>
      <c r="L186" s="253">
        <f>'CUOTA ARTESANAL'!K146</f>
        <v>1.0079999999999991</v>
      </c>
      <c r="M186" s="254">
        <f>'CUOTA ARTESANAL'!L146</f>
        <v>0.92066740122776647</v>
      </c>
      <c r="N186" s="240" t="str">
        <f>'CUOTA ARTESANAL'!M146</f>
        <v>-</v>
      </c>
      <c r="O186" s="241">
        <f>RESUMEN!$C$4</f>
        <v>44561</v>
      </c>
      <c r="P186" s="233">
        <v>2021</v>
      </c>
      <c r="Q186" s="228"/>
    </row>
    <row r="187" spans="1:17" s="236" customFormat="1" ht="15">
      <c r="A187" s="238" t="s">
        <v>51</v>
      </c>
      <c r="B187" s="238" t="s">
        <v>52</v>
      </c>
      <c r="C187" s="238" t="s">
        <v>72</v>
      </c>
      <c r="D187" s="238" t="s">
        <v>337</v>
      </c>
      <c r="E187" s="243" t="str">
        <f>+'CUOTA ARTESANAL'!E145</f>
        <v>SANTA ROSA III (968954)</v>
      </c>
      <c r="F187" s="238" t="s">
        <v>54</v>
      </c>
      <c r="G187" s="238" t="s">
        <v>58</v>
      </c>
      <c r="H187" s="253">
        <f>'CUOTA ARTESANAL'!N145</f>
        <v>14.757999999999999</v>
      </c>
      <c r="I187" s="253">
        <f>'CUOTA ARTESANAL'!O145</f>
        <v>0</v>
      </c>
      <c r="J187" s="253">
        <f>'CUOTA ARTESANAL'!P145</f>
        <v>14.757999999999999</v>
      </c>
      <c r="K187" s="253">
        <f>'CUOTA ARTESANAL'!Q145</f>
        <v>13.75</v>
      </c>
      <c r="L187" s="253">
        <f>'CUOTA ARTESANAL'!R145</f>
        <v>1.0079999999999991</v>
      </c>
      <c r="M187" s="254">
        <f>'CUOTA ARTESANAL'!S145</f>
        <v>0.93169806206803096</v>
      </c>
      <c r="N187" s="240" t="s">
        <v>218</v>
      </c>
      <c r="O187" s="241">
        <f>RESUMEN!$C$4</f>
        <v>44561</v>
      </c>
      <c r="P187" s="233">
        <v>2021</v>
      </c>
      <c r="Q187" s="228"/>
    </row>
    <row r="188" spans="1:17" s="236" customFormat="1" ht="15">
      <c r="A188" s="238" t="s">
        <v>51</v>
      </c>
      <c r="B188" s="238" t="s">
        <v>52</v>
      </c>
      <c r="C188" s="238" t="s">
        <v>72</v>
      </c>
      <c r="D188" s="238" t="s">
        <v>337</v>
      </c>
      <c r="E188" s="243" t="str">
        <f>+'CUOTA ARTESANAL'!E147</f>
        <v>TITAN DEL MAR I (965111)</v>
      </c>
      <c r="F188" s="238" t="s">
        <v>54</v>
      </c>
      <c r="G188" s="238" t="s">
        <v>56</v>
      </c>
      <c r="H188" s="253">
        <f>'CUOTA ARTESANAL'!G147</f>
        <v>7.3849999999999998</v>
      </c>
      <c r="I188" s="253">
        <f>'CUOTA ARTESANAL'!H147</f>
        <v>0</v>
      </c>
      <c r="J188" s="253">
        <f>'CUOTA ARTESANAL'!I147</f>
        <v>7.3849999999999998</v>
      </c>
      <c r="K188" s="253">
        <f>'CUOTA ARTESANAL'!J147</f>
        <v>1.917</v>
      </c>
      <c r="L188" s="253">
        <f>'CUOTA ARTESANAL'!K147</f>
        <v>5.468</v>
      </c>
      <c r="M188" s="254">
        <f>'CUOTA ARTESANAL'!L147</f>
        <v>0.25958023019634396</v>
      </c>
      <c r="N188" s="240" t="str">
        <f>'CUOTA ARTESANAL'!M147</f>
        <v>-</v>
      </c>
      <c r="O188" s="241">
        <f>RESUMEN!$C$4</f>
        <v>44561</v>
      </c>
      <c r="P188" s="233">
        <v>2021</v>
      </c>
      <c r="Q188" s="228"/>
    </row>
    <row r="189" spans="1:17" s="236" customFormat="1" ht="15">
      <c r="A189" s="238" t="s">
        <v>51</v>
      </c>
      <c r="B189" s="238" t="s">
        <v>52</v>
      </c>
      <c r="C189" s="238" t="s">
        <v>72</v>
      </c>
      <c r="D189" s="238" t="s">
        <v>337</v>
      </c>
      <c r="E189" s="243" t="str">
        <f>+'CUOTA ARTESANAL'!E147</f>
        <v>TITAN DEL MAR I (965111)</v>
      </c>
      <c r="F189" s="238" t="s">
        <v>57</v>
      </c>
      <c r="G189" s="238" t="s">
        <v>58</v>
      </c>
      <c r="H189" s="253">
        <f>'CUOTA ARTESANAL'!G148</f>
        <v>7.3849999999999998</v>
      </c>
      <c r="I189" s="253">
        <f>'CUOTA ARTESANAL'!H148</f>
        <v>0</v>
      </c>
      <c r="J189" s="253">
        <f>'CUOTA ARTESANAL'!I148</f>
        <v>12.853</v>
      </c>
      <c r="K189" s="253">
        <f>'CUOTA ARTESANAL'!J148</f>
        <v>12.339</v>
      </c>
      <c r="L189" s="253">
        <f>'CUOTA ARTESANAL'!K148</f>
        <v>0.51399999999999935</v>
      </c>
      <c r="M189" s="254">
        <f>'CUOTA ARTESANAL'!L148</f>
        <v>0.96000933634171015</v>
      </c>
      <c r="N189" s="240" t="str">
        <f>'CUOTA ARTESANAL'!M148</f>
        <v>-</v>
      </c>
      <c r="O189" s="241">
        <f>RESUMEN!$C$4</f>
        <v>44561</v>
      </c>
      <c r="P189" s="233">
        <v>2021</v>
      </c>
      <c r="Q189" s="228"/>
    </row>
    <row r="190" spans="1:17" s="236" customFormat="1" ht="15">
      <c r="A190" s="238" t="s">
        <v>51</v>
      </c>
      <c r="B190" s="238" t="s">
        <v>52</v>
      </c>
      <c r="C190" s="238" t="s">
        <v>72</v>
      </c>
      <c r="D190" s="238" t="s">
        <v>337</v>
      </c>
      <c r="E190" s="243" t="str">
        <f>+'CUOTA ARTESANAL'!E147</f>
        <v>TITAN DEL MAR I (965111)</v>
      </c>
      <c r="F190" s="238" t="s">
        <v>54</v>
      </c>
      <c r="G190" s="238" t="s">
        <v>58</v>
      </c>
      <c r="H190" s="253">
        <f>'CUOTA ARTESANAL'!N147</f>
        <v>14.77</v>
      </c>
      <c r="I190" s="253">
        <f>'CUOTA ARTESANAL'!O147</f>
        <v>0</v>
      </c>
      <c r="J190" s="253">
        <f>'CUOTA ARTESANAL'!P147</f>
        <v>14.77</v>
      </c>
      <c r="K190" s="253">
        <f>'CUOTA ARTESANAL'!Q147</f>
        <v>14.256</v>
      </c>
      <c r="L190" s="253">
        <f>'CUOTA ARTESANAL'!R147</f>
        <v>0.51399999999999935</v>
      </c>
      <c r="M190" s="254">
        <f>'CUOTA ARTESANAL'!S147</f>
        <v>0.9651997291807719</v>
      </c>
      <c r="N190" s="240" t="s">
        <v>218</v>
      </c>
      <c r="O190" s="241">
        <f>RESUMEN!$C$4</f>
        <v>44561</v>
      </c>
      <c r="P190" s="233">
        <v>2021</v>
      </c>
      <c r="Q190" s="228"/>
    </row>
    <row r="191" spans="1:17" s="236" customFormat="1" ht="15">
      <c r="A191" s="238" t="s">
        <v>51</v>
      </c>
      <c r="B191" s="238" t="s">
        <v>52</v>
      </c>
      <c r="C191" s="238" t="s">
        <v>72</v>
      </c>
      <c r="D191" s="238" t="s">
        <v>337</v>
      </c>
      <c r="E191" s="243" t="str">
        <f>+'CUOTA ARTESANAL'!E149</f>
        <v>VICENTE ALONSO (966350)</v>
      </c>
      <c r="F191" s="238" t="s">
        <v>54</v>
      </c>
      <c r="G191" s="238" t="s">
        <v>56</v>
      </c>
      <c r="H191" s="253">
        <f>'CUOTA ARTESANAL'!G149</f>
        <v>7.3760000000000003</v>
      </c>
      <c r="I191" s="253">
        <f>'CUOTA ARTESANAL'!H149</f>
        <v>0</v>
      </c>
      <c r="J191" s="253">
        <f>'CUOTA ARTESANAL'!I149</f>
        <v>7.3760000000000003</v>
      </c>
      <c r="K191" s="253">
        <f>'CUOTA ARTESANAL'!J149</f>
        <v>6.5069999999999997</v>
      </c>
      <c r="L191" s="253">
        <f>'CUOTA ARTESANAL'!K149</f>
        <v>0.86900000000000066</v>
      </c>
      <c r="M191" s="254">
        <f>'CUOTA ARTESANAL'!L149</f>
        <v>0.88218546637744022</v>
      </c>
      <c r="N191" s="240" t="str">
        <f>'CUOTA ARTESANAL'!M149</f>
        <v>-</v>
      </c>
      <c r="O191" s="241">
        <f>RESUMEN!$C$4</f>
        <v>44561</v>
      </c>
      <c r="P191" s="233">
        <v>2021</v>
      </c>
      <c r="Q191" s="228"/>
    </row>
    <row r="192" spans="1:17" s="236" customFormat="1" ht="15">
      <c r="A192" s="238" t="s">
        <v>51</v>
      </c>
      <c r="B192" s="238" t="s">
        <v>52</v>
      </c>
      <c r="C192" s="238" t="s">
        <v>72</v>
      </c>
      <c r="D192" s="238" t="s">
        <v>337</v>
      </c>
      <c r="E192" s="243" t="str">
        <f>+'CUOTA ARTESANAL'!E149</f>
        <v>VICENTE ALONSO (966350)</v>
      </c>
      <c r="F192" s="238" t="s">
        <v>57</v>
      </c>
      <c r="G192" s="238" t="s">
        <v>58</v>
      </c>
      <c r="H192" s="253">
        <f>'CUOTA ARTESANAL'!G150</f>
        <v>7.3760000000000003</v>
      </c>
      <c r="I192" s="253">
        <f>'CUOTA ARTESANAL'!H150</f>
        <v>0</v>
      </c>
      <c r="J192" s="253">
        <f>'CUOTA ARTESANAL'!I150</f>
        <v>8.245000000000001</v>
      </c>
      <c r="K192" s="253">
        <f>'CUOTA ARTESANAL'!J150</f>
        <v>7.8840000000000003</v>
      </c>
      <c r="L192" s="253">
        <f>'CUOTA ARTESANAL'!K150</f>
        <v>0.36100000000000065</v>
      </c>
      <c r="M192" s="254">
        <f>'CUOTA ARTESANAL'!L150</f>
        <v>0.95621588841722249</v>
      </c>
      <c r="N192" s="240">
        <f>'CUOTA ARTESANAL'!M150</f>
        <v>44560</v>
      </c>
      <c r="O192" s="241">
        <f>RESUMEN!$C$4</f>
        <v>44561</v>
      </c>
      <c r="P192" s="233">
        <v>2021</v>
      </c>
      <c r="Q192" s="228"/>
    </row>
    <row r="193" spans="1:17" s="236" customFormat="1" ht="15">
      <c r="A193" s="238" t="s">
        <v>51</v>
      </c>
      <c r="B193" s="238" t="s">
        <v>52</v>
      </c>
      <c r="C193" s="238" t="s">
        <v>72</v>
      </c>
      <c r="D193" s="238" t="s">
        <v>337</v>
      </c>
      <c r="E193" s="243" t="str">
        <f>+'CUOTA ARTESANAL'!E149</f>
        <v>VICENTE ALONSO (966350)</v>
      </c>
      <c r="F193" s="238" t="s">
        <v>54</v>
      </c>
      <c r="G193" s="238" t="s">
        <v>58</v>
      </c>
      <c r="H193" s="253">
        <f>'CUOTA ARTESANAL'!N149</f>
        <v>14.752000000000001</v>
      </c>
      <c r="I193" s="253">
        <f>'CUOTA ARTESANAL'!O149</f>
        <v>0</v>
      </c>
      <c r="J193" s="253">
        <f>'CUOTA ARTESANAL'!P149</f>
        <v>14.752000000000001</v>
      </c>
      <c r="K193" s="253">
        <f>'CUOTA ARTESANAL'!Q149</f>
        <v>14.391</v>
      </c>
      <c r="L193" s="253">
        <f>'CUOTA ARTESANAL'!R149</f>
        <v>0.36100000000000065</v>
      </c>
      <c r="M193" s="254">
        <f>'CUOTA ARTESANAL'!S149</f>
        <v>0.97552874186550975</v>
      </c>
      <c r="N193" s="240" t="s">
        <v>218</v>
      </c>
      <c r="O193" s="241">
        <f>RESUMEN!$C$4</f>
        <v>44561</v>
      </c>
      <c r="P193" s="233">
        <v>2021</v>
      </c>
      <c r="Q193" s="228"/>
    </row>
    <row r="194" spans="1:17" ht="15.75" customHeight="1">
      <c r="A194" s="238" t="s">
        <v>51</v>
      </c>
      <c r="B194" s="238" t="s">
        <v>52</v>
      </c>
      <c r="C194" s="238" t="s">
        <v>72</v>
      </c>
      <c r="D194" s="238" t="s">
        <v>337</v>
      </c>
      <c r="E194" s="243" t="str">
        <f>+'CUOTA ARTESANAL'!E151</f>
        <v>EL PELICANO IV (968909)</v>
      </c>
      <c r="F194" s="238" t="s">
        <v>54</v>
      </c>
      <c r="G194" s="238" t="s">
        <v>56</v>
      </c>
      <c r="H194" s="253">
        <f>'CUOTA ARTESANAL'!G151</f>
        <v>7.3810000000000002</v>
      </c>
      <c r="I194" s="253">
        <f>'CUOTA ARTESANAL'!H151</f>
        <v>0</v>
      </c>
      <c r="J194" s="253">
        <f>'CUOTA ARTESANAL'!I151</f>
        <v>7.3810000000000002</v>
      </c>
      <c r="K194" s="253">
        <f>'CUOTA ARTESANAL'!J151</f>
        <v>5.2649999999999997</v>
      </c>
      <c r="L194" s="253">
        <f>'CUOTA ARTESANAL'!K151</f>
        <v>2.1160000000000005</v>
      </c>
      <c r="M194" s="254">
        <f>'CUOTA ARTESANAL'!L151</f>
        <v>0.7133179785936864</v>
      </c>
      <c r="N194" s="240" t="str">
        <f>'CUOTA ARTESANAL'!M151</f>
        <v>-</v>
      </c>
      <c r="O194" s="241">
        <f>RESUMEN!$C$4</f>
        <v>44561</v>
      </c>
      <c r="P194" s="233">
        <v>2021</v>
      </c>
      <c r="Q194" s="233"/>
    </row>
    <row r="195" spans="1:17" s="236" customFormat="1" ht="15">
      <c r="A195" s="238" t="s">
        <v>51</v>
      </c>
      <c r="B195" s="238" t="s">
        <v>52</v>
      </c>
      <c r="C195" s="238" t="s">
        <v>72</v>
      </c>
      <c r="D195" s="238" t="s">
        <v>337</v>
      </c>
      <c r="E195" s="243" t="str">
        <f>+'CUOTA ARTESANAL'!E151</f>
        <v>EL PELICANO IV (968909)</v>
      </c>
      <c r="F195" s="238" t="s">
        <v>57</v>
      </c>
      <c r="G195" s="238" t="s">
        <v>58</v>
      </c>
      <c r="H195" s="253">
        <f>'CUOTA ARTESANAL'!G152</f>
        <v>7.3810000000000002</v>
      </c>
      <c r="I195" s="253">
        <f>'CUOTA ARTESANAL'!H152</f>
        <v>0</v>
      </c>
      <c r="J195" s="253">
        <f>'CUOTA ARTESANAL'!I152</f>
        <v>9.4969999999999999</v>
      </c>
      <c r="K195" s="253">
        <f>'CUOTA ARTESANAL'!J152</f>
        <v>8.0190000000000001</v>
      </c>
      <c r="L195" s="253">
        <f>'CUOTA ARTESANAL'!K152</f>
        <v>1.4779999999999998</v>
      </c>
      <c r="M195" s="254">
        <f>'CUOTA ARTESANAL'!L152</f>
        <v>0.84437190691797415</v>
      </c>
      <c r="N195" s="240" t="str">
        <f>'CUOTA ARTESANAL'!M152</f>
        <v>-</v>
      </c>
      <c r="O195" s="241">
        <f>RESUMEN!$C$4</f>
        <v>44561</v>
      </c>
      <c r="P195" s="233">
        <v>2021</v>
      </c>
      <c r="Q195" s="228"/>
    </row>
    <row r="196" spans="1:17" s="236" customFormat="1" ht="15">
      <c r="A196" s="238" t="s">
        <v>51</v>
      </c>
      <c r="B196" s="238" t="s">
        <v>52</v>
      </c>
      <c r="C196" s="238" t="s">
        <v>72</v>
      </c>
      <c r="D196" s="238" t="s">
        <v>337</v>
      </c>
      <c r="E196" s="243" t="str">
        <f>+'CUOTA ARTESANAL'!E151</f>
        <v>EL PELICANO IV (968909)</v>
      </c>
      <c r="F196" s="238" t="s">
        <v>54</v>
      </c>
      <c r="G196" s="238" t="s">
        <v>58</v>
      </c>
      <c r="H196" s="253">
        <f>'CUOTA ARTESANAL'!N151</f>
        <v>14.762</v>
      </c>
      <c r="I196" s="253">
        <f>'CUOTA ARTESANAL'!O151</f>
        <v>0</v>
      </c>
      <c r="J196" s="253">
        <f>'CUOTA ARTESANAL'!P151</f>
        <v>14.762</v>
      </c>
      <c r="K196" s="253">
        <f>'CUOTA ARTESANAL'!Q151</f>
        <v>13.283999999999999</v>
      </c>
      <c r="L196" s="253">
        <f>'CUOTA ARTESANAL'!R151</f>
        <v>1.4780000000000015</v>
      </c>
      <c r="M196" s="254">
        <f>'CUOTA ARTESANAL'!S151</f>
        <v>0.89987806530280434</v>
      </c>
      <c r="N196" s="240" t="s">
        <v>218</v>
      </c>
      <c r="O196" s="241">
        <f>RESUMEN!$C$4</f>
        <v>44561</v>
      </c>
      <c r="P196" s="233">
        <v>2021</v>
      </c>
      <c r="Q196" s="228"/>
    </row>
    <row r="197" spans="1:17" s="236" customFormat="1" ht="15">
      <c r="A197" s="238" t="s">
        <v>51</v>
      </c>
      <c r="B197" s="238" t="s">
        <v>52</v>
      </c>
      <c r="C197" s="238" t="s">
        <v>72</v>
      </c>
      <c r="D197" s="238" t="s">
        <v>337</v>
      </c>
      <c r="E197" s="243" t="str">
        <f>+'CUOTA ARTESANAL'!E153</f>
        <v>EL VIEJO ROLA (966699)</v>
      </c>
      <c r="F197" s="238" t="s">
        <v>54</v>
      </c>
      <c r="G197" s="238" t="s">
        <v>56</v>
      </c>
      <c r="H197" s="253">
        <f>'CUOTA ARTESANAL'!G153</f>
        <v>7.3810000000000002</v>
      </c>
      <c r="I197" s="253">
        <f>'CUOTA ARTESANAL'!H153</f>
        <v>0</v>
      </c>
      <c r="J197" s="253">
        <f>'CUOTA ARTESANAL'!I153</f>
        <v>7.3810000000000002</v>
      </c>
      <c r="K197" s="253">
        <f>'CUOTA ARTESANAL'!J153</f>
        <v>4.4279999999999999</v>
      </c>
      <c r="L197" s="253">
        <f>'CUOTA ARTESANAL'!K153</f>
        <v>2.9530000000000003</v>
      </c>
      <c r="M197" s="254">
        <f>'CUOTA ARTESANAL'!L153</f>
        <v>0.5999187102018696</v>
      </c>
      <c r="N197" s="240" t="str">
        <f>'CUOTA ARTESANAL'!M153</f>
        <v>-</v>
      </c>
      <c r="O197" s="241">
        <f>RESUMEN!$C$4</f>
        <v>44561</v>
      </c>
      <c r="P197" s="233">
        <v>2021</v>
      </c>
      <c r="Q197" s="228"/>
    </row>
    <row r="198" spans="1:17" s="236" customFormat="1" ht="15">
      <c r="A198" s="238" t="s">
        <v>51</v>
      </c>
      <c r="B198" s="238" t="s">
        <v>52</v>
      </c>
      <c r="C198" s="238" t="s">
        <v>72</v>
      </c>
      <c r="D198" s="238" t="s">
        <v>337</v>
      </c>
      <c r="E198" s="243" t="str">
        <f>+'CUOTA ARTESANAL'!E153</f>
        <v>EL VIEJO ROLA (966699)</v>
      </c>
      <c r="F198" s="238" t="s">
        <v>57</v>
      </c>
      <c r="G198" s="238" t="s">
        <v>58</v>
      </c>
      <c r="H198" s="253">
        <f>'CUOTA ARTESANAL'!G154</f>
        <v>7.3810000000000002</v>
      </c>
      <c r="I198" s="253">
        <f>'CUOTA ARTESANAL'!H154</f>
        <v>0</v>
      </c>
      <c r="J198" s="253">
        <f>'CUOTA ARTESANAL'!I154</f>
        <v>10.334</v>
      </c>
      <c r="K198" s="253">
        <f>'CUOTA ARTESANAL'!J154</f>
        <v>9.8480000000000008</v>
      </c>
      <c r="L198" s="253">
        <f>'CUOTA ARTESANAL'!K154</f>
        <v>0.48599999999999888</v>
      </c>
      <c r="M198" s="254">
        <f>'CUOTA ARTESANAL'!L154</f>
        <v>0.95297077607896274</v>
      </c>
      <c r="N198" s="240" t="str">
        <f>'CUOTA ARTESANAL'!M154</f>
        <v>-</v>
      </c>
      <c r="O198" s="241">
        <f>RESUMEN!$C$4</f>
        <v>44561</v>
      </c>
      <c r="P198" s="233">
        <v>2021</v>
      </c>
      <c r="Q198" s="228"/>
    </row>
    <row r="199" spans="1:17" s="236" customFormat="1" ht="15">
      <c r="A199" s="238" t="s">
        <v>51</v>
      </c>
      <c r="B199" s="238" t="s">
        <v>52</v>
      </c>
      <c r="C199" s="238" t="s">
        <v>72</v>
      </c>
      <c r="D199" s="238" t="s">
        <v>337</v>
      </c>
      <c r="E199" s="243" t="str">
        <f>+'CUOTA ARTESANAL'!E153</f>
        <v>EL VIEJO ROLA (966699)</v>
      </c>
      <c r="F199" s="238" t="s">
        <v>54</v>
      </c>
      <c r="G199" s="238" t="s">
        <v>58</v>
      </c>
      <c r="H199" s="253">
        <f>'CUOTA ARTESANAL'!N153</f>
        <v>14.762</v>
      </c>
      <c r="I199" s="253">
        <f>'CUOTA ARTESANAL'!O153</f>
        <v>0</v>
      </c>
      <c r="J199" s="253">
        <f>'CUOTA ARTESANAL'!P153</f>
        <v>14.762</v>
      </c>
      <c r="K199" s="253">
        <f>'CUOTA ARTESANAL'!Q153</f>
        <v>14.276</v>
      </c>
      <c r="L199" s="253">
        <f>'CUOTA ARTESANAL'!R153</f>
        <v>0.48600000000000065</v>
      </c>
      <c r="M199" s="254">
        <f>'CUOTA ARTESANAL'!S153</f>
        <v>0.9670776317572144</v>
      </c>
      <c r="N199" s="240" t="s">
        <v>218</v>
      </c>
      <c r="O199" s="241">
        <f>RESUMEN!$C$4</f>
        <v>44561</v>
      </c>
      <c r="P199" s="233">
        <v>2021</v>
      </c>
      <c r="Q199" s="228"/>
    </row>
    <row r="200" spans="1:17" s="236" customFormat="1" ht="15">
      <c r="A200" s="238" t="s">
        <v>51</v>
      </c>
      <c r="B200" s="238" t="s">
        <v>52</v>
      </c>
      <c r="C200" s="238" t="s">
        <v>72</v>
      </c>
      <c r="D200" s="238" t="s">
        <v>337</v>
      </c>
      <c r="E200" s="243" t="str">
        <f>+'CUOTA ARTESANAL'!E155</f>
        <v>KARINA ANDREA III (697782)</v>
      </c>
      <c r="F200" s="238" t="s">
        <v>54</v>
      </c>
      <c r="G200" s="238" t="s">
        <v>56</v>
      </c>
      <c r="H200" s="253">
        <f>'CUOTA ARTESANAL'!G155</f>
        <v>7.383</v>
      </c>
      <c r="I200" s="253">
        <f>'CUOTA ARTESANAL'!H155</f>
        <v>0</v>
      </c>
      <c r="J200" s="253">
        <f>'CUOTA ARTESANAL'!I155</f>
        <v>7.383</v>
      </c>
      <c r="K200" s="253">
        <f>'CUOTA ARTESANAL'!J155</f>
        <v>4.4989999999999997</v>
      </c>
      <c r="L200" s="253">
        <f>'CUOTA ARTESANAL'!K155</f>
        <v>2.8840000000000003</v>
      </c>
      <c r="M200" s="254">
        <f>'CUOTA ARTESANAL'!L155</f>
        <v>0.60937288365163211</v>
      </c>
      <c r="N200" s="240" t="str">
        <f>'CUOTA ARTESANAL'!M155</f>
        <v>-</v>
      </c>
      <c r="O200" s="241">
        <f>RESUMEN!$C$4</f>
        <v>44561</v>
      </c>
      <c r="P200" s="233">
        <v>2021</v>
      </c>
      <c r="Q200" s="228"/>
    </row>
    <row r="201" spans="1:17" s="236" customFormat="1" ht="15">
      <c r="A201" s="238" t="s">
        <v>51</v>
      </c>
      <c r="B201" s="238" t="s">
        <v>52</v>
      </c>
      <c r="C201" s="238" t="s">
        <v>72</v>
      </c>
      <c r="D201" s="238" t="s">
        <v>337</v>
      </c>
      <c r="E201" s="243" t="str">
        <f>+'CUOTA ARTESANAL'!E155</f>
        <v>KARINA ANDREA III (697782)</v>
      </c>
      <c r="F201" s="238" t="s">
        <v>57</v>
      </c>
      <c r="G201" s="238" t="s">
        <v>58</v>
      </c>
      <c r="H201" s="253">
        <f>'CUOTA ARTESANAL'!G156</f>
        <v>7.383</v>
      </c>
      <c r="I201" s="253">
        <f>'CUOTA ARTESANAL'!H156</f>
        <v>0</v>
      </c>
      <c r="J201" s="253">
        <f>'CUOTA ARTESANAL'!I156</f>
        <v>10.266999999999999</v>
      </c>
      <c r="K201" s="253">
        <f>'CUOTA ARTESANAL'!J156</f>
        <v>9.8010000000000002</v>
      </c>
      <c r="L201" s="253">
        <f>'CUOTA ARTESANAL'!K156</f>
        <v>0.4659999999999993</v>
      </c>
      <c r="M201" s="254">
        <f>'CUOTA ARTESANAL'!L156</f>
        <v>0.95461186325119318</v>
      </c>
      <c r="N201" s="240" t="str">
        <f>'CUOTA ARTESANAL'!M156</f>
        <v>-</v>
      </c>
      <c r="O201" s="241">
        <f>RESUMEN!$C$4</f>
        <v>44561</v>
      </c>
      <c r="P201" s="233">
        <v>2021</v>
      </c>
      <c r="Q201" s="228"/>
    </row>
    <row r="202" spans="1:17" s="236" customFormat="1" ht="15">
      <c r="A202" s="238" t="s">
        <v>51</v>
      </c>
      <c r="B202" s="238" t="s">
        <v>52</v>
      </c>
      <c r="C202" s="238" t="s">
        <v>72</v>
      </c>
      <c r="D202" s="238" t="s">
        <v>337</v>
      </c>
      <c r="E202" s="243" t="str">
        <f>+'CUOTA ARTESANAL'!E155</f>
        <v>KARINA ANDREA III (697782)</v>
      </c>
      <c r="F202" s="238" t="s">
        <v>54</v>
      </c>
      <c r="G202" s="238" t="s">
        <v>58</v>
      </c>
      <c r="H202" s="253">
        <f>'CUOTA ARTESANAL'!N155</f>
        <v>14.766</v>
      </c>
      <c r="I202" s="253">
        <f>'CUOTA ARTESANAL'!O155</f>
        <v>0</v>
      </c>
      <c r="J202" s="253">
        <f>'CUOTA ARTESANAL'!P155</f>
        <v>14.766</v>
      </c>
      <c r="K202" s="253">
        <f>'CUOTA ARTESANAL'!Q155</f>
        <v>14.3</v>
      </c>
      <c r="L202" s="253">
        <f>'CUOTA ARTESANAL'!R155</f>
        <v>0.4659999999999993</v>
      </c>
      <c r="M202" s="254">
        <f>'CUOTA ARTESANAL'!S155</f>
        <v>0.96844101313829067</v>
      </c>
      <c r="N202" s="240" t="s">
        <v>218</v>
      </c>
      <c r="O202" s="241">
        <f>RESUMEN!$C$4</f>
        <v>44561</v>
      </c>
      <c r="P202" s="233">
        <v>2021</v>
      </c>
      <c r="Q202" s="228"/>
    </row>
    <row r="203" spans="1:17" s="236" customFormat="1" ht="15">
      <c r="A203" s="238" t="s">
        <v>51</v>
      </c>
      <c r="B203" s="238" t="s">
        <v>52</v>
      </c>
      <c r="C203" s="238" t="s">
        <v>72</v>
      </c>
      <c r="D203" s="238" t="s">
        <v>337</v>
      </c>
      <c r="E203" s="243" t="str">
        <f>+'CUOTA ARTESANAL'!E157</f>
        <v>LOS CARRERA I (967344)</v>
      </c>
      <c r="F203" s="238" t="s">
        <v>54</v>
      </c>
      <c r="G203" s="238" t="s">
        <v>56</v>
      </c>
      <c r="H203" s="253">
        <f>'CUOTA ARTESANAL'!G157</f>
        <v>7.3810000000000002</v>
      </c>
      <c r="I203" s="253">
        <f>'CUOTA ARTESANAL'!H157</f>
        <v>0</v>
      </c>
      <c r="J203" s="253">
        <f>'CUOTA ARTESANAL'!I157</f>
        <v>7.3810000000000002</v>
      </c>
      <c r="K203" s="253">
        <f>'CUOTA ARTESANAL'!J157</f>
        <v>1.782</v>
      </c>
      <c r="L203" s="253">
        <f>'CUOTA ARTESANAL'!K157</f>
        <v>5.5990000000000002</v>
      </c>
      <c r="M203" s="254">
        <f>'CUOTA ARTESANAL'!L157</f>
        <v>0.24143070044709389</v>
      </c>
      <c r="N203" s="240" t="str">
        <f>'CUOTA ARTESANAL'!M157</f>
        <v>-</v>
      </c>
      <c r="O203" s="241">
        <f>RESUMEN!$C$4</f>
        <v>44561</v>
      </c>
      <c r="P203" s="233">
        <v>2021</v>
      </c>
      <c r="Q203" s="228"/>
    </row>
    <row r="204" spans="1:17" s="236" customFormat="1" ht="15">
      <c r="A204" s="238" t="s">
        <v>51</v>
      </c>
      <c r="B204" s="238" t="s">
        <v>52</v>
      </c>
      <c r="C204" s="238" t="s">
        <v>72</v>
      </c>
      <c r="D204" s="238" t="s">
        <v>337</v>
      </c>
      <c r="E204" s="243" t="str">
        <f>+'CUOTA ARTESANAL'!E157</f>
        <v>LOS CARRERA I (967344)</v>
      </c>
      <c r="F204" s="238" t="s">
        <v>57</v>
      </c>
      <c r="G204" s="238" t="s">
        <v>58</v>
      </c>
      <c r="H204" s="253">
        <f>'CUOTA ARTESANAL'!G158</f>
        <v>7.3810000000000002</v>
      </c>
      <c r="I204" s="253">
        <f>'CUOTA ARTESANAL'!H158</f>
        <v>0</v>
      </c>
      <c r="J204" s="253">
        <f>'CUOTA ARTESANAL'!I158</f>
        <v>12.98</v>
      </c>
      <c r="K204" s="253">
        <f>'CUOTA ARTESANAL'!J158</f>
        <v>6.1559999999999988</v>
      </c>
      <c r="L204" s="253">
        <f>'CUOTA ARTESANAL'!K158</f>
        <v>6.8240000000000016</v>
      </c>
      <c r="M204" s="254">
        <f>'CUOTA ARTESANAL'!L158</f>
        <v>0.47426810477657927</v>
      </c>
      <c r="N204" s="240" t="str">
        <f>'CUOTA ARTESANAL'!M158</f>
        <v>-</v>
      </c>
      <c r="O204" s="241">
        <f>RESUMEN!$C$4</f>
        <v>44561</v>
      </c>
      <c r="P204" s="233">
        <v>2021</v>
      </c>
      <c r="Q204" s="228"/>
    </row>
    <row r="205" spans="1:17" s="236" customFormat="1" ht="15">
      <c r="A205" s="238" t="s">
        <v>51</v>
      </c>
      <c r="B205" s="238" t="s">
        <v>52</v>
      </c>
      <c r="C205" s="238" t="s">
        <v>72</v>
      </c>
      <c r="D205" s="238" t="s">
        <v>337</v>
      </c>
      <c r="E205" s="243" t="str">
        <f>+'CUOTA ARTESANAL'!E157</f>
        <v>LOS CARRERA I (967344)</v>
      </c>
      <c r="F205" s="238" t="s">
        <v>54</v>
      </c>
      <c r="G205" s="238" t="s">
        <v>58</v>
      </c>
      <c r="H205" s="253">
        <f>'CUOTA ARTESANAL'!N157</f>
        <v>14.762</v>
      </c>
      <c r="I205" s="253">
        <f>'CUOTA ARTESANAL'!O157</f>
        <v>0</v>
      </c>
      <c r="J205" s="253">
        <f>'CUOTA ARTESANAL'!P157</f>
        <v>14.762</v>
      </c>
      <c r="K205" s="253">
        <f>'CUOTA ARTESANAL'!Q157</f>
        <v>7.9379999999999988</v>
      </c>
      <c r="L205" s="253">
        <f>'CUOTA ARTESANAL'!R157</f>
        <v>6.8240000000000016</v>
      </c>
      <c r="M205" s="254">
        <f>'CUOTA ARTESANAL'!S157</f>
        <v>0.53773201463216358</v>
      </c>
      <c r="N205" s="240" t="s">
        <v>218</v>
      </c>
      <c r="O205" s="241">
        <f>RESUMEN!$C$4</f>
        <v>44561</v>
      </c>
      <c r="P205" s="233">
        <v>2021</v>
      </c>
      <c r="Q205" s="228"/>
    </row>
    <row r="206" spans="1:17" s="236" customFormat="1" ht="15">
      <c r="A206" s="238" t="s">
        <v>51</v>
      </c>
      <c r="B206" s="238" t="s">
        <v>52</v>
      </c>
      <c r="C206" s="238" t="s">
        <v>72</v>
      </c>
      <c r="D206" s="238" t="s">
        <v>337</v>
      </c>
      <c r="E206" s="243" t="str">
        <f>+'CUOTA ARTESANAL'!E159</f>
        <v>MARGAB II (967798)</v>
      </c>
      <c r="F206" s="238" t="s">
        <v>54</v>
      </c>
      <c r="G206" s="238" t="s">
        <v>56</v>
      </c>
      <c r="H206" s="253">
        <f>'CUOTA ARTESANAL'!G159</f>
        <v>7.38</v>
      </c>
      <c r="I206" s="253">
        <f>'CUOTA ARTESANAL'!H159</f>
        <v>0</v>
      </c>
      <c r="J206" s="253">
        <f>'CUOTA ARTESANAL'!I159</f>
        <v>7.38</v>
      </c>
      <c r="K206" s="253">
        <f>'CUOTA ARTESANAL'!J159</f>
        <v>4.1850000000000005</v>
      </c>
      <c r="L206" s="253">
        <f>'CUOTA ARTESANAL'!K159</f>
        <v>3.1949999999999994</v>
      </c>
      <c r="M206" s="254">
        <f>'CUOTA ARTESANAL'!L159</f>
        <v>0.56707317073170738</v>
      </c>
      <c r="N206" s="240" t="str">
        <f>'CUOTA ARTESANAL'!M159</f>
        <v>-</v>
      </c>
      <c r="O206" s="241">
        <f>RESUMEN!$C$4</f>
        <v>44561</v>
      </c>
      <c r="P206" s="233">
        <v>2021</v>
      </c>
      <c r="Q206" s="228"/>
    </row>
    <row r="207" spans="1:17" s="236" customFormat="1" ht="15">
      <c r="A207" s="238" t="s">
        <v>51</v>
      </c>
      <c r="B207" s="238" t="s">
        <v>52</v>
      </c>
      <c r="C207" s="238" t="s">
        <v>72</v>
      </c>
      <c r="D207" s="238" t="s">
        <v>337</v>
      </c>
      <c r="E207" s="243" t="str">
        <f>+'CUOTA ARTESANAL'!E159</f>
        <v>MARGAB II (967798)</v>
      </c>
      <c r="F207" s="238" t="s">
        <v>57</v>
      </c>
      <c r="G207" s="238" t="s">
        <v>58</v>
      </c>
      <c r="H207" s="253">
        <f>'CUOTA ARTESANAL'!G160</f>
        <v>7.38</v>
      </c>
      <c r="I207" s="253">
        <f>'CUOTA ARTESANAL'!H160</f>
        <v>0</v>
      </c>
      <c r="J207" s="253">
        <f>'CUOTA ARTESANAL'!I160</f>
        <v>10.574999999999999</v>
      </c>
      <c r="K207" s="253">
        <f>'CUOTA ARTESANAL'!J160</f>
        <v>10.151999999999999</v>
      </c>
      <c r="L207" s="253">
        <f>'CUOTA ARTESANAL'!K160</f>
        <v>0.42300000000000004</v>
      </c>
      <c r="M207" s="254">
        <f>'CUOTA ARTESANAL'!L160</f>
        <v>0.96</v>
      </c>
      <c r="N207" s="240" t="str">
        <f>'CUOTA ARTESANAL'!M160</f>
        <v>-</v>
      </c>
      <c r="O207" s="241">
        <f>RESUMEN!$C$4</f>
        <v>44561</v>
      </c>
      <c r="P207" s="233">
        <v>2021</v>
      </c>
      <c r="Q207" s="228"/>
    </row>
    <row r="208" spans="1:17" s="236" customFormat="1" ht="15">
      <c r="A208" s="238" t="s">
        <v>51</v>
      </c>
      <c r="B208" s="238" t="s">
        <v>52</v>
      </c>
      <c r="C208" s="238" t="s">
        <v>72</v>
      </c>
      <c r="D208" s="238" t="s">
        <v>337</v>
      </c>
      <c r="E208" s="243" t="str">
        <f>+'CUOTA ARTESANAL'!E159</f>
        <v>MARGAB II (967798)</v>
      </c>
      <c r="F208" s="238" t="s">
        <v>54</v>
      </c>
      <c r="G208" s="238" t="s">
        <v>58</v>
      </c>
      <c r="H208" s="253">
        <f>'CUOTA ARTESANAL'!N159</f>
        <v>14.76</v>
      </c>
      <c r="I208" s="253">
        <f>'CUOTA ARTESANAL'!O159</f>
        <v>0</v>
      </c>
      <c r="J208" s="253">
        <f>'CUOTA ARTESANAL'!P159</f>
        <v>14.76</v>
      </c>
      <c r="K208" s="253">
        <f>'CUOTA ARTESANAL'!Q159</f>
        <v>14.337</v>
      </c>
      <c r="L208" s="253">
        <f>'CUOTA ARTESANAL'!R159</f>
        <v>0.42300000000000004</v>
      </c>
      <c r="M208" s="254">
        <f>'CUOTA ARTESANAL'!S159</f>
        <v>0.97134146341463412</v>
      </c>
      <c r="N208" s="240" t="s">
        <v>218</v>
      </c>
      <c r="O208" s="241">
        <f>RESUMEN!$C$4</f>
        <v>44561</v>
      </c>
      <c r="P208" s="233">
        <v>2021</v>
      </c>
      <c r="Q208" s="228"/>
    </row>
    <row r="209" spans="1:17" s="236" customFormat="1" ht="15">
      <c r="A209" s="238" t="s">
        <v>51</v>
      </c>
      <c r="B209" s="238" t="s">
        <v>52</v>
      </c>
      <c r="C209" s="238" t="s">
        <v>72</v>
      </c>
      <c r="D209" s="238" t="s">
        <v>337</v>
      </c>
      <c r="E209" s="243" t="str">
        <f>+'CUOTA ARTESANAL'!E161</f>
        <v>QUETZAL III (958072)</v>
      </c>
      <c r="F209" s="238" t="s">
        <v>54</v>
      </c>
      <c r="G209" s="238" t="s">
        <v>56</v>
      </c>
      <c r="H209" s="253">
        <f>'CUOTA ARTESANAL'!G161</f>
        <v>7.3840000000000003</v>
      </c>
      <c r="I209" s="253">
        <f>'CUOTA ARTESANAL'!H161</f>
        <v>0</v>
      </c>
      <c r="J209" s="253">
        <f>'CUOTA ARTESANAL'!I161</f>
        <v>7.3840000000000003</v>
      </c>
      <c r="K209" s="253">
        <f>'CUOTA ARTESANAL'!J161</f>
        <v>2.6459999999999999</v>
      </c>
      <c r="L209" s="253">
        <f>'CUOTA ARTESANAL'!K161</f>
        <v>4.7380000000000004</v>
      </c>
      <c r="M209" s="254">
        <f>'CUOTA ARTESANAL'!L161</f>
        <v>0.35834236186348861</v>
      </c>
      <c r="N209" s="240" t="str">
        <f>'CUOTA ARTESANAL'!M161</f>
        <v>-</v>
      </c>
      <c r="O209" s="241">
        <f>RESUMEN!$C$4</f>
        <v>44561</v>
      </c>
      <c r="P209" s="233">
        <v>2021</v>
      </c>
      <c r="Q209" s="228"/>
    </row>
    <row r="210" spans="1:17" s="236" customFormat="1" ht="15">
      <c r="A210" s="238" t="s">
        <v>51</v>
      </c>
      <c r="B210" s="238" t="s">
        <v>52</v>
      </c>
      <c r="C210" s="238" t="s">
        <v>72</v>
      </c>
      <c r="D210" s="238" t="s">
        <v>337</v>
      </c>
      <c r="E210" s="243" t="str">
        <f>+'CUOTA ARTESANAL'!E161</f>
        <v>QUETZAL III (958072)</v>
      </c>
      <c r="F210" s="238" t="s">
        <v>57</v>
      </c>
      <c r="G210" s="238" t="s">
        <v>58</v>
      </c>
      <c r="H210" s="253">
        <f>'CUOTA ARTESANAL'!G162</f>
        <v>7.3840000000000003</v>
      </c>
      <c r="I210" s="253">
        <f>'CUOTA ARTESANAL'!H162</f>
        <v>0</v>
      </c>
      <c r="J210" s="253">
        <f>'CUOTA ARTESANAL'!I162</f>
        <v>12.122</v>
      </c>
      <c r="K210" s="253">
        <f>'CUOTA ARTESANAL'!J162</f>
        <v>7.992</v>
      </c>
      <c r="L210" s="253">
        <f>'CUOTA ARTESANAL'!K162</f>
        <v>4.13</v>
      </c>
      <c r="M210" s="254">
        <f>'CUOTA ARTESANAL'!L162</f>
        <v>0.65929714568553044</v>
      </c>
      <c r="N210" s="240" t="str">
        <f>'CUOTA ARTESANAL'!M162</f>
        <v>-</v>
      </c>
      <c r="O210" s="241">
        <f>RESUMEN!$C$4</f>
        <v>44561</v>
      </c>
      <c r="P210" s="233">
        <v>2021</v>
      </c>
      <c r="Q210" s="228"/>
    </row>
    <row r="211" spans="1:17" s="236" customFormat="1" ht="15">
      <c r="A211" s="238" t="s">
        <v>51</v>
      </c>
      <c r="B211" s="238" t="s">
        <v>52</v>
      </c>
      <c r="C211" s="238" t="s">
        <v>72</v>
      </c>
      <c r="D211" s="238" t="s">
        <v>337</v>
      </c>
      <c r="E211" s="243" t="str">
        <f>+'CUOTA ARTESANAL'!E161</f>
        <v>QUETZAL III (958072)</v>
      </c>
      <c r="F211" s="238" t="s">
        <v>54</v>
      </c>
      <c r="G211" s="238" t="s">
        <v>58</v>
      </c>
      <c r="H211" s="253">
        <f>'CUOTA ARTESANAL'!N161</f>
        <v>14.768000000000001</v>
      </c>
      <c r="I211" s="253">
        <f>'CUOTA ARTESANAL'!O161</f>
        <v>0</v>
      </c>
      <c r="J211" s="253">
        <f>'CUOTA ARTESANAL'!P161</f>
        <v>14.768000000000001</v>
      </c>
      <c r="K211" s="253">
        <f>'CUOTA ARTESANAL'!Q161</f>
        <v>10.638</v>
      </c>
      <c r="L211" s="253">
        <f>'CUOTA ARTESANAL'!R161</f>
        <v>4.1300000000000008</v>
      </c>
      <c r="M211" s="254">
        <f>'CUOTA ARTESANAL'!S161</f>
        <v>0.72034127843986995</v>
      </c>
      <c r="N211" s="240" t="s">
        <v>218</v>
      </c>
      <c r="O211" s="241">
        <f>RESUMEN!$C$4</f>
        <v>44561</v>
      </c>
      <c r="P211" s="233">
        <v>2021</v>
      </c>
      <c r="Q211" s="228"/>
    </row>
    <row r="212" spans="1:17" ht="15.75" customHeight="1">
      <c r="A212" s="238" t="s">
        <v>51</v>
      </c>
      <c r="B212" s="238" t="s">
        <v>52</v>
      </c>
      <c r="C212" s="238" t="s">
        <v>72</v>
      </c>
      <c r="D212" s="238" t="s">
        <v>337</v>
      </c>
      <c r="E212" s="243" t="str">
        <f>+'CUOTA ARTESANAL'!E163</f>
        <v>ESMERALDA R (697570)</v>
      </c>
      <c r="F212" s="238" t="s">
        <v>54</v>
      </c>
      <c r="G212" s="238" t="s">
        <v>56</v>
      </c>
      <c r="H212" s="253">
        <f>'CUOTA ARTESANAL'!G163</f>
        <v>7.3789999999999996</v>
      </c>
      <c r="I212" s="253">
        <f>'CUOTA ARTESANAL'!H163</f>
        <v>-7.9000000000000001E-2</v>
      </c>
      <c r="J212" s="253">
        <f>'CUOTA ARTESANAL'!I163</f>
        <v>7.3</v>
      </c>
      <c r="K212" s="253">
        <f>'CUOTA ARTESANAL'!J163</f>
        <v>5.9939999999999998</v>
      </c>
      <c r="L212" s="253">
        <f>'CUOTA ARTESANAL'!K163</f>
        <v>1.306</v>
      </c>
      <c r="M212" s="254">
        <f>'CUOTA ARTESANAL'!L163</f>
        <v>0.82109589041095887</v>
      </c>
      <c r="N212" s="240" t="str">
        <f>'CUOTA ARTESANAL'!M163</f>
        <v>-</v>
      </c>
      <c r="O212" s="241">
        <f>RESUMEN!$C$4</f>
        <v>44561</v>
      </c>
      <c r="P212" s="233">
        <v>2021</v>
      </c>
      <c r="Q212" s="233"/>
    </row>
    <row r="213" spans="1:17" ht="15.75" customHeight="1">
      <c r="A213" s="238" t="s">
        <v>51</v>
      </c>
      <c r="B213" s="238" t="s">
        <v>52</v>
      </c>
      <c r="C213" s="238" t="s">
        <v>72</v>
      </c>
      <c r="D213" s="238" t="s">
        <v>337</v>
      </c>
      <c r="E213" s="243" t="str">
        <f>+'CUOTA ARTESANAL'!E163</f>
        <v>ESMERALDA R (697570)</v>
      </c>
      <c r="F213" s="238" t="s">
        <v>57</v>
      </c>
      <c r="G213" s="238" t="s">
        <v>58</v>
      </c>
      <c r="H213" s="253">
        <f>'CUOTA ARTESANAL'!G164</f>
        <v>7.3789999999999996</v>
      </c>
      <c r="I213" s="253">
        <f>'CUOTA ARTESANAL'!H164</f>
        <v>0</v>
      </c>
      <c r="J213" s="253">
        <f>'CUOTA ARTESANAL'!I164</f>
        <v>8.6849999999999987</v>
      </c>
      <c r="K213" s="253">
        <f>'CUOTA ARTESANAL'!J164</f>
        <v>2.8889999999999998</v>
      </c>
      <c r="L213" s="253">
        <f>'CUOTA ARTESANAL'!K164</f>
        <v>5.7959999999999994</v>
      </c>
      <c r="M213" s="254">
        <f>'CUOTA ARTESANAL'!L164</f>
        <v>0.33264248704663213</v>
      </c>
      <c r="N213" s="240" t="str">
        <f>'CUOTA ARTESANAL'!M164</f>
        <v>-</v>
      </c>
      <c r="O213" s="241">
        <f>RESUMEN!$C$4</f>
        <v>44561</v>
      </c>
      <c r="P213" s="233">
        <v>2021</v>
      </c>
      <c r="Q213" s="233"/>
    </row>
    <row r="214" spans="1:17" ht="15.75" customHeight="1">
      <c r="A214" s="238" t="s">
        <v>51</v>
      </c>
      <c r="B214" s="238" t="s">
        <v>52</v>
      </c>
      <c r="C214" s="238" t="s">
        <v>72</v>
      </c>
      <c r="D214" s="238" t="s">
        <v>337</v>
      </c>
      <c r="E214" s="243" t="str">
        <f>+'CUOTA ARTESANAL'!E163</f>
        <v>ESMERALDA R (697570)</v>
      </c>
      <c r="F214" s="238" t="s">
        <v>54</v>
      </c>
      <c r="G214" s="238" t="s">
        <v>58</v>
      </c>
      <c r="H214" s="253">
        <f>'CUOTA ARTESANAL'!N163</f>
        <v>14.757999999999999</v>
      </c>
      <c r="I214" s="253">
        <f>'CUOTA ARTESANAL'!O163</f>
        <v>-7.9000000000000001E-2</v>
      </c>
      <c r="J214" s="253">
        <f>'CUOTA ARTESANAL'!P163</f>
        <v>14.678999999999998</v>
      </c>
      <c r="K214" s="253">
        <f>'CUOTA ARTESANAL'!Q163</f>
        <v>8.8829999999999991</v>
      </c>
      <c r="L214" s="253">
        <f>'CUOTA ARTESANAL'!R163</f>
        <v>5.7959999999999994</v>
      </c>
      <c r="M214" s="254">
        <f>'CUOTA ARTESANAL'!S163</f>
        <v>0.60515021459227469</v>
      </c>
      <c r="N214" s="240" t="s">
        <v>218</v>
      </c>
      <c r="O214" s="241">
        <f>RESUMEN!$C$4</f>
        <v>44561</v>
      </c>
      <c r="P214" s="233">
        <v>2021</v>
      </c>
      <c r="Q214" s="233"/>
    </row>
    <row r="215" spans="1:17" ht="15.75" customHeight="1">
      <c r="A215" s="238" t="s">
        <v>51</v>
      </c>
      <c r="B215" s="238" t="s">
        <v>52</v>
      </c>
      <c r="C215" s="238" t="s">
        <v>72</v>
      </c>
      <c r="D215" s="238" t="s">
        <v>337</v>
      </c>
      <c r="E215" s="243" t="str">
        <f>+'CUOTA ARTESANAL'!E165</f>
        <v>MERY I (697551)</v>
      </c>
      <c r="F215" s="238" t="s">
        <v>54</v>
      </c>
      <c r="G215" s="238" t="s">
        <v>56</v>
      </c>
      <c r="H215" s="253">
        <f>'CUOTA ARTESANAL'!G165</f>
        <v>7.3810000000000002</v>
      </c>
      <c r="I215" s="253">
        <f>'CUOTA ARTESANAL'!H165</f>
        <v>0</v>
      </c>
      <c r="J215" s="253">
        <f>'CUOTA ARTESANAL'!I165</f>
        <v>7.3810000000000002</v>
      </c>
      <c r="K215" s="253">
        <f>'CUOTA ARTESANAL'!J165</f>
        <v>5.13</v>
      </c>
      <c r="L215" s="253">
        <f>'CUOTA ARTESANAL'!K165</f>
        <v>2.2510000000000003</v>
      </c>
      <c r="M215" s="254">
        <f>'CUOTA ARTESANAL'!L165</f>
        <v>0.69502777401436111</v>
      </c>
      <c r="N215" s="240" t="str">
        <f>'CUOTA ARTESANAL'!M165</f>
        <v>-</v>
      </c>
      <c r="O215" s="241">
        <f>RESUMEN!$C$4</f>
        <v>44561</v>
      </c>
      <c r="P215" s="233">
        <v>2021</v>
      </c>
      <c r="Q215" s="233"/>
    </row>
    <row r="216" spans="1:17" ht="15.75" customHeight="1">
      <c r="A216" s="238" t="s">
        <v>51</v>
      </c>
      <c r="B216" s="238" t="s">
        <v>52</v>
      </c>
      <c r="C216" s="238" t="s">
        <v>72</v>
      </c>
      <c r="D216" s="238" t="s">
        <v>337</v>
      </c>
      <c r="E216" s="243" t="str">
        <f>+'CUOTA ARTESANAL'!E165</f>
        <v>MERY I (697551)</v>
      </c>
      <c r="F216" s="238" t="s">
        <v>57</v>
      </c>
      <c r="G216" s="238" t="s">
        <v>58</v>
      </c>
      <c r="H216" s="253">
        <f>'CUOTA ARTESANAL'!G166</f>
        <v>7.3810000000000002</v>
      </c>
      <c r="I216" s="253">
        <f>'CUOTA ARTESANAL'!H166</f>
        <v>0</v>
      </c>
      <c r="J216" s="253">
        <f>'CUOTA ARTESANAL'!I166</f>
        <v>9.6320000000000014</v>
      </c>
      <c r="K216" s="253">
        <f>'CUOTA ARTESANAL'!J166</f>
        <v>5.4539999999999997</v>
      </c>
      <c r="L216" s="253">
        <f>'CUOTA ARTESANAL'!K166</f>
        <v>4.1780000000000017</v>
      </c>
      <c r="M216" s="254">
        <f>'CUOTA ARTESANAL'!L166</f>
        <v>0.56623754152823913</v>
      </c>
      <c r="N216" s="240" t="str">
        <f>'CUOTA ARTESANAL'!M166</f>
        <v>-</v>
      </c>
      <c r="O216" s="241">
        <f>RESUMEN!$C$4</f>
        <v>44561</v>
      </c>
      <c r="P216" s="233">
        <v>2021</v>
      </c>
      <c r="Q216" s="233"/>
    </row>
    <row r="217" spans="1:17" ht="15.75" customHeight="1">
      <c r="A217" s="238" t="s">
        <v>51</v>
      </c>
      <c r="B217" s="238" t="s">
        <v>52</v>
      </c>
      <c r="C217" s="238" t="s">
        <v>72</v>
      </c>
      <c r="D217" s="238" t="s">
        <v>337</v>
      </c>
      <c r="E217" s="243" t="str">
        <f>+'CUOTA ARTESANAL'!E165</f>
        <v>MERY I (697551)</v>
      </c>
      <c r="F217" s="238" t="s">
        <v>54</v>
      </c>
      <c r="G217" s="238" t="s">
        <v>58</v>
      </c>
      <c r="H217" s="253">
        <f>'CUOTA ARTESANAL'!N165</f>
        <v>14.762</v>
      </c>
      <c r="I217" s="253">
        <f>'CUOTA ARTESANAL'!O165</f>
        <v>0</v>
      </c>
      <c r="J217" s="253">
        <f>'CUOTA ARTESANAL'!P165</f>
        <v>14.762</v>
      </c>
      <c r="K217" s="253">
        <f>'CUOTA ARTESANAL'!Q165</f>
        <v>10.584</v>
      </c>
      <c r="L217" s="253">
        <f>'CUOTA ARTESANAL'!R165</f>
        <v>4.1780000000000008</v>
      </c>
      <c r="M217" s="254">
        <f>'CUOTA ARTESANAL'!S165</f>
        <v>0.71697601950955148</v>
      </c>
      <c r="N217" s="240" t="s">
        <v>218</v>
      </c>
      <c r="O217" s="241">
        <f>RESUMEN!$C$4</f>
        <v>44561</v>
      </c>
      <c r="P217" s="233">
        <v>2021</v>
      </c>
      <c r="Q217" s="233"/>
    </row>
    <row r="218" spans="1:17" ht="15.75" customHeight="1">
      <c r="A218" s="238" t="s">
        <v>51</v>
      </c>
      <c r="B218" s="238" t="s">
        <v>52</v>
      </c>
      <c r="C218" s="238" t="s">
        <v>72</v>
      </c>
      <c r="D218" s="238" t="s">
        <v>337</v>
      </c>
      <c r="E218" s="243" t="str">
        <f>+'CUOTA ARTESANAL'!E167</f>
        <v>MARIA LUISA (965925)</v>
      </c>
      <c r="F218" s="238" t="s">
        <v>54</v>
      </c>
      <c r="G218" s="238" t="s">
        <v>56</v>
      </c>
      <c r="H218" s="253">
        <f>'CUOTA ARTESANAL'!G167</f>
        <v>7.3780000000000001</v>
      </c>
      <c r="I218" s="253">
        <f>'CUOTA ARTESANAL'!H167</f>
        <v>-0.14199999999999999</v>
      </c>
      <c r="J218" s="253">
        <f>'CUOTA ARTESANAL'!I167</f>
        <v>7.2359999999999998</v>
      </c>
      <c r="K218" s="253">
        <f>'CUOTA ARTESANAL'!J167</f>
        <v>4.806</v>
      </c>
      <c r="L218" s="253">
        <f>'CUOTA ARTESANAL'!K167</f>
        <v>2.4299999999999997</v>
      </c>
      <c r="M218" s="254">
        <f>'CUOTA ARTESANAL'!L167</f>
        <v>0.66417910447761197</v>
      </c>
      <c r="N218" s="240" t="str">
        <f>'CUOTA ARTESANAL'!M167</f>
        <v>-</v>
      </c>
      <c r="O218" s="241">
        <f>RESUMEN!$C$4</f>
        <v>44561</v>
      </c>
      <c r="P218" s="233">
        <v>2021</v>
      </c>
      <c r="Q218" s="233"/>
    </row>
    <row r="219" spans="1:17" ht="15.75" customHeight="1">
      <c r="A219" s="238" t="s">
        <v>51</v>
      </c>
      <c r="B219" s="238" t="s">
        <v>52</v>
      </c>
      <c r="C219" s="238" t="s">
        <v>72</v>
      </c>
      <c r="D219" s="238" t="s">
        <v>337</v>
      </c>
      <c r="E219" s="243" t="str">
        <f>+'CUOTA ARTESANAL'!E167</f>
        <v>MARIA LUISA (965925)</v>
      </c>
      <c r="F219" s="238" t="s">
        <v>57</v>
      </c>
      <c r="G219" s="238" t="s">
        <v>58</v>
      </c>
      <c r="H219" s="253">
        <f>'CUOTA ARTESANAL'!G168</f>
        <v>7.3780000000000001</v>
      </c>
      <c r="I219" s="253">
        <f>'CUOTA ARTESANAL'!H168</f>
        <v>0</v>
      </c>
      <c r="J219" s="253">
        <f>'CUOTA ARTESANAL'!I168</f>
        <v>9.8079999999999998</v>
      </c>
      <c r="K219" s="253">
        <f>'CUOTA ARTESANAL'!J168</f>
        <v>7.8840000000000003</v>
      </c>
      <c r="L219" s="253">
        <f>'CUOTA ARTESANAL'!K168</f>
        <v>1.9239999999999995</v>
      </c>
      <c r="M219" s="254">
        <f>'CUOTA ARTESANAL'!L168</f>
        <v>0.8038336052202284</v>
      </c>
      <c r="N219" s="240" t="str">
        <f>'CUOTA ARTESANAL'!M168</f>
        <v>-</v>
      </c>
      <c r="O219" s="241">
        <f>RESUMEN!$C$4</f>
        <v>44561</v>
      </c>
      <c r="P219" s="233">
        <v>2021</v>
      </c>
      <c r="Q219" s="233"/>
    </row>
    <row r="220" spans="1:17" ht="15.75" customHeight="1">
      <c r="A220" s="238" t="s">
        <v>51</v>
      </c>
      <c r="B220" s="238" t="s">
        <v>52</v>
      </c>
      <c r="C220" s="238" t="s">
        <v>72</v>
      </c>
      <c r="D220" s="238" t="s">
        <v>337</v>
      </c>
      <c r="E220" s="243" t="str">
        <f>+'CUOTA ARTESANAL'!E167</f>
        <v>MARIA LUISA (965925)</v>
      </c>
      <c r="F220" s="238" t="s">
        <v>54</v>
      </c>
      <c r="G220" s="238" t="s">
        <v>58</v>
      </c>
      <c r="H220" s="253">
        <f>'CUOTA ARTESANAL'!N167</f>
        <v>14.756</v>
      </c>
      <c r="I220" s="253">
        <f>'CUOTA ARTESANAL'!O167</f>
        <v>-0.14199999999999999</v>
      </c>
      <c r="J220" s="253">
        <f>'CUOTA ARTESANAL'!P167</f>
        <v>14.614000000000001</v>
      </c>
      <c r="K220" s="253">
        <f>'CUOTA ARTESANAL'!Q167</f>
        <v>12.690000000000001</v>
      </c>
      <c r="L220" s="253">
        <f>'CUOTA ARTESANAL'!R167</f>
        <v>1.9239999999999995</v>
      </c>
      <c r="M220" s="254">
        <f>'CUOTA ARTESANAL'!S167</f>
        <v>0.86834542219789246</v>
      </c>
      <c r="N220" s="240" t="s">
        <v>218</v>
      </c>
      <c r="O220" s="241">
        <f>RESUMEN!$C$4</f>
        <v>44561</v>
      </c>
      <c r="P220" s="233">
        <v>2021</v>
      </c>
      <c r="Q220" s="233"/>
    </row>
    <row r="221" spans="1:17" ht="15.75" customHeight="1">
      <c r="A221" s="238" t="s">
        <v>51</v>
      </c>
      <c r="B221" s="238" t="s">
        <v>52</v>
      </c>
      <c r="C221" s="238" t="s">
        <v>72</v>
      </c>
      <c r="D221" s="238" t="s">
        <v>337</v>
      </c>
      <c r="E221" s="243" t="str">
        <f>+'CUOTA ARTESANAL'!E169</f>
        <v>SAN PEDRO I (968968)</v>
      </c>
      <c r="F221" s="238" t="s">
        <v>54</v>
      </c>
      <c r="G221" s="238" t="s">
        <v>56</v>
      </c>
      <c r="H221" s="253">
        <f>'CUOTA ARTESANAL'!G169</f>
        <v>7.383</v>
      </c>
      <c r="I221" s="253">
        <f>'CUOTA ARTESANAL'!H169</f>
        <v>-0.21629999999999999</v>
      </c>
      <c r="J221" s="253">
        <f>'CUOTA ARTESANAL'!I169</f>
        <v>7.1666999999999996</v>
      </c>
      <c r="K221" s="253">
        <f>'CUOTA ARTESANAL'!J169</f>
        <v>2.0790000000000002</v>
      </c>
      <c r="L221" s="253">
        <f>'CUOTA ARTESANAL'!K169</f>
        <v>5.0876999999999999</v>
      </c>
      <c r="M221" s="254">
        <f>'CUOTA ARTESANAL'!L169</f>
        <v>0.29009167399221403</v>
      </c>
      <c r="N221" s="240" t="str">
        <f>'CUOTA ARTESANAL'!M169</f>
        <v>-</v>
      </c>
      <c r="O221" s="241">
        <f>RESUMEN!$C$4</f>
        <v>44561</v>
      </c>
      <c r="P221" s="233">
        <v>2021</v>
      </c>
      <c r="Q221" s="233"/>
    </row>
    <row r="222" spans="1:17" ht="15.75" customHeight="1">
      <c r="A222" s="238" t="s">
        <v>51</v>
      </c>
      <c r="B222" s="238" t="s">
        <v>52</v>
      </c>
      <c r="C222" s="238" t="s">
        <v>72</v>
      </c>
      <c r="D222" s="238" t="s">
        <v>337</v>
      </c>
      <c r="E222" s="243" t="str">
        <f>+'CUOTA ARTESANAL'!E169</f>
        <v>SAN PEDRO I (968968)</v>
      </c>
      <c r="F222" s="238" t="s">
        <v>57</v>
      </c>
      <c r="G222" s="238" t="s">
        <v>58</v>
      </c>
      <c r="H222" s="253">
        <f>'CUOTA ARTESANAL'!G170</f>
        <v>7.383</v>
      </c>
      <c r="I222" s="253">
        <f>'CUOTA ARTESANAL'!H170</f>
        <v>0</v>
      </c>
      <c r="J222" s="253">
        <f>'CUOTA ARTESANAL'!I170</f>
        <v>12.470700000000001</v>
      </c>
      <c r="K222" s="253">
        <f>'CUOTA ARTESANAL'!J170</f>
        <v>8.1809999999999992</v>
      </c>
      <c r="L222" s="253">
        <f>'CUOTA ARTESANAL'!K170</f>
        <v>4.2897000000000016</v>
      </c>
      <c r="M222" s="254">
        <f>'CUOTA ARTESANAL'!L170</f>
        <v>0.65601770550169591</v>
      </c>
      <c r="N222" s="240" t="str">
        <f>'CUOTA ARTESANAL'!M170</f>
        <v>-</v>
      </c>
      <c r="O222" s="241">
        <f>RESUMEN!$C$4</f>
        <v>44561</v>
      </c>
      <c r="P222" s="233">
        <v>2021</v>
      </c>
      <c r="Q222" s="233"/>
    </row>
    <row r="223" spans="1:17" ht="15.75" customHeight="1">
      <c r="A223" s="238" t="s">
        <v>51</v>
      </c>
      <c r="B223" s="238" t="s">
        <v>52</v>
      </c>
      <c r="C223" s="238" t="s">
        <v>72</v>
      </c>
      <c r="D223" s="238" t="s">
        <v>337</v>
      </c>
      <c r="E223" s="243" t="str">
        <f>+'CUOTA ARTESANAL'!E169</f>
        <v>SAN PEDRO I (968968)</v>
      </c>
      <c r="F223" s="238" t="s">
        <v>54</v>
      </c>
      <c r="G223" s="238" t="s">
        <v>58</v>
      </c>
      <c r="H223" s="253">
        <f>'CUOTA ARTESANAL'!N169</f>
        <v>14.766</v>
      </c>
      <c r="I223" s="253">
        <f>'CUOTA ARTESANAL'!O169</f>
        <v>-0.21629999999999999</v>
      </c>
      <c r="J223" s="253">
        <f>'CUOTA ARTESANAL'!P169</f>
        <v>14.5497</v>
      </c>
      <c r="K223" s="253">
        <f>'CUOTA ARTESANAL'!Q169</f>
        <v>10.26</v>
      </c>
      <c r="L223" s="253">
        <f>'CUOTA ARTESANAL'!R169</f>
        <v>4.2896999999999998</v>
      </c>
      <c r="M223" s="254">
        <f>'CUOTA ARTESANAL'!S169</f>
        <v>0.70516917874595353</v>
      </c>
      <c r="N223" s="240" t="s">
        <v>218</v>
      </c>
      <c r="O223" s="241">
        <f>RESUMEN!$C$4</f>
        <v>44561</v>
      </c>
      <c r="P223" s="233">
        <v>2021</v>
      </c>
      <c r="Q223" s="233"/>
    </row>
    <row r="224" spans="1:17" ht="15.75" customHeight="1">
      <c r="A224" s="238" t="s">
        <v>51</v>
      </c>
      <c r="B224" s="238" t="s">
        <v>52</v>
      </c>
      <c r="C224" s="238" t="s">
        <v>72</v>
      </c>
      <c r="D224" s="238" t="s">
        <v>337</v>
      </c>
      <c r="E224" s="243" t="str">
        <f>+'CUOTA ARTESANAL'!E171</f>
        <v xml:space="preserve">RESIDUAL </v>
      </c>
      <c r="F224" s="238" t="s">
        <v>54</v>
      </c>
      <c r="G224" s="238" t="s">
        <v>56</v>
      </c>
      <c r="H224" s="253">
        <f>'CUOTA ARTESANAL'!G171</f>
        <v>33.212000000000003</v>
      </c>
      <c r="I224" s="253">
        <f>'CUOTA ARTESANAL'!H171</f>
        <v>0</v>
      </c>
      <c r="J224" s="253">
        <f>'CUOTA ARTESANAL'!I171</f>
        <v>33.212000000000003</v>
      </c>
      <c r="K224" s="253">
        <f>'CUOTA ARTESANAL'!J171</f>
        <v>23.326000000000001</v>
      </c>
      <c r="L224" s="253">
        <f>'CUOTA ARTESANAL'!K171</f>
        <v>9.8860000000000028</v>
      </c>
      <c r="M224" s="254">
        <f>'CUOTA ARTESANAL'!L171</f>
        <v>0.70233650487775501</v>
      </c>
      <c r="N224" s="240" t="str">
        <f>'CUOTA ARTESANAL'!M171</f>
        <v>-</v>
      </c>
      <c r="O224" s="241">
        <f>RESUMEN!$C$4</f>
        <v>44561</v>
      </c>
      <c r="P224" s="233">
        <v>2021</v>
      </c>
      <c r="Q224" s="233"/>
    </row>
    <row r="225" spans="1:17" ht="15.75" customHeight="1">
      <c r="A225" s="238" t="s">
        <v>51</v>
      </c>
      <c r="B225" s="238" t="s">
        <v>52</v>
      </c>
      <c r="C225" s="238" t="s">
        <v>72</v>
      </c>
      <c r="D225" s="238" t="s">
        <v>337</v>
      </c>
      <c r="E225" s="243" t="str">
        <f>+'CUOTA ARTESANAL'!E171</f>
        <v xml:space="preserve">RESIDUAL </v>
      </c>
      <c r="F225" s="238" t="s">
        <v>57</v>
      </c>
      <c r="G225" s="238" t="s">
        <v>58</v>
      </c>
      <c r="H225" s="253">
        <f>'CUOTA ARTESANAL'!G172</f>
        <v>11.071</v>
      </c>
      <c r="I225" s="253">
        <f>'CUOTA ARTESANAL'!H172</f>
        <v>0</v>
      </c>
      <c r="J225" s="253">
        <f>'CUOTA ARTESANAL'!I172</f>
        <v>20.957000000000001</v>
      </c>
      <c r="K225" s="253">
        <f>'CUOTA ARTESANAL'!J172</f>
        <v>11.525</v>
      </c>
      <c r="L225" s="253">
        <f>'CUOTA ARTESANAL'!K172</f>
        <v>9.4320000000000004</v>
      </c>
      <c r="M225" s="254">
        <f>'CUOTA ARTESANAL'!L172</f>
        <v>0.54993558238297469</v>
      </c>
      <c r="N225" s="240" t="str">
        <f>'CUOTA ARTESANAL'!M172</f>
        <v>-</v>
      </c>
      <c r="O225" s="241">
        <f>RESUMEN!$C$4</f>
        <v>44561</v>
      </c>
      <c r="P225" s="233">
        <v>2021</v>
      </c>
      <c r="Q225" s="233"/>
    </row>
    <row r="226" spans="1:17" ht="15.75" customHeight="1">
      <c r="A226" s="238" t="s">
        <v>51</v>
      </c>
      <c r="B226" s="238" t="s">
        <v>52</v>
      </c>
      <c r="C226" s="238" t="s">
        <v>72</v>
      </c>
      <c r="D226" s="238" t="s">
        <v>337</v>
      </c>
      <c r="E226" s="243" t="str">
        <f>+'CUOTA ARTESANAL'!E171</f>
        <v xml:space="preserve">RESIDUAL </v>
      </c>
      <c r="F226" s="238" t="s">
        <v>54</v>
      </c>
      <c r="G226" s="238" t="s">
        <v>58</v>
      </c>
      <c r="H226" s="253">
        <f>'CUOTA ARTESANAL'!N171</f>
        <v>44.283000000000001</v>
      </c>
      <c r="I226" s="253">
        <f>'CUOTA ARTESANAL'!O171</f>
        <v>0</v>
      </c>
      <c r="J226" s="253">
        <f>'CUOTA ARTESANAL'!P171</f>
        <v>44.283000000000001</v>
      </c>
      <c r="K226" s="253">
        <f>'CUOTA ARTESANAL'!Q171</f>
        <v>34.850999999999999</v>
      </c>
      <c r="L226" s="253">
        <f>'CUOTA ARTESANAL'!R171</f>
        <v>9.4320000000000022</v>
      </c>
      <c r="M226" s="254">
        <f>'CUOTA ARTESANAL'!S171</f>
        <v>0.7870063003861526</v>
      </c>
      <c r="N226" s="240" t="s">
        <v>218</v>
      </c>
      <c r="O226" s="241">
        <f>RESUMEN!$C$4</f>
        <v>44561</v>
      </c>
      <c r="P226" s="233">
        <v>2021</v>
      </c>
      <c r="Q226" s="233"/>
    </row>
    <row r="227" spans="1:17" ht="15.75" customHeight="1">
      <c r="A227" s="238" t="s">
        <v>51</v>
      </c>
      <c r="B227" s="238" t="s">
        <v>52</v>
      </c>
      <c r="C227" s="238" t="s">
        <v>72</v>
      </c>
      <c r="D227" s="238" t="s">
        <v>337</v>
      </c>
      <c r="E227" s="243" t="str">
        <f>+'CUOTA ARTESANAL'!D173</f>
        <v>STI DE BUZOS Y PESCADORES ALGUEROS Y RAMOS AFINES PROA CENTRO DUAO RSU 07.02.0111 (ROA 433)</v>
      </c>
      <c r="F227" s="238" t="s">
        <v>54</v>
      </c>
      <c r="G227" s="238" t="s">
        <v>56</v>
      </c>
      <c r="H227" s="253">
        <f>'CUOTA ARTESANAL'!G173</f>
        <v>247.95400000000001</v>
      </c>
      <c r="I227" s="253">
        <f>'CUOTA ARTESANAL'!H173</f>
        <v>0</v>
      </c>
      <c r="J227" s="253">
        <f>'CUOTA ARTESANAL'!I173</f>
        <v>247.95400000000001</v>
      </c>
      <c r="K227" s="253">
        <f>'CUOTA ARTESANAL'!J173</f>
        <v>190.16200000000001</v>
      </c>
      <c r="L227" s="253">
        <f>'CUOTA ARTESANAL'!K173</f>
        <v>57.792000000000002</v>
      </c>
      <c r="M227" s="254">
        <f>'CUOTA ARTESANAL'!L173</f>
        <v>0.76692451019140651</v>
      </c>
      <c r="N227" s="240" t="str">
        <f>'CUOTA ARTESANAL'!M173</f>
        <v>-</v>
      </c>
      <c r="O227" s="241">
        <f>RESUMEN!$C$4</f>
        <v>44561</v>
      </c>
      <c r="P227" s="233">
        <v>2021</v>
      </c>
      <c r="Q227" s="233"/>
    </row>
    <row r="228" spans="1:17" ht="15.75" customHeight="1">
      <c r="A228" s="238" t="s">
        <v>51</v>
      </c>
      <c r="B228" s="238" t="s">
        <v>52</v>
      </c>
      <c r="C228" s="238" t="s">
        <v>72</v>
      </c>
      <c r="D228" s="238" t="s">
        <v>337</v>
      </c>
      <c r="E228" s="243" t="str">
        <f>+'CUOTA ARTESANAL'!D173</f>
        <v>STI DE BUZOS Y PESCADORES ALGUEROS Y RAMOS AFINES PROA CENTRO DUAO RSU 07.02.0111 (ROA 433)</v>
      </c>
      <c r="F228" s="238" t="s">
        <v>57</v>
      </c>
      <c r="G228" s="238" t="s">
        <v>58</v>
      </c>
      <c r="H228" s="253">
        <f>'CUOTA ARTESANAL'!G174</f>
        <v>247.95400000000001</v>
      </c>
      <c r="I228" s="253">
        <f>'CUOTA ARTESANAL'!H174</f>
        <v>0</v>
      </c>
      <c r="J228" s="253">
        <f>'CUOTA ARTESANAL'!I174</f>
        <v>305.74599999999998</v>
      </c>
      <c r="K228" s="253">
        <f>'CUOTA ARTESANAL'!J174</f>
        <v>257.21300000000002</v>
      </c>
      <c r="L228" s="253">
        <f>'CUOTA ARTESANAL'!K174</f>
        <v>48.532999999999959</v>
      </c>
      <c r="M228" s="254">
        <f>'CUOTA ARTESANAL'!L174</f>
        <v>0.84126366330221836</v>
      </c>
      <c r="N228" s="240" t="str">
        <f>'CUOTA ARTESANAL'!M174</f>
        <v>-</v>
      </c>
      <c r="O228" s="241">
        <f>RESUMEN!$C$4</f>
        <v>44561</v>
      </c>
      <c r="P228" s="233">
        <v>2021</v>
      </c>
      <c r="Q228" s="233"/>
    </row>
    <row r="229" spans="1:17" ht="15.75" customHeight="1">
      <c r="A229" s="238" t="s">
        <v>51</v>
      </c>
      <c r="B229" s="238" t="s">
        <v>52</v>
      </c>
      <c r="C229" s="238" t="s">
        <v>72</v>
      </c>
      <c r="D229" s="238" t="s">
        <v>337</v>
      </c>
      <c r="E229" s="243" t="str">
        <f>+'CUOTA ARTESANAL'!D173</f>
        <v>STI DE BUZOS Y PESCADORES ALGUEROS Y RAMOS AFINES PROA CENTRO DUAO RSU 07.02.0111 (ROA 433)</v>
      </c>
      <c r="F229" s="238" t="s">
        <v>54</v>
      </c>
      <c r="G229" s="238" t="s">
        <v>58</v>
      </c>
      <c r="H229" s="253">
        <f>'CUOTA ARTESANAL'!N173</f>
        <v>495.90800000000002</v>
      </c>
      <c r="I229" s="253">
        <f>'CUOTA ARTESANAL'!O173</f>
        <v>0</v>
      </c>
      <c r="J229" s="253">
        <f>'CUOTA ARTESANAL'!P173</f>
        <v>495.90800000000002</v>
      </c>
      <c r="K229" s="253">
        <f>'CUOTA ARTESANAL'!Q173</f>
        <v>447.375</v>
      </c>
      <c r="L229" s="253">
        <f>'CUOTA ARTESANAL'!R173</f>
        <v>48.533000000000015</v>
      </c>
      <c r="M229" s="254">
        <f>'CUOTA ARTESANAL'!S173</f>
        <v>0.9021330569379804</v>
      </c>
      <c r="N229" s="240" t="s">
        <v>218</v>
      </c>
      <c r="O229" s="241">
        <f>RESUMEN!$C$4</f>
        <v>44561</v>
      </c>
      <c r="P229" s="233">
        <v>2021</v>
      </c>
      <c r="Q229" s="233"/>
    </row>
    <row r="230" spans="1:17" ht="15.75" customHeight="1">
      <c r="A230" s="238" t="s">
        <v>51</v>
      </c>
      <c r="B230" s="238" t="s">
        <v>52</v>
      </c>
      <c r="C230" s="238" t="s">
        <v>72</v>
      </c>
      <c r="D230" s="238" t="s">
        <v>337</v>
      </c>
      <c r="E230" s="243" t="str">
        <f>+'CUOTA ARTESANAL'!D175</f>
        <v>STI DE BUZOS Y PESCADORES ARTESANALES MAR BRAVA DE DUAO RSU 07.02.0116 (ROA 90214)</v>
      </c>
      <c r="F230" s="238" t="s">
        <v>54</v>
      </c>
      <c r="G230" s="238" t="s">
        <v>56</v>
      </c>
      <c r="H230" s="253">
        <f>'CUOTA ARTESANAL'!G175</f>
        <v>423.58199999999999</v>
      </c>
      <c r="I230" s="253">
        <f>'CUOTA ARTESANAL'!H175</f>
        <v>0</v>
      </c>
      <c r="J230" s="253">
        <f>'CUOTA ARTESANAL'!I175</f>
        <v>423.58199999999999</v>
      </c>
      <c r="K230" s="253">
        <f>'CUOTA ARTESANAL'!J175</f>
        <v>299.02499999999998</v>
      </c>
      <c r="L230" s="253">
        <f>'CUOTA ARTESANAL'!K175</f>
        <v>124.55700000000002</v>
      </c>
      <c r="M230" s="254">
        <f>'CUOTA ARTESANAL'!L175</f>
        <v>0.70594359533691231</v>
      </c>
      <c r="N230" s="240" t="str">
        <f>'CUOTA ARTESANAL'!M175</f>
        <v>-</v>
      </c>
      <c r="O230" s="241">
        <f>RESUMEN!$C$4</f>
        <v>44561</v>
      </c>
      <c r="P230" s="233">
        <v>2021</v>
      </c>
      <c r="Q230" s="233"/>
    </row>
    <row r="231" spans="1:17" ht="15.75" customHeight="1">
      <c r="A231" s="238" t="s">
        <v>51</v>
      </c>
      <c r="B231" s="238" t="s">
        <v>52</v>
      </c>
      <c r="C231" s="238" t="s">
        <v>72</v>
      </c>
      <c r="D231" s="238" t="s">
        <v>337</v>
      </c>
      <c r="E231" s="243" t="str">
        <f>+'CUOTA ARTESANAL'!D175</f>
        <v>STI DE BUZOS Y PESCADORES ARTESANALES MAR BRAVA DE DUAO RSU 07.02.0116 (ROA 90214)</v>
      </c>
      <c r="F231" s="238" t="s">
        <v>57</v>
      </c>
      <c r="G231" s="238" t="s">
        <v>58</v>
      </c>
      <c r="H231" s="253">
        <f>'CUOTA ARTESANAL'!G176</f>
        <v>423.58199999999999</v>
      </c>
      <c r="I231" s="253">
        <f>'CUOTA ARTESANAL'!H176</f>
        <v>0</v>
      </c>
      <c r="J231" s="253">
        <f>'CUOTA ARTESANAL'!I176</f>
        <v>548.13900000000001</v>
      </c>
      <c r="K231" s="253">
        <f>'CUOTA ARTESANAL'!J176</f>
        <v>451.06700000000001</v>
      </c>
      <c r="L231" s="253">
        <f>'CUOTA ARTESANAL'!K176</f>
        <v>97.072000000000003</v>
      </c>
      <c r="M231" s="254">
        <f>'CUOTA ARTESANAL'!L176</f>
        <v>0.82290623363781812</v>
      </c>
      <c r="N231" s="240" t="str">
        <f>'CUOTA ARTESANAL'!M176</f>
        <v>-</v>
      </c>
      <c r="O231" s="241">
        <f>RESUMEN!$C$4</f>
        <v>44561</v>
      </c>
      <c r="P231" s="233">
        <v>2021</v>
      </c>
      <c r="Q231" s="233"/>
    </row>
    <row r="232" spans="1:17" ht="15.75" customHeight="1">
      <c r="A232" s="238" t="s">
        <v>51</v>
      </c>
      <c r="B232" s="238" t="s">
        <v>52</v>
      </c>
      <c r="C232" s="238" t="s">
        <v>72</v>
      </c>
      <c r="D232" s="238" t="s">
        <v>337</v>
      </c>
      <c r="E232" s="243" t="str">
        <f>+'CUOTA ARTESANAL'!D175</f>
        <v>STI DE BUZOS Y PESCADORES ARTESANALES MAR BRAVA DE DUAO RSU 07.02.0116 (ROA 90214)</v>
      </c>
      <c r="F232" s="238" t="s">
        <v>54</v>
      </c>
      <c r="G232" s="238" t="s">
        <v>58</v>
      </c>
      <c r="H232" s="253">
        <f>'CUOTA ARTESANAL'!N175</f>
        <v>847.16399999999999</v>
      </c>
      <c r="I232" s="253">
        <f>'CUOTA ARTESANAL'!O175</f>
        <v>0</v>
      </c>
      <c r="J232" s="253">
        <f>'CUOTA ARTESANAL'!P175</f>
        <v>847.16399999999999</v>
      </c>
      <c r="K232" s="253">
        <f>'CUOTA ARTESANAL'!Q175</f>
        <v>750.09199999999998</v>
      </c>
      <c r="L232" s="253">
        <f>'CUOTA ARTESANAL'!R175</f>
        <v>97.072000000000003</v>
      </c>
      <c r="M232" s="254">
        <f>'CUOTA ARTESANAL'!S175</f>
        <v>0.88541533870655509</v>
      </c>
      <c r="N232" s="240" t="s">
        <v>218</v>
      </c>
      <c r="O232" s="241">
        <f>RESUMEN!$C$4</f>
        <v>44561</v>
      </c>
      <c r="P232" s="233">
        <v>2021</v>
      </c>
      <c r="Q232" s="233"/>
    </row>
    <row r="233" spans="1:17" ht="15.75" customHeight="1">
      <c r="A233" s="238" t="s">
        <v>51</v>
      </c>
      <c r="B233" s="238" t="s">
        <v>52</v>
      </c>
      <c r="C233" s="238" t="s">
        <v>72</v>
      </c>
      <c r="D233" s="238" t="s">
        <v>337</v>
      </c>
      <c r="E233" s="233" t="str">
        <f>+'CUOTA ARTESANAL'!D177</f>
        <v>STI DE BUZOS Y PESCADORES ARTESANALES Y ACUICULTORES MATAQUITO DE LA PESCA RSU 07.02.0103</v>
      </c>
      <c r="F233" s="238" t="s">
        <v>54</v>
      </c>
      <c r="G233" s="238" t="s">
        <v>56</v>
      </c>
      <c r="H233" s="253">
        <f>'CUOTA ARTESANAL'!G177</f>
        <v>134.285</v>
      </c>
      <c r="I233" s="253">
        <f>'CUOTA ARTESANAL'!H177</f>
        <v>0</v>
      </c>
      <c r="J233" s="253">
        <f>'CUOTA ARTESANAL'!I177</f>
        <v>134.285</v>
      </c>
      <c r="K233" s="253">
        <f>'CUOTA ARTESANAL'!J177</f>
        <v>89.451000000000079</v>
      </c>
      <c r="L233" s="253">
        <f>'CUOTA ARTESANAL'!K177</f>
        <v>44.833999999999918</v>
      </c>
      <c r="M233" s="254">
        <f>'CUOTA ARTESANAL'!L177</f>
        <v>0.66612801131920973</v>
      </c>
      <c r="N233" s="240" t="str">
        <f>'CUOTA ARTESANAL'!M177</f>
        <v>-</v>
      </c>
      <c r="O233" s="241">
        <f>RESUMEN!$C$4</f>
        <v>44561</v>
      </c>
      <c r="P233" s="233">
        <v>2021</v>
      </c>
      <c r="Q233" s="233"/>
    </row>
    <row r="234" spans="1:17" ht="15.75" customHeight="1">
      <c r="A234" s="238" t="s">
        <v>51</v>
      </c>
      <c r="B234" s="238" t="s">
        <v>52</v>
      </c>
      <c r="C234" s="238" t="s">
        <v>72</v>
      </c>
      <c r="D234" s="238" t="s">
        <v>337</v>
      </c>
      <c r="E234" s="233" t="str">
        <f>+'CUOTA ARTESANAL'!D177</f>
        <v>STI DE BUZOS Y PESCADORES ARTESANALES Y ACUICULTORES MATAQUITO DE LA PESCA RSU 07.02.0103</v>
      </c>
      <c r="F234" s="238" t="s">
        <v>57</v>
      </c>
      <c r="G234" s="238" t="s">
        <v>58</v>
      </c>
      <c r="H234" s="253">
        <f>'CUOTA ARTESANAL'!G178</f>
        <v>134.285</v>
      </c>
      <c r="I234" s="253">
        <f>'CUOTA ARTESANAL'!H178</f>
        <v>0</v>
      </c>
      <c r="J234" s="253">
        <f>'CUOTA ARTESANAL'!I178</f>
        <v>179.11899999999991</v>
      </c>
      <c r="K234" s="253">
        <f>'CUOTA ARTESANAL'!J178</f>
        <v>136.71299999999999</v>
      </c>
      <c r="L234" s="253">
        <f>'CUOTA ARTESANAL'!K178</f>
        <v>42.405999999999921</v>
      </c>
      <c r="M234" s="254">
        <f>'CUOTA ARTESANAL'!L178</f>
        <v>0.76325236295423748</v>
      </c>
      <c r="N234" s="240" t="str">
        <f>'CUOTA ARTESANAL'!M178</f>
        <v>-</v>
      </c>
      <c r="O234" s="241">
        <f>RESUMEN!$C$4</f>
        <v>44561</v>
      </c>
      <c r="P234" s="233">
        <v>2021</v>
      </c>
      <c r="Q234" s="233"/>
    </row>
    <row r="235" spans="1:17" ht="15.75" customHeight="1">
      <c r="A235" s="238" t="s">
        <v>51</v>
      </c>
      <c r="B235" s="238" t="s">
        <v>52</v>
      </c>
      <c r="C235" s="238" t="s">
        <v>72</v>
      </c>
      <c r="D235" s="238" t="s">
        <v>337</v>
      </c>
      <c r="E235" s="233" t="str">
        <f>+'CUOTA ARTESANAL'!D177</f>
        <v>STI DE BUZOS Y PESCADORES ARTESANALES Y ACUICULTORES MATAQUITO DE LA PESCA RSU 07.02.0103</v>
      </c>
      <c r="F235" s="238" t="s">
        <v>54</v>
      </c>
      <c r="G235" s="238" t="s">
        <v>58</v>
      </c>
      <c r="H235" s="253">
        <f>'CUOTA ARTESANAL'!N177</f>
        <v>268.57</v>
      </c>
      <c r="I235" s="253">
        <f>'CUOTA ARTESANAL'!O177</f>
        <v>0</v>
      </c>
      <c r="J235" s="253">
        <f>'CUOTA ARTESANAL'!P177</f>
        <v>268.57</v>
      </c>
      <c r="K235" s="253">
        <f>'CUOTA ARTESANAL'!Q177</f>
        <v>226.16400000000007</v>
      </c>
      <c r="L235" s="253">
        <f>'CUOTA ARTESANAL'!R177</f>
        <v>42.405999999999921</v>
      </c>
      <c r="M235" s="254">
        <f>'CUOTA ARTESANAL'!S177</f>
        <v>0.84210447927914545</v>
      </c>
      <c r="N235" s="240" t="s">
        <v>218</v>
      </c>
      <c r="O235" s="241">
        <f>RESUMEN!$C$4</f>
        <v>44561</v>
      </c>
      <c r="P235" s="233">
        <v>2021</v>
      </c>
      <c r="Q235" s="233"/>
    </row>
    <row r="236" spans="1:17" ht="15.75" customHeight="1">
      <c r="A236" s="238" t="s">
        <v>51</v>
      </c>
      <c r="B236" s="238" t="s">
        <v>52</v>
      </c>
      <c r="C236" s="238" t="s">
        <v>72</v>
      </c>
      <c r="D236" s="238" t="s">
        <v>337</v>
      </c>
      <c r="E236" s="233" t="str">
        <f>+'CUOTA ARTESANAL'!E179</f>
        <v>DEILYN I (961356)</v>
      </c>
      <c r="F236" s="238" t="s">
        <v>54</v>
      </c>
      <c r="G236" s="238" t="s">
        <v>56</v>
      </c>
      <c r="H236" s="253">
        <f>'CUOTA ARTESANAL'!G179</f>
        <v>10.334</v>
      </c>
      <c r="I236" s="253">
        <f>'CUOTA ARTESANAL'!H179</f>
        <v>0</v>
      </c>
      <c r="J236" s="253">
        <f>'CUOTA ARTESANAL'!I179</f>
        <v>10.334</v>
      </c>
      <c r="K236" s="253">
        <f>'CUOTA ARTESANAL'!J179</f>
        <v>5.4</v>
      </c>
      <c r="L236" s="253">
        <f>'CUOTA ARTESANAL'!K179</f>
        <v>4.9339999999999993</v>
      </c>
      <c r="M236" s="254">
        <f>'CUOTA ARTESANAL'!L179</f>
        <v>0.52254693245597061</v>
      </c>
      <c r="N236" s="240" t="str">
        <f>'CUOTA ARTESANAL'!M179</f>
        <v>-</v>
      </c>
      <c r="O236" s="241">
        <f>RESUMEN!$C$4</f>
        <v>44561</v>
      </c>
      <c r="P236" s="233">
        <v>2021</v>
      </c>
      <c r="Q236" s="233"/>
    </row>
    <row r="237" spans="1:17" ht="15.75" customHeight="1">
      <c r="A237" s="238" t="s">
        <v>51</v>
      </c>
      <c r="B237" s="238" t="s">
        <v>52</v>
      </c>
      <c r="C237" s="238" t="s">
        <v>72</v>
      </c>
      <c r="D237" s="238" t="s">
        <v>337</v>
      </c>
      <c r="E237" s="233" t="str">
        <f>+'CUOTA ARTESANAL'!E179</f>
        <v>DEILYN I (961356)</v>
      </c>
      <c r="F237" s="238" t="s">
        <v>57</v>
      </c>
      <c r="G237" s="238" t="s">
        <v>58</v>
      </c>
      <c r="H237" s="253">
        <f>'CUOTA ARTESANAL'!G180</f>
        <v>10.334</v>
      </c>
      <c r="I237" s="253">
        <f>'CUOTA ARTESANAL'!H180</f>
        <v>0</v>
      </c>
      <c r="J237" s="253">
        <f>'CUOTA ARTESANAL'!I180</f>
        <v>15.267999999999999</v>
      </c>
      <c r="K237" s="253">
        <f>'CUOTA ARTESANAL'!J180</f>
        <v>12.824999999999999</v>
      </c>
      <c r="L237" s="253">
        <f>'CUOTA ARTESANAL'!K180</f>
        <v>2.4429999999999996</v>
      </c>
      <c r="M237" s="254">
        <f>'CUOTA ARTESANAL'!L180</f>
        <v>0.83999214042441706</v>
      </c>
      <c r="N237" s="240" t="str">
        <f>'CUOTA ARTESANAL'!M180</f>
        <v>-</v>
      </c>
      <c r="O237" s="241">
        <f>RESUMEN!$C$4</f>
        <v>44561</v>
      </c>
      <c r="P237" s="233">
        <v>2021</v>
      </c>
      <c r="Q237" s="233"/>
    </row>
    <row r="238" spans="1:17" ht="15.75" customHeight="1">
      <c r="A238" s="238" t="s">
        <v>51</v>
      </c>
      <c r="B238" s="238" t="s">
        <v>52</v>
      </c>
      <c r="C238" s="238" t="s">
        <v>72</v>
      </c>
      <c r="D238" s="238" t="s">
        <v>337</v>
      </c>
      <c r="E238" s="233" t="str">
        <f>+'CUOTA ARTESANAL'!E179</f>
        <v>DEILYN I (961356)</v>
      </c>
      <c r="F238" s="238" t="s">
        <v>54</v>
      </c>
      <c r="G238" s="238" t="s">
        <v>58</v>
      </c>
      <c r="H238" s="253">
        <f>'CUOTA ARTESANAL'!N179</f>
        <v>20.667999999999999</v>
      </c>
      <c r="I238" s="253">
        <f>'CUOTA ARTESANAL'!O179</f>
        <v>0</v>
      </c>
      <c r="J238" s="253">
        <f>'CUOTA ARTESANAL'!P179</f>
        <v>20.667999999999999</v>
      </c>
      <c r="K238" s="253">
        <f>'CUOTA ARTESANAL'!Q179</f>
        <v>18.225000000000001</v>
      </c>
      <c r="L238" s="253">
        <f>'CUOTA ARTESANAL'!R179</f>
        <v>2.4429999999999978</v>
      </c>
      <c r="M238" s="254">
        <f>'CUOTA ARTESANAL'!S179</f>
        <v>0.88179794851945048</v>
      </c>
      <c r="N238" s="240" t="s">
        <v>218</v>
      </c>
      <c r="O238" s="241">
        <f>RESUMEN!$C$4</f>
        <v>44561</v>
      </c>
      <c r="P238" s="233">
        <v>2021</v>
      </c>
      <c r="Q238" s="233"/>
    </row>
    <row r="239" spans="1:17" ht="15.75" customHeight="1">
      <c r="A239" s="238" t="s">
        <v>51</v>
      </c>
      <c r="B239" s="238" t="s">
        <v>52</v>
      </c>
      <c r="C239" s="238" t="s">
        <v>72</v>
      </c>
      <c r="D239" s="238" t="s">
        <v>337</v>
      </c>
      <c r="E239" s="233" t="str">
        <f>+'CUOTA ARTESANAL'!E181</f>
        <v>EL LOLO II (960360)</v>
      </c>
      <c r="F239" s="238" t="s">
        <v>54</v>
      </c>
      <c r="G239" s="238" t="s">
        <v>56</v>
      </c>
      <c r="H239" s="253">
        <f>'CUOTA ARTESANAL'!G181</f>
        <v>10.334</v>
      </c>
      <c r="I239" s="253">
        <f>'CUOTA ARTESANAL'!H181</f>
        <v>0</v>
      </c>
      <c r="J239" s="253">
        <f>'CUOTA ARTESANAL'!I181</f>
        <v>10.334</v>
      </c>
      <c r="K239" s="253">
        <f>'CUOTA ARTESANAL'!J181</f>
        <v>8.7840000000000007</v>
      </c>
      <c r="L239" s="253">
        <f>'CUOTA ARTESANAL'!K181</f>
        <v>1.5499999999999989</v>
      </c>
      <c r="M239" s="254">
        <f>'CUOTA ARTESANAL'!L181</f>
        <v>0.85000967679504558</v>
      </c>
      <c r="N239" s="240" t="str">
        <f>'CUOTA ARTESANAL'!M181</f>
        <v>-</v>
      </c>
      <c r="O239" s="241">
        <f>RESUMEN!$C$4</f>
        <v>44561</v>
      </c>
      <c r="P239" s="233">
        <v>2021</v>
      </c>
      <c r="Q239" s="233"/>
    </row>
    <row r="240" spans="1:17" ht="15.75" customHeight="1">
      <c r="A240" s="238" t="s">
        <v>51</v>
      </c>
      <c r="B240" s="238" t="s">
        <v>52</v>
      </c>
      <c r="C240" s="238" t="s">
        <v>72</v>
      </c>
      <c r="D240" s="238" t="s">
        <v>337</v>
      </c>
      <c r="E240" s="233" t="str">
        <f>+'CUOTA ARTESANAL'!E181</f>
        <v>EL LOLO II (960360)</v>
      </c>
      <c r="F240" s="238" t="s">
        <v>57</v>
      </c>
      <c r="G240" s="238" t="s">
        <v>58</v>
      </c>
      <c r="H240" s="253">
        <f>'CUOTA ARTESANAL'!G182</f>
        <v>10.334</v>
      </c>
      <c r="I240" s="253">
        <f>'CUOTA ARTESANAL'!H182</f>
        <v>0</v>
      </c>
      <c r="J240" s="253">
        <f>'CUOTA ARTESANAL'!I182</f>
        <v>11.883999999999999</v>
      </c>
      <c r="K240" s="253">
        <f>'CUOTA ARTESANAL'!J182</f>
        <v>5.480999999999999</v>
      </c>
      <c r="L240" s="253">
        <f>'CUOTA ARTESANAL'!K182</f>
        <v>6.4029999999999996</v>
      </c>
      <c r="M240" s="254">
        <f>'CUOTA ARTESANAL'!L182</f>
        <v>0.46120834735779198</v>
      </c>
      <c r="N240" s="240" t="str">
        <f>'CUOTA ARTESANAL'!M182</f>
        <v>-</v>
      </c>
      <c r="O240" s="241">
        <f>RESUMEN!$C$4</f>
        <v>44561</v>
      </c>
      <c r="P240" s="233">
        <v>2021</v>
      </c>
      <c r="Q240" s="233"/>
    </row>
    <row r="241" spans="1:17" ht="15.75" customHeight="1">
      <c r="A241" s="238" t="s">
        <v>51</v>
      </c>
      <c r="B241" s="238" t="s">
        <v>52</v>
      </c>
      <c r="C241" s="238" t="s">
        <v>72</v>
      </c>
      <c r="D241" s="238" t="s">
        <v>337</v>
      </c>
      <c r="E241" s="233" t="str">
        <f>+'CUOTA ARTESANAL'!E181</f>
        <v>EL LOLO II (960360)</v>
      </c>
      <c r="F241" s="238" t="s">
        <v>54</v>
      </c>
      <c r="G241" s="238" t="s">
        <v>58</v>
      </c>
      <c r="H241" s="253">
        <f>'CUOTA ARTESANAL'!N181</f>
        <v>20.667999999999999</v>
      </c>
      <c r="I241" s="253">
        <f>'CUOTA ARTESANAL'!O181</f>
        <v>0</v>
      </c>
      <c r="J241" s="253">
        <f>'CUOTA ARTESANAL'!P181</f>
        <v>20.667999999999999</v>
      </c>
      <c r="K241" s="253">
        <f>'CUOTA ARTESANAL'!Q181</f>
        <v>14.265000000000001</v>
      </c>
      <c r="L241" s="253">
        <f>'CUOTA ARTESANAL'!R181</f>
        <v>6.4029999999999987</v>
      </c>
      <c r="M241" s="254">
        <f>'CUOTA ARTESANAL'!S181</f>
        <v>0.69019740661892781</v>
      </c>
      <c r="N241" s="240" t="s">
        <v>218</v>
      </c>
      <c r="O241" s="241">
        <f>RESUMEN!$C$4</f>
        <v>44561</v>
      </c>
      <c r="P241" s="233">
        <v>2021</v>
      </c>
      <c r="Q241" s="233"/>
    </row>
    <row r="242" spans="1:17" ht="15.75" customHeight="1">
      <c r="A242" s="238" t="s">
        <v>51</v>
      </c>
      <c r="B242" s="238" t="s">
        <v>52</v>
      </c>
      <c r="C242" s="238" t="s">
        <v>72</v>
      </c>
      <c r="D242" s="238" t="s">
        <v>337</v>
      </c>
      <c r="E242" s="233" t="str">
        <f>+'CUOTA ARTESANAL'!E183</f>
        <v>EL FANTASMA I (968333)</v>
      </c>
      <c r="F242" s="238" t="s">
        <v>54</v>
      </c>
      <c r="G242" s="238" t="s">
        <v>56</v>
      </c>
      <c r="H242" s="253">
        <f>'CUOTA ARTESANAL'!G183</f>
        <v>10.327</v>
      </c>
      <c r="I242" s="253">
        <f>'CUOTA ARTESANAL'!H183</f>
        <v>0</v>
      </c>
      <c r="J242" s="253">
        <f>'CUOTA ARTESANAL'!I183</f>
        <v>10.327</v>
      </c>
      <c r="K242" s="253">
        <f>'CUOTA ARTESANAL'!J183</f>
        <v>4.9950000000000001</v>
      </c>
      <c r="L242" s="253">
        <f>'CUOTA ARTESANAL'!K183</f>
        <v>5.3319999999999999</v>
      </c>
      <c r="M242" s="254">
        <f>'CUOTA ARTESANAL'!L183</f>
        <v>0.48368354798102065</v>
      </c>
      <c r="N242" s="240" t="str">
        <f>'CUOTA ARTESANAL'!M183</f>
        <v>-</v>
      </c>
      <c r="O242" s="241">
        <f>RESUMEN!$C$4</f>
        <v>44561</v>
      </c>
      <c r="P242" s="233">
        <v>2021</v>
      </c>
      <c r="Q242" s="233"/>
    </row>
    <row r="243" spans="1:17" ht="15.75" customHeight="1">
      <c r="A243" s="238" t="s">
        <v>51</v>
      </c>
      <c r="B243" s="238" t="s">
        <v>52</v>
      </c>
      <c r="C243" s="238" t="s">
        <v>72</v>
      </c>
      <c r="D243" s="238" t="s">
        <v>337</v>
      </c>
      <c r="E243" s="233" t="str">
        <f>+'CUOTA ARTESANAL'!E183</f>
        <v>EL FANTASMA I (968333)</v>
      </c>
      <c r="F243" s="238" t="s">
        <v>57</v>
      </c>
      <c r="G243" s="238" t="s">
        <v>58</v>
      </c>
      <c r="H243" s="253">
        <f>'CUOTA ARTESANAL'!G184</f>
        <v>10.327</v>
      </c>
      <c r="I243" s="253">
        <f>'CUOTA ARTESANAL'!H184</f>
        <v>0</v>
      </c>
      <c r="J243" s="253">
        <f>'CUOTA ARTESANAL'!I184</f>
        <v>15.658999999999999</v>
      </c>
      <c r="K243" s="253">
        <f>'CUOTA ARTESANAL'!J184</f>
        <v>9.7469999999999999</v>
      </c>
      <c r="L243" s="253">
        <f>'CUOTA ARTESANAL'!K184</f>
        <v>5.911999999999999</v>
      </c>
      <c r="M243" s="254">
        <f>'CUOTA ARTESANAL'!L184</f>
        <v>0.62245354109457829</v>
      </c>
      <c r="N243" s="240" t="str">
        <f>'CUOTA ARTESANAL'!M184</f>
        <v>-</v>
      </c>
      <c r="O243" s="241">
        <f>RESUMEN!$C$4</f>
        <v>44561</v>
      </c>
      <c r="P243" s="233">
        <v>2021</v>
      </c>
      <c r="Q243" s="233"/>
    </row>
    <row r="244" spans="1:17" ht="15.75" customHeight="1">
      <c r="A244" s="238" t="s">
        <v>51</v>
      </c>
      <c r="B244" s="238" t="s">
        <v>52</v>
      </c>
      <c r="C244" s="238" t="s">
        <v>72</v>
      </c>
      <c r="D244" s="238" t="s">
        <v>337</v>
      </c>
      <c r="E244" s="233" t="str">
        <f>+'CUOTA ARTESANAL'!E183</f>
        <v>EL FANTASMA I (968333)</v>
      </c>
      <c r="F244" s="238" t="s">
        <v>54</v>
      </c>
      <c r="G244" s="238" t="s">
        <v>58</v>
      </c>
      <c r="H244" s="253">
        <f>'CUOTA ARTESANAL'!N183</f>
        <v>20.654</v>
      </c>
      <c r="I244" s="253">
        <f>'CUOTA ARTESANAL'!O183</f>
        <v>0</v>
      </c>
      <c r="J244" s="253">
        <f>'CUOTA ARTESANAL'!P183</f>
        <v>20.654</v>
      </c>
      <c r="K244" s="253">
        <f>'CUOTA ARTESANAL'!Q183</f>
        <v>14.742000000000001</v>
      </c>
      <c r="L244" s="253">
        <f>'CUOTA ARTESANAL'!R183</f>
        <v>5.911999999999999</v>
      </c>
      <c r="M244" s="254">
        <f>'CUOTA ARTESANAL'!S183</f>
        <v>0.71376004648010072</v>
      </c>
      <c r="N244" s="240" t="s">
        <v>218</v>
      </c>
      <c r="O244" s="241">
        <f>RESUMEN!$C$4</f>
        <v>44561</v>
      </c>
      <c r="P244" s="233">
        <v>2021</v>
      </c>
      <c r="Q244" s="233"/>
    </row>
    <row r="245" spans="1:17" ht="15.75" customHeight="1">
      <c r="A245" s="238" t="s">
        <v>51</v>
      </c>
      <c r="B245" s="238" t="s">
        <v>52</v>
      </c>
      <c r="C245" s="238" t="s">
        <v>72</v>
      </c>
      <c r="D245" s="238" t="s">
        <v>337</v>
      </c>
      <c r="E245" s="233" t="str">
        <f>+'CUOTA ARTESANAL'!E185</f>
        <v>SKORPIOS III (969008)</v>
      </c>
      <c r="F245" s="238" t="s">
        <v>54</v>
      </c>
      <c r="G245" s="238" t="s">
        <v>56</v>
      </c>
      <c r="H245" s="253">
        <f>'CUOTA ARTESANAL'!G185</f>
        <v>10.332000000000001</v>
      </c>
      <c r="I245" s="253">
        <f>'CUOTA ARTESANAL'!H185</f>
        <v>0</v>
      </c>
      <c r="J245" s="253">
        <f>'CUOTA ARTESANAL'!I185</f>
        <v>10.332000000000001</v>
      </c>
      <c r="K245" s="253">
        <f>'CUOTA ARTESANAL'!J185</f>
        <v>6.0750000000000011</v>
      </c>
      <c r="L245" s="253">
        <f>'CUOTA ARTESANAL'!K185</f>
        <v>4.2569999999999997</v>
      </c>
      <c r="M245" s="254">
        <f>'CUOTA ARTESANAL'!L185</f>
        <v>0.58797909407665516</v>
      </c>
      <c r="N245" s="240" t="str">
        <f>'CUOTA ARTESANAL'!M185</f>
        <v>-</v>
      </c>
      <c r="O245" s="241">
        <f>RESUMEN!$C$4</f>
        <v>44561</v>
      </c>
      <c r="P245" s="233">
        <v>2021</v>
      </c>
      <c r="Q245" s="233"/>
    </row>
    <row r="246" spans="1:17" ht="16.5" customHeight="1">
      <c r="A246" s="238" t="s">
        <v>51</v>
      </c>
      <c r="B246" s="238" t="s">
        <v>52</v>
      </c>
      <c r="C246" s="238" t="s">
        <v>72</v>
      </c>
      <c r="D246" s="238" t="s">
        <v>337</v>
      </c>
      <c r="E246" s="233" t="str">
        <f>+'CUOTA ARTESANAL'!E185</f>
        <v>SKORPIOS III (969008)</v>
      </c>
      <c r="F246" s="238" t="s">
        <v>57</v>
      </c>
      <c r="G246" s="238" t="s">
        <v>58</v>
      </c>
      <c r="H246" s="253">
        <f>'CUOTA ARTESANAL'!G186</f>
        <v>10.332000000000001</v>
      </c>
      <c r="I246" s="253">
        <f>'CUOTA ARTESANAL'!H186</f>
        <v>0</v>
      </c>
      <c r="J246" s="253">
        <f>'CUOTA ARTESANAL'!I186</f>
        <v>14.589</v>
      </c>
      <c r="K246" s="253">
        <f>'CUOTA ARTESANAL'!J186</f>
        <v>13.662000000000001</v>
      </c>
      <c r="L246" s="253">
        <f>'CUOTA ARTESANAL'!K186</f>
        <v>0.9269999999999996</v>
      </c>
      <c r="M246" s="254">
        <f>'CUOTA ARTESANAL'!L186</f>
        <v>0.93645897594077732</v>
      </c>
      <c r="N246" s="240" t="str">
        <f>'CUOTA ARTESANAL'!M186</f>
        <v>-</v>
      </c>
      <c r="O246" s="241">
        <f>RESUMEN!$C$4</f>
        <v>44561</v>
      </c>
      <c r="P246" s="233">
        <v>2021</v>
      </c>
      <c r="Q246" s="233"/>
    </row>
    <row r="247" spans="1:17" ht="16.5" customHeight="1">
      <c r="A247" s="238" t="s">
        <v>51</v>
      </c>
      <c r="B247" s="238" t="s">
        <v>52</v>
      </c>
      <c r="C247" s="238" t="s">
        <v>72</v>
      </c>
      <c r="D247" s="238" t="s">
        <v>337</v>
      </c>
      <c r="E247" s="233" t="str">
        <f>+'CUOTA ARTESANAL'!E185</f>
        <v>SKORPIOS III (969008)</v>
      </c>
      <c r="F247" s="238" t="s">
        <v>54</v>
      </c>
      <c r="G247" s="238" t="s">
        <v>58</v>
      </c>
      <c r="H247" s="253">
        <f>'CUOTA ARTESANAL'!N185</f>
        <v>20.664000000000001</v>
      </c>
      <c r="I247" s="253">
        <f>'CUOTA ARTESANAL'!O185</f>
        <v>0</v>
      </c>
      <c r="J247" s="253">
        <f>'CUOTA ARTESANAL'!P185</f>
        <v>20.664000000000001</v>
      </c>
      <c r="K247" s="253">
        <f>'CUOTA ARTESANAL'!Q185</f>
        <v>19.737000000000002</v>
      </c>
      <c r="L247" s="253">
        <f>'CUOTA ARTESANAL'!R185</f>
        <v>0.9269999999999996</v>
      </c>
      <c r="M247" s="254">
        <f>'CUOTA ARTESANAL'!S185</f>
        <v>0.95513937282229966</v>
      </c>
      <c r="N247" s="240" t="s">
        <v>218</v>
      </c>
      <c r="O247" s="241">
        <f>RESUMEN!$C$4</f>
        <v>44561</v>
      </c>
      <c r="P247" s="233">
        <v>2021</v>
      </c>
      <c r="Q247" s="233"/>
    </row>
    <row r="248" spans="1:17" ht="15.75" customHeight="1">
      <c r="A248" s="238" t="s">
        <v>51</v>
      </c>
      <c r="B248" s="238" t="s">
        <v>52</v>
      </c>
      <c r="C248" s="238" t="s">
        <v>72</v>
      </c>
      <c r="D248" s="238" t="s">
        <v>337</v>
      </c>
      <c r="E248" s="238" t="str">
        <f>+'CUOTA ARTESANAL'!D187</f>
        <v>RESIDUAL</v>
      </c>
      <c r="F248" s="238" t="s">
        <v>54</v>
      </c>
      <c r="G248" s="238" t="s">
        <v>56</v>
      </c>
      <c r="H248" s="253">
        <f>'CUOTA ARTESANAL'!G187</f>
        <v>61.963999999999999</v>
      </c>
      <c r="I248" s="253">
        <f>'CUOTA ARTESANAL'!H187</f>
        <v>0</v>
      </c>
      <c r="J248" s="253">
        <f>'CUOTA ARTESANAL'!I187</f>
        <v>61.963999999999999</v>
      </c>
      <c r="K248" s="253">
        <f>'CUOTA ARTESANAL'!J187</f>
        <v>46.593999999999987</v>
      </c>
      <c r="L248" s="253">
        <f>'CUOTA ARTESANAL'!K187</f>
        <v>15.370000000000012</v>
      </c>
      <c r="M248" s="254">
        <f>'CUOTA ARTESANAL'!L187</f>
        <v>0.75195274675618085</v>
      </c>
      <c r="N248" s="240" t="str">
        <f>'CUOTA ARTESANAL'!M187</f>
        <v>-</v>
      </c>
      <c r="O248" s="241">
        <f>RESUMEN!$C$4</f>
        <v>44561</v>
      </c>
      <c r="P248" s="233">
        <v>2021</v>
      </c>
      <c r="Q248" s="233"/>
    </row>
    <row r="249" spans="1:17" ht="15.75" customHeight="1">
      <c r="A249" s="238" t="s">
        <v>51</v>
      </c>
      <c r="B249" s="238" t="s">
        <v>52</v>
      </c>
      <c r="C249" s="238" t="s">
        <v>72</v>
      </c>
      <c r="D249" s="238" t="s">
        <v>337</v>
      </c>
      <c r="E249" s="238" t="str">
        <f>+'CUOTA ARTESANAL'!D187</f>
        <v>RESIDUAL</v>
      </c>
      <c r="F249" s="238" t="s">
        <v>57</v>
      </c>
      <c r="G249" s="238" t="s">
        <v>58</v>
      </c>
      <c r="H249" s="253">
        <f>'CUOTA ARTESANAL'!G188</f>
        <v>61.963999999999999</v>
      </c>
      <c r="I249" s="253">
        <f>'CUOTA ARTESANAL'!H188</f>
        <v>0</v>
      </c>
      <c r="J249" s="253">
        <f>'CUOTA ARTESANAL'!I188</f>
        <v>77.334000000000003</v>
      </c>
      <c r="K249" s="253">
        <f>'CUOTA ARTESANAL'!J188</f>
        <v>38.061</v>
      </c>
      <c r="L249" s="253">
        <f>'CUOTA ARTESANAL'!K188</f>
        <v>39.273000000000003</v>
      </c>
      <c r="M249" s="254">
        <f>'CUOTA ARTESANAL'!L188</f>
        <v>0.49216386065637363</v>
      </c>
      <c r="N249" s="240" t="str">
        <f>'CUOTA ARTESANAL'!M188</f>
        <v>-</v>
      </c>
      <c r="O249" s="241">
        <f>RESUMEN!$C$4</f>
        <v>44561</v>
      </c>
      <c r="P249" s="233">
        <v>2021</v>
      </c>
      <c r="Q249" s="233"/>
    </row>
    <row r="250" spans="1:17" ht="15.75" customHeight="1">
      <c r="A250" s="238" t="s">
        <v>51</v>
      </c>
      <c r="B250" s="238" t="s">
        <v>52</v>
      </c>
      <c r="C250" s="238" t="s">
        <v>72</v>
      </c>
      <c r="D250" s="238" t="s">
        <v>337</v>
      </c>
      <c r="E250" s="238" t="str">
        <f>+'CUOTA ARTESANAL'!D187</f>
        <v>RESIDUAL</v>
      </c>
      <c r="F250" s="238" t="s">
        <v>54</v>
      </c>
      <c r="G250" s="238" t="s">
        <v>58</v>
      </c>
      <c r="H250" s="253">
        <f>'CUOTA ARTESANAL'!N187</f>
        <v>123.928</v>
      </c>
      <c r="I250" s="253">
        <f>'CUOTA ARTESANAL'!O187</f>
        <v>0</v>
      </c>
      <c r="J250" s="253">
        <f>'CUOTA ARTESANAL'!P187</f>
        <v>123.928</v>
      </c>
      <c r="K250" s="253">
        <f>'CUOTA ARTESANAL'!Q187</f>
        <v>84.654999999999987</v>
      </c>
      <c r="L250" s="253">
        <f>'CUOTA ARTESANAL'!R187</f>
        <v>39.27300000000001</v>
      </c>
      <c r="M250" s="254">
        <f>'CUOTA ARTESANAL'!S187</f>
        <v>0.68309825059712082</v>
      </c>
      <c r="N250" s="240" t="s">
        <v>218</v>
      </c>
      <c r="O250" s="241">
        <f>RESUMEN!$C$4</f>
        <v>44561</v>
      </c>
      <c r="P250" s="233">
        <v>2021</v>
      </c>
      <c r="Q250" s="233"/>
    </row>
    <row r="251" spans="1:17" ht="15.75" customHeight="1">
      <c r="A251" s="238" t="s">
        <v>51</v>
      </c>
      <c r="B251" s="238" t="s">
        <v>52</v>
      </c>
      <c r="C251" s="238" t="s">
        <v>72</v>
      </c>
      <c r="D251" s="238" t="s">
        <v>337</v>
      </c>
      <c r="E251" s="238" t="str">
        <f>'CUOTA ARTESANAL'!D189</f>
        <v>AREA CENTRO</v>
      </c>
      <c r="F251" s="238" t="s">
        <v>54</v>
      </c>
      <c r="G251" s="238" t="s">
        <v>56</v>
      </c>
      <c r="H251" s="253">
        <f>'CUOTA ARTESANAL'!G189</f>
        <v>42.677</v>
      </c>
      <c r="I251" s="253">
        <f>'CUOTA ARTESANAL'!H189</f>
        <v>0</v>
      </c>
      <c r="J251" s="253">
        <f>'CUOTA ARTESANAL'!I189</f>
        <v>42.677</v>
      </c>
      <c r="K251" s="253">
        <f>'CUOTA ARTESANAL'!J189</f>
        <v>47.574000000000005</v>
      </c>
      <c r="L251" s="253">
        <f>'CUOTA ARTESANAL'!K189</f>
        <v>-4.8970000000000056</v>
      </c>
      <c r="M251" s="254">
        <f>'CUOTA ARTESANAL'!L189</f>
        <v>1.1147456475384869</v>
      </c>
      <c r="N251" s="240">
        <f>'CUOTA ARTESANAL'!M189</f>
        <v>44343</v>
      </c>
      <c r="O251" s="241">
        <f>RESUMEN!$C$4</f>
        <v>44561</v>
      </c>
      <c r="P251" s="233">
        <v>2021</v>
      </c>
      <c r="Q251" s="233"/>
    </row>
    <row r="252" spans="1:17" ht="15.75" customHeight="1">
      <c r="A252" s="238" t="s">
        <v>51</v>
      </c>
      <c r="B252" s="238" t="s">
        <v>52</v>
      </c>
      <c r="C252" s="238" t="s">
        <v>72</v>
      </c>
      <c r="D252" s="238" t="s">
        <v>337</v>
      </c>
      <c r="E252" s="238" t="str">
        <f>'CUOTA ARTESANAL'!D189</f>
        <v>AREA CENTRO</v>
      </c>
      <c r="F252" s="238" t="s">
        <v>57</v>
      </c>
      <c r="G252" s="238" t="s">
        <v>58</v>
      </c>
      <c r="H252" s="253">
        <f>'CUOTA ARTESANAL'!G190</f>
        <v>42.677</v>
      </c>
      <c r="I252" s="253">
        <f>'CUOTA ARTESANAL'!H190</f>
        <v>0</v>
      </c>
      <c r="J252" s="253">
        <f>'CUOTA ARTESANAL'!I190</f>
        <v>37.779999999999994</v>
      </c>
      <c r="K252" s="253">
        <f>'CUOTA ARTESANAL'!J190</f>
        <v>24.084</v>
      </c>
      <c r="L252" s="253">
        <f>'CUOTA ARTESANAL'!K190</f>
        <v>13.695999999999994</v>
      </c>
      <c r="M252" s="254">
        <f>'CUOTA ARTESANAL'!L190</f>
        <v>0.63748014822657495</v>
      </c>
      <c r="N252" s="240" t="str">
        <f>'CUOTA ARTESANAL'!M190</f>
        <v>-</v>
      </c>
      <c r="O252" s="241">
        <f>RESUMEN!$C$4</f>
        <v>44561</v>
      </c>
      <c r="P252" s="233">
        <v>2021</v>
      </c>
      <c r="Q252" s="233"/>
    </row>
    <row r="253" spans="1:17" ht="15.75" customHeight="1">
      <c r="A253" s="238" t="s">
        <v>51</v>
      </c>
      <c r="B253" s="238" t="s">
        <v>52</v>
      </c>
      <c r="C253" s="238" t="s">
        <v>72</v>
      </c>
      <c r="D253" s="238" t="s">
        <v>337</v>
      </c>
      <c r="E253" s="238" t="str">
        <f>'CUOTA ARTESANAL'!D189</f>
        <v>AREA CENTRO</v>
      </c>
      <c r="F253" s="238" t="s">
        <v>54</v>
      </c>
      <c r="G253" s="238" t="s">
        <v>58</v>
      </c>
      <c r="H253" s="253">
        <f>'CUOTA ARTESANAL'!N189</f>
        <v>85.353999999999999</v>
      </c>
      <c r="I253" s="253">
        <f>'CUOTA ARTESANAL'!O189</f>
        <v>0</v>
      </c>
      <c r="J253" s="253">
        <f>'CUOTA ARTESANAL'!P189</f>
        <v>85.353999999999999</v>
      </c>
      <c r="K253" s="253">
        <f>'CUOTA ARTESANAL'!Q189</f>
        <v>71.658000000000001</v>
      </c>
      <c r="L253" s="253">
        <f>'CUOTA ARTESANAL'!R189</f>
        <v>13.695999999999998</v>
      </c>
      <c r="M253" s="254">
        <f>'CUOTA ARTESANAL'!S189</f>
        <v>0.83953886168193648</v>
      </c>
      <c r="N253" s="239" t="s">
        <v>218</v>
      </c>
      <c r="O253" s="241">
        <f>RESUMEN!$C$4</f>
        <v>44561</v>
      </c>
      <c r="P253" s="233">
        <v>2021</v>
      </c>
      <c r="Q253" s="233"/>
    </row>
    <row r="254" spans="1:17" ht="15.75" customHeight="1">
      <c r="A254" s="238" t="s">
        <v>51</v>
      </c>
      <c r="B254" s="238" t="s">
        <v>52</v>
      </c>
      <c r="C254" s="238" t="s">
        <v>72</v>
      </c>
      <c r="D254" s="238" t="s">
        <v>66</v>
      </c>
      <c r="E254" s="233" t="str">
        <f>+'CUOTA ARTESANAL'!D191</f>
        <v>STI PESCADORES ARTESANALES, BUZOS, MARISCADORES Y ALGUEROS DE PELLINES  RSU 07.05.0061</v>
      </c>
      <c r="F254" s="238" t="s">
        <v>54</v>
      </c>
      <c r="G254" s="238" t="s">
        <v>56</v>
      </c>
      <c r="H254" s="253">
        <f>'CUOTA ARTESANAL'!G191</f>
        <v>68.789000000000001</v>
      </c>
      <c r="I254" s="253">
        <f>'CUOTA ARTESANAL'!H191</f>
        <v>0</v>
      </c>
      <c r="J254" s="253">
        <f>'CUOTA ARTESANAL'!I191</f>
        <v>68.789000000000001</v>
      </c>
      <c r="K254" s="253">
        <f>'CUOTA ARTESANAL'!J191</f>
        <v>64.742000000000061</v>
      </c>
      <c r="L254" s="253">
        <f>'CUOTA ARTESANAL'!K191</f>
        <v>4.0469999999999402</v>
      </c>
      <c r="M254" s="254">
        <f>'CUOTA ARTESANAL'!L191</f>
        <v>0.94116791928942212</v>
      </c>
      <c r="N254" s="240" t="str">
        <f>'CUOTA ARTESANAL'!M191</f>
        <v>-</v>
      </c>
      <c r="O254" s="241">
        <f>RESUMEN!$C$4</f>
        <v>44561</v>
      </c>
      <c r="P254" s="233">
        <v>2021</v>
      </c>
      <c r="Q254" s="233"/>
    </row>
    <row r="255" spans="1:17" ht="15.75" customHeight="1">
      <c r="A255" s="238" t="s">
        <v>51</v>
      </c>
      <c r="B255" s="238" t="s">
        <v>52</v>
      </c>
      <c r="C255" s="238" t="s">
        <v>72</v>
      </c>
      <c r="D255" s="238" t="s">
        <v>66</v>
      </c>
      <c r="E255" s="233" t="str">
        <f>+'CUOTA ARTESANAL'!D191</f>
        <v>STI PESCADORES ARTESANALES, BUZOS, MARISCADORES Y ALGUEROS DE PELLINES  RSU 07.05.0061</v>
      </c>
      <c r="F255" s="238" t="s">
        <v>57</v>
      </c>
      <c r="G255" s="238" t="s">
        <v>58</v>
      </c>
      <c r="H255" s="253">
        <f>'CUOTA ARTESANAL'!G192</f>
        <v>68.789000000000001</v>
      </c>
      <c r="I255" s="253">
        <f>'CUOTA ARTESANAL'!H192</f>
        <v>0</v>
      </c>
      <c r="J255" s="253">
        <f>'CUOTA ARTESANAL'!I192</f>
        <v>72.835999999999942</v>
      </c>
      <c r="K255" s="253">
        <f>'CUOTA ARTESANAL'!J192</f>
        <v>24.673999999999999</v>
      </c>
      <c r="L255" s="253">
        <f>'CUOTA ARTESANAL'!K192</f>
        <v>48.161999999999942</v>
      </c>
      <c r="M255" s="254">
        <f>'CUOTA ARTESANAL'!L192</f>
        <v>0.33876105222692104</v>
      </c>
      <c r="N255" s="240" t="str">
        <f>'CUOTA ARTESANAL'!M192</f>
        <v>-</v>
      </c>
      <c r="O255" s="241">
        <f>RESUMEN!$C$4</f>
        <v>44561</v>
      </c>
      <c r="P255" s="233">
        <v>2021</v>
      </c>
      <c r="Q255" s="233"/>
    </row>
    <row r="256" spans="1:17" ht="15.75" customHeight="1">
      <c r="A256" s="238" t="s">
        <v>51</v>
      </c>
      <c r="B256" s="238" t="s">
        <v>52</v>
      </c>
      <c r="C256" s="238" t="s">
        <v>72</v>
      </c>
      <c r="D256" s="238" t="s">
        <v>66</v>
      </c>
      <c r="E256" s="233" t="str">
        <f>+'CUOTA ARTESANAL'!D191</f>
        <v>STI PESCADORES ARTESANALES, BUZOS, MARISCADORES Y ALGUEROS DE PELLINES  RSU 07.05.0061</v>
      </c>
      <c r="F256" s="238" t="s">
        <v>54</v>
      </c>
      <c r="G256" s="238" t="s">
        <v>58</v>
      </c>
      <c r="H256" s="253">
        <f>'CUOTA ARTESANAL'!N191</f>
        <v>137.578</v>
      </c>
      <c r="I256" s="253">
        <f>'CUOTA ARTESANAL'!O191</f>
        <v>0</v>
      </c>
      <c r="J256" s="253">
        <f>'CUOTA ARTESANAL'!P191</f>
        <v>137.578</v>
      </c>
      <c r="K256" s="253">
        <f>'CUOTA ARTESANAL'!Q191</f>
        <v>89.416000000000054</v>
      </c>
      <c r="L256" s="253">
        <f>'CUOTA ARTESANAL'!R191</f>
        <v>48.161999999999949</v>
      </c>
      <c r="M256" s="254">
        <f>'CUOTA ARTESANAL'!S191</f>
        <v>0.6499294945412788</v>
      </c>
      <c r="N256" s="239" t="s">
        <v>218</v>
      </c>
      <c r="O256" s="241">
        <f>RESUMEN!$C$4</f>
        <v>44561</v>
      </c>
      <c r="P256" s="233">
        <v>2021</v>
      </c>
      <c r="Q256" s="233"/>
    </row>
    <row r="257" spans="1:17" ht="15.75" customHeight="1">
      <c r="A257" s="238" t="s">
        <v>51</v>
      </c>
      <c r="B257" s="238" t="s">
        <v>52</v>
      </c>
      <c r="C257" s="238" t="s">
        <v>72</v>
      </c>
      <c r="D257" s="243" t="s">
        <v>337</v>
      </c>
      <c r="E257" s="243" t="str">
        <f>+'CUOTA ARTESANAL'!E193</f>
        <v>ABRAHAM (966190)</v>
      </c>
      <c r="F257" s="238" t="s">
        <v>54</v>
      </c>
      <c r="G257" s="238" t="s">
        <v>56</v>
      </c>
      <c r="H257" s="253">
        <f>'CUOTA ARTESANAL'!G193</f>
        <v>5.29</v>
      </c>
      <c r="I257" s="253">
        <f>'CUOTA ARTESANAL'!H193</f>
        <v>0</v>
      </c>
      <c r="J257" s="253">
        <f>'CUOTA ARTESANAL'!I193</f>
        <v>5.29</v>
      </c>
      <c r="K257" s="253">
        <f>'CUOTA ARTESANAL'!J193</f>
        <v>3.8609999999999998</v>
      </c>
      <c r="L257" s="253">
        <f>'CUOTA ARTESANAL'!K193</f>
        <v>1.4290000000000003</v>
      </c>
      <c r="M257" s="254">
        <f>'CUOTA ARTESANAL'!L193</f>
        <v>0.72986767485822301</v>
      </c>
      <c r="N257" s="240" t="str">
        <f>'CUOTA ARTESANAL'!M193</f>
        <v>-</v>
      </c>
      <c r="O257" s="241">
        <f>RESUMEN!$C$4</f>
        <v>44561</v>
      </c>
      <c r="P257" s="233">
        <v>2021</v>
      </c>
      <c r="Q257" s="233"/>
    </row>
    <row r="258" spans="1:17" ht="15.75" customHeight="1">
      <c r="A258" s="238" t="s">
        <v>51</v>
      </c>
      <c r="B258" s="238" t="s">
        <v>52</v>
      </c>
      <c r="C258" s="238" t="s">
        <v>72</v>
      </c>
      <c r="D258" s="243" t="s">
        <v>337</v>
      </c>
      <c r="E258" s="243" t="str">
        <f>+'CUOTA ARTESANAL'!E193</f>
        <v>ABRAHAM (966190)</v>
      </c>
      <c r="F258" s="238" t="s">
        <v>57</v>
      </c>
      <c r="G258" s="238" t="s">
        <v>58</v>
      </c>
      <c r="H258" s="253">
        <f>'CUOTA ARTESANAL'!G194</f>
        <v>5.29</v>
      </c>
      <c r="I258" s="253">
        <f>'CUOTA ARTESANAL'!H194</f>
        <v>0</v>
      </c>
      <c r="J258" s="253">
        <f>'CUOTA ARTESANAL'!I194</f>
        <v>6.7190000000000003</v>
      </c>
      <c r="K258" s="253">
        <f>'CUOTA ARTESANAL'!J194</f>
        <v>2.5379999999999998</v>
      </c>
      <c r="L258" s="253">
        <f>'CUOTA ARTESANAL'!K194</f>
        <v>4.1810000000000009</v>
      </c>
      <c r="M258" s="254">
        <f>'CUOTA ARTESANAL'!L194</f>
        <v>0.37773478196160137</v>
      </c>
      <c r="N258" s="240" t="str">
        <f>'CUOTA ARTESANAL'!M194</f>
        <v>-</v>
      </c>
      <c r="O258" s="241">
        <f>RESUMEN!$C$4</f>
        <v>44561</v>
      </c>
      <c r="P258" s="233">
        <v>2021</v>
      </c>
      <c r="Q258" s="233"/>
    </row>
    <row r="259" spans="1:17" ht="15.75" customHeight="1">
      <c r="A259" s="238" t="s">
        <v>51</v>
      </c>
      <c r="B259" s="238" t="s">
        <v>52</v>
      </c>
      <c r="C259" s="238" t="s">
        <v>72</v>
      </c>
      <c r="D259" s="243" t="s">
        <v>337</v>
      </c>
      <c r="E259" s="243" t="str">
        <f>+'CUOTA ARTESANAL'!E193</f>
        <v>ABRAHAM (966190)</v>
      </c>
      <c r="F259" s="238" t="s">
        <v>54</v>
      </c>
      <c r="G259" s="238" t="s">
        <v>58</v>
      </c>
      <c r="H259" s="253">
        <f>'CUOTA ARTESANAL'!N193</f>
        <v>10.58</v>
      </c>
      <c r="I259" s="253">
        <f>'CUOTA ARTESANAL'!O193</f>
        <v>0</v>
      </c>
      <c r="J259" s="253">
        <f>'CUOTA ARTESANAL'!P193</f>
        <v>10.58</v>
      </c>
      <c r="K259" s="253">
        <f>'CUOTA ARTESANAL'!Q193</f>
        <v>6.3989999999999991</v>
      </c>
      <c r="L259" s="253">
        <f>'CUOTA ARTESANAL'!R193</f>
        <v>4.1810000000000009</v>
      </c>
      <c r="M259" s="254">
        <f>'CUOTA ARTESANAL'!S193</f>
        <v>0.60482041587901691</v>
      </c>
      <c r="N259" s="240" t="str">
        <f>'CUOTA ARTESANAL'!M195</f>
        <v>-</v>
      </c>
      <c r="O259" s="241">
        <f>RESUMEN!$C$4</f>
        <v>44561</v>
      </c>
      <c r="P259" s="233">
        <v>2021</v>
      </c>
      <c r="Q259" s="233"/>
    </row>
    <row r="260" spans="1:17" ht="15.75" customHeight="1">
      <c r="A260" s="238" t="s">
        <v>51</v>
      </c>
      <c r="B260" s="238" t="s">
        <v>52</v>
      </c>
      <c r="C260" s="238" t="s">
        <v>72</v>
      </c>
      <c r="D260" s="243" t="s">
        <v>337</v>
      </c>
      <c r="E260" s="243" t="str">
        <f>+'CUOTA ARTESANAL'!E195</f>
        <v>ALFA I (961290)</v>
      </c>
      <c r="F260" s="238" t="s">
        <v>54</v>
      </c>
      <c r="G260" s="238" t="s">
        <v>56</v>
      </c>
      <c r="H260" s="253">
        <f>'CUOTA ARTESANAL'!G195</f>
        <v>5.29</v>
      </c>
      <c r="I260" s="253">
        <f>'CUOTA ARTESANAL'!H195</f>
        <v>0</v>
      </c>
      <c r="J260" s="253">
        <f>'CUOTA ARTESANAL'!I195</f>
        <v>5.29</v>
      </c>
      <c r="K260" s="253">
        <f>'CUOTA ARTESANAL'!J195</f>
        <v>3.63</v>
      </c>
      <c r="L260" s="253">
        <f>'CUOTA ARTESANAL'!K195</f>
        <v>1.6600000000000001</v>
      </c>
      <c r="M260" s="254">
        <f>'CUOTA ARTESANAL'!L195</f>
        <v>0.68620037807183365</v>
      </c>
      <c r="N260" s="240" t="str">
        <f>'CUOTA ARTESANAL'!M195</f>
        <v>-</v>
      </c>
      <c r="O260" s="241">
        <f>RESUMEN!$C$4</f>
        <v>44561</v>
      </c>
      <c r="P260" s="233">
        <v>2021</v>
      </c>
      <c r="Q260" s="233"/>
    </row>
    <row r="261" spans="1:17" ht="15.75" customHeight="1">
      <c r="A261" s="238" t="s">
        <v>51</v>
      </c>
      <c r="B261" s="238" t="s">
        <v>52</v>
      </c>
      <c r="C261" s="238" t="s">
        <v>72</v>
      </c>
      <c r="D261" s="243" t="s">
        <v>337</v>
      </c>
      <c r="E261" s="243" t="str">
        <f>+'CUOTA ARTESANAL'!E195</f>
        <v>ALFA I (961290)</v>
      </c>
      <c r="F261" s="238" t="s">
        <v>57</v>
      </c>
      <c r="G261" s="238" t="s">
        <v>58</v>
      </c>
      <c r="H261" s="253">
        <f>'CUOTA ARTESANAL'!G196</f>
        <v>5.29</v>
      </c>
      <c r="I261" s="253">
        <f>'CUOTA ARTESANAL'!H196</f>
        <v>0</v>
      </c>
      <c r="J261" s="253">
        <f>'CUOTA ARTESANAL'!I196</f>
        <v>6.95</v>
      </c>
      <c r="K261" s="253">
        <f>'CUOTA ARTESANAL'!J196</f>
        <v>1.08</v>
      </c>
      <c r="L261" s="253">
        <f>'CUOTA ARTESANAL'!K196</f>
        <v>5.87</v>
      </c>
      <c r="M261" s="254">
        <f>'CUOTA ARTESANAL'!L196</f>
        <v>0.15539568345323743</v>
      </c>
      <c r="N261" s="240" t="str">
        <f>'CUOTA ARTESANAL'!M196</f>
        <v>-</v>
      </c>
      <c r="O261" s="241">
        <f>RESUMEN!$C$4</f>
        <v>44561</v>
      </c>
      <c r="P261" s="233">
        <v>2021</v>
      </c>
      <c r="Q261" s="233"/>
    </row>
    <row r="262" spans="1:17" ht="15.75" customHeight="1">
      <c r="A262" s="238" t="s">
        <v>51</v>
      </c>
      <c r="B262" s="238" t="s">
        <v>52</v>
      </c>
      <c r="C262" s="238" t="s">
        <v>72</v>
      </c>
      <c r="D262" s="243" t="s">
        <v>337</v>
      </c>
      <c r="E262" s="243" t="str">
        <f>+'CUOTA ARTESANAL'!E195</f>
        <v>ALFA I (961290)</v>
      </c>
      <c r="F262" s="238" t="s">
        <v>54</v>
      </c>
      <c r="G262" s="238" t="s">
        <v>58</v>
      </c>
      <c r="H262" s="253">
        <f>'CUOTA ARTESANAL'!N195</f>
        <v>10.58</v>
      </c>
      <c r="I262" s="253">
        <f>'CUOTA ARTESANAL'!O195</f>
        <v>0</v>
      </c>
      <c r="J262" s="253">
        <f>'CUOTA ARTESANAL'!P195</f>
        <v>10.58</v>
      </c>
      <c r="K262" s="253">
        <f>'CUOTA ARTESANAL'!Q195</f>
        <v>4.71</v>
      </c>
      <c r="L262" s="253">
        <f>'CUOTA ARTESANAL'!R195</f>
        <v>5.87</v>
      </c>
      <c r="M262" s="254">
        <f>'CUOTA ARTESANAL'!S195</f>
        <v>0.44517958412098296</v>
      </c>
      <c r="N262" s="240" t="str">
        <f>'CUOTA ARTESANAL'!M197</f>
        <v>-</v>
      </c>
      <c r="O262" s="241">
        <f>RESUMEN!$C$4</f>
        <v>44561</v>
      </c>
      <c r="P262" s="233">
        <v>2021</v>
      </c>
      <c r="Q262" s="233"/>
    </row>
    <row r="263" spans="1:17" ht="15.75" customHeight="1">
      <c r="A263" s="238" t="s">
        <v>51</v>
      </c>
      <c r="B263" s="238" t="s">
        <v>52</v>
      </c>
      <c r="C263" s="238" t="s">
        <v>72</v>
      </c>
      <c r="D263" s="243" t="s">
        <v>337</v>
      </c>
      <c r="E263" s="243" t="str">
        <f>+'CUOTA ARTESANAL'!E197</f>
        <v>MAC - GIVER IV (966923)</v>
      </c>
      <c r="F263" s="238" t="s">
        <v>54</v>
      </c>
      <c r="G263" s="238" t="s">
        <v>56</v>
      </c>
      <c r="H263" s="253">
        <f>'CUOTA ARTESANAL'!G197</f>
        <v>5.2910000000000004</v>
      </c>
      <c r="I263" s="253">
        <f>'CUOTA ARTESANAL'!H197</f>
        <v>0</v>
      </c>
      <c r="J263" s="253">
        <f>'CUOTA ARTESANAL'!I197</f>
        <v>5.2910000000000004</v>
      </c>
      <c r="K263" s="253">
        <f>'CUOTA ARTESANAL'!J197</f>
        <v>2.2170000000000001</v>
      </c>
      <c r="L263" s="253">
        <f>'CUOTA ARTESANAL'!K197</f>
        <v>3.0740000000000003</v>
      </c>
      <c r="M263" s="254">
        <f>'CUOTA ARTESANAL'!L197</f>
        <v>0.41901341901341899</v>
      </c>
      <c r="N263" s="240" t="str">
        <f>'CUOTA ARTESANAL'!M197</f>
        <v>-</v>
      </c>
      <c r="O263" s="241">
        <f>RESUMEN!$C$4</f>
        <v>44561</v>
      </c>
      <c r="P263" s="233">
        <v>2021</v>
      </c>
      <c r="Q263" s="233"/>
    </row>
    <row r="264" spans="1:17" ht="15.75" customHeight="1">
      <c r="A264" s="238" t="s">
        <v>51</v>
      </c>
      <c r="B264" s="238" t="s">
        <v>52</v>
      </c>
      <c r="C264" s="238" t="s">
        <v>72</v>
      </c>
      <c r="D264" s="243" t="s">
        <v>337</v>
      </c>
      <c r="E264" s="243" t="str">
        <f>+'CUOTA ARTESANAL'!E197</f>
        <v>MAC - GIVER IV (966923)</v>
      </c>
      <c r="F264" s="238" t="s">
        <v>57</v>
      </c>
      <c r="G264" s="238" t="s">
        <v>58</v>
      </c>
      <c r="H264" s="253">
        <f>'CUOTA ARTESANAL'!G198</f>
        <v>5.2910000000000004</v>
      </c>
      <c r="I264" s="253">
        <f>'CUOTA ARTESANAL'!H198</f>
        <v>0</v>
      </c>
      <c r="J264" s="253">
        <f>'CUOTA ARTESANAL'!I198</f>
        <v>8.3650000000000002</v>
      </c>
      <c r="K264" s="253">
        <f>'CUOTA ARTESANAL'!J198</f>
        <v>0</v>
      </c>
      <c r="L264" s="253">
        <f>'CUOTA ARTESANAL'!K198</f>
        <v>8.3650000000000002</v>
      </c>
      <c r="M264" s="254">
        <f>'CUOTA ARTESANAL'!L198</f>
        <v>0</v>
      </c>
      <c r="N264" s="240" t="str">
        <f>'CUOTA ARTESANAL'!M198</f>
        <v>-</v>
      </c>
      <c r="O264" s="241">
        <f>RESUMEN!$C$4</f>
        <v>44561</v>
      </c>
      <c r="P264" s="233">
        <v>2021</v>
      </c>
      <c r="Q264" s="233"/>
    </row>
    <row r="265" spans="1:17" ht="15.75" customHeight="1">
      <c r="A265" s="238" t="s">
        <v>51</v>
      </c>
      <c r="B265" s="238" t="s">
        <v>52</v>
      </c>
      <c r="C265" s="238" t="s">
        <v>72</v>
      </c>
      <c r="D265" s="243" t="s">
        <v>337</v>
      </c>
      <c r="E265" s="243" t="str">
        <f>+'CUOTA ARTESANAL'!E197</f>
        <v>MAC - GIVER IV (966923)</v>
      </c>
      <c r="F265" s="238" t="s">
        <v>54</v>
      </c>
      <c r="G265" s="238" t="s">
        <v>58</v>
      </c>
      <c r="H265" s="253">
        <f>'CUOTA ARTESANAL'!N197</f>
        <v>10.582000000000001</v>
      </c>
      <c r="I265" s="253">
        <f>'CUOTA ARTESANAL'!O197</f>
        <v>0</v>
      </c>
      <c r="J265" s="253">
        <f>'CUOTA ARTESANAL'!P197</f>
        <v>10.582000000000001</v>
      </c>
      <c r="K265" s="253">
        <f>'CUOTA ARTESANAL'!Q197</f>
        <v>2.2170000000000001</v>
      </c>
      <c r="L265" s="253">
        <f>'CUOTA ARTESANAL'!R197</f>
        <v>8.3650000000000002</v>
      </c>
      <c r="M265" s="254">
        <f>'CUOTA ARTESANAL'!S197</f>
        <v>0.20950670950670949</v>
      </c>
      <c r="N265" s="240" t="s">
        <v>218</v>
      </c>
      <c r="O265" s="241">
        <f>RESUMEN!$C$4</f>
        <v>44561</v>
      </c>
      <c r="P265" s="233">
        <v>2021</v>
      </c>
      <c r="Q265" s="233"/>
    </row>
    <row r="266" spans="1:17" ht="15.75" customHeight="1">
      <c r="A266" s="238" t="s">
        <v>51</v>
      </c>
      <c r="B266" s="238" t="s">
        <v>52</v>
      </c>
      <c r="C266" s="238" t="s">
        <v>72</v>
      </c>
      <c r="D266" s="243" t="s">
        <v>337</v>
      </c>
      <c r="E266" s="243" t="str">
        <f>+'CUOTA ARTESANAL'!E199</f>
        <v>PAZ NATANAEL IV (969524)</v>
      </c>
      <c r="F266" s="238" t="s">
        <v>54</v>
      </c>
      <c r="G266" s="238" t="s">
        <v>56</v>
      </c>
      <c r="H266" s="253">
        <f>'CUOTA ARTESANAL'!G199</f>
        <v>5.2910000000000004</v>
      </c>
      <c r="I266" s="253">
        <f>'CUOTA ARTESANAL'!H199</f>
        <v>0</v>
      </c>
      <c r="J266" s="253">
        <f>'CUOTA ARTESANAL'!I199</f>
        <v>5.2910000000000004</v>
      </c>
      <c r="K266" s="253">
        <f>'CUOTA ARTESANAL'!J199</f>
        <v>5.0220000000000002</v>
      </c>
      <c r="L266" s="253">
        <f>'CUOTA ARTESANAL'!K199</f>
        <v>0.26900000000000013</v>
      </c>
      <c r="M266" s="254">
        <f>'CUOTA ARTESANAL'!L199</f>
        <v>0.94915894915894916</v>
      </c>
      <c r="N266" s="240" t="str">
        <f>'CUOTA ARTESANAL'!M199</f>
        <v>-</v>
      </c>
      <c r="O266" s="241">
        <f>RESUMEN!$C$4</f>
        <v>44561</v>
      </c>
      <c r="P266" s="233">
        <v>2021</v>
      </c>
      <c r="Q266" s="233"/>
    </row>
    <row r="267" spans="1:17" ht="15.75" customHeight="1">
      <c r="A267" s="238" t="s">
        <v>51</v>
      </c>
      <c r="B267" s="238" t="s">
        <v>52</v>
      </c>
      <c r="C267" s="238" t="s">
        <v>72</v>
      </c>
      <c r="D267" s="243" t="s">
        <v>337</v>
      </c>
      <c r="E267" s="243" t="str">
        <f>+'CUOTA ARTESANAL'!E199</f>
        <v>PAZ NATANAEL IV (969524)</v>
      </c>
      <c r="F267" s="238" t="s">
        <v>57</v>
      </c>
      <c r="G267" s="238" t="s">
        <v>58</v>
      </c>
      <c r="H267" s="253">
        <f>'CUOTA ARTESANAL'!G200</f>
        <v>5.2910000000000004</v>
      </c>
      <c r="I267" s="253">
        <f>'CUOTA ARTESANAL'!H200</f>
        <v>0</v>
      </c>
      <c r="J267" s="253">
        <f>'CUOTA ARTESANAL'!I200</f>
        <v>5.5600000000000005</v>
      </c>
      <c r="K267" s="253">
        <f>'CUOTA ARTESANAL'!J200</f>
        <v>1.891</v>
      </c>
      <c r="L267" s="253">
        <f>'CUOTA ARTESANAL'!K200</f>
        <v>3.6690000000000005</v>
      </c>
      <c r="M267" s="254">
        <f>'CUOTA ARTESANAL'!L200</f>
        <v>0.34010791366906473</v>
      </c>
      <c r="N267" s="240" t="str">
        <f>'CUOTA ARTESANAL'!M200</f>
        <v>-</v>
      </c>
      <c r="O267" s="241">
        <f>RESUMEN!$C$4</f>
        <v>44561</v>
      </c>
      <c r="P267" s="233">
        <v>2021</v>
      </c>
      <c r="Q267" s="233"/>
    </row>
    <row r="268" spans="1:17" ht="15.75" customHeight="1">
      <c r="A268" s="238" t="s">
        <v>51</v>
      </c>
      <c r="B268" s="238" t="s">
        <v>52</v>
      </c>
      <c r="C268" s="238" t="s">
        <v>72</v>
      </c>
      <c r="D268" s="243" t="s">
        <v>337</v>
      </c>
      <c r="E268" s="243" t="str">
        <f>+'CUOTA ARTESANAL'!E199</f>
        <v>PAZ NATANAEL IV (969524)</v>
      </c>
      <c r="F268" s="238" t="s">
        <v>54</v>
      </c>
      <c r="G268" s="238" t="s">
        <v>58</v>
      </c>
      <c r="H268" s="253">
        <f>'CUOTA ARTESANAL'!N199</f>
        <v>10.582000000000001</v>
      </c>
      <c r="I268" s="253">
        <f>'CUOTA ARTESANAL'!O199</f>
        <v>0</v>
      </c>
      <c r="J268" s="253">
        <f>'CUOTA ARTESANAL'!P199</f>
        <v>10.582000000000001</v>
      </c>
      <c r="K268" s="253">
        <f>'CUOTA ARTESANAL'!Q199</f>
        <v>6.9130000000000003</v>
      </c>
      <c r="L268" s="253">
        <f>'CUOTA ARTESANAL'!R199</f>
        <v>3.6690000000000005</v>
      </c>
      <c r="M268" s="254">
        <f>'CUOTA ARTESANAL'!S199</f>
        <v>0.65327915327915331</v>
      </c>
      <c r="N268" s="240" t="s">
        <v>218</v>
      </c>
      <c r="O268" s="241">
        <f>RESUMEN!$C$4</f>
        <v>44561</v>
      </c>
      <c r="P268" s="233">
        <v>2021</v>
      </c>
      <c r="Q268" s="233"/>
    </row>
    <row r="269" spans="1:17" ht="15.75" customHeight="1">
      <c r="A269" s="238" t="s">
        <v>51</v>
      </c>
      <c r="B269" s="238" t="s">
        <v>52</v>
      </c>
      <c r="C269" s="238" t="s">
        <v>72</v>
      </c>
      <c r="D269" s="243" t="s">
        <v>337</v>
      </c>
      <c r="E269" s="243" t="str">
        <f>+'CUOTA ARTESANAL'!E201</f>
        <v xml:space="preserve">SABANDIJA (966072) </v>
      </c>
      <c r="F269" s="238" t="s">
        <v>54</v>
      </c>
      <c r="G269" s="238" t="s">
        <v>56</v>
      </c>
      <c r="H269" s="253">
        <f>'CUOTA ARTESANAL'!G201</f>
        <v>5.2919999999999998</v>
      </c>
      <c r="I269" s="253">
        <f>'CUOTA ARTESANAL'!H201</f>
        <v>0</v>
      </c>
      <c r="J269" s="253">
        <f>'CUOTA ARTESANAL'!I201</f>
        <v>5.2919999999999998</v>
      </c>
      <c r="K269" s="253">
        <f>'CUOTA ARTESANAL'!J201</f>
        <v>4.1860000000000008</v>
      </c>
      <c r="L269" s="253">
        <f>'CUOTA ARTESANAL'!K201</f>
        <v>1.105999999999999</v>
      </c>
      <c r="M269" s="254">
        <f>'CUOTA ARTESANAL'!L201</f>
        <v>0.79100529100529116</v>
      </c>
      <c r="N269" s="240" t="str">
        <f>'CUOTA ARTESANAL'!M201</f>
        <v>-</v>
      </c>
      <c r="O269" s="241">
        <f>RESUMEN!$C$4</f>
        <v>44561</v>
      </c>
      <c r="P269" s="233">
        <v>2021</v>
      </c>
      <c r="Q269" s="233"/>
    </row>
    <row r="270" spans="1:17" ht="15.75" customHeight="1">
      <c r="A270" s="238" t="s">
        <v>51</v>
      </c>
      <c r="B270" s="238" t="s">
        <v>52</v>
      </c>
      <c r="C270" s="238" t="s">
        <v>72</v>
      </c>
      <c r="D270" s="243" t="s">
        <v>337</v>
      </c>
      <c r="E270" s="243" t="str">
        <f>+'CUOTA ARTESANAL'!E201</f>
        <v xml:space="preserve">SABANDIJA (966072) </v>
      </c>
      <c r="F270" s="238" t="s">
        <v>57</v>
      </c>
      <c r="G270" s="238" t="s">
        <v>58</v>
      </c>
      <c r="H270" s="253">
        <f>'CUOTA ARTESANAL'!G202</f>
        <v>5.2919999999999998</v>
      </c>
      <c r="I270" s="253">
        <f>'CUOTA ARTESANAL'!H202</f>
        <v>0</v>
      </c>
      <c r="J270" s="253">
        <f>'CUOTA ARTESANAL'!I202</f>
        <v>6.3979999999999988</v>
      </c>
      <c r="K270" s="253">
        <f>'CUOTA ARTESANAL'!J202</f>
        <v>0.64800000000000002</v>
      </c>
      <c r="L270" s="253">
        <f>'CUOTA ARTESANAL'!K202</f>
        <v>5.7499999999999991</v>
      </c>
      <c r="M270" s="254">
        <f>'CUOTA ARTESANAL'!L202</f>
        <v>0.10128165051578621</v>
      </c>
      <c r="N270" s="240" t="str">
        <f>'CUOTA ARTESANAL'!M202</f>
        <v>-</v>
      </c>
      <c r="O270" s="241">
        <f>RESUMEN!$C$4</f>
        <v>44561</v>
      </c>
      <c r="P270" s="233">
        <v>2021</v>
      </c>
      <c r="Q270" s="233"/>
    </row>
    <row r="271" spans="1:17" ht="15.75" customHeight="1">
      <c r="A271" s="238" t="s">
        <v>51</v>
      </c>
      <c r="B271" s="238" t="s">
        <v>52</v>
      </c>
      <c r="C271" s="238" t="s">
        <v>72</v>
      </c>
      <c r="D271" s="243" t="s">
        <v>337</v>
      </c>
      <c r="E271" s="243" t="str">
        <f>+'CUOTA ARTESANAL'!E201</f>
        <v xml:space="preserve">SABANDIJA (966072) </v>
      </c>
      <c r="F271" s="238" t="s">
        <v>54</v>
      </c>
      <c r="G271" s="238" t="s">
        <v>58</v>
      </c>
      <c r="H271" s="253">
        <f>'CUOTA ARTESANAL'!N201</f>
        <v>10.584</v>
      </c>
      <c r="I271" s="253">
        <f>'CUOTA ARTESANAL'!O201</f>
        <v>0</v>
      </c>
      <c r="J271" s="253">
        <f>'CUOTA ARTESANAL'!P201</f>
        <v>10.584</v>
      </c>
      <c r="K271" s="253">
        <f>'CUOTA ARTESANAL'!Q201</f>
        <v>4.8340000000000005</v>
      </c>
      <c r="L271" s="253">
        <f>'CUOTA ARTESANAL'!R201</f>
        <v>5.7499999999999991</v>
      </c>
      <c r="M271" s="254">
        <f>'CUOTA ARTESANAL'!S201</f>
        <v>0.45672713529856396</v>
      </c>
      <c r="N271" s="240" t="s">
        <v>218</v>
      </c>
      <c r="O271" s="241">
        <f>RESUMEN!$C$4</f>
        <v>44561</v>
      </c>
      <c r="P271" s="233">
        <v>2021</v>
      </c>
      <c r="Q271" s="233"/>
    </row>
    <row r="272" spans="1:17" ht="15.75" customHeight="1">
      <c r="A272" s="238" t="s">
        <v>51</v>
      </c>
      <c r="B272" s="238" t="s">
        <v>52</v>
      </c>
      <c r="C272" s="238" t="s">
        <v>72</v>
      </c>
      <c r="D272" s="243" t="s">
        <v>337</v>
      </c>
      <c r="E272" s="243" t="str">
        <f>+'CUOTA ARTESANAL'!E203</f>
        <v>TRISTAN II (964422)</v>
      </c>
      <c r="F272" s="238" t="s">
        <v>54</v>
      </c>
      <c r="G272" s="238" t="s">
        <v>56</v>
      </c>
      <c r="H272" s="253">
        <f>'CUOTA ARTESANAL'!G203</f>
        <v>5.29</v>
      </c>
      <c r="I272" s="253">
        <f>'CUOTA ARTESANAL'!H203</f>
        <v>0</v>
      </c>
      <c r="J272" s="253">
        <f>'CUOTA ARTESANAL'!I203</f>
        <v>5.29</v>
      </c>
      <c r="K272" s="253">
        <f>'CUOTA ARTESANAL'!J203</f>
        <v>3.5640000000000001</v>
      </c>
      <c r="L272" s="253">
        <f>'CUOTA ARTESANAL'!K203</f>
        <v>1.726</v>
      </c>
      <c r="M272" s="254">
        <f>'CUOTA ARTESANAL'!L203</f>
        <v>0.67372400756143669</v>
      </c>
      <c r="N272" s="240" t="str">
        <f>'CUOTA ARTESANAL'!M203</f>
        <v>-</v>
      </c>
      <c r="O272" s="241">
        <f>RESUMEN!$C$4</f>
        <v>44561</v>
      </c>
      <c r="P272" s="233">
        <v>2021</v>
      </c>
      <c r="Q272" s="233"/>
    </row>
    <row r="273" spans="1:17" ht="15.75" customHeight="1">
      <c r="A273" s="238" t="s">
        <v>51</v>
      </c>
      <c r="B273" s="238" t="s">
        <v>52</v>
      </c>
      <c r="C273" s="238" t="s">
        <v>72</v>
      </c>
      <c r="D273" s="243" t="s">
        <v>337</v>
      </c>
      <c r="E273" s="243" t="str">
        <f>+'CUOTA ARTESANAL'!E203</f>
        <v>TRISTAN II (964422)</v>
      </c>
      <c r="F273" s="238" t="s">
        <v>57</v>
      </c>
      <c r="G273" s="238" t="s">
        <v>58</v>
      </c>
      <c r="H273" s="253">
        <f>'CUOTA ARTESANAL'!G204</f>
        <v>5.29</v>
      </c>
      <c r="I273" s="253">
        <f>'CUOTA ARTESANAL'!H204</f>
        <v>0</v>
      </c>
      <c r="J273" s="253">
        <f>'CUOTA ARTESANAL'!I204</f>
        <v>7.016</v>
      </c>
      <c r="K273" s="253">
        <f>'CUOTA ARTESANAL'!J204</f>
        <v>0.27</v>
      </c>
      <c r="L273" s="253">
        <f>'CUOTA ARTESANAL'!K204</f>
        <v>6.7460000000000004</v>
      </c>
      <c r="M273" s="254">
        <f>'CUOTA ARTESANAL'!L204</f>
        <v>3.8483466362599777E-2</v>
      </c>
      <c r="N273" s="240" t="str">
        <f>'CUOTA ARTESANAL'!M204</f>
        <v>-</v>
      </c>
      <c r="O273" s="241">
        <f>RESUMEN!$C$4</f>
        <v>44561</v>
      </c>
      <c r="P273" s="233">
        <v>2021</v>
      </c>
      <c r="Q273" s="233"/>
    </row>
    <row r="274" spans="1:17" ht="15.75" customHeight="1">
      <c r="A274" s="238" t="s">
        <v>51</v>
      </c>
      <c r="B274" s="238" t="s">
        <v>52</v>
      </c>
      <c r="C274" s="238" t="s">
        <v>72</v>
      </c>
      <c r="D274" s="243" t="s">
        <v>337</v>
      </c>
      <c r="E274" s="243" t="str">
        <f>+'CUOTA ARTESANAL'!E203</f>
        <v>TRISTAN II (964422)</v>
      </c>
      <c r="F274" s="238" t="s">
        <v>54</v>
      </c>
      <c r="G274" s="238" t="s">
        <v>58</v>
      </c>
      <c r="H274" s="253">
        <f>'CUOTA ARTESANAL'!N203</f>
        <v>10.58</v>
      </c>
      <c r="I274" s="253">
        <f>'CUOTA ARTESANAL'!O203</f>
        <v>0</v>
      </c>
      <c r="J274" s="253">
        <f>'CUOTA ARTESANAL'!P203</f>
        <v>10.58</v>
      </c>
      <c r="K274" s="253">
        <f>'CUOTA ARTESANAL'!Q203</f>
        <v>3.8340000000000001</v>
      </c>
      <c r="L274" s="253">
        <f>'CUOTA ARTESANAL'!R203</f>
        <v>6.7460000000000004</v>
      </c>
      <c r="M274" s="254">
        <f>'CUOTA ARTESANAL'!S203</f>
        <v>0.36238185255198491</v>
      </c>
      <c r="N274" s="240" t="s">
        <v>218</v>
      </c>
      <c r="O274" s="241">
        <f>RESUMEN!$C$4</f>
        <v>44561</v>
      </c>
      <c r="P274" s="233">
        <v>2021</v>
      </c>
      <c r="Q274" s="233"/>
    </row>
    <row r="275" spans="1:17" ht="15.75" customHeight="1">
      <c r="A275" s="238" t="s">
        <v>51</v>
      </c>
      <c r="B275" s="238" t="s">
        <v>52</v>
      </c>
      <c r="C275" s="238" t="s">
        <v>72</v>
      </c>
      <c r="D275" s="243" t="s">
        <v>337</v>
      </c>
      <c r="E275" s="243" t="str">
        <f>+'CUOTA ARTESANAL'!E205</f>
        <v>TRISTAN III (965407)</v>
      </c>
      <c r="F275" s="238" t="s">
        <v>54</v>
      </c>
      <c r="G275" s="238" t="s">
        <v>56</v>
      </c>
      <c r="H275" s="253">
        <f>'CUOTA ARTESANAL'!G205</f>
        <v>5.2880000000000003</v>
      </c>
      <c r="I275" s="253">
        <f>'CUOTA ARTESANAL'!H205</f>
        <v>0</v>
      </c>
      <c r="J275" s="253">
        <f>'CUOTA ARTESANAL'!I205</f>
        <v>5.2880000000000003</v>
      </c>
      <c r="K275" s="253">
        <f>'CUOTA ARTESANAL'!J205</f>
        <v>5.5350000000000001</v>
      </c>
      <c r="L275" s="253">
        <f>'CUOTA ARTESANAL'!K205</f>
        <v>-0.24699999999999989</v>
      </c>
      <c r="M275" s="254">
        <f>'CUOTA ARTESANAL'!L205</f>
        <v>1.0467095310136156</v>
      </c>
      <c r="N275" s="240">
        <f>'CUOTA ARTESANAL'!M205</f>
        <v>44294</v>
      </c>
      <c r="O275" s="241">
        <f>RESUMEN!$C$4</f>
        <v>44561</v>
      </c>
      <c r="P275" s="233">
        <v>2021</v>
      </c>
      <c r="Q275" s="233"/>
    </row>
    <row r="276" spans="1:17" ht="15.75" customHeight="1">
      <c r="A276" s="238" t="s">
        <v>51</v>
      </c>
      <c r="B276" s="238" t="s">
        <v>52</v>
      </c>
      <c r="C276" s="238" t="s">
        <v>72</v>
      </c>
      <c r="D276" s="243" t="s">
        <v>337</v>
      </c>
      <c r="E276" s="243" t="str">
        <f>+'CUOTA ARTESANAL'!E205</f>
        <v>TRISTAN III (965407)</v>
      </c>
      <c r="F276" s="238" t="s">
        <v>57</v>
      </c>
      <c r="G276" s="238" t="s">
        <v>58</v>
      </c>
      <c r="H276" s="253">
        <f>'CUOTA ARTESANAL'!G206</f>
        <v>5.2880000000000003</v>
      </c>
      <c r="I276" s="253">
        <f>'CUOTA ARTESANAL'!H206</f>
        <v>0</v>
      </c>
      <c r="J276" s="253">
        <f>'CUOTA ARTESANAL'!I206</f>
        <v>5.0410000000000004</v>
      </c>
      <c r="K276" s="253">
        <f>'CUOTA ARTESANAL'!J206</f>
        <v>4.08</v>
      </c>
      <c r="L276" s="253">
        <f>'CUOTA ARTESANAL'!K206</f>
        <v>0.9610000000000003</v>
      </c>
      <c r="M276" s="254">
        <f>'CUOTA ARTESANAL'!L206</f>
        <v>0.80936322158301921</v>
      </c>
      <c r="N276" s="240" t="str">
        <f>'CUOTA ARTESANAL'!M206</f>
        <v>-</v>
      </c>
      <c r="O276" s="241">
        <f>RESUMEN!$C$4</f>
        <v>44561</v>
      </c>
      <c r="P276" s="233">
        <v>2021</v>
      </c>
      <c r="Q276" s="233"/>
    </row>
    <row r="277" spans="1:17" ht="15.75" customHeight="1">
      <c r="A277" s="238" t="s">
        <v>51</v>
      </c>
      <c r="B277" s="238" t="s">
        <v>52</v>
      </c>
      <c r="C277" s="238" t="s">
        <v>72</v>
      </c>
      <c r="D277" s="243" t="s">
        <v>337</v>
      </c>
      <c r="E277" s="243" t="str">
        <f>+'CUOTA ARTESANAL'!E205</f>
        <v>TRISTAN III (965407)</v>
      </c>
      <c r="F277" s="238" t="s">
        <v>54</v>
      </c>
      <c r="G277" s="238" t="s">
        <v>58</v>
      </c>
      <c r="H277" s="253">
        <f>'CUOTA ARTESANAL'!N205</f>
        <v>10.576000000000001</v>
      </c>
      <c r="I277" s="253">
        <f>'CUOTA ARTESANAL'!O205</f>
        <v>0</v>
      </c>
      <c r="J277" s="253">
        <f>'CUOTA ARTESANAL'!P205</f>
        <v>10.576000000000001</v>
      </c>
      <c r="K277" s="253">
        <f>'CUOTA ARTESANAL'!Q205</f>
        <v>9.6150000000000002</v>
      </c>
      <c r="L277" s="253">
        <f>'CUOTA ARTESANAL'!R205</f>
        <v>0.9610000000000003</v>
      </c>
      <c r="M277" s="254">
        <f>'CUOTA ARTESANAL'!S205</f>
        <v>0.90913388804841144</v>
      </c>
      <c r="N277" s="240" t="s">
        <v>218</v>
      </c>
      <c r="O277" s="241">
        <f>RESUMEN!$C$4</f>
        <v>44561</v>
      </c>
      <c r="P277" s="233">
        <v>2021</v>
      </c>
      <c r="Q277" s="233"/>
    </row>
    <row r="278" spans="1:17" ht="15.75" customHeight="1">
      <c r="A278" s="238" t="s">
        <v>51</v>
      </c>
      <c r="B278" s="238" t="s">
        <v>52</v>
      </c>
      <c r="C278" s="238" t="s">
        <v>72</v>
      </c>
      <c r="D278" s="243" t="s">
        <v>337</v>
      </c>
      <c r="E278" s="243" t="str">
        <f>+'CUOTA ARTESANAL'!E207</f>
        <v>LOBO SOLITARIO IV (967956)</v>
      </c>
      <c r="F278" s="238" t="s">
        <v>54</v>
      </c>
      <c r="G278" s="238" t="s">
        <v>56</v>
      </c>
      <c r="H278" s="253">
        <f>'CUOTA ARTESANAL'!G207</f>
        <v>5.29</v>
      </c>
      <c r="I278" s="253">
        <f>'CUOTA ARTESANAL'!H207</f>
        <v>0</v>
      </c>
      <c r="J278" s="253">
        <f>'CUOTA ARTESANAL'!I207</f>
        <v>5.29</v>
      </c>
      <c r="K278" s="253">
        <f>'CUOTA ARTESANAL'!J207</f>
        <v>4.609</v>
      </c>
      <c r="L278" s="253">
        <f>'CUOTA ARTESANAL'!K207</f>
        <v>0.68100000000000005</v>
      </c>
      <c r="M278" s="254">
        <f>'CUOTA ARTESANAL'!L207</f>
        <v>0.87126654064272213</v>
      </c>
      <c r="N278" s="240" t="str">
        <f>'CUOTA ARTESANAL'!M207</f>
        <v>-</v>
      </c>
      <c r="O278" s="241">
        <f>RESUMEN!$C$4</f>
        <v>44561</v>
      </c>
      <c r="P278" s="233">
        <v>2021</v>
      </c>
      <c r="Q278" s="233"/>
    </row>
    <row r="279" spans="1:17" ht="15.75" customHeight="1">
      <c r="A279" s="238" t="s">
        <v>51</v>
      </c>
      <c r="B279" s="238" t="s">
        <v>52</v>
      </c>
      <c r="C279" s="238" t="s">
        <v>72</v>
      </c>
      <c r="D279" s="243" t="s">
        <v>337</v>
      </c>
      <c r="E279" s="243" t="str">
        <f>+'CUOTA ARTESANAL'!E207</f>
        <v>LOBO SOLITARIO IV (967956)</v>
      </c>
      <c r="F279" s="238" t="s">
        <v>57</v>
      </c>
      <c r="G279" s="238" t="s">
        <v>58</v>
      </c>
      <c r="H279" s="253">
        <f>'CUOTA ARTESANAL'!G208</f>
        <v>5.29</v>
      </c>
      <c r="I279" s="253">
        <f>'CUOTA ARTESANAL'!H208</f>
        <v>0</v>
      </c>
      <c r="J279" s="253">
        <f>'CUOTA ARTESANAL'!I208</f>
        <v>5.9710000000000001</v>
      </c>
      <c r="K279" s="253">
        <f>'CUOTA ARTESANAL'!J208</f>
        <v>2.0789999999999997</v>
      </c>
      <c r="L279" s="253">
        <f>'CUOTA ARTESANAL'!K208</f>
        <v>3.8920000000000003</v>
      </c>
      <c r="M279" s="254">
        <f>'CUOTA ARTESANAL'!L208</f>
        <v>0.34818288393903862</v>
      </c>
      <c r="N279" s="240" t="str">
        <f>'CUOTA ARTESANAL'!M208</f>
        <v>-</v>
      </c>
      <c r="O279" s="241">
        <f>RESUMEN!$C$4</f>
        <v>44561</v>
      </c>
      <c r="P279" s="233">
        <v>2021</v>
      </c>
      <c r="Q279" s="233"/>
    </row>
    <row r="280" spans="1:17" ht="15.75" customHeight="1">
      <c r="A280" s="238" t="s">
        <v>51</v>
      </c>
      <c r="B280" s="238" t="s">
        <v>52</v>
      </c>
      <c r="C280" s="238" t="s">
        <v>72</v>
      </c>
      <c r="D280" s="243" t="s">
        <v>337</v>
      </c>
      <c r="E280" s="243" t="str">
        <f>+'CUOTA ARTESANAL'!E207</f>
        <v>LOBO SOLITARIO IV (967956)</v>
      </c>
      <c r="F280" s="238" t="s">
        <v>54</v>
      </c>
      <c r="G280" s="238" t="s">
        <v>58</v>
      </c>
      <c r="H280" s="253">
        <f>'CUOTA ARTESANAL'!N207</f>
        <v>10.58</v>
      </c>
      <c r="I280" s="253">
        <f>'CUOTA ARTESANAL'!O207</f>
        <v>0</v>
      </c>
      <c r="J280" s="253">
        <f>'CUOTA ARTESANAL'!P207</f>
        <v>10.58</v>
      </c>
      <c r="K280" s="253">
        <f>'CUOTA ARTESANAL'!Q207</f>
        <v>6.6879999999999997</v>
      </c>
      <c r="L280" s="253">
        <f>'CUOTA ARTESANAL'!R207</f>
        <v>3.8920000000000003</v>
      </c>
      <c r="M280" s="254">
        <f>'CUOTA ARTESANAL'!S207</f>
        <v>0.63213610586011337</v>
      </c>
      <c r="N280" s="240" t="s">
        <v>218</v>
      </c>
      <c r="O280" s="241">
        <f>RESUMEN!$C$4</f>
        <v>44561</v>
      </c>
      <c r="P280" s="233">
        <v>2021</v>
      </c>
      <c r="Q280" s="233"/>
    </row>
    <row r="281" spans="1:17" ht="15.75" customHeight="1">
      <c r="A281" s="238" t="s">
        <v>51</v>
      </c>
      <c r="B281" s="238" t="s">
        <v>52</v>
      </c>
      <c r="C281" s="238" t="s">
        <v>72</v>
      </c>
      <c r="D281" s="243" t="s">
        <v>337</v>
      </c>
      <c r="E281" s="243" t="str">
        <f>+'CUOTA ARTESANAL'!E209</f>
        <v>CORNELIA MARIE 3.0 (967937)</v>
      </c>
      <c r="F281" s="238" t="s">
        <v>54</v>
      </c>
      <c r="G281" s="238" t="s">
        <v>56</v>
      </c>
      <c r="H281" s="253">
        <f>'CUOTA ARTESANAL'!G209</f>
        <v>7.9379999999999997</v>
      </c>
      <c r="I281" s="253">
        <f>'CUOTA ARTESANAL'!H209</f>
        <v>0</v>
      </c>
      <c r="J281" s="253">
        <f>'CUOTA ARTESANAL'!I209</f>
        <v>7.9379999999999997</v>
      </c>
      <c r="K281" s="253">
        <f>'CUOTA ARTESANAL'!J209</f>
        <v>5.9350000000000005</v>
      </c>
      <c r="L281" s="253">
        <f>'CUOTA ARTESANAL'!K209</f>
        <v>2.0029999999999992</v>
      </c>
      <c r="M281" s="254">
        <f>'CUOTA ARTESANAL'!L209</f>
        <v>0.7476694381456287</v>
      </c>
      <c r="N281" s="240">
        <f>'CUOTA ARTESANAL'!M209</f>
        <v>44321</v>
      </c>
      <c r="O281" s="241">
        <f>RESUMEN!$C$4</f>
        <v>44561</v>
      </c>
      <c r="P281" s="233">
        <v>2021</v>
      </c>
      <c r="Q281" s="233"/>
    </row>
    <row r="282" spans="1:17" ht="15.75" customHeight="1">
      <c r="A282" s="238" t="s">
        <v>51</v>
      </c>
      <c r="B282" s="238" t="s">
        <v>52</v>
      </c>
      <c r="C282" s="238" t="s">
        <v>72</v>
      </c>
      <c r="D282" s="243" t="s">
        <v>337</v>
      </c>
      <c r="E282" s="243" t="str">
        <f>+'CUOTA ARTESANAL'!E209</f>
        <v>CORNELIA MARIE 3.0 (967937)</v>
      </c>
      <c r="F282" s="238" t="s">
        <v>57</v>
      </c>
      <c r="G282" s="238" t="s">
        <v>58</v>
      </c>
      <c r="H282" s="253">
        <f>'CUOTA ARTESANAL'!G210</f>
        <v>2.6459999999999999</v>
      </c>
      <c r="I282" s="253">
        <f>'CUOTA ARTESANAL'!H210</f>
        <v>4</v>
      </c>
      <c r="J282" s="253">
        <f>'CUOTA ARTESANAL'!I210</f>
        <v>8.6489999999999991</v>
      </c>
      <c r="K282" s="253">
        <f>'CUOTA ARTESANAL'!J210</f>
        <v>5.1289999999999996</v>
      </c>
      <c r="L282" s="253">
        <f>'CUOTA ARTESANAL'!K210</f>
        <v>3.5199999999999996</v>
      </c>
      <c r="M282" s="254">
        <f>'CUOTA ARTESANAL'!L210</f>
        <v>0.5930165337033183</v>
      </c>
      <c r="N282" s="240" t="str">
        <f>'CUOTA ARTESANAL'!M210</f>
        <v>-</v>
      </c>
      <c r="O282" s="241">
        <f>RESUMEN!$C$4</f>
        <v>44561</v>
      </c>
      <c r="P282" s="233">
        <v>2021</v>
      </c>
      <c r="Q282" s="233"/>
    </row>
    <row r="283" spans="1:17" ht="15.75" customHeight="1">
      <c r="A283" s="238" t="s">
        <v>51</v>
      </c>
      <c r="B283" s="238" t="s">
        <v>52</v>
      </c>
      <c r="C283" s="238" t="s">
        <v>72</v>
      </c>
      <c r="D283" s="243" t="s">
        <v>337</v>
      </c>
      <c r="E283" s="243" t="str">
        <f>+'CUOTA ARTESANAL'!E209</f>
        <v>CORNELIA MARIE 3.0 (967937)</v>
      </c>
      <c r="F283" s="238" t="s">
        <v>54</v>
      </c>
      <c r="G283" s="238" t="s">
        <v>58</v>
      </c>
      <c r="H283" s="253">
        <f>'CUOTA ARTESANAL'!N209</f>
        <v>10.584</v>
      </c>
      <c r="I283" s="253">
        <f>'CUOTA ARTESANAL'!O209</f>
        <v>4</v>
      </c>
      <c r="J283" s="253">
        <f>'CUOTA ARTESANAL'!P209</f>
        <v>14.584</v>
      </c>
      <c r="K283" s="253">
        <f>'CUOTA ARTESANAL'!Q209</f>
        <v>11.064</v>
      </c>
      <c r="L283" s="253">
        <f>'CUOTA ARTESANAL'!R209</f>
        <v>3.5199999999999996</v>
      </c>
      <c r="M283" s="254">
        <f>'CUOTA ARTESANAL'!S209</f>
        <v>0.75863960504662642</v>
      </c>
      <c r="N283" s="240" t="s">
        <v>218</v>
      </c>
      <c r="O283" s="241">
        <f>RESUMEN!$C$4</f>
        <v>44561</v>
      </c>
      <c r="P283" s="233">
        <v>2021</v>
      </c>
      <c r="Q283" s="233"/>
    </row>
    <row r="284" spans="1:17" ht="15.75" customHeight="1">
      <c r="A284" s="238" t="s">
        <v>51</v>
      </c>
      <c r="B284" s="238" t="s">
        <v>52</v>
      </c>
      <c r="C284" s="238" t="s">
        <v>72</v>
      </c>
      <c r="D284" s="243" t="s">
        <v>337</v>
      </c>
      <c r="E284" s="243" t="str">
        <f>+'CUOTA ARTESANAL'!E211</f>
        <v>EL LLANERO VI (967255)</v>
      </c>
      <c r="F284" s="238" t="s">
        <v>54</v>
      </c>
      <c r="G284" s="238" t="s">
        <v>56</v>
      </c>
      <c r="H284" s="253">
        <f>'CUOTA ARTESANAL'!G211</f>
        <v>5.2919999999999998</v>
      </c>
      <c r="I284" s="253">
        <f>'CUOTA ARTESANAL'!H211</f>
        <v>0</v>
      </c>
      <c r="J284" s="253">
        <f>'CUOTA ARTESANAL'!I211</f>
        <v>5.2919999999999998</v>
      </c>
      <c r="K284" s="253">
        <f>'CUOTA ARTESANAL'!J211</f>
        <v>4.8200000000000012</v>
      </c>
      <c r="L284" s="253">
        <f>'CUOTA ARTESANAL'!K211</f>
        <v>0.47199999999999864</v>
      </c>
      <c r="M284" s="254">
        <f>'CUOTA ARTESANAL'!L211</f>
        <v>0.91080876795162535</v>
      </c>
      <c r="N284" s="240" t="str">
        <f>'CUOTA ARTESANAL'!M211</f>
        <v>-</v>
      </c>
      <c r="O284" s="241">
        <f>RESUMEN!$C$4</f>
        <v>44561</v>
      </c>
      <c r="P284" s="233">
        <v>2021</v>
      </c>
      <c r="Q284" s="233"/>
    </row>
    <row r="285" spans="1:17" ht="15.75" customHeight="1">
      <c r="A285" s="238" t="s">
        <v>51</v>
      </c>
      <c r="B285" s="238" t="s">
        <v>52</v>
      </c>
      <c r="C285" s="238" t="s">
        <v>72</v>
      </c>
      <c r="D285" s="243" t="s">
        <v>337</v>
      </c>
      <c r="E285" s="243" t="str">
        <f>+'CUOTA ARTESANAL'!E211</f>
        <v>EL LLANERO VI (967255)</v>
      </c>
      <c r="F285" s="238" t="s">
        <v>57</v>
      </c>
      <c r="G285" s="238" t="s">
        <v>58</v>
      </c>
      <c r="H285" s="253">
        <f>'CUOTA ARTESANAL'!G212</f>
        <v>5.2919999999999998</v>
      </c>
      <c r="I285" s="253">
        <f>'CUOTA ARTESANAL'!H212</f>
        <v>0</v>
      </c>
      <c r="J285" s="253">
        <f>'CUOTA ARTESANAL'!I212</f>
        <v>5.7639999999999985</v>
      </c>
      <c r="K285" s="253">
        <f>'CUOTA ARTESANAL'!J212</f>
        <v>2.86</v>
      </c>
      <c r="L285" s="253">
        <f>'CUOTA ARTESANAL'!K212</f>
        <v>2.9039999999999986</v>
      </c>
      <c r="M285" s="254">
        <f>'CUOTA ARTESANAL'!L212</f>
        <v>0.49618320610687033</v>
      </c>
      <c r="N285" s="240" t="str">
        <f>'CUOTA ARTESANAL'!M212</f>
        <v>-</v>
      </c>
      <c r="O285" s="241">
        <f>RESUMEN!$C$4</f>
        <v>44561</v>
      </c>
      <c r="P285" s="233">
        <v>2021</v>
      </c>
      <c r="Q285" s="233"/>
    </row>
    <row r="286" spans="1:17" ht="15.75" customHeight="1">
      <c r="A286" s="238" t="s">
        <v>51</v>
      </c>
      <c r="B286" s="238" t="s">
        <v>52</v>
      </c>
      <c r="C286" s="238" t="s">
        <v>72</v>
      </c>
      <c r="D286" s="243" t="s">
        <v>337</v>
      </c>
      <c r="E286" s="243" t="str">
        <f>+'CUOTA ARTESANAL'!E211</f>
        <v>EL LLANERO VI (967255)</v>
      </c>
      <c r="F286" s="238" t="s">
        <v>54</v>
      </c>
      <c r="G286" s="238" t="s">
        <v>58</v>
      </c>
      <c r="H286" s="253">
        <f>'CUOTA ARTESANAL'!N211</f>
        <v>10.584</v>
      </c>
      <c r="I286" s="253">
        <f>'CUOTA ARTESANAL'!O211</f>
        <v>0</v>
      </c>
      <c r="J286" s="253">
        <f>'CUOTA ARTESANAL'!P211</f>
        <v>10.584</v>
      </c>
      <c r="K286" s="253">
        <f>'CUOTA ARTESANAL'!Q211</f>
        <v>7.6800000000000015</v>
      </c>
      <c r="L286" s="253">
        <f>'CUOTA ARTESANAL'!R211</f>
        <v>2.9039999999999981</v>
      </c>
      <c r="M286" s="254">
        <f>'CUOTA ARTESANAL'!S211</f>
        <v>0.72562358276644012</v>
      </c>
      <c r="N286" s="240" t="s">
        <v>218</v>
      </c>
      <c r="O286" s="241">
        <f>RESUMEN!$C$4</f>
        <v>44561</v>
      </c>
      <c r="P286" s="233">
        <v>2021</v>
      </c>
      <c r="Q286" s="233"/>
    </row>
    <row r="287" spans="1:17" ht="15.75" customHeight="1">
      <c r="A287" s="238" t="s">
        <v>51</v>
      </c>
      <c r="B287" s="238" t="s">
        <v>52</v>
      </c>
      <c r="C287" s="238" t="s">
        <v>72</v>
      </c>
      <c r="D287" s="243" t="s">
        <v>337</v>
      </c>
      <c r="E287" s="243" t="str">
        <f>+'CUOTA ARTESANAL'!E213</f>
        <v>EL REY DEL MAR I (698101)</v>
      </c>
      <c r="F287" s="238" t="s">
        <v>54</v>
      </c>
      <c r="G287" s="238" t="s">
        <v>56</v>
      </c>
      <c r="H287" s="253">
        <f>'CUOTA ARTESANAL'!G213</f>
        <v>5.2889999999999997</v>
      </c>
      <c r="I287" s="253">
        <f>'CUOTA ARTESANAL'!H213</f>
        <v>0</v>
      </c>
      <c r="J287" s="253">
        <f>'CUOTA ARTESANAL'!I213</f>
        <v>5.2889999999999997</v>
      </c>
      <c r="K287" s="253">
        <f>'CUOTA ARTESANAL'!J213</f>
        <v>3.9349999999999996</v>
      </c>
      <c r="L287" s="253">
        <f>'CUOTA ARTESANAL'!K213</f>
        <v>1.3540000000000001</v>
      </c>
      <c r="M287" s="254">
        <f>'CUOTA ARTESANAL'!L213</f>
        <v>0.74399697485346938</v>
      </c>
      <c r="N287" s="240" t="str">
        <f>'CUOTA ARTESANAL'!M213</f>
        <v>-</v>
      </c>
      <c r="O287" s="241">
        <f>RESUMEN!$C$4</f>
        <v>44561</v>
      </c>
      <c r="P287" s="233">
        <v>2021</v>
      </c>
      <c r="Q287" s="233"/>
    </row>
    <row r="288" spans="1:17" ht="15.75" customHeight="1">
      <c r="A288" s="238" t="s">
        <v>51</v>
      </c>
      <c r="B288" s="238" t="s">
        <v>52</v>
      </c>
      <c r="C288" s="238" t="s">
        <v>72</v>
      </c>
      <c r="D288" s="243" t="s">
        <v>337</v>
      </c>
      <c r="E288" s="243" t="str">
        <f>+'CUOTA ARTESANAL'!E213</f>
        <v>EL REY DEL MAR I (698101)</v>
      </c>
      <c r="F288" s="238" t="s">
        <v>57</v>
      </c>
      <c r="G288" s="238" t="s">
        <v>58</v>
      </c>
      <c r="H288" s="253">
        <f>'CUOTA ARTESANAL'!G214</f>
        <v>5.2889999999999997</v>
      </c>
      <c r="I288" s="253">
        <f>'CUOTA ARTESANAL'!H214</f>
        <v>0</v>
      </c>
      <c r="J288" s="253">
        <f>'CUOTA ARTESANAL'!I214</f>
        <v>6.6429999999999998</v>
      </c>
      <c r="K288" s="253">
        <f>'CUOTA ARTESANAL'!J214</f>
        <v>4.0759999999999996</v>
      </c>
      <c r="L288" s="253">
        <f>'CUOTA ARTESANAL'!K214</f>
        <v>2.5670000000000002</v>
      </c>
      <c r="M288" s="254">
        <f>'CUOTA ARTESANAL'!L214</f>
        <v>0.61357820261929852</v>
      </c>
      <c r="N288" s="240" t="str">
        <f>'CUOTA ARTESANAL'!M214</f>
        <v>-</v>
      </c>
      <c r="O288" s="241">
        <f>RESUMEN!$C$4</f>
        <v>44561</v>
      </c>
      <c r="P288" s="233">
        <v>2021</v>
      </c>
      <c r="Q288" s="233"/>
    </row>
    <row r="289" spans="1:17" ht="15.75" customHeight="1">
      <c r="A289" s="238" t="s">
        <v>51</v>
      </c>
      <c r="B289" s="238" t="s">
        <v>52</v>
      </c>
      <c r="C289" s="238" t="s">
        <v>72</v>
      </c>
      <c r="D289" s="243" t="s">
        <v>337</v>
      </c>
      <c r="E289" s="243" t="str">
        <f>+'CUOTA ARTESANAL'!E213</f>
        <v>EL REY DEL MAR I (698101)</v>
      </c>
      <c r="F289" s="238" t="s">
        <v>54</v>
      </c>
      <c r="G289" s="238" t="s">
        <v>58</v>
      </c>
      <c r="H289" s="253">
        <f>'CUOTA ARTESANAL'!N213</f>
        <v>10.577999999999999</v>
      </c>
      <c r="I289" s="253">
        <f>'CUOTA ARTESANAL'!O213</f>
        <v>0</v>
      </c>
      <c r="J289" s="253">
        <f>'CUOTA ARTESANAL'!P213</f>
        <v>10.577999999999999</v>
      </c>
      <c r="K289" s="253">
        <f>'CUOTA ARTESANAL'!Q213</f>
        <v>8.0109999999999992</v>
      </c>
      <c r="L289" s="253">
        <f>'CUOTA ARTESANAL'!R213</f>
        <v>2.5670000000000002</v>
      </c>
      <c r="M289" s="254">
        <f>'CUOTA ARTESANAL'!S213</f>
        <v>0.75732652675363965</v>
      </c>
      <c r="N289" s="240" t="s">
        <v>218</v>
      </c>
      <c r="O289" s="241">
        <f>RESUMEN!$C$4</f>
        <v>44561</v>
      </c>
      <c r="P289" s="233">
        <v>2021</v>
      </c>
      <c r="Q289" s="233"/>
    </row>
    <row r="290" spans="1:17" ht="15.75" customHeight="1">
      <c r="A290" s="238" t="s">
        <v>51</v>
      </c>
      <c r="B290" s="238" t="s">
        <v>52</v>
      </c>
      <c r="C290" s="238" t="s">
        <v>72</v>
      </c>
      <c r="D290" s="243" t="s">
        <v>337</v>
      </c>
      <c r="E290" s="243" t="str">
        <f>+'CUOTA ARTESANAL'!E215</f>
        <v>MONTECRISTO (969566)</v>
      </c>
      <c r="F290" s="238" t="s">
        <v>54</v>
      </c>
      <c r="G290" s="238" t="s">
        <v>56</v>
      </c>
      <c r="H290" s="253">
        <f>'CUOTA ARTESANAL'!G215</f>
        <v>7.9349999999999996</v>
      </c>
      <c r="I290" s="253">
        <f>'CUOTA ARTESANAL'!H215</f>
        <v>0</v>
      </c>
      <c r="J290" s="253">
        <f>'CUOTA ARTESANAL'!I215</f>
        <v>7.9349999999999996</v>
      </c>
      <c r="K290" s="253">
        <f>'CUOTA ARTESANAL'!J215</f>
        <v>5.3550000000000004</v>
      </c>
      <c r="L290" s="253">
        <f>'CUOTA ARTESANAL'!K215</f>
        <v>2.5799999999999992</v>
      </c>
      <c r="M290" s="254">
        <f>'CUOTA ARTESANAL'!L215</f>
        <v>0.67485822306238197</v>
      </c>
      <c r="N290" s="240" t="str">
        <f>'CUOTA ARTESANAL'!M215</f>
        <v>-</v>
      </c>
      <c r="O290" s="241">
        <f>RESUMEN!$C$4</f>
        <v>44561</v>
      </c>
      <c r="P290" s="233">
        <v>2021</v>
      </c>
      <c r="Q290" s="233"/>
    </row>
    <row r="291" spans="1:17" ht="15.75" customHeight="1">
      <c r="A291" s="238" t="s">
        <v>51</v>
      </c>
      <c r="B291" s="238" t="s">
        <v>52</v>
      </c>
      <c r="C291" s="238" t="s">
        <v>72</v>
      </c>
      <c r="D291" s="243" t="s">
        <v>337</v>
      </c>
      <c r="E291" s="243" t="str">
        <f>+'CUOTA ARTESANAL'!E215</f>
        <v>MONTECRISTO (969566)</v>
      </c>
      <c r="F291" s="238" t="s">
        <v>57</v>
      </c>
      <c r="G291" s="238" t="s">
        <v>58</v>
      </c>
      <c r="H291" s="253">
        <f>'CUOTA ARTESANAL'!G216</f>
        <v>2.645</v>
      </c>
      <c r="I291" s="253">
        <f>'CUOTA ARTESANAL'!H216</f>
        <v>0</v>
      </c>
      <c r="J291" s="253">
        <f>'CUOTA ARTESANAL'!I216</f>
        <v>5.2249999999999996</v>
      </c>
      <c r="K291" s="253">
        <f>'CUOTA ARTESANAL'!J216</f>
        <v>0.78300000000000003</v>
      </c>
      <c r="L291" s="253">
        <f>'CUOTA ARTESANAL'!K216</f>
        <v>4.4419999999999993</v>
      </c>
      <c r="M291" s="254">
        <f>'CUOTA ARTESANAL'!L216</f>
        <v>0.14985645933014355</v>
      </c>
      <c r="N291" s="240" t="str">
        <f>'CUOTA ARTESANAL'!M216</f>
        <v>-</v>
      </c>
      <c r="O291" s="241">
        <f>RESUMEN!$C$4</f>
        <v>44561</v>
      </c>
      <c r="P291" s="233">
        <v>2021</v>
      </c>
      <c r="Q291" s="233"/>
    </row>
    <row r="292" spans="1:17" ht="15.75" customHeight="1">
      <c r="A292" s="238" t="s">
        <v>51</v>
      </c>
      <c r="B292" s="238" t="s">
        <v>52</v>
      </c>
      <c r="C292" s="238" t="s">
        <v>72</v>
      </c>
      <c r="D292" s="243" t="s">
        <v>337</v>
      </c>
      <c r="E292" s="243" t="str">
        <f>+'CUOTA ARTESANAL'!E215</f>
        <v>MONTECRISTO (969566)</v>
      </c>
      <c r="F292" s="238" t="s">
        <v>54</v>
      </c>
      <c r="G292" s="238" t="s">
        <v>58</v>
      </c>
      <c r="H292" s="253">
        <f>'CUOTA ARTESANAL'!N215</f>
        <v>10.58</v>
      </c>
      <c r="I292" s="253">
        <f>'CUOTA ARTESANAL'!O215</f>
        <v>0</v>
      </c>
      <c r="J292" s="253">
        <f>'CUOTA ARTESANAL'!P215</f>
        <v>10.58</v>
      </c>
      <c r="K292" s="253">
        <f>'CUOTA ARTESANAL'!Q215</f>
        <v>6.1380000000000008</v>
      </c>
      <c r="L292" s="253">
        <f>'CUOTA ARTESANAL'!R215</f>
        <v>4.4419999999999993</v>
      </c>
      <c r="M292" s="254">
        <f>'CUOTA ARTESANAL'!S215</f>
        <v>0.58015122873345948</v>
      </c>
      <c r="N292" s="240" t="s">
        <v>218</v>
      </c>
      <c r="O292" s="241">
        <f>RESUMEN!$C$4</f>
        <v>44561</v>
      </c>
      <c r="P292" s="233">
        <v>2021</v>
      </c>
      <c r="Q292" s="233"/>
    </row>
    <row r="293" spans="1:17" ht="15.75" customHeight="1">
      <c r="A293" s="238" t="s">
        <v>51</v>
      </c>
      <c r="B293" s="238" t="s">
        <v>52</v>
      </c>
      <c r="C293" s="238" t="s">
        <v>72</v>
      </c>
      <c r="D293" s="243" t="s">
        <v>337</v>
      </c>
      <c r="E293" s="243" t="str">
        <f>+'CUOTA ARTESANAL'!E217</f>
        <v>SEA SHEPHERD (967391)</v>
      </c>
      <c r="F293" s="238" t="s">
        <v>54</v>
      </c>
      <c r="G293" s="238" t="s">
        <v>56</v>
      </c>
      <c r="H293" s="253">
        <f>'CUOTA ARTESANAL'!G217</f>
        <v>5.2910000000000004</v>
      </c>
      <c r="I293" s="253">
        <f>'CUOTA ARTESANAL'!H217</f>
        <v>4</v>
      </c>
      <c r="J293" s="253">
        <f>'CUOTA ARTESANAL'!I217</f>
        <v>9.2910000000000004</v>
      </c>
      <c r="K293" s="253">
        <f>'CUOTA ARTESANAL'!J217</f>
        <v>6.25</v>
      </c>
      <c r="L293" s="253">
        <f>'CUOTA ARTESANAL'!K217</f>
        <v>3.0410000000000004</v>
      </c>
      <c r="M293" s="254">
        <f>'CUOTA ARTESANAL'!L217</f>
        <v>0.67269400495102782</v>
      </c>
      <c r="N293" s="240" t="str">
        <f>'CUOTA ARTESANAL'!M217</f>
        <v>-</v>
      </c>
      <c r="O293" s="241">
        <f>RESUMEN!$C$4</f>
        <v>44561</v>
      </c>
      <c r="P293" s="233">
        <v>2021</v>
      </c>
      <c r="Q293" s="233"/>
    </row>
    <row r="294" spans="1:17" ht="15.75" customHeight="1">
      <c r="A294" s="238" t="s">
        <v>51</v>
      </c>
      <c r="B294" s="238" t="s">
        <v>52</v>
      </c>
      <c r="C294" s="238" t="s">
        <v>72</v>
      </c>
      <c r="D294" s="243" t="s">
        <v>337</v>
      </c>
      <c r="E294" s="243" t="str">
        <f>+'CUOTA ARTESANAL'!E217</f>
        <v>SEA SHEPHERD (967391)</v>
      </c>
      <c r="F294" s="238" t="s">
        <v>57</v>
      </c>
      <c r="G294" s="238" t="s">
        <v>58</v>
      </c>
      <c r="H294" s="253">
        <f>'CUOTA ARTESANAL'!G218</f>
        <v>5.2910000000000004</v>
      </c>
      <c r="I294" s="253">
        <f>'CUOTA ARTESANAL'!H218</f>
        <v>20</v>
      </c>
      <c r="J294" s="253">
        <f>'CUOTA ARTESANAL'!I218</f>
        <v>28.332000000000001</v>
      </c>
      <c r="K294" s="253">
        <f>'CUOTA ARTESANAL'!J218</f>
        <v>10.125</v>
      </c>
      <c r="L294" s="253">
        <f>'CUOTA ARTESANAL'!K218</f>
        <v>18.207000000000001</v>
      </c>
      <c r="M294" s="254">
        <f>'CUOTA ARTESANAL'!L218</f>
        <v>0.3573697585768742</v>
      </c>
      <c r="N294" s="240" t="str">
        <f>'CUOTA ARTESANAL'!M218</f>
        <v>-</v>
      </c>
      <c r="O294" s="241">
        <f>RESUMEN!$C$4</f>
        <v>44561</v>
      </c>
      <c r="P294" s="233">
        <v>2021</v>
      </c>
      <c r="Q294" s="233"/>
    </row>
    <row r="295" spans="1:17" ht="15.75" customHeight="1">
      <c r="A295" s="238" t="s">
        <v>51</v>
      </c>
      <c r="B295" s="238" t="s">
        <v>52</v>
      </c>
      <c r="C295" s="238" t="s">
        <v>72</v>
      </c>
      <c r="D295" s="243" t="s">
        <v>337</v>
      </c>
      <c r="E295" s="243" t="str">
        <f>+'CUOTA ARTESANAL'!E217</f>
        <v>SEA SHEPHERD (967391)</v>
      </c>
      <c r="F295" s="238" t="s">
        <v>54</v>
      </c>
      <c r="G295" s="238" t="s">
        <v>58</v>
      </c>
      <c r="H295" s="253">
        <f>'CUOTA ARTESANAL'!N217</f>
        <v>10.582000000000001</v>
      </c>
      <c r="I295" s="253">
        <f>'CUOTA ARTESANAL'!O217</f>
        <v>24</v>
      </c>
      <c r="J295" s="253">
        <f>'CUOTA ARTESANAL'!P217</f>
        <v>34.582000000000001</v>
      </c>
      <c r="K295" s="253">
        <f>'CUOTA ARTESANAL'!Q217</f>
        <v>16.375</v>
      </c>
      <c r="L295" s="253">
        <f>'CUOTA ARTESANAL'!R217</f>
        <v>18.207000000000001</v>
      </c>
      <c r="M295" s="254">
        <f>'CUOTA ARTESANAL'!S217</f>
        <v>0.47351223179688856</v>
      </c>
      <c r="N295" s="240" t="s">
        <v>218</v>
      </c>
      <c r="O295" s="241">
        <f>RESUMEN!$C$4</f>
        <v>44561</v>
      </c>
      <c r="P295" s="233">
        <v>2021</v>
      </c>
      <c r="Q295" s="233"/>
    </row>
    <row r="296" spans="1:17" ht="15.75" customHeight="1">
      <c r="A296" s="238" t="s">
        <v>51</v>
      </c>
      <c r="B296" s="238" t="s">
        <v>52</v>
      </c>
      <c r="C296" s="238" t="s">
        <v>72</v>
      </c>
      <c r="D296" s="243" t="s">
        <v>337</v>
      </c>
      <c r="E296" s="243" t="str">
        <f>+'CUOTA ARTESANAL'!E219</f>
        <v>LOBO SOLITARIO V (967631)</v>
      </c>
      <c r="F296" s="238" t="s">
        <v>54</v>
      </c>
      <c r="G296" s="238" t="s">
        <v>56</v>
      </c>
      <c r="H296" s="253">
        <f>'CUOTA ARTESANAL'!G219</f>
        <v>5.2910000000000004</v>
      </c>
      <c r="I296" s="253">
        <f>'CUOTA ARTESANAL'!H219</f>
        <v>0</v>
      </c>
      <c r="J296" s="253">
        <f>'CUOTA ARTESANAL'!I219</f>
        <v>5.2910000000000004</v>
      </c>
      <c r="K296" s="253">
        <f>'CUOTA ARTESANAL'!J219</f>
        <v>2.95</v>
      </c>
      <c r="L296" s="253">
        <f>'CUOTA ARTESANAL'!K219</f>
        <v>2.3410000000000002</v>
      </c>
      <c r="M296" s="254">
        <f>'CUOTA ARTESANAL'!L219</f>
        <v>0.55755055755055749</v>
      </c>
      <c r="N296" s="240" t="str">
        <f>'CUOTA ARTESANAL'!M219</f>
        <v>-</v>
      </c>
      <c r="O296" s="241">
        <f>RESUMEN!$C$4</f>
        <v>44561</v>
      </c>
      <c r="P296" s="233">
        <v>2021</v>
      </c>
      <c r="Q296" s="233"/>
    </row>
    <row r="297" spans="1:17" ht="15.75" customHeight="1">
      <c r="A297" s="238" t="s">
        <v>51</v>
      </c>
      <c r="B297" s="238" t="s">
        <v>52</v>
      </c>
      <c r="C297" s="238" t="s">
        <v>72</v>
      </c>
      <c r="D297" s="243" t="s">
        <v>337</v>
      </c>
      <c r="E297" s="243" t="str">
        <f>+'CUOTA ARTESANAL'!E219</f>
        <v>LOBO SOLITARIO V (967631)</v>
      </c>
      <c r="F297" s="238" t="s">
        <v>57</v>
      </c>
      <c r="G297" s="238" t="s">
        <v>58</v>
      </c>
      <c r="H297" s="253">
        <f>'CUOTA ARTESANAL'!G220</f>
        <v>5.2910000000000004</v>
      </c>
      <c r="I297" s="253">
        <f>'CUOTA ARTESANAL'!H220</f>
        <v>0</v>
      </c>
      <c r="J297" s="253">
        <f>'CUOTA ARTESANAL'!I220</f>
        <v>7.6320000000000006</v>
      </c>
      <c r="K297" s="253">
        <f>'CUOTA ARTESANAL'!J220</f>
        <v>7.16</v>
      </c>
      <c r="L297" s="253">
        <f>'CUOTA ARTESANAL'!K220</f>
        <v>0.47200000000000042</v>
      </c>
      <c r="M297" s="254">
        <f>'CUOTA ARTESANAL'!L220</f>
        <v>0.93815513626834379</v>
      </c>
      <c r="N297" s="240" t="str">
        <f>'CUOTA ARTESANAL'!M220</f>
        <v>-</v>
      </c>
      <c r="O297" s="241">
        <f>RESUMEN!$C$4</f>
        <v>44561</v>
      </c>
      <c r="P297" s="233">
        <v>2021</v>
      </c>
      <c r="Q297" s="233"/>
    </row>
    <row r="298" spans="1:17" ht="15.75" customHeight="1">
      <c r="A298" s="238" t="s">
        <v>51</v>
      </c>
      <c r="B298" s="238" t="s">
        <v>52</v>
      </c>
      <c r="C298" s="238" t="s">
        <v>72</v>
      </c>
      <c r="D298" s="243" t="s">
        <v>337</v>
      </c>
      <c r="E298" s="243" t="str">
        <f>+'CUOTA ARTESANAL'!E219</f>
        <v>LOBO SOLITARIO V (967631)</v>
      </c>
      <c r="F298" s="238" t="s">
        <v>54</v>
      </c>
      <c r="G298" s="238" t="s">
        <v>58</v>
      </c>
      <c r="H298" s="253">
        <f>'CUOTA ARTESANAL'!N219</f>
        <v>10.582000000000001</v>
      </c>
      <c r="I298" s="253">
        <f>'CUOTA ARTESANAL'!O219</f>
        <v>0</v>
      </c>
      <c r="J298" s="253">
        <f>'CUOTA ARTESANAL'!P219</f>
        <v>10.582000000000001</v>
      </c>
      <c r="K298" s="253">
        <f>'CUOTA ARTESANAL'!Q219</f>
        <v>10.11</v>
      </c>
      <c r="L298" s="253">
        <f>'CUOTA ARTESANAL'!R219</f>
        <v>0.47200000000000131</v>
      </c>
      <c r="M298" s="254">
        <f>'CUOTA ARTESANAL'!S219</f>
        <v>0.95539595539595523</v>
      </c>
      <c r="N298" s="240" t="s">
        <v>218</v>
      </c>
      <c r="O298" s="241">
        <f>RESUMEN!$C$4</f>
        <v>44561</v>
      </c>
      <c r="P298" s="233">
        <v>2021</v>
      </c>
      <c r="Q298" s="233"/>
    </row>
    <row r="299" spans="1:17" ht="15.75" customHeight="1">
      <c r="A299" s="238" t="s">
        <v>51</v>
      </c>
      <c r="B299" s="238" t="s">
        <v>52</v>
      </c>
      <c r="C299" s="238" t="s">
        <v>72</v>
      </c>
      <c r="D299" s="243" t="s">
        <v>337</v>
      </c>
      <c r="E299" s="243" t="str">
        <f>+'CUOTA ARTESANAL'!E221</f>
        <v>PAULITO II (969208)</v>
      </c>
      <c r="F299" s="238" t="s">
        <v>54</v>
      </c>
      <c r="G299" s="238" t="s">
        <v>56</v>
      </c>
      <c r="H299" s="253">
        <f>'CUOTA ARTESANAL'!G221</f>
        <v>7.9370000000000003</v>
      </c>
      <c r="I299" s="253">
        <f>'CUOTA ARTESANAL'!H221</f>
        <v>0</v>
      </c>
      <c r="J299" s="253">
        <f>'CUOTA ARTESANAL'!I221</f>
        <v>7.9370000000000003</v>
      </c>
      <c r="K299" s="253">
        <f>'CUOTA ARTESANAL'!J221</f>
        <v>5.883</v>
      </c>
      <c r="L299" s="253">
        <f>'CUOTA ARTESANAL'!K221</f>
        <v>2.0540000000000003</v>
      </c>
      <c r="M299" s="254">
        <f>'CUOTA ARTESANAL'!L221</f>
        <v>0.74121204485321912</v>
      </c>
      <c r="N299" s="240" t="str">
        <f>'CUOTA ARTESANAL'!M221</f>
        <v>-</v>
      </c>
      <c r="O299" s="241">
        <f>RESUMEN!$C$4</f>
        <v>44561</v>
      </c>
      <c r="P299" s="233">
        <v>2021</v>
      </c>
      <c r="Q299" s="233"/>
    </row>
    <row r="300" spans="1:17" ht="15.75" customHeight="1">
      <c r="A300" s="238" t="s">
        <v>51</v>
      </c>
      <c r="B300" s="238" t="s">
        <v>52</v>
      </c>
      <c r="C300" s="238" t="s">
        <v>72</v>
      </c>
      <c r="D300" s="243" t="s">
        <v>337</v>
      </c>
      <c r="E300" s="243" t="str">
        <f>+'CUOTA ARTESANAL'!E221</f>
        <v>PAULITO II (969208)</v>
      </c>
      <c r="F300" s="238" t="s">
        <v>57</v>
      </c>
      <c r="G300" s="238" t="s">
        <v>58</v>
      </c>
      <c r="H300" s="253">
        <f>'CUOTA ARTESANAL'!G222</f>
        <v>2.645</v>
      </c>
      <c r="I300" s="253">
        <f>'CUOTA ARTESANAL'!H222</f>
        <v>0</v>
      </c>
      <c r="J300" s="253">
        <f>'CUOTA ARTESANAL'!I222</f>
        <v>4.6989999999999998</v>
      </c>
      <c r="K300" s="253">
        <f>'CUOTA ARTESANAL'!J222</f>
        <v>3.8610000000000002</v>
      </c>
      <c r="L300" s="253">
        <f>'CUOTA ARTESANAL'!K222</f>
        <v>0.83799999999999963</v>
      </c>
      <c r="M300" s="254">
        <f>'CUOTA ARTESANAL'!L222</f>
        <v>0.82166418386890838</v>
      </c>
      <c r="N300" s="240" t="str">
        <f>'CUOTA ARTESANAL'!M222</f>
        <v>-</v>
      </c>
      <c r="O300" s="241">
        <f>RESUMEN!$C$4</f>
        <v>44561</v>
      </c>
      <c r="P300" s="233">
        <v>2021</v>
      </c>
      <c r="Q300" s="233"/>
    </row>
    <row r="301" spans="1:17" ht="15.75" customHeight="1">
      <c r="A301" s="238" t="s">
        <v>51</v>
      </c>
      <c r="B301" s="238" t="s">
        <v>52</v>
      </c>
      <c r="C301" s="238" t="s">
        <v>72</v>
      </c>
      <c r="D301" s="243" t="s">
        <v>337</v>
      </c>
      <c r="E301" s="243" t="str">
        <f>+'CUOTA ARTESANAL'!E221</f>
        <v>PAULITO II (969208)</v>
      </c>
      <c r="F301" s="238" t="s">
        <v>54</v>
      </c>
      <c r="G301" s="238" t="s">
        <v>58</v>
      </c>
      <c r="H301" s="253">
        <f>'CUOTA ARTESANAL'!N221</f>
        <v>10.582000000000001</v>
      </c>
      <c r="I301" s="253">
        <f>'CUOTA ARTESANAL'!O221</f>
        <v>0</v>
      </c>
      <c r="J301" s="253">
        <f>'CUOTA ARTESANAL'!P221</f>
        <v>10.582000000000001</v>
      </c>
      <c r="K301" s="253">
        <f>'CUOTA ARTESANAL'!Q221</f>
        <v>9.7439999999999998</v>
      </c>
      <c r="L301" s="253">
        <f>'CUOTA ARTESANAL'!R221</f>
        <v>0.83800000000000097</v>
      </c>
      <c r="M301" s="254">
        <f>'CUOTA ARTESANAL'!S221</f>
        <v>0.92080892080892074</v>
      </c>
      <c r="N301" s="240" t="s">
        <v>218</v>
      </c>
      <c r="O301" s="241">
        <f>RESUMEN!$C$4</f>
        <v>44561</v>
      </c>
      <c r="P301" s="233">
        <v>2021</v>
      </c>
      <c r="Q301" s="233"/>
    </row>
    <row r="302" spans="1:17" ht="15.75" customHeight="1">
      <c r="A302" s="238" t="s">
        <v>51</v>
      </c>
      <c r="B302" s="238" t="s">
        <v>52</v>
      </c>
      <c r="C302" s="238" t="s">
        <v>72</v>
      </c>
      <c r="D302" s="243" t="s">
        <v>337</v>
      </c>
      <c r="E302" s="243" t="str">
        <f>+'CUOTA ARTESANAL'!E223</f>
        <v>PERLA NEGRA II (967660)</v>
      </c>
      <c r="F302" s="238" t="s">
        <v>54</v>
      </c>
      <c r="G302" s="238" t="s">
        <v>56</v>
      </c>
      <c r="H302" s="253">
        <f>'CUOTA ARTESANAL'!G223</f>
        <v>5.2910000000000004</v>
      </c>
      <c r="I302" s="253">
        <f>'CUOTA ARTESANAL'!H223</f>
        <v>0</v>
      </c>
      <c r="J302" s="253">
        <f>'CUOTA ARTESANAL'!I223</f>
        <v>5.2910000000000004</v>
      </c>
      <c r="K302" s="253">
        <f>'CUOTA ARTESANAL'!J223</f>
        <v>5.23</v>
      </c>
      <c r="L302" s="253">
        <f>'CUOTA ARTESANAL'!K223</f>
        <v>6.0999999999999943E-2</v>
      </c>
      <c r="M302" s="254">
        <f>'CUOTA ARTESANAL'!L223</f>
        <v>0.98847098847098847</v>
      </c>
      <c r="N302" s="240" t="str">
        <f>'CUOTA ARTESANAL'!M223</f>
        <v>-</v>
      </c>
      <c r="O302" s="241">
        <f>RESUMEN!$C$4</f>
        <v>44561</v>
      </c>
      <c r="P302" s="233">
        <v>2021</v>
      </c>
      <c r="Q302" s="233"/>
    </row>
    <row r="303" spans="1:17" ht="15.75" customHeight="1">
      <c r="A303" s="238" t="s">
        <v>51</v>
      </c>
      <c r="B303" s="238" t="s">
        <v>52</v>
      </c>
      <c r="C303" s="238" t="s">
        <v>72</v>
      </c>
      <c r="D303" s="243" t="s">
        <v>337</v>
      </c>
      <c r="E303" s="243" t="str">
        <f>+'CUOTA ARTESANAL'!E223</f>
        <v>PERLA NEGRA II (967660)</v>
      </c>
      <c r="F303" s="238" t="s">
        <v>57</v>
      </c>
      <c r="G303" s="238" t="s">
        <v>58</v>
      </c>
      <c r="H303" s="253">
        <f>'CUOTA ARTESANAL'!G224</f>
        <v>5.2910000000000004</v>
      </c>
      <c r="I303" s="253">
        <f>'CUOTA ARTESANAL'!H224</f>
        <v>0</v>
      </c>
      <c r="J303" s="253">
        <f>'CUOTA ARTESANAL'!I224</f>
        <v>5.3520000000000003</v>
      </c>
      <c r="K303" s="253">
        <f>'CUOTA ARTESANAL'!J224</f>
        <v>4.8879999999999999</v>
      </c>
      <c r="L303" s="253">
        <f>'CUOTA ARTESANAL'!K224</f>
        <v>0.46400000000000041</v>
      </c>
      <c r="M303" s="254">
        <f>'CUOTA ARTESANAL'!L224</f>
        <v>0.91330343796711499</v>
      </c>
      <c r="N303" s="240" t="str">
        <f>'CUOTA ARTESANAL'!M224</f>
        <v>-</v>
      </c>
      <c r="O303" s="241">
        <f>RESUMEN!$C$4</f>
        <v>44561</v>
      </c>
      <c r="P303" s="233">
        <v>2021</v>
      </c>
      <c r="Q303" s="233"/>
    </row>
    <row r="304" spans="1:17" ht="15.75" customHeight="1">
      <c r="A304" s="238" t="s">
        <v>51</v>
      </c>
      <c r="B304" s="238" t="s">
        <v>52</v>
      </c>
      <c r="C304" s="238" t="s">
        <v>72</v>
      </c>
      <c r="D304" s="243" t="s">
        <v>337</v>
      </c>
      <c r="E304" s="243" t="str">
        <f>+'CUOTA ARTESANAL'!E223</f>
        <v>PERLA NEGRA II (967660)</v>
      </c>
      <c r="F304" s="238" t="s">
        <v>54</v>
      </c>
      <c r="G304" s="238" t="s">
        <v>58</v>
      </c>
      <c r="H304" s="253">
        <f>'CUOTA ARTESANAL'!N223</f>
        <v>10.582000000000001</v>
      </c>
      <c r="I304" s="253">
        <f>'CUOTA ARTESANAL'!O223</f>
        <v>0</v>
      </c>
      <c r="J304" s="253">
        <f>'CUOTA ARTESANAL'!P223</f>
        <v>10.582000000000001</v>
      </c>
      <c r="K304" s="253">
        <f>'CUOTA ARTESANAL'!Q223</f>
        <v>10.118</v>
      </c>
      <c r="L304" s="253">
        <f>'CUOTA ARTESANAL'!R223</f>
        <v>0.46400000000000041</v>
      </c>
      <c r="M304" s="254">
        <f>'CUOTA ARTESANAL'!S223</f>
        <v>0.95615195615195614</v>
      </c>
      <c r="N304" s="240" t="s">
        <v>218</v>
      </c>
      <c r="O304" s="241">
        <f>RESUMEN!$C$4</f>
        <v>44561</v>
      </c>
      <c r="P304" s="233">
        <v>2021</v>
      </c>
      <c r="Q304" s="233"/>
    </row>
    <row r="305" spans="1:17" ht="15.75" customHeight="1">
      <c r="A305" s="238" t="s">
        <v>51</v>
      </c>
      <c r="B305" s="238" t="s">
        <v>52</v>
      </c>
      <c r="C305" s="238" t="s">
        <v>72</v>
      </c>
      <c r="D305" s="243" t="s">
        <v>337</v>
      </c>
      <c r="E305" s="243" t="str">
        <f>+'CUOTA ARTESANAL'!E225</f>
        <v>RAPA NUI VIII (697630)</v>
      </c>
      <c r="F305" s="238" t="s">
        <v>54</v>
      </c>
      <c r="G305" s="238" t="s">
        <v>56</v>
      </c>
      <c r="H305" s="253">
        <f>'CUOTA ARTESANAL'!G225</f>
        <v>5.2910000000000004</v>
      </c>
      <c r="I305" s="253">
        <f>'CUOTA ARTESANAL'!H225</f>
        <v>12</v>
      </c>
      <c r="J305" s="253">
        <f>'CUOTA ARTESANAL'!I225</f>
        <v>17.291</v>
      </c>
      <c r="K305" s="253">
        <f>'CUOTA ARTESANAL'!J225</f>
        <v>12.244999999999999</v>
      </c>
      <c r="L305" s="253">
        <f>'CUOTA ARTESANAL'!K225</f>
        <v>5.0460000000000012</v>
      </c>
      <c r="M305" s="254">
        <f>'CUOTA ARTESANAL'!L225</f>
        <v>0.70817188132554498</v>
      </c>
      <c r="N305" s="240" t="str">
        <f>'CUOTA ARTESANAL'!M225</f>
        <v>-</v>
      </c>
      <c r="O305" s="241">
        <f>RESUMEN!$C$4</f>
        <v>44561</v>
      </c>
      <c r="P305" s="233">
        <v>2021</v>
      </c>
      <c r="Q305" s="233"/>
    </row>
    <row r="306" spans="1:17" ht="15.75" customHeight="1">
      <c r="A306" s="238" t="s">
        <v>51</v>
      </c>
      <c r="B306" s="238" t="s">
        <v>52</v>
      </c>
      <c r="C306" s="238" t="s">
        <v>72</v>
      </c>
      <c r="D306" s="243" t="s">
        <v>337</v>
      </c>
      <c r="E306" s="243" t="str">
        <f>+'CUOTA ARTESANAL'!E225</f>
        <v>RAPA NUI VIII (697630)</v>
      </c>
      <c r="F306" s="238" t="s">
        <v>57</v>
      </c>
      <c r="G306" s="238" t="s">
        <v>58</v>
      </c>
      <c r="H306" s="253">
        <f>'CUOTA ARTESANAL'!G226</f>
        <v>5.2910000000000004</v>
      </c>
      <c r="I306" s="253">
        <f>'CUOTA ARTESANAL'!H226</f>
        <v>0</v>
      </c>
      <c r="J306" s="253">
        <f>'CUOTA ARTESANAL'!I226</f>
        <v>10.337000000000002</v>
      </c>
      <c r="K306" s="253">
        <f>'CUOTA ARTESANAL'!J226</f>
        <v>8.9600000000000009</v>
      </c>
      <c r="L306" s="253">
        <f>'CUOTA ARTESANAL'!K226</f>
        <v>1.3770000000000007</v>
      </c>
      <c r="M306" s="254">
        <f>'CUOTA ARTESANAL'!L226</f>
        <v>0.86678920383089864</v>
      </c>
      <c r="N306" s="240" t="str">
        <f>'CUOTA ARTESANAL'!M226</f>
        <v>-</v>
      </c>
      <c r="O306" s="241">
        <f>RESUMEN!$C$4</f>
        <v>44561</v>
      </c>
      <c r="P306" s="233">
        <v>2021</v>
      </c>
      <c r="Q306" s="233"/>
    </row>
    <row r="307" spans="1:17" ht="15.75" customHeight="1">
      <c r="A307" s="238" t="s">
        <v>51</v>
      </c>
      <c r="B307" s="238" t="s">
        <v>52</v>
      </c>
      <c r="C307" s="238" t="s">
        <v>72</v>
      </c>
      <c r="D307" s="243" t="s">
        <v>337</v>
      </c>
      <c r="E307" s="243" t="str">
        <f>+'CUOTA ARTESANAL'!E225</f>
        <v>RAPA NUI VIII (697630)</v>
      </c>
      <c r="F307" s="238" t="s">
        <v>54</v>
      </c>
      <c r="G307" s="238" t="s">
        <v>58</v>
      </c>
      <c r="H307" s="253">
        <f>'CUOTA ARTESANAL'!N225</f>
        <v>10.582000000000001</v>
      </c>
      <c r="I307" s="253">
        <f>'CUOTA ARTESANAL'!O225</f>
        <v>12</v>
      </c>
      <c r="J307" s="253">
        <f>'CUOTA ARTESANAL'!P225</f>
        <v>22.582000000000001</v>
      </c>
      <c r="K307" s="253">
        <f>'CUOTA ARTESANAL'!Q225</f>
        <v>21.204999999999998</v>
      </c>
      <c r="L307" s="253">
        <f>'CUOTA ARTESANAL'!R225</f>
        <v>1.3770000000000024</v>
      </c>
      <c r="M307" s="254">
        <f>'CUOTA ARTESANAL'!S225</f>
        <v>0.9390222300947656</v>
      </c>
      <c r="N307" s="240" t="s">
        <v>218</v>
      </c>
      <c r="O307" s="241">
        <f>RESUMEN!$C$4</f>
        <v>44561</v>
      </c>
      <c r="P307" s="233">
        <v>2021</v>
      </c>
      <c r="Q307" s="233"/>
    </row>
    <row r="308" spans="1:17" ht="15.75" customHeight="1">
      <c r="A308" s="238" t="s">
        <v>51</v>
      </c>
      <c r="B308" s="238" t="s">
        <v>52</v>
      </c>
      <c r="C308" s="238" t="s">
        <v>72</v>
      </c>
      <c r="D308" s="243" t="s">
        <v>337</v>
      </c>
      <c r="E308" s="243" t="str">
        <f>+'CUOTA ARTESANAL'!E227</f>
        <v>RAPA NUI VII (966898)</v>
      </c>
      <c r="F308" s="238" t="s">
        <v>54</v>
      </c>
      <c r="G308" s="238" t="s">
        <v>56</v>
      </c>
      <c r="H308" s="253">
        <f>'CUOTA ARTESANAL'!G227</f>
        <v>5.2919999999999998</v>
      </c>
      <c r="I308" s="253">
        <f>'CUOTA ARTESANAL'!H227</f>
        <v>13</v>
      </c>
      <c r="J308" s="253">
        <f>'CUOTA ARTESANAL'!I227</f>
        <v>18.292000000000002</v>
      </c>
      <c r="K308" s="253">
        <f>'CUOTA ARTESANAL'!J227</f>
        <v>4.4000000000000004</v>
      </c>
      <c r="L308" s="253">
        <f>'CUOTA ARTESANAL'!K227</f>
        <v>13.892000000000001</v>
      </c>
      <c r="M308" s="254">
        <f>'CUOTA ARTESANAL'!L227</f>
        <v>0.24054231357970698</v>
      </c>
      <c r="N308" s="240" t="str">
        <f>'CUOTA ARTESANAL'!M227</f>
        <v>-</v>
      </c>
      <c r="O308" s="241">
        <f>RESUMEN!$C$4</f>
        <v>44561</v>
      </c>
      <c r="P308" s="233">
        <v>2021</v>
      </c>
      <c r="Q308" s="233"/>
    </row>
    <row r="309" spans="1:17" ht="15.75" customHeight="1">
      <c r="A309" s="238" t="s">
        <v>51</v>
      </c>
      <c r="B309" s="238" t="s">
        <v>52</v>
      </c>
      <c r="C309" s="238" t="s">
        <v>72</v>
      </c>
      <c r="D309" s="243" t="s">
        <v>337</v>
      </c>
      <c r="E309" s="243" t="str">
        <f>+'CUOTA ARTESANAL'!E227</f>
        <v>RAPA NUI VII (966898)</v>
      </c>
      <c r="F309" s="238" t="s">
        <v>57</v>
      </c>
      <c r="G309" s="238" t="s">
        <v>58</v>
      </c>
      <c r="H309" s="253">
        <f>'CUOTA ARTESANAL'!G228</f>
        <v>5.2919999999999998</v>
      </c>
      <c r="I309" s="253">
        <f>'CUOTA ARTESANAL'!H228</f>
        <v>8.1199999999999992</v>
      </c>
      <c r="J309" s="253">
        <f>'CUOTA ARTESANAL'!I228</f>
        <v>27.304000000000002</v>
      </c>
      <c r="K309" s="253">
        <f>'CUOTA ARTESANAL'!J228</f>
        <v>6.0090000000000003</v>
      </c>
      <c r="L309" s="253">
        <f>'CUOTA ARTESANAL'!K228</f>
        <v>21.295000000000002</v>
      </c>
      <c r="M309" s="254">
        <f>'CUOTA ARTESANAL'!L228</f>
        <v>0.22007764430120128</v>
      </c>
      <c r="N309" s="240" t="str">
        <f>'CUOTA ARTESANAL'!M228</f>
        <v>-</v>
      </c>
      <c r="O309" s="241">
        <f>RESUMEN!$C$4</f>
        <v>44561</v>
      </c>
      <c r="P309" s="233">
        <v>2021</v>
      </c>
      <c r="Q309" s="233"/>
    </row>
    <row r="310" spans="1:17" ht="15.75" customHeight="1">
      <c r="A310" s="238" t="s">
        <v>51</v>
      </c>
      <c r="B310" s="238" t="s">
        <v>52</v>
      </c>
      <c r="C310" s="238" t="s">
        <v>72</v>
      </c>
      <c r="D310" s="243" t="s">
        <v>337</v>
      </c>
      <c r="E310" s="243" t="str">
        <f>+'CUOTA ARTESANAL'!E227</f>
        <v>RAPA NUI VII (966898)</v>
      </c>
      <c r="F310" s="238" t="s">
        <v>54</v>
      </c>
      <c r="G310" s="238" t="s">
        <v>58</v>
      </c>
      <c r="H310" s="253">
        <f>'CUOTA ARTESANAL'!N227</f>
        <v>10.584</v>
      </c>
      <c r="I310" s="253">
        <f>'CUOTA ARTESANAL'!O227</f>
        <v>21.119999999999997</v>
      </c>
      <c r="J310" s="253">
        <f>'CUOTA ARTESANAL'!P227</f>
        <v>31.703999999999997</v>
      </c>
      <c r="K310" s="253">
        <f>'CUOTA ARTESANAL'!Q227</f>
        <v>10.409000000000001</v>
      </c>
      <c r="L310" s="253">
        <f>'CUOTA ARTESANAL'!R227</f>
        <v>21.294999999999995</v>
      </c>
      <c r="M310" s="254">
        <f>'CUOTA ARTESANAL'!S227</f>
        <v>0.32831819328791323</v>
      </c>
      <c r="N310" s="240" t="s">
        <v>218</v>
      </c>
      <c r="O310" s="241">
        <f>RESUMEN!$C$4</f>
        <v>44561</v>
      </c>
      <c r="P310" s="233">
        <v>2021</v>
      </c>
      <c r="Q310" s="233"/>
    </row>
    <row r="311" spans="1:17" ht="15.75" customHeight="1">
      <c r="A311" s="238" t="s">
        <v>51</v>
      </c>
      <c r="B311" s="238" t="s">
        <v>52</v>
      </c>
      <c r="C311" s="238" t="s">
        <v>72</v>
      </c>
      <c r="D311" s="243" t="s">
        <v>337</v>
      </c>
      <c r="E311" s="243" t="str">
        <f>+'CUOTA ARTESANAL'!E229</f>
        <v>SAN FRANCISCO VI (967464)</v>
      </c>
      <c r="F311" s="238" t="s">
        <v>54</v>
      </c>
      <c r="G311" s="238" t="s">
        <v>56</v>
      </c>
      <c r="H311" s="253">
        <f>'CUOTA ARTESANAL'!G229</f>
        <v>5.29</v>
      </c>
      <c r="I311" s="253">
        <f>'CUOTA ARTESANAL'!H229</f>
        <v>0</v>
      </c>
      <c r="J311" s="253">
        <f>'CUOTA ARTESANAL'!I229</f>
        <v>5.29</v>
      </c>
      <c r="K311" s="253">
        <f>'CUOTA ARTESANAL'!J229</f>
        <v>4.3710000000000004</v>
      </c>
      <c r="L311" s="253">
        <f>'CUOTA ARTESANAL'!K229</f>
        <v>0.91899999999999959</v>
      </c>
      <c r="M311" s="254">
        <f>'CUOTA ARTESANAL'!L229</f>
        <v>0.82627599243856342</v>
      </c>
      <c r="N311" s="240" t="str">
        <f>'CUOTA ARTESANAL'!M229</f>
        <v>-</v>
      </c>
      <c r="O311" s="241">
        <f>RESUMEN!$C$4</f>
        <v>44561</v>
      </c>
      <c r="P311" s="233">
        <v>2021</v>
      </c>
      <c r="Q311" s="233"/>
    </row>
    <row r="312" spans="1:17" ht="15.75" customHeight="1">
      <c r="A312" s="238" t="s">
        <v>51</v>
      </c>
      <c r="B312" s="238" t="s">
        <v>52</v>
      </c>
      <c r="C312" s="238" t="s">
        <v>72</v>
      </c>
      <c r="D312" s="243" t="s">
        <v>337</v>
      </c>
      <c r="E312" s="243" t="str">
        <f>+'CUOTA ARTESANAL'!E229</f>
        <v>SAN FRANCISCO VI (967464)</v>
      </c>
      <c r="F312" s="238" t="s">
        <v>57</v>
      </c>
      <c r="G312" s="238" t="s">
        <v>58</v>
      </c>
      <c r="H312" s="253">
        <f>'CUOTA ARTESANAL'!G230</f>
        <v>5.29</v>
      </c>
      <c r="I312" s="253">
        <f>'CUOTA ARTESANAL'!H230</f>
        <v>0</v>
      </c>
      <c r="J312" s="253">
        <f>'CUOTA ARTESANAL'!I230</f>
        <v>6.2089999999999996</v>
      </c>
      <c r="K312" s="253">
        <f>'CUOTA ARTESANAL'!J230</f>
        <v>3.2570000000000001</v>
      </c>
      <c r="L312" s="253">
        <f>'CUOTA ARTESANAL'!K230</f>
        <v>2.9519999999999995</v>
      </c>
      <c r="M312" s="254">
        <f>'CUOTA ARTESANAL'!L230</f>
        <v>0.52456112095345475</v>
      </c>
      <c r="N312" s="240" t="str">
        <f>'CUOTA ARTESANAL'!M230</f>
        <v>-</v>
      </c>
      <c r="O312" s="241">
        <f>RESUMEN!$C$4</f>
        <v>44561</v>
      </c>
      <c r="P312" s="233">
        <v>2021</v>
      </c>
      <c r="Q312" s="233"/>
    </row>
    <row r="313" spans="1:17" ht="15.75" customHeight="1">
      <c r="A313" s="238" t="s">
        <v>51</v>
      </c>
      <c r="B313" s="238" t="s">
        <v>52</v>
      </c>
      <c r="C313" s="238" t="s">
        <v>72</v>
      </c>
      <c r="D313" s="243" t="s">
        <v>337</v>
      </c>
      <c r="E313" s="243" t="str">
        <f>+'CUOTA ARTESANAL'!E229</f>
        <v>SAN FRANCISCO VI (967464)</v>
      </c>
      <c r="F313" s="238" t="s">
        <v>54</v>
      </c>
      <c r="G313" s="238" t="s">
        <v>58</v>
      </c>
      <c r="H313" s="253">
        <f>'CUOTA ARTESANAL'!N229</f>
        <v>10.58</v>
      </c>
      <c r="I313" s="253">
        <f>'CUOTA ARTESANAL'!O229</f>
        <v>0</v>
      </c>
      <c r="J313" s="253">
        <f>'CUOTA ARTESANAL'!P229</f>
        <v>10.58</v>
      </c>
      <c r="K313" s="253">
        <f>'CUOTA ARTESANAL'!Q229</f>
        <v>7.6280000000000001</v>
      </c>
      <c r="L313" s="253">
        <f>'CUOTA ARTESANAL'!R229</f>
        <v>2.952</v>
      </c>
      <c r="M313" s="254">
        <f>'CUOTA ARTESANAL'!S229</f>
        <v>0.72098298676748585</v>
      </c>
      <c r="N313" s="240" t="s">
        <v>218</v>
      </c>
      <c r="O313" s="241">
        <f>RESUMEN!$C$4</f>
        <v>44561</v>
      </c>
      <c r="P313" s="233">
        <v>2021</v>
      </c>
      <c r="Q313" s="233"/>
    </row>
    <row r="314" spans="1:17" ht="15.75" customHeight="1">
      <c r="A314" s="238" t="s">
        <v>51</v>
      </c>
      <c r="B314" s="238" t="s">
        <v>52</v>
      </c>
      <c r="C314" s="238" t="s">
        <v>72</v>
      </c>
      <c r="D314" s="243" t="s">
        <v>337</v>
      </c>
      <c r="E314" s="243" t="str">
        <f>+'CUOTA ARTESANAL'!E233</f>
        <v>SANTA MARIA V (968097)</v>
      </c>
      <c r="F314" s="238" t="s">
        <v>54</v>
      </c>
      <c r="G314" s="238" t="s">
        <v>56</v>
      </c>
      <c r="H314" s="253">
        <f>'CUOTA ARTESANAL'!G231</f>
        <v>5.2919999999999998</v>
      </c>
      <c r="I314" s="253">
        <f>'CUOTA ARTESANAL'!H231</f>
        <v>0</v>
      </c>
      <c r="J314" s="253">
        <f>'CUOTA ARTESANAL'!I231</f>
        <v>5.2919999999999998</v>
      </c>
      <c r="K314" s="253">
        <f>'CUOTA ARTESANAL'!J231</f>
        <v>5.3659999999999997</v>
      </c>
      <c r="L314" s="253">
        <f>'CUOTA ARTESANAL'!K231</f>
        <v>-7.3999999999999844E-2</v>
      </c>
      <c r="M314" s="254">
        <f>'CUOTA ARTESANAL'!L231</f>
        <v>1.0139833711262283</v>
      </c>
      <c r="N314" s="239">
        <f>'CUOTA ARTESANAL'!M231</f>
        <v>44364</v>
      </c>
      <c r="O314" s="241">
        <f>RESUMEN!$C$4</f>
        <v>44561</v>
      </c>
      <c r="P314" s="233">
        <v>2021</v>
      </c>
      <c r="Q314" s="233"/>
    </row>
    <row r="315" spans="1:17" ht="15.75" customHeight="1">
      <c r="A315" s="238" t="s">
        <v>51</v>
      </c>
      <c r="B315" s="238" t="s">
        <v>52</v>
      </c>
      <c r="C315" s="238" t="s">
        <v>72</v>
      </c>
      <c r="D315" s="243" t="s">
        <v>337</v>
      </c>
      <c r="E315" s="243" t="str">
        <f>+'CUOTA ARTESANAL'!E233</f>
        <v>SANTA MARIA V (968097)</v>
      </c>
      <c r="F315" s="238" t="s">
        <v>57</v>
      </c>
      <c r="G315" s="238" t="s">
        <v>58</v>
      </c>
      <c r="H315" s="253">
        <f>'CUOTA ARTESANAL'!G232</f>
        <v>5.2919999999999998</v>
      </c>
      <c r="I315" s="253">
        <f>'CUOTA ARTESANAL'!H232</f>
        <v>0</v>
      </c>
      <c r="J315" s="253">
        <f>'CUOTA ARTESANAL'!I232</f>
        <v>5.218</v>
      </c>
      <c r="K315" s="253">
        <f>'CUOTA ARTESANAL'!J232</f>
        <v>2.9079999999999999</v>
      </c>
      <c r="L315" s="253">
        <f>'CUOTA ARTESANAL'!K232</f>
        <v>2.31</v>
      </c>
      <c r="M315" s="254">
        <f>'CUOTA ARTESANAL'!L232</f>
        <v>0.55730164814105021</v>
      </c>
      <c r="N315" s="239" t="str">
        <f>'CUOTA ARTESANAL'!M232</f>
        <v>-</v>
      </c>
      <c r="O315" s="241">
        <f>RESUMEN!$C$4</f>
        <v>44561</v>
      </c>
      <c r="P315" s="233">
        <v>2021</v>
      </c>
      <c r="Q315" s="233"/>
    </row>
    <row r="316" spans="1:17" ht="15.75" customHeight="1">
      <c r="A316" s="238" t="s">
        <v>51</v>
      </c>
      <c r="B316" s="238" t="s">
        <v>52</v>
      </c>
      <c r="C316" s="238" t="s">
        <v>72</v>
      </c>
      <c r="D316" s="243" t="s">
        <v>337</v>
      </c>
      <c r="E316" s="243" t="str">
        <f>+'CUOTA ARTESANAL'!E233</f>
        <v>SANTA MARIA V (968097)</v>
      </c>
      <c r="F316" s="238" t="s">
        <v>54</v>
      </c>
      <c r="G316" s="238" t="s">
        <v>58</v>
      </c>
      <c r="H316" s="253">
        <f>'CUOTA ARTESANAL'!N231</f>
        <v>10.584</v>
      </c>
      <c r="I316" s="253">
        <f>'CUOTA ARTESANAL'!O231</f>
        <v>0</v>
      </c>
      <c r="J316" s="253">
        <f>'CUOTA ARTESANAL'!P231</f>
        <v>10.584</v>
      </c>
      <c r="K316" s="253">
        <f>'CUOTA ARTESANAL'!Q231</f>
        <v>8.2739999999999991</v>
      </c>
      <c r="L316" s="253">
        <f>'CUOTA ARTESANAL'!R231</f>
        <v>2.3100000000000005</v>
      </c>
      <c r="M316" s="254">
        <f>'CUOTA ARTESANAL'!S231</f>
        <v>0.78174603174603174</v>
      </c>
      <c r="N316" s="239" t="s">
        <v>218</v>
      </c>
      <c r="O316" s="241">
        <f>RESUMEN!$C$4</f>
        <v>44561</v>
      </c>
      <c r="P316" s="233">
        <v>2021</v>
      </c>
      <c r="Q316" s="233"/>
    </row>
    <row r="317" spans="1:17" ht="15.75" customHeight="1">
      <c r="A317" s="238" t="s">
        <v>51</v>
      </c>
      <c r="B317" s="238" t="s">
        <v>52</v>
      </c>
      <c r="C317" s="238" t="s">
        <v>72</v>
      </c>
      <c r="D317" s="243" t="s">
        <v>337</v>
      </c>
      <c r="E317" s="243" t="str">
        <f>+'CUOTA ARTESANAL'!E235</f>
        <v>ALSADO II (968702)</v>
      </c>
      <c r="F317" s="238" t="s">
        <v>54</v>
      </c>
      <c r="G317" s="238" t="s">
        <v>56</v>
      </c>
      <c r="H317" s="253">
        <f>'CUOTA ARTESANAL'!G233</f>
        <v>5.2910000000000004</v>
      </c>
      <c r="I317" s="253">
        <f>'CUOTA ARTESANAL'!H233</f>
        <v>0</v>
      </c>
      <c r="J317" s="253">
        <f>'CUOTA ARTESANAL'!I233</f>
        <v>5.2910000000000004</v>
      </c>
      <c r="K317" s="253">
        <f>'CUOTA ARTESANAL'!J233</f>
        <v>4.9410000000000016</v>
      </c>
      <c r="L317" s="253">
        <f>'CUOTA ARTESANAL'!K233</f>
        <v>0.34999999999999876</v>
      </c>
      <c r="M317" s="254">
        <f>'CUOTA ARTESANAL'!L233</f>
        <v>0.93384993384993409</v>
      </c>
      <c r="N317" s="239" t="str">
        <f>'CUOTA ARTESANAL'!M233</f>
        <v>-</v>
      </c>
      <c r="O317" s="241">
        <f>RESUMEN!$C$4</f>
        <v>44561</v>
      </c>
      <c r="P317" s="233">
        <v>2021</v>
      </c>
      <c r="Q317" s="233"/>
    </row>
    <row r="318" spans="1:17" ht="15.75" customHeight="1">
      <c r="A318" s="238" t="s">
        <v>51</v>
      </c>
      <c r="B318" s="238" t="s">
        <v>52</v>
      </c>
      <c r="C318" s="238" t="s">
        <v>72</v>
      </c>
      <c r="D318" s="243" t="s">
        <v>337</v>
      </c>
      <c r="E318" s="243" t="str">
        <f>+'CUOTA ARTESANAL'!E235</f>
        <v>ALSADO II (968702)</v>
      </c>
      <c r="F318" s="238" t="s">
        <v>57</v>
      </c>
      <c r="G318" s="238" t="s">
        <v>58</v>
      </c>
      <c r="H318" s="253">
        <f>'CUOTA ARTESANAL'!G234</f>
        <v>5.2910000000000004</v>
      </c>
      <c r="I318" s="253">
        <f>'CUOTA ARTESANAL'!H234</f>
        <v>0</v>
      </c>
      <c r="J318" s="253">
        <f>'CUOTA ARTESANAL'!I234</f>
        <v>5.6409999999999991</v>
      </c>
      <c r="K318" s="253">
        <f>'CUOTA ARTESANAL'!J234</f>
        <v>2.1869999999999998</v>
      </c>
      <c r="L318" s="253">
        <f>'CUOTA ARTESANAL'!K234</f>
        <v>3.4539999999999993</v>
      </c>
      <c r="M318" s="254">
        <f>'CUOTA ARTESANAL'!L234</f>
        <v>0.38769721680553099</v>
      </c>
      <c r="N318" s="239" t="str">
        <f>'CUOTA ARTESANAL'!M234</f>
        <v>-</v>
      </c>
      <c r="O318" s="241">
        <f>RESUMEN!$C$4</f>
        <v>44561</v>
      </c>
      <c r="P318" s="233">
        <v>2021</v>
      </c>
      <c r="Q318" s="233"/>
    </row>
    <row r="319" spans="1:17" ht="15.75" customHeight="1">
      <c r="A319" s="238" t="s">
        <v>51</v>
      </c>
      <c r="B319" s="238" t="s">
        <v>52</v>
      </c>
      <c r="C319" s="238" t="s">
        <v>72</v>
      </c>
      <c r="D319" s="243" t="s">
        <v>337</v>
      </c>
      <c r="E319" s="243" t="str">
        <f>+'CUOTA ARTESANAL'!E235</f>
        <v>ALSADO II (968702)</v>
      </c>
      <c r="F319" s="238" t="s">
        <v>54</v>
      </c>
      <c r="G319" s="238" t="s">
        <v>58</v>
      </c>
      <c r="H319" s="253">
        <f>'CUOTA ARTESANAL'!N233</f>
        <v>10.582000000000001</v>
      </c>
      <c r="I319" s="253">
        <f>'CUOTA ARTESANAL'!O233</f>
        <v>0</v>
      </c>
      <c r="J319" s="253">
        <f>'CUOTA ARTESANAL'!P233</f>
        <v>10.582000000000001</v>
      </c>
      <c r="K319" s="253">
        <f>'CUOTA ARTESANAL'!Q233</f>
        <v>7.1280000000000019</v>
      </c>
      <c r="L319" s="253">
        <f>'CUOTA ARTESANAL'!R233</f>
        <v>3.4539999999999988</v>
      </c>
      <c r="M319" s="254">
        <f>'CUOTA ARTESANAL'!S233</f>
        <v>0.67359667359667375</v>
      </c>
      <c r="N319" s="239" t="s">
        <v>218</v>
      </c>
      <c r="O319" s="241">
        <f>RESUMEN!$C$4</f>
        <v>44561</v>
      </c>
      <c r="P319" s="233">
        <v>2021</v>
      </c>
      <c r="Q319" s="233"/>
    </row>
    <row r="320" spans="1:17" ht="15.75" customHeight="1">
      <c r="A320" s="238" t="s">
        <v>51</v>
      </c>
      <c r="B320" s="238" t="s">
        <v>52</v>
      </c>
      <c r="C320" s="238" t="s">
        <v>72</v>
      </c>
      <c r="D320" s="243" t="s">
        <v>337</v>
      </c>
      <c r="E320" s="243" t="str">
        <f>+'CUOTA ARTESANAL'!E237</f>
        <v>ANA DELIA III (966442)</v>
      </c>
      <c r="F320" s="238" t="s">
        <v>54</v>
      </c>
      <c r="G320" s="238" t="s">
        <v>56</v>
      </c>
      <c r="H320" s="253">
        <f>'CUOTA ARTESANAL'!G237</f>
        <v>5.2919999999999998</v>
      </c>
      <c r="I320" s="253">
        <f>'CUOTA ARTESANAL'!H237</f>
        <v>0</v>
      </c>
      <c r="J320" s="253">
        <f>'CUOTA ARTESANAL'!I237</f>
        <v>5.2919999999999998</v>
      </c>
      <c r="K320" s="253">
        <f>'CUOTA ARTESANAL'!J237</f>
        <v>5.3190000000000008</v>
      </c>
      <c r="L320" s="253">
        <f>'CUOTA ARTESANAL'!K237</f>
        <v>-2.7000000000001023E-2</v>
      </c>
      <c r="M320" s="254">
        <f>'CUOTA ARTESANAL'!L237</f>
        <v>1.0051020408163267</v>
      </c>
      <c r="N320" s="240">
        <f>'CUOTA ARTESANAL'!M237</f>
        <v>44371</v>
      </c>
      <c r="O320" s="241">
        <f>RESUMEN!$C$4</f>
        <v>44561</v>
      </c>
      <c r="P320" s="233">
        <v>2021</v>
      </c>
      <c r="Q320" s="233"/>
    </row>
    <row r="321" spans="1:17" ht="15.75" customHeight="1">
      <c r="A321" s="238" t="s">
        <v>51</v>
      </c>
      <c r="B321" s="238" t="s">
        <v>52</v>
      </c>
      <c r="C321" s="238" t="s">
        <v>72</v>
      </c>
      <c r="D321" s="243" t="s">
        <v>337</v>
      </c>
      <c r="E321" s="243" t="str">
        <f>+'CUOTA ARTESANAL'!E237</f>
        <v>ANA DELIA III (966442)</v>
      </c>
      <c r="F321" s="238" t="s">
        <v>57</v>
      </c>
      <c r="G321" s="238" t="s">
        <v>58</v>
      </c>
      <c r="H321" s="253">
        <f>'CUOTA ARTESANAL'!G238</f>
        <v>5.2919999999999998</v>
      </c>
      <c r="I321" s="253">
        <f>'CUOTA ARTESANAL'!H238</f>
        <v>0</v>
      </c>
      <c r="J321" s="253">
        <f>'CUOTA ARTESANAL'!I238</f>
        <v>5.2649999999999988</v>
      </c>
      <c r="K321" s="253">
        <f>'CUOTA ARTESANAL'!J238</f>
        <v>3.0509999999999997</v>
      </c>
      <c r="L321" s="253">
        <f>'CUOTA ARTESANAL'!K238</f>
        <v>2.2139999999999991</v>
      </c>
      <c r="M321" s="254">
        <f>'CUOTA ARTESANAL'!L238</f>
        <v>0.57948717948717954</v>
      </c>
      <c r="N321" s="240" t="str">
        <f>'CUOTA ARTESANAL'!M238</f>
        <v>-</v>
      </c>
      <c r="O321" s="241">
        <f>RESUMEN!$C$4</f>
        <v>44561</v>
      </c>
      <c r="P321" s="233">
        <v>2021</v>
      </c>
      <c r="Q321" s="233"/>
    </row>
    <row r="322" spans="1:17" ht="15.75" customHeight="1">
      <c r="A322" s="238" t="s">
        <v>51</v>
      </c>
      <c r="B322" s="238" t="s">
        <v>52</v>
      </c>
      <c r="C322" s="238" t="s">
        <v>72</v>
      </c>
      <c r="D322" s="243" t="s">
        <v>337</v>
      </c>
      <c r="E322" s="243" t="str">
        <f>+'CUOTA ARTESANAL'!E237</f>
        <v>ANA DELIA III (966442)</v>
      </c>
      <c r="F322" s="238" t="s">
        <v>54</v>
      </c>
      <c r="G322" s="238" t="s">
        <v>58</v>
      </c>
      <c r="H322" s="253">
        <f>'CUOTA ARTESANAL'!N237</f>
        <v>10.584</v>
      </c>
      <c r="I322" s="253">
        <f>'CUOTA ARTESANAL'!O237</f>
        <v>0</v>
      </c>
      <c r="J322" s="253">
        <f>'CUOTA ARTESANAL'!P237</f>
        <v>10.584</v>
      </c>
      <c r="K322" s="253">
        <f>'CUOTA ARTESANAL'!Q237</f>
        <v>8.370000000000001</v>
      </c>
      <c r="L322" s="253">
        <f>'CUOTA ARTESANAL'!R237</f>
        <v>2.2139999999999986</v>
      </c>
      <c r="M322" s="254">
        <f>'CUOTA ARTESANAL'!S237</f>
        <v>0.7908163265306124</v>
      </c>
      <c r="N322" s="240" t="s">
        <v>218</v>
      </c>
      <c r="O322" s="241">
        <f>RESUMEN!$C$4</f>
        <v>44561</v>
      </c>
      <c r="P322" s="233">
        <v>2021</v>
      </c>
      <c r="Q322" s="233"/>
    </row>
    <row r="323" spans="1:17" ht="15.75" customHeight="1">
      <c r="A323" s="238" t="s">
        <v>51</v>
      </c>
      <c r="B323" s="238" t="s">
        <v>52</v>
      </c>
      <c r="C323" s="238" t="s">
        <v>72</v>
      </c>
      <c r="D323" s="243" t="s">
        <v>337</v>
      </c>
      <c r="E323" s="243" t="str">
        <f>+'CUOTA ARTESANAL'!E239</f>
        <v>JOSEFA (967328)</v>
      </c>
      <c r="F323" s="238" t="s">
        <v>54</v>
      </c>
      <c r="G323" s="238" t="s">
        <v>56</v>
      </c>
      <c r="H323" s="253">
        <f>'CUOTA ARTESANAL'!G239</f>
        <v>5.2910000000000004</v>
      </c>
      <c r="I323" s="253">
        <f>'CUOTA ARTESANAL'!H239</f>
        <v>0</v>
      </c>
      <c r="J323" s="253">
        <f>'CUOTA ARTESANAL'!I239</f>
        <v>5.2910000000000004</v>
      </c>
      <c r="K323" s="253">
        <f>'CUOTA ARTESANAL'!J239</f>
        <v>5.13</v>
      </c>
      <c r="L323" s="253">
        <f>'CUOTA ARTESANAL'!K239</f>
        <v>0.16100000000000048</v>
      </c>
      <c r="M323" s="254">
        <f>'CUOTA ARTESANAL'!L239</f>
        <v>0.96957096957096944</v>
      </c>
      <c r="N323" s="240">
        <f>'CUOTA ARTESANAL'!M239</f>
        <v>44364</v>
      </c>
      <c r="O323" s="241">
        <f>RESUMEN!$C$4</f>
        <v>44561</v>
      </c>
      <c r="P323" s="233">
        <v>2021</v>
      </c>
      <c r="Q323" s="233"/>
    </row>
    <row r="324" spans="1:17" ht="15.75" customHeight="1">
      <c r="A324" s="238" t="s">
        <v>51</v>
      </c>
      <c r="B324" s="238" t="s">
        <v>52</v>
      </c>
      <c r="C324" s="238" t="s">
        <v>72</v>
      </c>
      <c r="D324" s="243" t="s">
        <v>337</v>
      </c>
      <c r="E324" s="243" t="str">
        <f>+'CUOTA ARTESANAL'!E239</f>
        <v>JOSEFA (967328)</v>
      </c>
      <c r="F324" s="238" t="s">
        <v>57</v>
      </c>
      <c r="G324" s="238" t="s">
        <v>58</v>
      </c>
      <c r="H324" s="253">
        <f>'CUOTA ARTESANAL'!G240</f>
        <v>5.2910000000000004</v>
      </c>
      <c r="I324" s="253">
        <f>'CUOTA ARTESANAL'!H240</f>
        <v>0</v>
      </c>
      <c r="J324" s="253">
        <f>'CUOTA ARTESANAL'!I240</f>
        <v>5.4520000000000008</v>
      </c>
      <c r="K324" s="253">
        <f>'CUOTA ARTESANAL'!J240</f>
        <v>4.4550000000000001</v>
      </c>
      <c r="L324" s="253">
        <f>'CUOTA ARTESANAL'!K240</f>
        <v>0.99700000000000077</v>
      </c>
      <c r="M324" s="254">
        <f>'CUOTA ARTESANAL'!L240</f>
        <v>0.81713132795304466</v>
      </c>
      <c r="N324" s="240" t="str">
        <f>'CUOTA ARTESANAL'!M240</f>
        <v>-</v>
      </c>
      <c r="O324" s="241">
        <f>RESUMEN!$C$4</f>
        <v>44561</v>
      </c>
      <c r="P324" s="233">
        <v>2021</v>
      </c>
      <c r="Q324" s="233"/>
    </row>
    <row r="325" spans="1:17" ht="15.75" customHeight="1">
      <c r="A325" s="238" t="s">
        <v>51</v>
      </c>
      <c r="B325" s="238" t="s">
        <v>52</v>
      </c>
      <c r="C325" s="238" t="s">
        <v>72</v>
      </c>
      <c r="D325" s="243" t="s">
        <v>337</v>
      </c>
      <c r="E325" s="243" t="str">
        <f>+'CUOTA ARTESANAL'!E239</f>
        <v>JOSEFA (967328)</v>
      </c>
      <c r="F325" s="238" t="s">
        <v>54</v>
      </c>
      <c r="G325" s="238" t="s">
        <v>58</v>
      </c>
      <c r="H325" s="253">
        <f>'CUOTA ARTESANAL'!N239</f>
        <v>10.582000000000001</v>
      </c>
      <c r="I325" s="253">
        <f>'CUOTA ARTESANAL'!O239</f>
        <v>0</v>
      </c>
      <c r="J325" s="253">
        <f>'CUOTA ARTESANAL'!P239</f>
        <v>10.582000000000001</v>
      </c>
      <c r="K325" s="253">
        <f>'CUOTA ARTESANAL'!Q239</f>
        <v>9.5850000000000009</v>
      </c>
      <c r="L325" s="253">
        <f>'CUOTA ARTESANAL'!R239</f>
        <v>0.99699999999999989</v>
      </c>
      <c r="M325" s="254">
        <f>'CUOTA ARTESANAL'!S239</f>
        <v>0.90578340578340577</v>
      </c>
      <c r="N325" s="240" t="s">
        <v>218</v>
      </c>
      <c r="O325" s="241">
        <f>RESUMEN!$C$4</f>
        <v>44561</v>
      </c>
      <c r="P325" s="233">
        <v>2021</v>
      </c>
      <c r="Q325" s="233"/>
    </row>
    <row r="326" spans="1:17" ht="15.75" customHeight="1">
      <c r="A326" s="238" t="s">
        <v>51</v>
      </c>
      <c r="B326" s="238" t="s">
        <v>52</v>
      </c>
      <c r="C326" s="238" t="s">
        <v>72</v>
      </c>
      <c r="D326" s="243" t="s">
        <v>337</v>
      </c>
      <c r="E326" s="243" t="str">
        <f>+'CUOTA ARTESANAL'!E241</f>
        <v>ATUN II (965119)</v>
      </c>
      <c r="F326" s="238" t="s">
        <v>54</v>
      </c>
      <c r="G326" s="238" t="s">
        <v>56</v>
      </c>
      <c r="H326" s="253">
        <f>'CUOTA ARTESANAL'!G241</f>
        <v>5.29</v>
      </c>
      <c r="I326" s="253">
        <f>'CUOTA ARTESANAL'!H241</f>
        <v>0</v>
      </c>
      <c r="J326" s="253">
        <f>'CUOTA ARTESANAL'!I241</f>
        <v>5.29</v>
      </c>
      <c r="K326" s="253">
        <f>'CUOTA ARTESANAL'!J241</f>
        <v>4.7519999999999989</v>
      </c>
      <c r="L326" s="253">
        <f>'CUOTA ARTESANAL'!K241</f>
        <v>0.53800000000000114</v>
      </c>
      <c r="M326" s="254">
        <f>'CUOTA ARTESANAL'!L241</f>
        <v>0.89829867674858199</v>
      </c>
      <c r="N326" s="240" t="str">
        <f>'CUOTA ARTESANAL'!M241</f>
        <v>-</v>
      </c>
      <c r="O326" s="241">
        <f>RESUMEN!$C$4</f>
        <v>44561</v>
      </c>
      <c r="P326" s="233">
        <v>2021</v>
      </c>
      <c r="Q326" s="233"/>
    </row>
    <row r="327" spans="1:17" ht="15.75" customHeight="1">
      <c r="A327" s="238" t="s">
        <v>51</v>
      </c>
      <c r="B327" s="238" t="s">
        <v>52</v>
      </c>
      <c r="C327" s="238" t="s">
        <v>72</v>
      </c>
      <c r="D327" s="243" t="s">
        <v>337</v>
      </c>
      <c r="E327" s="243" t="str">
        <f>+'CUOTA ARTESANAL'!E241</f>
        <v>ATUN II (965119)</v>
      </c>
      <c r="F327" s="238" t="s">
        <v>57</v>
      </c>
      <c r="G327" s="238" t="s">
        <v>58</v>
      </c>
      <c r="H327" s="253">
        <f>'CUOTA ARTESANAL'!G242</f>
        <v>5.29</v>
      </c>
      <c r="I327" s="253">
        <f>'CUOTA ARTESANAL'!H242</f>
        <v>0</v>
      </c>
      <c r="J327" s="253">
        <f>'CUOTA ARTESANAL'!I242</f>
        <v>5.8280000000000012</v>
      </c>
      <c r="K327" s="253">
        <f>'CUOTA ARTESANAL'!J242</f>
        <v>4.6440000000000001</v>
      </c>
      <c r="L327" s="253">
        <f>'CUOTA ARTESANAL'!K242</f>
        <v>1.1840000000000011</v>
      </c>
      <c r="M327" s="254">
        <f>'CUOTA ARTESANAL'!L242</f>
        <v>0.79684282772820847</v>
      </c>
      <c r="N327" s="240" t="str">
        <f>'CUOTA ARTESANAL'!M242</f>
        <v>-</v>
      </c>
      <c r="O327" s="241">
        <f>RESUMEN!$C$4</f>
        <v>44561</v>
      </c>
      <c r="P327" s="233">
        <v>2021</v>
      </c>
      <c r="Q327" s="233"/>
    </row>
    <row r="328" spans="1:17" ht="15.75" customHeight="1">
      <c r="A328" s="238" t="s">
        <v>51</v>
      </c>
      <c r="B328" s="238" t="s">
        <v>52</v>
      </c>
      <c r="C328" s="238" t="s">
        <v>72</v>
      </c>
      <c r="D328" s="243" t="s">
        <v>337</v>
      </c>
      <c r="E328" s="243" t="str">
        <f>+'CUOTA ARTESANAL'!E241</f>
        <v>ATUN II (965119)</v>
      </c>
      <c r="F328" s="238" t="s">
        <v>54</v>
      </c>
      <c r="G328" s="238" t="s">
        <v>58</v>
      </c>
      <c r="H328" s="253">
        <f>'CUOTA ARTESANAL'!N241</f>
        <v>10.58</v>
      </c>
      <c r="I328" s="253">
        <f>'CUOTA ARTESANAL'!O241</f>
        <v>0</v>
      </c>
      <c r="J328" s="253">
        <f>'CUOTA ARTESANAL'!P241</f>
        <v>10.58</v>
      </c>
      <c r="K328" s="253">
        <f>'CUOTA ARTESANAL'!Q241</f>
        <v>9.395999999999999</v>
      </c>
      <c r="L328" s="253">
        <f>'CUOTA ARTESANAL'!R241</f>
        <v>1.1840000000000011</v>
      </c>
      <c r="M328" s="254">
        <f>'CUOTA ARTESANAL'!S241</f>
        <v>0.88809073724007548</v>
      </c>
      <c r="N328" s="240" t="s">
        <v>218</v>
      </c>
      <c r="O328" s="241">
        <f>RESUMEN!$C$4</f>
        <v>44561</v>
      </c>
      <c r="P328" s="233">
        <v>2021</v>
      </c>
      <c r="Q328" s="233"/>
    </row>
    <row r="329" spans="1:17" ht="15.75" customHeight="1">
      <c r="A329" s="238" t="s">
        <v>51</v>
      </c>
      <c r="B329" s="238" t="s">
        <v>52</v>
      </c>
      <c r="C329" s="238" t="s">
        <v>72</v>
      </c>
      <c r="D329" s="243" t="s">
        <v>337</v>
      </c>
      <c r="E329" s="243" t="str">
        <f>+'CUOTA ARTESANAL'!E245</f>
        <v>AYSEN III (966821)</v>
      </c>
      <c r="F329" s="238" t="s">
        <v>54</v>
      </c>
      <c r="G329" s="238" t="s">
        <v>56</v>
      </c>
      <c r="H329" s="253">
        <f>'CUOTA ARTESANAL'!G245</f>
        <v>5.2919999999999998</v>
      </c>
      <c r="I329" s="253">
        <f>'CUOTA ARTESANAL'!H245</f>
        <v>0</v>
      </c>
      <c r="J329" s="253">
        <f>'CUOTA ARTESANAL'!I245</f>
        <v>5.2919999999999998</v>
      </c>
      <c r="K329" s="253">
        <f>'CUOTA ARTESANAL'!J245</f>
        <v>3.645</v>
      </c>
      <c r="L329" s="253">
        <f>'CUOTA ARTESANAL'!K245</f>
        <v>1.6469999999999998</v>
      </c>
      <c r="M329" s="254">
        <f>'CUOTA ARTESANAL'!L245</f>
        <v>0.68877551020408168</v>
      </c>
      <c r="N329" s="240" t="str">
        <f>'CUOTA ARTESANAL'!M245</f>
        <v>-</v>
      </c>
      <c r="O329" s="241">
        <f>RESUMEN!$C$4</f>
        <v>44561</v>
      </c>
      <c r="P329" s="233">
        <v>2021</v>
      </c>
      <c r="Q329" s="233"/>
    </row>
    <row r="330" spans="1:17" ht="15.75" customHeight="1">
      <c r="A330" s="238" t="s">
        <v>51</v>
      </c>
      <c r="B330" s="238" t="s">
        <v>52</v>
      </c>
      <c r="C330" s="238" t="s">
        <v>72</v>
      </c>
      <c r="D330" s="243" t="s">
        <v>337</v>
      </c>
      <c r="E330" s="243" t="str">
        <f>+'CUOTA ARTESANAL'!E245</f>
        <v>AYSEN III (966821)</v>
      </c>
      <c r="F330" s="238" t="s">
        <v>57</v>
      </c>
      <c r="G330" s="238" t="s">
        <v>58</v>
      </c>
      <c r="H330" s="253">
        <f>'CUOTA ARTESANAL'!G246</f>
        <v>5.2919999999999998</v>
      </c>
      <c r="I330" s="253">
        <f>'CUOTA ARTESANAL'!H246</f>
        <v>0</v>
      </c>
      <c r="J330" s="253">
        <f>'CUOTA ARTESANAL'!I246</f>
        <v>6.9390000000000001</v>
      </c>
      <c r="K330" s="253">
        <f>'CUOTA ARTESANAL'!J246</f>
        <v>4.4820000000000002</v>
      </c>
      <c r="L330" s="253">
        <f>'CUOTA ARTESANAL'!K246</f>
        <v>2.4569999999999999</v>
      </c>
      <c r="M330" s="254">
        <f>'CUOTA ARTESANAL'!L246</f>
        <v>0.64591439688715957</v>
      </c>
      <c r="N330" s="240" t="str">
        <f>'CUOTA ARTESANAL'!M246</f>
        <v>-</v>
      </c>
      <c r="O330" s="241">
        <f>RESUMEN!$C$4</f>
        <v>44561</v>
      </c>
      <c r="P330" s="233">
        <v>2021</v>
      </c>
      <c r="Q330" s="233"/>
    </row>
    <row r="331" spans="1:17" ht="15.75" customHeight="1">
      <c r="A331" s="238" t="s">
        <v>51</v>
      </c>
      <c r="B331" s="238" t="s">
        <v>52</v>
      </c>
      <c r="C331" s="238" t="s">
        <v>72</v>
      </c>
      <c r="D331" s="243" t="s">
        <v>337</v>
      </c>
      <c r="E331" s="243" t="str">
        <f>+'CUOTA ARTESANAL'!E245</f>
        <v>AYSEN III (966821)</v>
      </c>
      <c r="F331" s="238" t="s">
        <v>54</v>
      </c>
      <c r="G331" s="238" t="s">
        <v>58</v>
      </c>
      <c r="H331" s="253">
        <f>'CUOTA ARTESANAL'!N245</f>
        <v>10.584</v>
      </c>
      <c r="I331" s="253">
        <f>'CUOTA ARTESANAL'!O245</f>
        <v>0</v>
      </c>
      <c r="J331" s="253">
        <f>'CUOTA ARTESANAL'!P245</f>
        <v>10.584</v>
      </c>
      <c r="K331" s="253">
        <f>'CUOTA ARTESANAL'!Q245</f>
        <v>8.1270000000000007</v>
      </c>
      <c r="L331" s="253">
        <f>'CUOTA ARTESANAL'!R245</f>
        <v>2.456999999999999</v>
      </c>
      <c r="M331" s="254">
        <f>'CUOTA ARTESANAL'!S245</f>
        <v>0.7678571428571429</v>
      </c>
      <c r="N331" s="240" t="s">
        <v>218</v>
      </c>
      <c r="O331" s="241">
        <f>RESUMEN!$C$4</f>
        <v>44561</v>
      </c>
      <c r="P331" s="233">
        <v>2021</v>
      </c>
      <c r="Q331" s="233"/>
    </row>
    <row r="332" spans="1:17" ht="15.75" customHeight="1">
      <c r="A332" s="238" t="s">
        <v>51</v>
      </c>
      <c r="B332" s="238" t="s">
        <v>52</v>
      </c>
      <c r="C332" s="238" t="s">
        <v>72</v>
      </c>
      <c r="D332" s="243" t="s">
        <v>337</v>
      </c>
      <c r="E332" s="243" t="str">
        <f>+'CUOTA ARTESANAL'!E247</f>
        <v>CORSARIOS (961538)</v>
      </c>
      <c r="F332" s="238" t="s">
        <v>54</v>
      </c>
      <c r="G332" s="238" t="s">
        <v>56</v>
      </c>
      <c r="H332" s="253">
        <f>'CUOTA ARTESANAL'!G247</f>
        <v>5.2910000000000004</v>
      </c>
      <c r="I332" s="253">
        <f>'CUOTA ARTESANAL'!H247</f>
        <v>0</v>
      </c>
      <c r="J332" s="253">
        <f>'CUOTA ARTESANAL'!I247</f>
        <v>5.2910000000000004</v>
      </c>
      <c r="K332" s="253">
        <f>'CUOTA ARTESANAL'!J247</f>
        <v>1.728</v>
      </c>
      <c r="L332" s="253">
        <f>'CUOTA ARTESANAL'!K247</f>
        <v>3.5630000000000006</v>
      </c>
      <c r="M332" s="254">
        <f>'CUOTA ARTESANAL'!L247</f>
        <v>0.32659232659232657</v>
      </c>
      <c r="N332" s="240" t="str">
        <f>'CUOTA ARTESANAL'!M247</f>
        <v>-</v>
      </c>
      <c r="O332" s="241">
        <f>RESUMEN!$C$4</f>
        <v>44561</v>
      </c>
      <c r="P332" s="233">
        <v>2021</v>
      </c>
      <c r="Q332" s="233"/>
    </row>
    <row r="333" spans="1:17" ht="15.75" customHeight="1">
      <c r="A333" s="238" t="s">
        <v>51</v>
      </c>
      <c r="B333" s="238" t="s">
        <v>52</v>
      </c>
      <c r="C333" s="238" t="s">
        <v>72</v>
      </c>
      <c r="D333" s="243" t="s">
        <v>337</v>
      </c>
      <c r="E333" s="243" t="str">
        <f>+'CUOTA ARTESANAL'!E247</f>
        <v>CORSARIOS (961538)</v>
      </c>
      <c r="F333" s="238" t="s">
        <v>57</v>
      </c>
      <c r="G333" s="238" t="s">
        <v>58</v>
      </c>
      <c r="H333" s="253">
        <f>'CUOTA ARTESANAL'!G248</f>
        <v>5.2910000000000004</v>
      </c>
      <c r="I333" s="253">
        <f>'CUOTA ARTESANAL'!H248</f>
        <v>0</v>
      </c>
      <c r="J333" s="253">
        <f>'CUOTA ARTESANAL'!I248</f>
        <v>8.854000000000001</v>
      </c>
      <c r="K333" s="253">
        <f>'CUOTA ARTESANAL'!J248</f>
        <v>6.6419999999999995</v>
      </c>
      <c r="L333" s="253">
        <f>'CUOTA ARTESANAL'!K248</f>
        <v>2.2120000000000015</v>
      </c>
      <c r="M333" s="254">
        <f>'CUOTA ARTESANAL'!L248</f>
        <v>0.75016941495369305</v>
      </c>
      <c r="N333" s="240" t="str">
        <f>'CUOTA ARTESANAL'!M248</f>
        <v>-</v>
      </c>
      <c r="O333" s="241">
        <f>RESUMEN!$C$4</f>
        <v>44561</v>
      </c>
      <c r="P333" s="233">
        <v>2021</v>
      </c>
      <c r="Q333" s="233"/>
    </row>
    <row r="334" spans="1:17" ht="15.75" customHeight="1">
      <c r="A334" s="238" t="s">
        <v>51</v>
      </c>
      <c r="B334" s="238" t="s">
        <v>52</v>
      </c>
      <c r="C334" s="238" t="s">
        <v>72</v>
      </c>
      <c r="D334" s="243" t="s">
        <v>337</v>
      </c>
      <c r="E334" s="243" t="str">
        <f>+'CUOTA ARTESANAL'!E247</f>
        <v>CORSARIOS (961538)</v>
      </c>
      <c r="F334" s="238" t="s">
        <v>54</v>
      </c>
      <c r="G334" s="238" t="s">
        <v>58</v>
      </c>
      <c r="H334" s="253">
        <f>'CUOTA ARTESANAL'!N247</f>
        <v>10.582000000000001</v>
      </c>
      <c r="I334" s="253">
        <f>'CUOTA ARTESANAL'!O247</f>
        <v>0</v>
      </c>
      <c r="J334" s="253">
        <f>'CUOTA ARTESANAL'!P247</f>
        <v>10.582000000000001</v>
      </c>
      <c r="K334" s="253">
        <f>'CUOTA ARTESANAL'!Q247</f>
        <v>8.3699999999999992</v>
      </c>
      <c r="L334" s="253">
        <f>'CUOTA ARTESANAL'!R247</f>
        <v>2.2120000000000015</v>
      </c>
      <c r="M334" s="254">
        <f>'CUOTA ARTESANAL'!S247</f>
        <v>0.79096579096579078</v>
      </c>
      <c r="N334" s="240" t="s">
        <v>218</v>
      </c>
      <c r="O334" s="241">
        <f>RESUMEN!$C$4</f>
        <v>44561</v>
      </c>
      <c r="P334" s="233">
        <v>2021</v>
      </c>
      <c r="Q334" s="233"/>
    </row>
    <row r="335" spans="1:17" ht="15.75" customHeight="1">
      <c r="A335" s="238" t="s">
        <v>51</v>
      </c>
      <c r="B335" s="238" t="s">
        <v>52</v>
      </c>
      <c r="C335" s="238" t="s">
        <v>72</v>
      </c>
      <c r="D335" s="243" t="s">
        <v>337</v>
      </c>
      <c r="E335" s="243" t="str">
        <f>+'CUOTA ARTESANAL'!E249</f>
        <v>EL SAMURAI (913244)</v>
      </c>
      <c r="F335" s="238" t="s">
        <v>54</v>
      </c>
      <c r="G335" s="238" t="s">
        <v>56</v>
      </c>
      <c r="H335" s="253">
        <f>'CUOTA ARTESANAL'!G249</f>
        <v>7.9359999999999999</v>
      </c>
      <c r="I335" s="253">
        <f>'CUOTA ARTESANAL'!H249</f>
        <v>0</v>
      </c>
      <c r="J335" s="253">
        <f>'CUOTA ARTESANAL'!I249</f>
        <v>7.9359999999999999</v>
      </c>
      <c r="K335" s="253">
        <f>'CUOTA ARTESANAL'!J249</f>
        <v>6.5880000000000001</v>
      </c>
      <c r="L335" s="253">
        <f>'CUOTA ARTESANAL'!K249</f>
        <v>1.3479999999999999</v>
      </c>
      <c r="M335" s="254">
        <f>'CUOTA ARTESANAL'!L249</f>
        <v>0.83014112903225812</v>
      </c>
      <c r="N335" s="240" t="str">
        <f>'CUOTA ARTESANAL'!M249</f>
        <v>-</v>
      </c>
      <c r="O335" s="241">
        <f>RESUMEN!$C$4</f>
        <v>44561</v>
      </c>
      <c r="P335" s="233">
        <v>2021</v>
      </c>
      <c r="Q335" s="233"/>
    </row>
    <row r="336" spans="1:17" ht="15.75" customHeight="1">
      <c r="A336" s="238" t="s">
        <v>51</v>
      </c>
      <c r="B336" s="238" t="s">
        <v>52</v>
      </c>
      <c r="C336" s="238" t="s">
        <v>72</v>
      </c>
      <c r="D336" s="243" t="s">
        <v>337</v>
      </c>
      <c r="E336" s="243" t="str">
        <f>+'CUOTA ARTESANAL'!E249</f>
        <v>EL SAMURAI (913244)</v>
      </c>
      <c r="F336" s="238" t="s">
        <v>57</v>
      </c>
      <c r="G336" s="238" t="s">
        <v>58</v>
      </c>
      <c r="H336" s="253">
        <f>'CUOTA ARTESANAL'!G250</f>
        <v>2.6459999999999999</v>
      </c>
      <c r="I336" s="253">
        <f>'CUOTA ARTESANAL'!H250</f>
        <v>0</v>
      </c>
      <c r="J336" s="253">
        <f>'CUOTA ARTESANAL'!I250</f>
        <v>3.9939999999999998</v>
      </c>
      <c r="K336" s="253">
        <f>'CUOTA ARTESANAL'!J250</f>
        <v>1.7549999999999999</v>
      </c>
      <c r="L336" s="253">
        <f>'CUOTA ARTESANAL'!K250</f>
        <v>2.2389999999999999</v>
      </c>
      <c r="M336" s="254">
        <f>'CUOTA ARTESANAL'!L250</f>
        <v>0.43940911367050578</v>
      </c>
      <c r="N336" s="240" t="str">
        <f>'CUOTA ARTESANAL'!M250</f>
        <v>-</v>
      </c>
      <c r="O336" s="241">
        <f>RESUMEN!$C$4</f>
        <v>44561</v>
      </c>
      <c r="P336" s="233">
        <v>2021</v>
      </c>
      <c r="Q336" s="233"/>
    </row>
    <row r="337" spans="1:17" ht="15.75" customHeight="1">
      <c r="A337" s="238" t="s">
        <v>51</v>
      </c>
      <c r="B337" s="238" t="s">
        <v>52</v>
      </c>
      <c r="C337" s="238" t="s">
        <v>72</v>
      </c>
      <c r="D337" s="243" t="s">
        <v>337</v>
      </c>
      <c r="E337" s="243" t="str">
        <f>+'CUOTA ARTESANAL'!E249</f>
        <v>EL SAMURAI (913244)</v>
      </c>
      <c r="F337" s="238" t="s">
        <v>54</v>
      </c>
      <c r="G337" s="238" t="s">
        <v>58</v>
      </c>
      <c r="H337" s="253">
        <f>'CUOTA ARTESANAL'!N249</f>
        <v>10.582000000000001</v>
      </c>
      <c r="I337" s="253">
        <f>'CUOTA ARTESANAL'!O249</f>
        <v>0</v>
      </c>
      <c r="J337" s="253">
        <f>'CUOTA ARTESANAL'!P249</f>
        <v>10.582000000000001</v>
      </c>
      <c r="K337" s="253">
        <f>'CUOTA ARTESANAL'!Q249</f>
        <v>8.343</v>
      </c>
      <c r="L337" s="253">
        <f>'CUOTA ARTESANAL'!R249</f>
        <v>2.2390000000000008</v>
      </c>
      <c r="M337" s="254">
        <f>'CUOTA ARTESANAL'!S249</f>
        <v>0.7884142884142884</v>
      </c>
      <c r="N337" s="240" t="s">
        <v>218</v>
      </c>
      <c r="O337" s="241">
        <f>RESUMEN!$C$4</f>
        <v>44561</v>
      </c>
      <c r="P337" s="233">
        <v>2021</v>
      </c>
      <c r="Q337" s="233"/>
    </row>
    <row r="338" spans="1:17" ht="15.75" customHeight="1">
      <c r="A338" s="238" t="s">
        <v>51</v>
      </c>
      <c r="B338" s="238" t="s">
        <v>52</v>
      </c>
      <c r="C338" s="238" t="s">
        <v>72</v>
      </c>
      <c r="D338" s="243" t="s">
        <v>337</v>
      </c>
      <c r="E338" s="243" t="str">
        <f>+'CUOTA ARTESANAL'!E251</f>
        <v>INBANO IV (966145)</v>
      </c>
      <c r="F338" s="238" t="s">
        <v>54</v>
      </c>
      <c r="G338" s="238" t="s">
        <v>56</v>
      </c>
      <c r="H338" s="253">
        <f>'CUOTA ARTESANAL'!G251</f>
        <v>5.2919999999999998</v>
      </c>
      <c r="I338" s="253">
        <f>'CUOTA ARTESANAL'!H251</f>
        <v>0</v>
      </c>
      <c r="J338" s="253">
        <f>'CUOTA ARTESANAL'!I251</f>
        <v>5.2919999999999998</v>
      </c>
      <c r="K338" s="253">
        <f>'CUOTA ARTESANAL'!J251</f>
        <v>4.266</v>
      </c>
      <c r="L338" s="253">
        <f>'CUOTA ARTESANAL'!K251</f>
        <v>1.0259999999999998</v>
      </c>
      <c r="M338" s="254">
        <f>'CUOTA ARTESANAL'!L251</f>
        <v>0.80612244897959184</v>
      </c>
      <c r="N338" s="240" t="str">
        <f>'CUOTA ARTESANAL'!M251</f>
        <v>-</v>
      </c>
      <c r="O338" s="241">
        <f>RESUMEN!$C$4</f>
        <v>44561</v>
      </c>
      <c r="P338" s="233">
        <v>2021</v>
      </c>
      <c r="Q338" s="233"/>
    </row>
    <row r="339" spans="1:17" ht="15.75" customHeight="1">
      <c r="A339" s="238" t="s">
        <v>51</v>
      </c>
      <c r="B339" s="238" t="s">
        <v>52</v>
      </c>
      <c r="C339" s="238" t="s">
        <v>72</v>
      </c>
      <c r="D339" s="243" t="s">
        <v>337</v>
      </c>
      <c r="E339" s="243" t="str">
        <f>+'CUOTA ARTESANAL'!E251</f>
        <v>INBANO IV (966145)</v>
      </c>
      <c r="F339" s="238" t="s">
        <v>57</v>
      </c>
      <c r="G339" s="238" t="s">
        <v>58</v>
      </c>
      <c r="H339" s="253">
        <f>'CUOTA ARTESANAL'!G252</f>
        <v>5.2919999999999998</v>
      </c>
      <c r="I339" s="253">
        <f>'CUOTA ARTESANAL'!H252</f>
        <v>0</v>
      </c>
      <c r="J339" s="253">
        <f>'CUOTA ARTESANAL'!I252</f>
        <v>6.3179999999999996</v>
      </c>
      <c r="K339" s="253">
        <f>'CUOTA ARTESANAL'!J252</f>
        <v>4.4580000000000002</v>
      </c>
      <c r="L339" s="253">
        <f>'CUOTA ARTESANAL'!K252</f>
        <v>1.8599999999999994</v>
      </c>
      <c r="M339" s="254">
        <f>'CUOTA ARTESANAL'!L252</f>
        <v>0.70560303893637233</v>
      </c>
      <c r="N339" s="240" t="str">
        <f>'CUOTA ARTESANAL'!M252</f>
        <v>-</v>
      </c>
      <c r="O339" s="241">
        <f>RESUMEN!$C$4</f>
        <v>44561</v>
      </c>
      <c r="P339" s="233">
        <v>2021</v>
      </c>
      <c r="Q339" s="233"/>
    </row>
    <row r="340" spans="1:17" ht="15.75" customHeight="1">
      <c r="A340" s="238" t="s">
        <v>51</v>
      </c>
      <c r="B340" s="238" t="s">
        <v>52</v>
      </c>
      <c r="C340" s="238" t="s">
        <v>72</v>
      </c>
      <c r="D340" s="243" t="s">
        <v>337</v>
      </c>
      <c r="E340" s="243" t="str">
        <f>+'CUOTA ARTESANAL'!E251</f>
        <v>INBANO IV (966145)</v>
      </c>
      <c r="F340" s="238" t="s">
        <v>54</v>
      </c>
      <c r="G340" s="238" t="s">
        <v>58</v>
      </c>
      <c r="H340" s="253">
        <f>'CUOTA ARTESANAL'!N251</f>
        <v>10.584</v>
      </c>
      <c r="I340" s="253">
        <f>'CUOTA ARTESANAL'!O251</f>
        <v>0</v>
      </c>
      <c r="J340" s="253">
        <f>'CUOTA ARTESANAL'!P251</f>
        <v>10.584</v>
      </c>
      <c r="K340" s="253">
        <f>'CUOTA ARTESANAL'!Q251</f>
        <v>8.7240000000000002</v>
      </c>
      <c r="L340" s="253">
        <f>'CUOTA ARTESANAL'!R251</f>
        <v>1.8599999999999994</v>
      </c>
      <c r="M340" s="254">
        <f>'CUOTA ARTESANAL'!S251</f>
        <v>0.82426303854875294</v>
      </c>
      <c r="N340" s="240" t="s">
        <v>218</v>
      </c>
      <c r="O340" s="241">
        <f>RESUMEN!$C$4</f>
        <v>44561</v>
      </c>
      <c r="P340" s="233">
        <v>2021</v>
      </c>
      <c r="Q340" s="233"/>
    </row>
    <row r="341" spans="1:17" ht="15.75" customHeight="1">
      <c r="A341" s="238" t="s">
        <v>51</v>
      </c>
      <c r="B341" s="238" t="s">
        <v>52</v>
      </c>
      <c r="C341" s="238" t="s">
        <v>72</v>
      </c>
      <c r="D341" s="243" t="s">
        <v>337</v>
      </c>
      <c r="E341" s="243" t="str">
        <f>+'CUOTA ARTESANAL'!E253</f>
        <v>LUCAS II (962133)</v>
      </c>
      <c r="F341" s="238" t="s">
        <v>54</v>
      </c>
      <c r="G341" s="238" t="s">
        <v>56</v>
      </c>
      <c r="H341" s="253">
        <f>'CUOTA ARTESANAL'!G253</f>
        <v>5.2880000000000003</v>
      </c>
      <c r="I341" s="253">
        <f>'CUOTA ARTESANAL'!H253</f>
        <v>0</v>
      </c>
      <c r="J341" s="253">
        <f>'CUOTA ARTESANAL'!I253</f>
        <v>5.2880000000000003</v>
      </c>
      <c r="K341" s="253">
        <f>'CUOTA ARTESANAL'!J253</f>
        <v>4.589999999999999</v>
      </c>
      <c r="L341" s="253">
        <f>'CUOTA ARTESANAL'!K253</f>
        <v>0.69800000000000129</v>
      </c>
      <c r="M341" s="254">
        <f>'CUOTA ARTESANAL'!L253</f>
        <v>0.86800302571860788</v>
      </c>
      <c r="N341" s="240" t="str">
        <f>'CUOTA ARTESANAL'!M253</f>
        <v>-</v>
      </c>
      <c r="O341" s="241">
        <f>RESUMEN!$C$4</f>
        <v>44561</v>
      </c>
      <c r="P341" s="233">
        <v>2021</v>
      </c>
      <c r="Q341" s="233"/>
    </row>
    <row r="342" spans="1:17" ht="15.75" customHeight="1">
      <c r="A342" s="238" t="s">
        <v>51</v>
      </c>
      <c r="B342" s="238" t="s">
        <v>52</v>
      </c>
      <c r="C342" s="238" t="s">
        <v>72</v>
      </c>
      <c r="D342" s="243" t="s">
        <v>337</v>
      </c>
      <c r="E342" s="243" t="str">
        <f>+'CUOTA ARTESANAL'!E253</f>
        <v>LUCAS II (962133)</v>
      </c>
      <c r="F342" s="238" t="s">
        <v>57</v>
      </c>
      <c r="G342" s="238" t="s">
        <v>58</v>
      </c>
      <c r="H342" s="253">
        <f>'CUOTA ARTESANAL'!G254</f>
        <v>5.2880000000000003</v>
      </c>
      <c r="I342" s="253">
        <f>'CUOTA ARTESANAL'!H254</f>
        <v>0</v>
      </c>
      <c r="J342" s="253">
        <f>'CUOTA ARTESANAL'!I254</f>
        <v>5.9860000000000015</v>
      </c>
      <c r="K342" s="253">
        <f>'CUOTA ARTESANAL'!J254</f>
        <v>2.8889999999999998</v>
      </c>
      <c r="L342" s="253">
        <f>'CUOTA ARTESANAL'!K254</f>
        <v>3.0970000000000018</v>
      </c>
      <c r="M342" s="254">
        <f>'CUOTA ARTESANAL'!L254</f>
        <v>0.48262612763113916</v>
      </c>
      <c r="N342" s="240" t="str">
        <f>'CUOTA ARTESANAL'!M254</f>
        <v>-</v>
      </c>
      <c r="O342" s="241">
        <f>RESUMEN!$C$4</f>
        <v>44561</v>
      </c>
      <c r="P342" s="233">
        <v>2021</v>
      </c>
      <c r="Q342" s="233"/>
    </row>
    <row r="343" spans="1:17" ht="15.75" customHeight="1">
      <c r="A343" s="238" t="s">
        <v>51</v>
      </c>
      <c r="B343" s="238" t="s">
        <v>52</v>
      </c>
      <c r="C343" s="238" t="s">
        <v>72</v>
      </c>
      <c r="D343" s="243" t="s">
        <v>337</v>
      </c>
      <c r="E343" s="243" t="str">
        <f>+'CUOTA ARTESANAL'!E253</f>
        <v>LUCAS II (962133)</v>
      </c>
      <c r="F343" s="238" t="s">
        <v>54</v>
      </c>
      <c r="G343" s="238" t="s">
        <v>58</v>
      </c>
      <c r="H343" s="253">
        <f>'CUOTA ARTESANAL'!N253</f>
        <v>10.576000000000001</v>
      </c>
      <c r="I343" s="253">
        <f>'CUOTA ARTESANAL'!O253</f>
        <v>0</v>
      </c>
      <c r="J343" s="253">
        <f>'CUOTA ARTESANAL'!P253</f>
        <v>10.576000000000001</v>
      </c>
      <c r="K343" s="253">
        <f>'CUOTA ARTESANAL'!Q253</f>
        <v>7.4789999999999992</v>
      </c>
      <c r="L343" s="253">
        <f>'CUOTA ARTESANAL'!R253</f>
        <v>3.0970000000000013</v>
      </c>
      <c r="M343" s="254">
        <f>'CUOTA ARTESANAL'!S253</f>
        <v>0.70716717095310122</v>
      </c>
      <c r="N343" s="240" t="s">
        <v>218</v>
      </c>
      <c r="O343" s="241">
        <f>RESUMEN!$C$4</f>
        <v>44561</v>
      </c>
      <c r="P343" s="233">
        <v>2021</v>
      </c>
      <c r="Q343" s="233"/>
    </row>
    <row r="344" spans="1:17" ht="15.75" customHeight="1">
      <c r="A344" s="238" t="s">
        <v>51</v>
      </c>
      <c r="B344" s="238" t="s">
        <v>52</v>
      </c>
      <c r="C344" s="238" t="s">
        <v>72</v>
      </c>
      <c r="D344" s="243" t="s">
        <v>337</v>
      </c>
      <c r="E344" s="243" t="str">
        <f>+'CUOTA ARTESANAL'!E255</f>
        <v>LUKAS MARCELO II (960852)</v>
      </c>
      <c r="F344" s="238" t="s">
        <v>54</v>
      </c>
      <c r="G344" s="238" t="s">
        <v>56</v>
      </c>
      <c r="H344" s="253">
        <f>'CUOTA ARTESANAL'!G255</f>
        <v>7.9390000000000001</v>
      </c>
      <c r="I344" s="253">
        <f>'CUOTA ARTESANAL'!H255</f>
        <v>0</v>
      </c>
      <c r="J344" s="253">
        <f>'CUOTA ARTESANAL'!I255</f>
        <v>7.9390000000000001</v>
      </c>
      <c r="K344" s="253">
        <f>'CUOTA ARTESANAL'!J255</f>
        <v>6.0480000000000009</v>
      </c>
      <c r="L344" s="253">
        <f>'CUOTA ARTESANAL'!K255</f>
        <v>1.8909999999999991</v>
      </c>
      <c r="M344" s="254">
        <f>'CUOTA ARTESANAL'!L255</f>
        <v>0.76180879203929974</v>
      </c>
      <c r="N344" s="240" t="str">
        <f>'CUOTA ARTESANAL'!M255</f>
        <v>-</v>
      </c>
      <c r="O344" s="241">
        <f>RESUMEN!$C$4</f>
        <v>44561</v>
      </c>
      <c r="P344" s="233">
        <v>2021</v>
      </c>
      <c r="Q344" s="233"/>
    </row>
    <row r="345" spans="1:17" ht="15.75" customHeight="1">
      <c r="A345" s="238" t="s">
        <v>51</v>
      </c>
      <c r="B345" s="238" t="s">
        <v>52</v>
      </c>
      <c r="C345" s="238" t="s">
        <v>72</v>
      </c>
      <c r="D345" s="243" t="s">
        <v>337</v>
      </c>
      <c r="E345" s="243" t="str">
        <f>+'CUOTA ARTESANAL'!E255</f>
        <v>LUKAS MARCELO II (960852)</v>
      </c>
      <c r="F345" s="238" t="s">
        <v>57</v>
      </c>
      <c r="G345" s="238" t="s">
        <v>58</v>
      </c>
      <c r="H345" s="253">
        <f>'CUOTA ARTESANAL'!G256</f>
        <v>2.6469999999999998</v>
      </c>
      <c r="I345" s="253">
        <f>'CUOTA ARTESANAL'!H256</f>
        <v>0</v>
      </c>
      <c r="J345" s="253">
        <f>'CUOTA ARTESANAL'!I256</f>
        <v>4.5379999999999985</v>
      </c>
      <c r="K345" s="253">
        <f>'CUOTA ARTESANAL'!J256</f>
        <v>3.24</v>
      </c>
      <c r="L345" s="253">
        <f>'CUOTA ARTESANAL'!K256</f>
        <v>1.2979999999999983</v>
      </c>
      <c r="M345" s="254">
        <f>'CUOTA ARTESANAL'!L256</f>
        <v>0.71397091229616605</v>
      </c>
      <c r="N345" s="240" t="str">
        <f>'CUOTA ARTESANAL'!M256</f>
        <v>-</v>
      </c>
      <c r="O345" s="241">
        <f>RESUMEN!$C$4</f>
        <v>44561</v>
      </c>
      <c r="P345" s="233">
        <v>2021</v>
      </c>
      <c r="Q345" s="233"/>
    </row>
    <row r="346" spans="1:17" ht="15.75" customHeight="1">
      <c r="A346" s="238" t="s">
        <v>51</v>
      </c>
      <c r="B346" s="238" t="s">
        <v>52</v>
      </c>
      <c r="C346" s="238" t="s">
        <v>72</v>
      </c>
      <c r="D346" s="243" t="s">
        <v>337</v>
      </c>
      <c r="E346" s="243" t="str">
        <f>+'CUOTA ARTESANAL'!E255</f>
        <v>LUKAS MARCELO II (960852)</v>
      </c>
      <c r="F346" s="238" t="s">
        <v>54</v>
      </c>
      <c r="G346" s="238" t="s">
        <v>58</v>
      </c>
      <c r="H346" s="253">
        <f>'CUOTA ARTESANAL'!N255</f>
        <v>10.586</v>
      </c>
      <c r="I346" s="253">
        <f>'CUOTA ARTESANAL'!O255</f>
        <v>0</v>
      </c>
      <c r="J346" s="253">
        <f>'CUOTA ARTESANAL'!P255</f>
        <v>10.586</v>
      </c>
      <c r="K346" s="253">
        <f>'CUOTA ARTESANAL'!Q255</f>
        <v>9.2880000000000003</v>
      </c>
      <c r="L346" s="253">
        <f>'CUOTA ARTESANAL'!R255</f>
        <v>1.298</v>
      </c>
      <c r="M346" s="254">
        <f>'CUOTA ARTESANAL'!S255</f>
        <v>0.87738522576988476</v>
      </c>
      <c r="N346" s="240" t="s">
        <v>218</v>
      </c>
      <c r="O346" s="241">
        <f>RESUMEN!$C$4</f>
        <v>44561</v>
      </c>
      <c r="P346" s="233">
        <v>2021</v>
      </c>
      <c r="Q346" s="233"/>
    </row>
    <row r="347" spans="1:17" ht="15.75" customHeight="1">
      <c r="A347" s="238" t="s">
        <v>51</v>
      </c>
      <c r="B347" s="238" t="s">
        <v>52</v>
      </c>
      <c r="C347" s="238" t="s">
        <v>72</v>
      </c>
      <c r="D347" s="243" t="s">
        <v>337</v>
      </c>
      <c r="E347" s="243" t="str">
        <f>+'CUOTA ARTESANAL'!E257</f>
        <v>MARIMARCE III (966523)</v>
      </c>
      <c r="F347" s="238" t="s">
        <v>54</v>
      </c>
      <c r="G347" s="238" t="s">
        <v>56</v>
      </c>
      <c r="H347" s="253">
        <f>'CUOTA ARTESANAL'!G257</f>
        <v>5.2869999999999999</v>
      </c>
      <c r="I347" s="253">
        <f>'CUOTA ARTESANAL'!H257</f>
        <v>0</v>
      </c>
      <c r="J347" s="253">
        <f>'CUOTA ARTESANAL'!I257</f>
        <v>5.2869999999999999</v>
      </c>
      <c r="K347" s="253">
        <f>'CUOTA ARTESANAL'!J257</f>
        <v>3.0779999999999998</v>
      </c>
      <c r="L347" s="253">
        <f>'CUOTA ARTESANAL'!K257</f>
        <v>2.2090000000000001</v>
      </c>
      <c r="M347" s="254">
        <f>'CUOTA ARTESANAL'!L257</f>
        <v>0.58218271231322105</v>
      </c>
      <c r="N347" s="240" t="str">
        <f>'CUOTA ARTESANAL'!M257</f>
        <v>-</v>
      </c>
      <c r="O347" s="241">
        <f>RESUMEN!$C$4</f>
        <v>44561</v>
      </c>
      <c r="P347" s="233">
        <v>2021</v>
      </c>
      <c r="Q347" s="233"/>
    </row>
    <row r="348" spans="1:17" ht="15.75" customHeight="1">
      <c r="A348" s="238" t="s">
        <v>51</v>
      </c>
      <c r="B348" s="238" t="s">
        <v>52</v>
      </c>
      <c r="C348" s="238" t="s">
        <v>72</v>
      </c>
      <c r="D348" s="243" t="s">
        <v>337</v>
      </c>
      <c r="E348" s="243" t="str">
        <f>+'CUOTA ARTESANAL'!E257</f>
        <v>MARIMARCE III (966523)</v>
      </c>
      <c r="F348" s="238" t="s">
        <v>57</v>
      </c>
      <c r="G348" s="238" t="s">
        <v>58</v>
      </c>
      <c r="H348" s="253">
        <f>'CUOTA ARTESANAL'!G258</f>
        <v>5.2869999999999999</v>
      </c>
      <c r="I348" s="253">
        <f>'CUOTA ARTESANAL'!H258</f>
        <v>0</v>
      </c>
      <c r="J348" s="253">
        <f>'CUOTA ARTESANAL'!I258</f>
        <v>7.4960000000000004</v>
      </c>
      <c r="K348" s="253">
        <f>'CUOTA ARTESANAL'!J258</f>
        <v>3.3210000000000002</v>
      </c>
      <c r="L348" s="253">
        <f>'CUOTA ARTESANAL'!K258</f>
        <v>4.1750000000000007</v>
      </c>
      <c r="M348" s="254">
        <f>'CUOTA ARTESANAL'!L258</f>
        <v>0.44303628601921025</v>
      </c>
      <c r="N348" s="240" t="str">
        <f>'CUOTA ARTESANAL'!M258</f>
        <v>-</v>
      </c>
      <c r="O348" s="241">
        <f>RESUMEN!$C$4</f>
        <v>44561</v>
      </c>
      <c r="P348" s="233">
        <v>2021</v>
      </c>
      <c r="Q348" s="233"/>
    </row>
    <row r="349" spans="1:17" ht="15.75" customHeight="1">
      <c r="A349" s="238" t="s">
        <v>51</v>
      </c>
      <c r="B349" s="238" t="s">
        <v>52</v>
      </c>
      <c r="C349" s="238" t="s">
        <v>72</v>
      </c>
      <c r="D349" s="243" t="s">
        <v>337</v>
      </c>
      <c r="E349" s="243" t="str">
        <f>+'CUOTA ARTESANAL'!E257</f>
        <v>MARIMARCE III (966523)</v>
      </c>
      <c r="F349" s="238" t="s">
        <v>54</v>
      </c>
      <c r="G349" s="238" t="s">
        <v>58</v>
      </c>
      <c r="H349" s="253">
        <f>'CUOTA ARTESANAL'!N257</f>
        <v>10.574</v>
      </c>
      <c r="I349" s="253">
        <f>'CUOTA ARTESANAL'!O257</f>
        <v>0</v>
      </c>
      <c r="J349" s="253">
        <f>'CUOTA ARTESANAL'!P257</f>
        <v>10.574</v>
      </c>
      <c r="K349" s="253">
        <f>'CUOTA ARTESANAL'!Q257</f>
        <v>6.399</v>
      </c>
      <c r="L349" s="253">
        <f>'CUOTA ARTESANAL'!R257</f>
        <v>4.1749999999999998</v>
      </c>
      <c r="M349" s="254">
        <f>'CUOTA ARTESANAL'!S257</f>
        <v>0.6051636088519009</v>
      </c>
      <c r="N349" s="240" t="s">
        <v>218</v>
      </c>
      <c r="O349" s="241">
        <f>RESUMEN!$C$4</f>
        <v>44561</v>
      </c>
      <c r="P349" s="233">
        <v>2021</v>
      </c>
      <c r="Q349" s="233"/>
    </row>
    <row r="350" spans="1:17" ht="15.75" customHeight="1">
      <c r="A350" s="238" t="s">
        <v>51</v>
      </c>
      <c r="B350" s="238" t="s">
        <v>52</v>
      </c>
      <c r="C350" s="238" t="s">
        <v>72</v>
      </c>
      <c r="D350" s="243" t="s">
        <v>337</v>
      </c>
      <c r="E350" s="243" t="str">
        <f>+'CUOTA ARTESANAL'!E259</f>
        <v>PELICANO III (960308)</v>
      </c>
      <c r="F350" s="238" t="s">
        <v>54</v>
      </c>
      <c r="G350" s="238" t="s">
        <v>56</v>
      </c>
      <c r="H350" s="253">
        <f>'CUOTA ARTESANAL'!G259</f>
        <v>5.2930000000000001</v>
      </c>
      <c r="I350" s="253">
        <f>'CUOTA ARTESANAL'!H259</f>
        <v>0</v>
      </c>
      <c r="J350" s="253">
        <f>'CUOTA ARTESANAL'!I259</f>
        <v>5.2930000000000001</v>
      </c>
      <c r="K350" s="253">
        <f>'CUOTA ARTESANAL'!J259</f>
        <v>6.5610000000000044</v>
      </c>
      <c r="L350" s="253">
        <f>'CUOTA ARTESANAL'!K259</f>
        <v>-1.2680000000000042</v>
      </c>
      <c r="M350" s="254">
        <f>'CUOTA ARTESANAL'!L259</f>
        <v>1.2395616852446636</v>
      </c>
      <c r="N350" s="240" t="str">
        <f>'CUOTA ARTESANAL'!M259</f>
        <v>-</v>
      </c>
      <c r="O350" s="241">
        <f>RESUMEN!$C$4</f>
        <v>44561</v>
      </c>
      <c r="P350" s="233">
        <v>2021</v>
      </c>
      <c r="Q350" s="233"/>
    </row>
    <row r="351" spans="1:17" ht="15.75" customHeight="1">
      <c r="A351" s="238" t="s">
        <v>51</v>
      </c>
      <c r="B351" s="238" t="s">
        <v>52</v>
      </c>
      <c r="C351" s="238" t="s">
        <v>72</v>
      </c>
      <c r="D351" s="243" t="s">
        <v>337</v>
      </c>
      <c r="E351" s="243" t="str">
        <f>+'CUOTA ARTESANAL'!E259</f>
        <v>PELICANO III (960308)</v>
      </c>
      <c r="F351" s="238" t="s">
        <v>57</v>
      </c>
      <c r="G351" s="238" t="s">
        <v>58</v>
      </c>
      <c r="H351" s="253">
        <f>'CUOTA ARTESANAL'!G260</f>
        <v>5.2930000000000001</v>
      </c>
      <c r="I351" s="253">
        <f>'CUOTA ARTESANAL'!H260</f>
        <v>0</v>
      </c>
      <c r="J351" s="253">
        <f>'CUOTA ARTESANAL'!I260</f>
        <v>4.0249999999999959</v>
      </c>
      <c r="K351" s="253">
        <f>'CUOTA ARTESANAL'!J260</f>
        <v>2.1059999999999999</v>
      </c>
      <c r="L351" s="253">
        <f>'CUOTA ARTESANAL'!K260</f>
        <v>1.918999999999996</v>
      </c>
      <c r="M351" s="254">
        <f>'CUOTA ARTESANAL'!L260</f>
        <v>0.52322981366459675</v>
      </c>
      <c r="N351" s="240" t="str">
        <f>'CUOTA ARTESANAL'!M260</f>
        <v>-</v>
      </c>
      <c r="O351" s="241">
        <f>RESUMEN!$C$4</f>
        <v>44561</v>
      </c>
      <c r="P351" s="233">
        <v>2021</v>
      </c>
      <c r="Q351" s="233"/>
    </row>
    <row r="352" spans="1:17" ht="15.75" customHeight="1">
      <c r="A352" s="238" t="s">
        <v>51</v>
      </c>
      <c r="B352" s="238" t="s">
        <v>52</v>
      </c>
      <c r="C352" s="238" t="s">
        <v>72</v>
      </c>
      <c r="D352" s="243" t="s">
        <v>337</v>
      </c>
      <c r="E352" s="243" t="str">
        <f>+'CUOTA ARTESANAL'!E259</f>
        <v>PELICANO III (960308)</v>
      </c>
      <c r="F352" s="238" t="s">
        <v>54</v>
      </c>
      <c r="G352" s="238" t="s">
        <v>58</v>
      </c>
      <c r="H352" s="253">
        <f>'CUOTA ARTESANAL'!N259</f>
        <v>10.586</v>
      </c>
      <c r="I352" s="253">
        <f>'CUOTA ARTESANAL'!O259</f>
        <v>0</v>
      </c>
      <c r="J352" s="253">
        <f>'CUOTA ARTESANAL'!P259</f>
        <v>10.586</v>
      </c>
      <c r="K352" s="253">
        <f>'CUOTA ARTESANAL'!Q259</f>
        <v>8.6670000000000051</v>
      </c>
      <c r="L352" s="253">
        <f>'CUOTA ARTESANAL'!R259</f>
        <v>1.9189999999999952</v>
      </c>
      <c r="M352" s="254">
        <f>'CUOTA ARTESANAL'!S259</f>
        <v>0.81872284148875918</v>
      </c>
      <c r="N352" s="240" t="s">
        <v>218</v>
      </c>
      <c r="O352" s="241">
        <f>RESUMEN!$C$4</f>
        <v>44561</v>
      </c>
      <c r="P352" s="233">
        <v>2021</v>
      </c>
      <c r="Q352" s="233"/>
    </row>
    <row r="353" spans="1:17" ht="15.75" customHeight="1">
      <c r="A353" s="238" t="s">
        <v>51</v>
      </c>
      <c r="B353" s="238" t="s">
        <v>52</v>
      </c>
      <c r="C353" s="238" t="s">
        <v>72</v>
      </c>
      <c r="D353" s="243" t="s">
        <v>337</v>
      </c>
      <c r="E353" s="243" t="str">
        <f>+'CUOTA ARTESANAL'!E261</f>
        <v>RAUL ALEXANDER I (960895)</v>
      </c>
      <c r="F353" s="238" t="s">
        <v>54</v>
      </c>
      <c r="G353" s="238" t="s">
        <v>56</v>
      </c>
      <c r="H353" s="253">
        <f>'CUOTA ARTESANAL'!G261</f>
        <v>5.2910000000000004</v>
      </c>
      <c r="I353" s="253">
        <f>'CUOTA ARTESANAL'!H261</f>
        <v>0</v>
      </c>
      <c r="J353" s="253">
        <f>'CUOTA ARTESANAL'!I261</f>
        <v>5.2910000000000004</v>
      </c>
      <c r="K353" s="253">
        <f>'CUOTA ARTESANAL'!J261</f>
        <v>6.2910000000000004</v>
      </c>
      <c r="L353" s="253">
        <f>'CUOTA ARTESANAL'!K261</f>
        <v>-1</v>
      </c>
      <c r="M353" s="254">
        <f>'CUOTA ARTESANAL'!L261</f>
        <v>1.1890001890001889</v>
      </c>
      <c r="N353" s="240">
        <f>'CUOTA ARTESANAL'!M261</f>
        <v>44259</v>
      </c>
      <c r="O353" s="241">
        <f>RESUMEN!$C$4</f>
        <v>44561</v>
      </c>
      <c r="P353" s="233">
        <v>2021</v>
      </c>
      <c r="Q353" s="233"/>
    </row>
    <row r="354" spans="1:17" ht="15.75" customHeight="1">
      <c r="A354" s="238" t="s">
        <v>51</v>
      </c>
      <c r="B354" s="238" t="s">
        <v>52</v>
      </c>
      <c r="C354" s="238" t="s">
        <v>72</v>
      </c>
      <c r="D354" s="243" t="s">
        <v>337</v>
      </c>
      <c r="E354" s="243" t="str">
        <f>+'CUOTA ARTESANAL'!E261</f>
        <v>RAUL ALEXANDER I (960895)</v>
      </c>
      <c r="F354" s="238" t="s">
        <v>57</v>
      </c>
      <c r="G354" s="238" t="s">
        <v>58</v>
      </c>
      <c r="H354" s="253">
        <f>'CUOTA ARTESANAL'!G262</f>
        <v>5.2910000000000004</v>
      </c>
      <c r="I354" s="253">
        <f>'CUOTA ARTESANAL'!H262</f>
        <v>0</v>
      </c>
      <c r="J354" s="253">
        <f>'CUOTA ARTESANAL'!I262</f>
        <v>4.2910000000000004</v>
      </c>
      <c r="K354" s="253">
        <f>'CUOTA ARTESANAL'!J262</f>
        <v>3.5369999999999999</v>
      </c>
      <c r="L354" s="253">
        <f>'CUOTA ARTESANAL'!K262</f>
        <v>0.75400000000000045</v>
      </c>
      <c r="M354" s="254">
        <f>'CUOTA ARTESANAL'!L262</f>
        <v>0.8242833838266137</v>
      </c>
      <c r="N354" s="240" t="str">
        <f>'CUOTA ARTESANAL'!M262</f>
        <v>-</v>
      </c>
      <c r="O354" s="241">
        <f>RESUMEN!$C$4</f>
        <v>44561</v>
      </c>
      <c r="P354" s="233">
        <v>2021</v>
      </c>
      <c r="Q354" s="233"/>
    </row>
    <row r="355" spans="1:17" ht="15.75" customHeight="1">
      <c r="A355" s="238" t="s">
        <v>51</v>
      </c>
      <c r="B355" s="238" t="s">
        <v>52</v>
      </c>
      <c r="C355" s="238" t="s">
        <v>72</v>
      </c>
      <c r="D355" s="243" t="s">
        <v>337</v>
      </c>
      <c r="E355" s="243" t="str">
        <f>+'CUOTA ARTESANAL'!E261</f>
        <v>RAUL ALEXANDER I (960895)</v>
      </c>
      <c r="F355" s="238" t="s">
        <v>54</v>
      </c>
      <c r="G355" s="238" t="s">
        <v>58</v>
      </c>
      <c r="H355" s="253">
        <f>'CUOTA ARTESANAL'!N261</f>
        <v>10.582000000000001</v>
      </c>
      <c r="I355" s="253">
        <f>'CUOTA ARTESANAL'!O261</f>
        <v>0</v>
      </c>
      <c r="J355" s="253">
        <f>'CUOTA ARTESANAL'!P261</f>
        <v>10.582000000000001</v>
      </c>
      <c r="K355" s="253">
        <f>'CUOTA ARTESANAL'!Q261</f>
        <v>9.8279999999999994</v>
      </c>
      <c r="L355" s="253">
        <f>'CUOTA ARTESANAL'!R261</f>
        <v>0.75400000000000134</v>
      </c>
      <c r="M355" s="254">
        <f>'CUOTA ARTESANAL'!S261</f>
        <v>0.92874692874692866</v>
      </c>
      <c r="N355" s="240" t="s">
        <v>218</v>
      </c>
      <c r="O355" s="241">
        <f>RESUMEN!$C$4</f>
        <v>44561</v>
      </c>
      <c r="P355" s="233">
        <v>2021</v>
      </c>
      <c r="Q355" s="233"/>
    </row>
    <row r="356" spans="1:17" ht="15.75" customHeight="1">
      <c r="A356" s="238" t="s">
        <v>51</v>
      </c>
      <c r="B356" s="238" t="s">
        <v>52</v>
      </c>
      <c r="C356" s="238" t="s">
        <v>72</v>
      </c>
      <c r="D356" s="243" t="s">
        <v>337</v>
      </c>
      <c r="E356" s="243" t="str">
        <f>+'CUOTA ARTESANAL'!E263</f>
        <v>SAMURAI V (966836)</v>
      </c>
      <c r="F356" s="238" t="s">
        <v>54</v>
      </c>
      <c r="G356" s="238" t="s">
        <v>56</v>
      </c>
      <c r="H356" s="253">
        <f>'CUOTA ARTESANAL'!G263</f>
        <v>5.2919999999999998</v>
      </c>
      <c r="I356" s="253">
        <f>'CUOTA ARTESANAL'!H263</f>
        <v>0</v>
      </c>
      <c r="J356" s="253">
        <f>'CUOTA ARTESANAL'!I263</f>
        <v>5.2919999999999998</v>
      </c>
      <c r="K356" s="253">
        <f>'CUOTA ARTESANAL'!J263</f>
        <v>3.9690000000000012</v>
      </c>
      <c r="L356" s="253">
        <f>'CUOTA ARTESANAL'!K263</f>
        <v>1.3229999999999986</v>
      </c>
      <c r="M356" s="254">
        <f>'CUOTA ARTESANAL'!L263</f>
        <v>0.75000000000000022</v>
      </c>
      <c r="N356" s="240" t="str">
        <f>'CUOTA ARTESANAL'!M263</f>
        <v>-</v>
      </c>
      <c r="O356" s="241">
        <f>RESUMEN!$C$4</f>
        <v>44561</v>
      </c>
      <c r="P356" s="233">
        <v>2021</v>
      </c>
      <c r="Q356" s="233"/>
    </row>
    <row r="357" spans="1:17" ht="15.75" customHeight="1">
      <c r="A357" s="238" t="s">
        <v>51</v>
      </c>
      <c r="B357" s="238" t="s">
        <v>52</v>
      </c>
      <c r="C357" s="238" t="s">
        <v>72</v>
      </c>
      <c r="D357" s="243" t="s">
        <v>337</v>
      </c>
      <c r="E357" s="243" t="str">
        <f>+'CUOTA ARTESANAL'!E263</f>
        <v>SAMURAI V (966836)</v>
      </c>
      <c r="F357" s="238" t="s">
        <v>57</v>
      </c>
      <c r="G357" s="238" t="s">
        <v>58</v>
      </c>
      <c r="H357" s="253">
        <f>'CUOTA ARTESANAL'!G264</f>
        <v>5.2919999999999998</v>
      </c>
      <c r="I357" s="253">
        <f>'CUOTA ARTESANAL'!H264</f>
        <v>0</v>
      </c>
      <c r="J357" s="253">
        <f>'CUOTA ARTESANAL'!I264</f>
        <v>6.6149999999999984</v>
      </c>
      <c r="K357" s="253">
        <f>'CUOTA ARTESANAL'!J264</f>
        <v>4.4939999999999998</v>
      </c>
      <c r="L357" s="253">
        <f>'CUOTA ARTESANAL'!K264</f>
        <v>2.1209999999999987</v>
      </c>
      <c r="M357" s="254">
        <f>'CUOTA ARTESANAL'!L264</f>
        <v>0.67936507936507951</v>
      </c>
      <c r="N357" s="240" t="str">
        <f>'CUOTA ARTESANAL'!M264</f>
        <v>-</v>
      </c>
      <c r="O357" s="241">
        <f>RESUMEN!$C$4</f>
        <v>44561</v>
      </c>
      <c r="P357" s="233">
        <v>2021</v>
      </c>
      <c r="Q357" s="233"/>
    </row>
    <row r="358" spans="1:17" ht="15.75" customHeight="1">
      <c r="A358" s="238" t="s">
        <v>51</v>
      </c>
      <c r="B358" s="238" t="s">
        <v>52</v>
      </c>
      <c r="C358" s="238" t="s">
        <v>72</v>
      </c>
      <c r="D358" s="243" t="s">
        <v>337</v>
      </c>
      <c r="E358" s="243" t="str">
        <f>+'CUOTA ARTESANAL'!E263</f>
        <v>SAMURAI V (966836)</v>
      </c>
      <c r="F358" s="238" t="s">
        <v>54</v>
      </c>
      <c r="G358" s="238" t="s">
        <v>58</v>
      </c>
      <c r="H358" s="253">
        <f>'CUOTA ARTESANAL'!N263</f>
        <v>10.584</v>
      </c>
      <c r="I358" s="253">
        <f>'CUOTA ARTESANAL'!O263</f>
        <v>0</v>
      </c>
      <c r="J358" s="253">
        <f>'CUOTA ARTESANAL'!P263</f>
        <v>10.584</v>
      </c>
      <c r="K358" s="253">
        <f>'CUOTA ARTESANAL'!Q263</f>
        <v>8.463000000000001</v>
      </c>
      <c r="L358" s="253">
        <f>'CUOTA ARTESANAL'!R263</f>
        <v>2.1209999999999987</v>
      </c>
      <c r="M358" s="254">
        <f>'CUOTA ARTESANAL'!S263</f>
        <v>0.79960317460317476</v>
      </c>
      <c r="N358" s="240" t="s">
        <v>218</v>
      </c>
      <c r="O358" s="241">
        <f>RESUMEN!$C$4</f>
        <v>44561</v>
      </c>
      <c r="P358" s="233">
        <v>2021</v>
      </c>
      <c r="Q358" s="233"/>
    </row>
    <row r="359" spans="1:17" ht="15.75" customHeight="1">
      <c r="A359" s="238" t="s">
        <v>51</v>
      </c>
      <c r="B359" s="238" t="s">
        <v>52</v>
      </c>
      <c r="C359" s="238" t="s">
        <v>72</v>
      </c>
      <c r="D359" s="243" t="s">
        <v>337</v>
      </c>
      <c r="E359" s="243" t="str">
        <f>+'CUOTA ARTESANAL'!E265</f>
        <v>SANDER III (963707)</v>
      </c>
      <c r="F359" s="238" t="s">
        <v>54</v>
      </c>
      <c r="G359" s="238" t="s">
        <v>56</v>
      </c>
      <c r="H359" s="253">
        <f>'CUOTA ARTESANAL'!G265</f>
        <v>5.2910000000000004</v>
      </c>
      <c r="I359" s="253">
        <f>'CUOTA ARTESANAL'!H265</f>
        <v>0</v>
      </c>
      <c r="J359" s="253">
        <f>'CUOTA ARTESANAL'!I265</f>
        <v>5.2910000000000004</v>
      </c>
      <c r="K359" s="253">
        <f>'CUOTA ARTESANAL'!J265</f>
        <v>2.6190000000000002</v>
      </c>
      <c r="L359" s="253">
        <f>'CUOTA ARTESANAL'!K265</f>
        <v>2.6720000000000002</v>
      </c>
      <c r="M359" s="254">
        <f>'CUOTA ARTESANAL'!L265</f>
        <v>0.49499149499149497</v>
      </c>
      <c r="N359" s="240" t="str">
        <f>'CUOTA ARTESANAL'!M265</f>
        <v>-</v>
      </c>
      <c r="O359" s="241">
        <f>RESUMEN!$C$4</f>
        <v>44561</v>
      </c>
      <c r="P359" s="233">
        <v>2021</v>
      </c>
      <c r="Q359" s="233"/>
    </row>
    <row r="360" spans="1:17" ht="15.75" customHeight="1">
      <c r="A360" s="238" t="s">
        <v>51</v>
      </c>
      <c r="B360" s="238" t="s">
        <v>52</v>
      </c>
      <c r="C360" s="238" t="s">
        <v>72</v>
      </c>
      <c r="D360" s="243" t="s">
        <v>337</v>
      </c>
      <c r="E360" s="243" t="str">
        <f>+'CUOTA ARTESANAL'!E265</f>
        <v>SANDER III (963707)</v>
      </c>
      <c r="F360" s="238" t="s">
        <v>57</v>
      </c>
      <c r="G360" s="238" t="s">
        <v>58</v>
      </c>
      <c r="H360" s="253">
        <f>'CUOTA ARTESANAL'!G266</f>
        <v>5.2910000000000004</v>
      </c>
      <c r="I360" s="253">
        <f>'CUOTA ARTESANAL'!H266</f>
        <v>0</v>
      </c>
      <c r="J360" s="253">
        <f>'CUOTA ARTESANAL'!I266</f>
        <v>7.963000000000001</v>
      </c>
      <c r="K360" s="253">
        <f>'CUOTA ARTESANAL'!J266</f>
        <v>4.5920000000000005</v>
      </c>
      <c r="L360" s="253">
        <f>'CUOTA ARTESANAL'!K266</f>
        <v>3.3710000000000004</v>
      </c>
      <c r="M360" s="254">
        <f>'CUOTA ARTESANAL'!L266</f>
        <v>0.57666708526937083</v>
      </c>
      <c r="N360" s="240" t="str">
        <f>'CUOTA ARTESANAL'!M266</f>
        <v>-</v>
      </c>
      <c r="O360" s="241">
        <f>RESUMEN!$C$4</f>
        <v>44561</v>
      </c>
      <c r="P360" s="233">
        <v>2021</v>
      </c>
      <c r="Q360" s="233"/>
    </row>
    <row r="361" spans="1:17" ht="15.75" customHeight="1">
      <c r="A361" s="238" t="s">
        <v>51</v>
      </c>
      <c r="B361" s="238" t="s">
        <v>52</v>
      </c>
      <c r="C361" s="238" t="s">
        <v>72</v>
      </c>
      <c r="D361" s="243" t="s">
        <v>337</v>
      </c>
      <c r="E361" s="243" t="str">
        <f>+'CUOTA ARTESANAL'!E265</f>
        <v>SANDER III (963707)</v>
      </c>
      <c r="F361" s="238" t="s">
        <v>54</v>
      </c>
      <c r="G361" s="238" t="s">
        <v>58</v>
      </c>
      <c r="H361" s="253">
        <f>'CUOTA ARTESANAL'!N265</f>
        <v>10.582000000000001</v>
      </c>
      <c r="I361" s="253">
        <f>'CUOTA ARTESANAL'!O265</f>
        <v>0</v>
      </c>
      <c r="J361" s="253">
        <f>'CUOTA ARTESANAL'!P265</f>
        <v>10.582000000000001</v>
      </c>
      <c r="K361" s="253">
        <f>'CUOTA ARTESANAL'!Q265</f>
        <v>7.2110000000000003</v>
      </c>
      <c r="L361" s="253">
        <f>'CUOTA ARTESANAL'!R265</f>
        <v>3.3710000000000004</v>
      </c>
      <c r="M361" s="254">
        <f>'CUOTA ARTESANAL'!S265</f>
        <v>0.68144018144018137</v>
      </c>
      <c r="N361" s="240" t="s">
        <v>218</v>
      </c>
      <c r="O361" s="241">
        <f>RESUMEN!$C$4</f>
        <v>44561</v>
      </c>
      <c r="P361" s="233">
        <v>2021</v>
      </c>
      <c r="Q361" s="233"/>
    </row>
    <row r="362" spans="1:17" ht="15.75" customHeight="1">
      <c r="A362" s="238" t="s">
        <v>51</v>
      </c>
      <c r="B362" s="238" t="s">
        <v>52</v>
      </c>
      <c r="C362" s="238" t="s">
        <v>72</v>
      </c>
      <c r="D362" s="243" t="s">
        <v>337</v>
      </c>
      <c r="E362" s="243" t="str">
        <f>+'CUOTA ARTESANAL'!E267</f>
        <v>SKORPIO III (968042)</v>
      </c>
      <c r="F362" s="238" t="s">
        <v>54</v>
      </c>
      <c r="G362" s="238" t="s">
        <v>56</v>
      </c>
      <c r="H362" s="253">
        <f>'CUOTA ARTESANAL'!G267</f>
        <v>7.9480000000000004</v>
      </c>
      <c r="I362" s="253">
        <f>'CUOTA ARTESANAL'!H267</f>
        <v>0</v>
      </c>
      <c r="J362" s="253">
        <f>'CUOTA ARTESANAL'!I267</f>
        <v>7.9480000000000004</v>
      </c>
      <c r="K362" s="253">
        <f>'CUOTA ARTESANAL'!J267</f>
        <v>5.2919999999999972</v>
      </c>
      <c r="L362" s="253">
        <f>'CUOTA ARTESANAL'!K267</f>
        <v>2.6560000000000032</v>
      </c>
      <c r="M362" s="254">
        <f>'CUOTA ARTESANAL'!L267</f>
        <v>0.66582788122798153</v>
      </c>
      <c r="N362" s="240" t="str">
        <f>'CUOTA ARTESANAL'!M267</f>
        <v>-</v>
      </c>
      <c r="O362" s="241">
        <f>RESUMEN!$C$4</f>
        <v>44561</v>
      </c>
      <c r="P362" s="233">
        <v>2021</v>
      </c>
      <c r="Q362" s="233"/>
    </row>
    <row r="363" spans="1:17" ht="15.75" customHeight="1">
      <c r="A363" s="238" t="s">
        <v>51</v>
      </c>
      <c r="B363" s="238" t="s">
        <v>52</v>
      </c>
      <c r="C363" s="238" t="s">
        <v>72</v>
      </c>
      <c r="D363" s="243" t="s">
        <v>337</v>
      </c>
      <c r="E363" s="243" t="str">
        <f>+'CUOTA ARTESANAL'!E267</f>
        <v>SKORPIO III (968042)</v>
      </c>
      <c r="F363" s="238" t="s">
        <v>57</v>
      </c>
      <c r="G363" s="238" t="s">
        <v>58</v>
      </c>
      <c r="H363" s="253">
        <f>'CUOTA ARTESANAL'!G268</f>
        <v>2.65</v>
      </c>
      <c r="I363" s="253">
        <f>'CUOTA ARTESANAL'!H268</f>
        <v>0</v>
      </c>
      <c r="J363" s="253">
        <f>'CUOTA ARTESANAL'!I268</f>
        <v>5.3060000000000027</v>
      </c>
      <c r="K363" s="253">
        <f>'CUOTA ARTESANAL'!J268</f>
        <v>2.8889999999999998</v>
      </c>
      <c r="L363" s="253">
        <f>'CUOTA ARTESANAL'!K268</f>
        <v>2.4170000000000029</v>
      </c>
      <c r="M363" s="254">
        <f>'CUOTA ARTESANAL'!L268</f>
        <v>0.54447794949114181</v>
      </c>
      <c r="N363" s="240" t="str">
        <f>'CUOTA ARTESANAL'!M268</f>
        <v>-</v>
      </c>
      <c r="O363" s="241">
        <f>RESUMEN!$C$4</f>
        <v>44561</v>
      </c>
      <c r="P363" s="233">
        <v>2021</v>
      </c>
      <c r="Q363" s="233"/>
    </row>
    <row r="364" spans="1:17" ht="15.75" customHeight="1">
      <c r="A364" s="238" t="s">
        <v>51</v>
      </c>
      <c r="B364" s="238" t="s">
        <v>52</v>
      </c>
      <c r="C364" s="238" t="s">
        <v>72</v>
      </c>
      <c r="D364" s="243" t="s">
        <v>337</v>
      </c>
      <c r="E364" s="243" t="str">
        <f>+'CUOTA ARTESANAL'!E267</f>
        <v>SKORPIO III (968042)</v>
      </c>
      <c r="F364" s="238" t="s">
        <v>54</v>
      </c>
      <c r="G364" s="238" t="s">
        <v>58</v>
      </c>
      <c r="H364" s="253">
        <f>'CUOTA ARTESANAL'!N267</f>
        <v>10.598000000000001</v>
      </c>
      <c r="I364" s="253">
        <f>'CUOTA ARTESANAL'!O267</f>
        <v>0</v>
      </c>
      <c r="J364" s="253">
        <f>'CUOTA ARTESANAL'!P267</f>
        <v>10.598000000000001</v>
      </c>
      <c r="K364" s="253">
        <f>'CUOTA ARTESANAL'!Q267</f>
        <v>8.1809999999999974</v>
      </c>
      <c r="L364" s="253">
        <f>'CUOTA ARTESANAL'!R267</f>
        <v>2.4170000000000034</v>
      </c>
      <c r="M364" s="254">
        <f>'CUOTA ARTESANAL'!S267</f>
        <v>0.77193810152858999</v>
      </c>
      <c r="N364" s="240" t="s">
        <v>218</v>
      </c>
      <c r="O364" s="241">
        <f>RESUMEN!$C$4</f>
        <v>44561</v>
      </c>
      <c r="P364" s="233">
        <v>2021</v>
      </c>
      <c r="Q364" s="233"/>
    </row>
    <row r="365" spans="1:17" ht="15.75" customHeight="1">
      <c r="A365" s="238" t="s">
        <v>51</v>
      </c>
      <c r="B365" s="238" t="s">
        <v>52</v>
      </c>
      <c r="C365" s="238" t="s">
        <v>72</v>
      </c>
      <c r="D365" s="243" t="s">
        <v>337</v>
      </c>
      <c r="E365" s="243" t="str">
        <f>+'CUOTA ARTESANAL'!E271</f>
        <v>TRITON IV (963932)</v>
      </c>
      <c r="F365" s="238" t="s">
        <v>54</v>
      </c>
      <c r="G365" s="238" t="s">
        <v>56</v>
      </c>
      <c r="H365" s="253">
        <f>'CUOTA ARTESANAL'!G271</f>
        <v>5.29</v>
      </c>
      <c r="I365" s="253">
        <f>'CUOTA ARTESANAL'!H271</f>
        <v>0</v>
      </c>
      <c r="J365" s="253">
        <f>'CUOTA ARTESANAL'!I271</f>
        <v>5.29</v>
      </c>
      <c r="K365" s="253">
        <f>'CUOTA ARTESANAL'!J271</f>
        <v>4.32</v>
      </c>
      <c r="L365" s="253">
        <f>'CUOTA ARTESANAL'!K271</f>
        <v>0.96999999999999975</v>
      </c>
      <c r="M365" s="254">
        <f>'CUOTA ARTESANAL'!L271</f>
        <v>0.81663516068052933</v>
      </c>
      <c r="N365" s="240" t="str">
        <f>'CUOTA ARTESANAL'!M271</f>
        <v>-</v>
      </c>
      <c r="O365" s="241">
        <f>RESUMEN!$C$4</f>
        <v>44561</v>
      </c>
      <c r="P365" s="233">
        <v>2021</v>
      </c>
      <c r="Q365" s="233"/>
    </row>
    <row r="366" spans="1:17" ht="15.75" customHeight="1">
      <c r="A366" s="238" t="s">
        <v>51</v>
      </c>
      <c r="B366" s="238" t="s">
        <v>52</v>
      </c>
      <c r="C366" s="238" t="s">
        <v>72</v>
      </c>
      <c r="D366" s="243" t="s">
        <v>337</v>
      </c>
      <c r="E366" s="243" t="str">
        <f>+'CUOTA ARTESANAL'!E271</f>
        <v>TRITON IV (963932)</v>
      </c>
      <c r="F366" s="238" t="s">
        <v>57</v>
      </c>
      <c r="G366" s="238" t="s">
        <v>58</v>
      </c>
      <c r="H366" s="253">
        <f>'CUOTA ARTESANAL'!G274</f>
        <v>5.2910000000000004</v>
      </c>
      <c r="I366" s="253">
        <f>'CUOTA ARTESANAL'!H274</f>
        <v>0</v>
      </c>
      <c r="J366" s="253">
        <f>'CUOTA ARTESANAL'!I274</f>
        <v>7.4320000000000004</v>
      </c>
      <c r="K366" s="253">
        <f>'CUOTA ARTESANAL'!J274</f>
        <v>1.5</v>
      </c>
      <c r="L366" s="253">
        <f>'CUOTA ARTESANAL'!K274</f>
        <v>5.9320000000000004</v>
      </c>
      <c r="M366" s="254">
        <f>'CUOTA ARTESANAL'!L274</f>
        <v>0.20182992465016145</v>
      </c>
      <c r="N366" s="240" t="str">
        <f>'CUOTA ARTESANAL'!M274</f>
        <v>-</v>
      </c>
      <c r="O366" s="241">
        <f>RESUMEN!$C$4</f>
        <v>44561</v>
      </c>
      <c r="P366" s="233">
        <v>2021</v>
      </c>
      <c r="Q366" s="233"/>
    </row>
    <row r="367" spans="1:17" ht="15.75" customHeight="1">
      <c r="A367" s="238" t="s">
        <v>51</v>
      </c>
      <c r="B367" s="238" t="s">
        <v>52</v>
      </c>
      <c r="C367" s="238" t="s">
        <v>72</v>
      </c>
      <c r="D367" s="243" t="s">
        <v>337</v>
      </c>
      <c r="E367" s="243" t="str">
        <f>+'CUOTA ARTESANAL'!E271</f>
        <v>TRITON IV (963932)</v>
      </c>
      <c r="F367" s="238" t="s">
        <v>54</v>
      </c>
      <c r="G367" s="238" t="s">
        <v>58</v>
      </c>
      <c r="H367" s="253">
        <f>'CUOTA ARTESANAL'!N271</f>
        <v>10.58</v>
      </c>
      <c r="I367" s="253">
        <f>'CUOTA ARTESANAL'!O271</f>
        <v>0</v>
      </c>
      <c r="J367" s="253">
        <f>'CUOTA ARTESANAL'!P271</f>
        <v>10.58</v>
      </c>
      <c r="K367" s="253">
        <f>'CUOTA ARTESANAL'!Q271</f>
        <v>8.2350000000000012</v>
      </c>
      <c r="L367" s="253">
        <f>'CUOTA ARTESANAL'!R271</f>
        <v>2.3449999999999989</v>
      </c>
      <c r="M367" s="254">
        <f>'CUOTA ARTESANAL'!S271</f>
        <v>0.77835538752362965</v>
      </c>
      <c r="N367" s="240" t="s">
        <v>218</v>
      </c>
      <c r="O367" s="241">
        <f>RESUMEN!$C$4</f>
        <v>44561</v>
      </c>
      <c r="P367" s="233">
        <v>2021</v>
      </c>
      <c r="Q367" s="233"/>
    </row>
    <row r="368" spans="1:17" ht="15.75" customHeight="1">
      <c r="A368" s="238" t="s">
        <v>51</v>
      </c>
      <c r="B368" s="238" t="s">
        <v>52</v>
      </c>
      <c r="C368" s="238" t="s">
        <v>72</v>
      </c>
      <c r="D368" s="243" t="s">
        <v>337</v>
      </c>
      <c r="E368" s="243" t="str">
        <f>+'CUOTA ARTESANAL'!E275</f>
        <v>DELFIN VIII (966792)</v>
      </c>
      <c r="F368" s="238" t="s">
        <v>54</v>
      </c>
      <c r="G368" s="238" t="s">
        <v>56</v>
      </c>
      <c r="H368" s="253">
        <f>'CUOTA ARTESANAL'!G275</f>
        <v>7.9370000000000003</v>
      </c>
      <c r="I368" s="253">
        <f>'CUOTA ARTESANAL'!H275</f>
        <v>0</v>
      </c>
      <c r="J368" s="253">
        <f>'CUOTA ARTESANAL'!I275</f>
        <v>7.9370000000000003</v>
      </c>
      <c r="K368" s="253">
        <f>'CUOTA ARTESANAL'!J275</f>
        <v>5.7310000000000008</v>
      </c>
      <c r="L368" s="253">
        <f>'CUOTA ARTESANAL'!K275</f>
        <v>2.2059999999999995</v>
      </c>
      <c r="M368" s="254">
        <f>'CUOTA ARTESANAL'!L275</f>
        <v>0.72206123220360341</v>
      </c>
      <c r="N368" s="240" t="str">
        <f>'CUOTA ARTESANAL'!M275</f>
        <v>-</v>
      </c>
      <c r="O368" s="241">
        <f>RESUMEN!$C$4</f>
        <v>44561</v>
      </c>
      <c r="P368" s="233">
        <v>2021</v>
      </c>
      <c r="Q368" s="233"/>
    </row>
    <row r="369" spans="1:17" ht="15.75" customHeight="1">
      <c r="A369" s="238" t="s">
        <v>51</v>
      </c>
      <c r="B369" s="238" t="s">
        <v>52</v>
      </c>
      <c r="C369" s="238" t="s">
        <v>72</v>
      </c>
      <c r="D369" s="243" t="s">
        <v>337</v>
      </c>
      <c r="E369" s="243" t="str">
        <f>+'CUOTA ARTESANAL'!E275</f>
        <v>DELFIN VIII (966792)</v>
      </c>
      <c r="F369" s="238" t="s">
        <v>57</v>
      </c>
      <c r="G369" s="238" t="s">
        <v>58</v>
      </c>
      <c r="H369" s="253">
        <f>'CUOTA ARTESANAL'!G276</f>
        <v>2.645</v>
      </c>
      <c r="I369" s="253">
        <f>'CUOTA ARTESANAL'!H276</f>
        <v>0</v>
      </c>
      <c r="J369" s="253">
        <f>'CUOTA ARTESANAL'!I276</f>
        <v>4.8509999999999991</v>
      </c>
      <c r="K369" s="253">
        <f>'CUOTA ARTESANAL'!J276</f>
        <v>1.7190000000000001</v>
      </c>
      <c r="L369" s="253">
        <f>'CUOTA ARTESANAL'!K276</f>
        <v>3.1319999999999988</v>
      </c>
      <c r="M369" s="254">
        <f>'CUOTA ARTESANAL'!L276</f>
        <v>0.35435992578849729</v>
      </c>
      <c r="N369" s="240" t="str">
        <f>'CUOTA ARTESANAL'!M276</f>
        <v>-</v>
      </c>
      <c r="O369" s="241">
        <f>RESUMEN!$C$4</f>
        <v>44561</v>
      </c>
      <c r="P369" s="233">
        <v>2021</v>
      </c>
      <c r="Q369" s="233"/>
    </row>
    <row r="370" spans="1:17" ht="15.75" customHeight="1">
      <c r="A370" s="238" t="s">
        <v>51</v>
      </c>
      <c r="B370" s="238" t="s">
        <v>52</v>
      </c>
      <c r="C370" s="238" t="s">
        <v>72</v>
      </c>
      <c r="D370" s="243" t="s">
        <v>337</v>
      </c>
      <c r="E370" s="243" t="str">
        <f>+'CUOTA ARTESANAL'!E275</f>
        <v>DELFIN VIII (966792)</v>
      </c>
      <c r="F370" s="238" t="s">
        <v>54</v>
      </c>
      <c r="G370" s="238" t="s">
        <v>58</v>
      </c>
      <c r="H370" s="253">
        <f>'CUOTA ARTESANAL'!N275</f>
        <v>10.582000000000001</v>
      </c>
      <c r="I370" s="253">
        <f>'CUOTA ARTESANAL'!O275</f>
        <v>0</v>
      </c>
      <c r="J370" s="253">
        <f>'CUOTA ARTESANAL'!P275</f>
        <v>10.582000000000001</v>
      </c>
      <c r="K370" s="253">
        <f>'CUOTA ARTESANAL'!Q275</f>
        <v>7.4500000000000011</v>
      </c>
      <c r="L370" s="253">
        <f>'CUOTA ARTESANAL'!R275</f>
        <v>3.1319999999999997</v>
      </c>
      <c r="M370" s="254">
        <f>'CUOTA ARTESANAL'!S275</f>
        <v>0.70402570402570408</v>
      </c>
      <c r="N370" s="240" t="s">
        <v>218</v>
      </c>
      <c r="O370" s="241">
        <f>RESUMEN!$C$4</f>
        <v>44561</v>
      </c>
      <c r="P370" s="233">
        <v>2021</v>
      </c>
      <c r="Q370" s="233"/>
    </row>
    <row r="371" spans="1:17" ht="15.75" customHeight="1">
      <c r="A371" s="238" t="s">
        <v>51</v>
      </c>
      <c r="B371" s="238" t="s">
        <v>52</v>
      </c>
      <c r="C371" s="238" t="s">
        <v>72</v>
      </c>
      <c r="D371" s="243" t="s">
        <v>337</v>
      </c>
      <c r="E371" s="243" t="str">
        <f>+'CUOTA ARTESANAL'!E277</f>
        <v>EL SOLITARIO IV (960371)</v>
      </c>
      <c r="F371" s="238" t="s">
        <v>54</v>
      </c>
      <c r="G371" s="238" t="s">
        <v>56</v>
      </c>
      <c r="H371" s="253">
        <f>'CUOTA ARTESANAL'!G277</f>
        <v>5.2910000000000004</v>
      </c>
      <c r="I371" s="253">
        <f>'CUOTA ARTESANAL'!H277</f>
        <v>0</v>
      </c>
      <c r="J371" s="253">
        <f>'CUOTA ARTESANAL'!I277</f>
        <v>5.2910000000000004</v>
      </c>
      <c r="K371" s="253">
        <f>'CUOTA ARTESANAL'!J277</f>
        <v>4.43</v>
      </c>
      <c r="L371" s="253">
        <f>'CUOTA ARTESANAL'!K277</f>
        <v>0.86100000000000065</v>
      </c>
      <c r="M371" s="254">
        <f>'CUOTA ARTESANAL'!L277</f>
        <v>0.83727083727083718</v>
      </c>
      <c r="N371" s="240" t="str">
        <f>'CUOTA ARTESANAL'!M277</f>
        <v>-</v>
      </c>
      <c r="O371" s="241">
        <f>RESUMEN!$C$4</f>
        <v>44561</v>
      </c>
      <c r="P371" s="233">
        <v>2021</v>
      </c>
      <c r="Q371" s="233"/>
    </row>
    <row r="372" spans="1:17" ht="15.75" customHeight="1">
      <c r="A372" s="238" t="s">
        <v>51</v>
      </c>
      <c r="B372" s="238" t="s">
        <v>52</v>
      </c>
      <c r="C372" s="238" t="s">
        <v>72</v>
      </c>
      <c r="D372" s="243" t="s">
        <v>337</v>
      </c>
      <c r="E372" s="243" t="str">
        <f>+'CUOTA ARTESANAL'!E277</f>
        <v>EL SOLITARIO IV (960371)</v>
      </c>
      <c r="F372" s="238" t="s">
        <v>57</v>
      </c>
      <c r="G372" s="238" t="s">
        <v>58</v>
      </c>
      <c r="H372" s="253">
        <f>'CUOTA ARTESANAL'!G278</f>
        <v>5.2910000000000004</v>
      </c>
      <c r="I372" s="253">
        <f>'CUOTA ARTESANAL'!H278</f>
        <v>0</v>
      </c>
      <c r="J372" s="253">
        <f>'CUOTA ARTESANAL'!I278</f>
        <v>6.152000000000001</v>
      </c>
      <c r="K372" s="253">
        <f>'CUOTA ARTESANAL'!J278</f>
        <v>1.4299999999999997</v>
      </c>
      <c r="L372" s="253">
        <f>'CUOTA ARTESANAL'!K278</f>
        <v>4.7220000000000013</v>
      </c>
      <c r="M372" s="254">
        <f>'CUOTA ARTESANAL'!L278</f>
        <v>0.23244473342002592</v>
      </c>
      <c r="N372" s="240" t="str">
        <f>'CUOTA ARTESANAL'!M278</f>
        <v>-</v>
      </c>
      <c r="O372" s="241">
        <f>RESUMEN!$C$4</f>
        <v>44561</v>
      </c>
      <c r="P372" s="233">
        <v>2021</v>
      </c>
      <c r="Q372" s="233"/>
    </row>
    <row r="373" spans="1:17" ht="15.75" customHeight="1">
      <c r="A373" s="238" t="s">
        <v>51</v>
      </c>
      <c r="B373" s="238" t="s">
        <v>52</v>
      </c>
      <c r="C373" s="238" t="s">
        <v>72</v>
      </c>
      <c r="D373" s="243" t="s">
        <v>337</v>
      </c>
      <c r="E373" s="243" t="str">
        <f>+'CUOTA ARTESANAL'!E277</f>
        <v>EL SOLITARIO IV (960371)</v>
      </c>
      <c r="F373" s="238" t="s">
        <v>54</v>
      </c>
      <c r="G373" s="238" t="s">
        <v>58</v>
      </c>
      <c r="H373" s="253">
        <f>'CUOTA ARTESANAL'!N277</f>
        <v>10.582000000000001</v>
      </c>
      <c r="I373" s="253">
        <f>'CUOTA ARTESANAL'!O277</f>
        <v>0</v>
      </c>
      <c r="J373" s="253">
        <f>'CUOTA ARTESANAL'!P277</f>
        <v>10.582000000000001</v>
      </c>
      <c r="K373" s="253">
        <f>'CUOTA ARTESANAL'!Q277</f>
        <v>5.8599999999999994</v>
      </c>
      <c r="L373" s="253">
        <f>'CUOTA ARTESANAL'!R277</f>
        <v>4.7220000000000013</v>
      </c>
      <c r="M373" s="254">
        <f>'CUOTA ARTESANAL'!S277</f>
        <v>0.55377055377055373</v>
      </c>
      <c r="N373" s="240" t="s">
        <v>218</v>
      </c>
      <c r="O373" s="241">
        <f>RESUMEN!$C$4</f>
        <v>44561</v>
      </c>
      <c r="P373" s="233">
        <v>2021</v>
      </c>
      <c r="Q373" s="233"/>
    </row>
    <row r="374" spans="1:17" ht="15.75" customHeight="1">
      <c r="A374" s="238" t="s">
        <v>51</v>
      </c>
      <c r="B374" s="238" t="s">
        <v>52</v>
      </c>
      <c r="C374" s="238" t="s">
        <v>72</v>
      </c>
      <c r="D374" s="243" t="s">
        <v>337</v>
      </c>
      <c r="E374" s="243" t="str">
        <f>+'CUOTA ARTESANAL'!E279</f>
        <v>GOLIATH IV (967024)</v>
      </c>
      <c r="F374" s="238" t="s">
        <v>54</v>
      </c>
      <c r="G374" s="238" t="s">
        <v>56</v>
      </c>
      <c r="H374" s="253">
        <f>'CUOTA ARTESANAL'!G279</f>
        <v>5.2919999999999998</v>
      </c>
      <c r="I374" s="253">
        <f>'CUOTA ARTESANAL'!H279</f>
        <v>0</v>
      </c>
      <c r="J374" s="253">
        <f>'CUOTA ARTESANAL'!I279</f>
        <v>5.2919999999999998</v>
      </c>
      <c r="K374" s="253">
        <f>'CUOTA ARTESANAL'!J279</f>
        <v>4.8890000000000002</v>
      </c>
      <c r="L374" s="253">
        <f>'CUOTA ARTESANAL'!K279</f>
        <v>0.40299999999999958</v>
      </c>
      <c r="M374" s="254">
        <f>'CUOTA ARTESANAL'!L279</f>
        <v>0.92384731670445963</v>
      </c>
      <c r="N374" s="240" t="str">
        <f>'CUOTA ARTESANAL'!M279</f>
        <v>-</v>
      </c>
      <c r="O374" s="241">
        <f>RESUMEN!$C$4</f>
        <v>44561</v>
      </c>
      <c r="P374" s="233">
        <v>2021</v>
      </c>
      <c r="Q374" s="233"/>
    </row>
    <row r="375" spans="1:17" ht="15.75" customHeight="1">
      <c r="A375" s="238" t="s">
        <v>51</v>
      </c>
      <c r="B375" s="238" t="s">
        <v>52</v>
      </c>
      <c r="C375" s="238" t="s">
        <v>72</v>
      </c>
      <c r="D375" s="243" t="s">
        <v>337</v>
      </c>
      <c r="E375" s="243" t="str">
        <f>+'CUOTA ARTESANAL'!E279</f>
        <v>GOLIATH IV (967024)</v>
      </c>
      <c r="F375" s="238" t="s">
        <v>57</v>
      </c>
      <c r="G375" s="238" t="s">
        <v>58</v>
      </c>
      <c r="H375" s="253">
        <f>'CUOTA ARTESANAL'!G280</f>
        <v>5.2919999999999998</v>
      </c>
      <c r="I375" s="253">
        <f>'CUOTA ARTESANAL'!H280</f>
        <v>0</v>
      </c>
      <c r="J375" s="253">
        <f>'CUOTA ARTESANAL'!I280</f>
        <v>5.6949999999999994</v>
      </c>
      <c r="K375" s="253">
        <f>'CUOTA ARTESANAL'!J280</f>
        <v>3.9009999999999998</v>
      </c>
      <c r="L375" s="253">
        <f>'CUOTA ARTESANAL'!K280</f>
        <v>1.7939999999999996</v>
      </c>
      <c r="M375" s="254">
        <f>'CUOTA ARTESANAL'!L280</f>
        <v>0.68498683055311682</v>
      </c>
      <c r="N375" s="240" t="str">
        <f>'CUOTA ARTESANAL'!M280</f>
        <v>-</v>
      </c>
      <c r="O375" s="241">
        <f>RESUMEN!$C$4</f>
        <v>44561</v>
      </c>
      <c r="P375" s="233">
        <v>2021</v>
      </c>
      <c r="Q375" s="233"/>
    </row>
    <row r="376" spans="1:17" ht="15.75" customHeight="1">
      <c r="A376" s="238" t="s">
        <v>51</v>
      </c>
      <c r="B376" s="238" t="s">
        <v>52</v>
      </c>
      <c r="C376" s="238" t="s">
        <v>72</v>
      </c>
      <c r="D376" s="243" t="s">
        <v>337</v>
      </c>
      <c r="E376" s="243" t="str">
        <f>+'CUOTA ARTESANAL'!E279</f>
        <v>GOLIATH IV (967024)</v>
      </c>
      <c r="F376" s="238" t="s">
        <v>54</v>
      </c>
      <c r="G376" s="238" t="s">
        <v>58</v>
      </c>
      <c r="H376" s="253">
        <f>'CUOTA ARTESANAL'!N279</f>
        <v>10.584</v>
      </c>
      <c r="I376" s="253">
        <f>'CUOTA ARTESANAL'!O279</f>
        <v>0</v>
      </c>
      <c r="J376" s="253">
        <f>'CUOTA ARTESANAL'!P279</f>
        <v>10.584</v>
      </c>
      <c r="K376" s="253">
        <f>'CUOTA ARTESANAL'!Q279</f>
        <v>8.7899999999999991</v>
      </c>
      <c r="L376" s="253">
        <f>'CUOTA ARTESANAL'!R279</f>
        <v>1.7940000000000005</v>
      </c>
      <c r="M376" s="254">
        <f>'CUOTA ARTESANAL'!S279</f>
        <v>0.83049886621315183</v>
      </c>
      <c r="N376" s="240" t="s">
        <v>218</v>
      </c>
      <c r="O376" s="241">
        <f>RESUMEN!$C$4</f>
        <v>44561</v>
      </c>
      <c r="P376" s="233">
        <v>2021</v>
      </c>
      <c r="Q376" s="233"/>
    </row>
    <row r="377" spans="1:17" ht="15.75" customHeight="1">
      <c r="A377" s="238" t="s">
        <v>51</v>
      </c>
      <c r="B377" s="238" t="s">
        <v>52</v>
      </c>
      <c r="C377" s="238" t="s">
        <v>72</v>
      </c>
      <c r="D377" s="243" t="s">
        <v>337</v>
      </c>
      <c r="E377" s="243" t="str">
        <f>+'CUOTA ARTESANAL'!E281</f>
        <v>JESUS VI (966043)</v>
      </c>
      <c r="F377" s="238" t="s">
        <v>54</v>
      </c>
      <c r="G377" s="238" t="s">
        <v>56</v>
      </c>
      <c r="H377" s="253">
        <f>'CUOTA ARTESANAL'!G281</f>
        <v>5.29</v>
      </c>
      <c r="I377" s="253">
        <f>'CUOTA ARTESANAL'!H281</f>
        <v>0</v>
      </c>
      <c r="J377" s="253">
        <f>'CUOTA ARTESANAL'!I281</f>
        <v>5.29</v>
      </c>
      <c r="K377" s="253">
        <f>'CUOTA ARTESANAL'!J281</f>
        <v>5.09</v>
      </c>
      <c r="L377" s="253">
        <f>'CUOTA ARTESANAL'!K281</f>
        <v>0.20000000000000018</v>
      </c>
      <c r="M377" s="254">
        <f>'CUOTA ARTESANAL'!L281</f>
        <v>0.96219281663516065</v>
      </c>
      <c r="N377" s="240" t="str">
        <f>'CUOTA ARTESANAL'!M281</f>
        <v>-</v>
      </c>
      <c r="O377" s="241">
        <f>RESUMEN!$C$4</f>
        <v>44561</v>
      </c>
      <c r="P377" s="233">
        <v>2021</v>
      </c>
      <c r="Q377" s="233"/>
    </row>
    <row r="378" spans="1:17" ht="15.75" customHeight="1">
      <c r="A378" s="238" t="s">
        <v>51</v>
      </c>
      <c r="B378" s="238" t="s">
        <v>52</v>
      </c>
      <c r="C378" s="238" t="s">
        <v>72</v>
      </c>
      <c r="D378" s="243" t="s">
        <v>337</v>
      </c>
      <c r="E378" s="243" t="str">
        <f>+'CUOTA ARTESANAL'!E281</f>
        <v>JESUS VI (966043)</v>
      </c>
      <c r="F378" s="238" t="s">
        <v>57</v>
      </c>
      <c r="G378" s="238" t="s">
        <v>58</v>
      </c>
      <c r="H378" s="253">
        <f>'CUOTA ARTESANAL'!G282</f>
        <v>5.29</v>
      </c>
      <c r="I378" s="253">
        <f>'CUOTA ARTESANAL'!H282</f>
        <v>0</v>
      </c>
      <c r="J378" s="253">
        <f>'CUOTA ARTESANAL'!I282</f>
        <v>5.49</v>
      </c>
      <c r="K378" s="253">
        <f>'CUOTA ARTESANAL'!J282</f>
        <v>5.5129999999999999</v>
      </c>
      <c r="L378" s="253">
        <f>'CUOTA ARTESANAL'!K282</f>
        <v>-2.2999999999999687E-2</v>
      </c>
      <c r="M378" s="254">
        <f>'CUOTA ARTESANAL'!L282</f>
        <v>1.0041894353369762</v>
      </c>
      <c r="N378" s="240">
        <f>'CUOTA ARTESANAL'!M282</f>
        <v>44560</v>
      </c>
      <c r="O378" s="241">
        <f>RESUMEN!$C$4</f>
        <v>44561</v>
      </c>
      <c r="P378" s="233">
        <v>2021</v>
      </c>
      <c r="Q378" s="233"/>
    </row>
    <row r="379" spans="1:17" ht="15.75" customHeight="1">
      <c r="A379" s="238" t="s">
        <v>51</v>
      </c>
      <c r="B379" s="238" t="s">
        <v>52</v>
      </c>
      <c r="C379" s="238" t="s">
        <v>72</v>
      </c>
      <c r="D379" s="243" t="s">
        <v>337</v>
      </c>
      <c r="E379" s="243" t="str">
        <f>+'CUOTA ARTESANAL'!E281</f>
        <v>JESUS VI (966043)</v>
      </c>
      <c r="F379" s="238" t="s">
        <v>54</v>
      </c>
      <c r="G379" s="238" t="s">
        <v>58</v>
      </c>
      <c r="H379" s="253">
        <f>'CUOTA ARTESANAL'!N281</f>
        <v>10.58</v>
      </c>
      <c r="I379" s="253">
        <f>'CUOTA ARTESANAL'!O281</f>
        <v>0</v>
      </c>
      <c r="J379" s="253">
        <f>'CUOTA ARTESANAL'!P281</f>
        <v>10.58</v>
      </c>
      <c r="K379" s="253">
        <f>'CUOTA ARTESANAL'!Q281</f>
        <v>10.603</v>
      </c>
      <c r="L379" s="253">
        <f>'CUOTA ARTESANAL'!R281</f>
        <v>-2.2999999999999687E-2</v>
      </c>
      <c r="M379" s="254">
        <f>'CUOTA ARTESANAL'!S281</f>
        <v>1.0021739130434781</v>
      </c>
      <c r="N379" s="240" t="s">
        <v>218</v>
      </c>
      <c r="O379" s="241">
        <f>RESUMEN!$C$4</f>
        <v>44561</v>
      </c>
      <c r="P379" s="233">
        <v>2021</v>
      </c>
      <c r="Q379" s="233"/>
    </row>
    <row r="380" spans="1:17" ht="15.75" customHeight="1">
      <c r="A380" s="238" t="s">
        <v>51</v>
      </c>
      <c r="B380" s="238" t="s">
        <v>52</v>
      </c>
      <c r="C380" s="238" t="s">
        <v>72</v>
      </c>
      <c r="D380" s="243" t="s">
        <v>337</v>
      </c>
      <c r="E380" s="243" t="str">
        <f>+'CUOTA ARTESANAL'!E283</f>
        <v>KEVIN III (967882)</v>
      </c>
      <c r="F380" s="238" t="s">
        <v>54</v>
      </c>
      <c r="G380" s="238" t="s">
        <v>56</v>
      </c>
      <c r="H380" s="253">
        <f>'CUOTA ARTESANAL'!G283</f>
        <v>5.2919999999999998</v>
      </c>
      <c r="I380" s="253">
        <f>'CUOTA ARTESANAL'!H283</f>
        <v>0</v>
      </c>
      <c r="J380" s="253">
        <f>'CUOTA ARTESANAL'!I283</f>
        <v>5.2919999999999998</v>
      </c>
      <c r="K380" s="253">
        <f>'CUOTA ARTESANAL'!J283</f>
        <v>2.2050000000000001</v>
      </c>
      <c r="L380" s="253">
        <f>'CUOTA ARTESANAL'!K283</f>
        <v>3.0869999999999997</v>
      </c>
      <c r="M380" s="254">
        <f>'CUOTA ARTESANAL'!L283</f>
        <v>0.41666666666666669</v>
      </c>
      <c r="N380" s="240" t="str">
        <f>'CUOTA ARTESANAL'!M283</f>
        <v>-</v>
      </c>
      <c r="O380" s="241">
        <f>RESUMEN!$C$4</f>
        <v>44561</v>
      </c>
      <c r="P380" s="233">
        <v>2021</v>
      </c>
      <c r="Q380" s="233"/>
    </row>
    <row r="381" spans="1:17" ht="15.75" customHeight="1">
      <c r="A381" s="238" t="s">
        <v>51</v>
      </c>
      <c r="B381" s="238" t="s">
        <v>52</v>
      </c>
      <c r="C381" s="238" t="s">
        <v>72</v>
      </c>
      <c r="D381" s="243" t="s">
        <v>337</v>
      </c>
      <c r="E381" s="243" t="str">
        <f>+'CUOTA ARTESANAL'!E283</f>
        <v>KEVIN III (967882)</v>
      </c>
      <c r="F381" s="238" t="s">
        <v>57</v>
      </c>
      <c r="G381" s="238" t="s">
        <v>58</v>
      </c>
      <c r="H381" s="253">
        <f>'CUOTA ARTESANAL'!G284</f>
        <v>5.2919999999999998</v>
      </c>
      <c r="I381" s="253">
        <f>'CUOTA ARTESANAL'!H284</f>
        <v>0</v>
      </c>
      <c r="J381" s="253">
        <f>'CUOTA ARTESANAL'!I284</f>
        <v>8.3789999999999996</v>
      </c>
      <c r="K381" s="253">
        <f>'CUOTA ARTESANAL'!J284</f>
        <v>5.3949999999999996</v>
      </c>
      <c r="L381" s="253">
        <f>'CUOTA ARTESANAL'!K284</f>
        <v>2.984</v>
      </c>
      <c r="M381" s="254">
        <f>'CUOTA ARTESANAL'!L284</f>
        <v>0.64387158372120779</v>
      </c>
      <c r="N381" s="240" t="str">
        <f>'CUOTA ARTESANAL'!M284</f>
        <v>-</v>
      </c>
      <c r="O381" s="241">
        <f>RESUMEN!$C$4</f>
        <v>44561</v>
      </c>
      <c r="P381" s="233">
        <v>2021</v>
      </c>
      <c r="Q381" s="233"/>
    </row>
    <row r="382" spans="1:17" ht="15.75" customHeight="1">
      <c r="A382" s="238" t="s">
        <v>51</v>
      </c>
      <c r="B382" s="238" t="s">
        <v>52</v>
      </c>
      <c r="C382" s="238" t="s">
        <v>72</v>
      </c>
      <c r="D382" s="243" t="s">
        <v>337</v>
      </c>
      <c r="E382" s="243" t="str">
        <f>+'CUOTA ARTESANAL'!E283</f>
        <v>KEVIN III (967882)</v>
      </c>
      <c r="F382" s="238" t="s">
        <v>54</v>
      </c>
      <c r="G382" s="238" t="s">
        <v>58</v>
      </c>
      <c r="H382" s="253">
        <f>'CUOTA ARTESANAL'!N283</f>
        <v>10.584</v>
      </c>
      <c r="I382" s="253">
        <f>'CUOTA ARTESANAL'!O283</f>
        <v>0</v>
      </c>
      <c r="J382" s="253">
        <f>'CUOTA ARTESANAL'!P283</f>
        <v>10.584</v>
      </c>
      <c r="K382" s="253">
        <f>'CUOTA ARTESANAL'!Q283</f>
        <v>7.6</v>
      </c>
      <c r="L382" s="253">
        <f>'CUOTA ARTESANAL'!R283</f>
        <v>2.984</v>
      </c>
      <c r="M382" s="254">
        <f>'CUOTA ARTESANAL'!S283</f>
        <v>0.7180650037792895</v>
      </c>
      <c r="N382" s="240" t="s">
        <v>218</v>
      </c>
      <c r="O382" s="241">
        <f>RESUMEN!$C$4</f>
        <v>44561</v>
      </c>
      <c r="P382" s="233">
        <v>2021</v>
      </c>
      <c r="Q382" s="233"/>
    </row>
    <row r="383" spans="1:17" ht="15.75" customHeight="1">
      <c r="A383" s="238" t="s">
        <v>51</v>
      </c>
      <c r="B383" s="238" t="s">
        <v>52</v>
      </c>
      <c r="C383" s="238" t="s">
        <v>72</v>
      </c>
      <c r="D383" s="243" t="s">
        <v>337</v>
      </c>
      <c r="E383" s="243" t="str">
        <f>+'CUOTA ARTESANAL'!E285</f>
        <v>MAICOL  (969037)</v>
      </c>
      <c r="F383" s="238" t="s">
        <v>54</v>
      </c>
      <c r="G383" s="238" t="s">
        <v>56</v>
      </c>
      <c r="H383" s="253">
        <f>'CUOTA ARTESANAL'!G285</f>
        <v>5.2910000000000004</v>
      </c>
      <c r="I383" s="253">
        <f>'CUOTA ARTESANAL'!H285</f>
        <v>0</v>
      </c>
      <c r="J383" s="253">
        <f>'CUOTA ARTESANAL'!I285</f>
        <v>5.2910000000000004</v>
      </c>
      <c r="K383" s="253">
        <f>'CUOTA ARTESANAL'!J285</f>
        <v>4.9650000000000007</v>
      </c>
      <c r="L383" s="253">
        <f>'CUOTA ARTESANAL'!K285</f>
        <v>0.32599999999999962</v>
      </c>
      <c r="M383" s="254">
        <f>'CUOTA ARTESANAL'!L285</f>
        <v>0.93838593838593842</v>
      </c>
      <c r="N383" s="240" t="str">
        <f>'CUOTA ARTESANAL'!M285</f>
        <v>-</v>
      </c>
      <c r="O383" s="241">
        <f>RESUMEN!$C$4</f>
        <v>44561</v>
      </c>
      <c r="P383" s="233">
        <v>2021</v>
      </c>
      <c r="Q383" s="233"/>
    </row>
    <row r="384" spans="1:17" ht="15.75" customHeight="1">
      <c r="A384" s="238" t="s">
        <v>51</v>
      </c>
      <c r="B384" s="238" t="s">
        <v>52</v>
      </c>
      <c r="C384" s="238" t="s">
        <v>72</v>
      </c>
      <c r="D384" s="243" t="s">
        <v>337</v>
      </c>
      <c r="E384" s="243" t="str">
        <f>+'CUOTA ARTESANAL'!E285</f>
        <v>MAICOL  (969037)</v>
      </c>
      <c r="F384" s="238" t="s">
        <v>57</v>
      </c>
      <c r="G384" s="238" t="s">
        <v>58</v>
      </c>
      <c r="H384" s="253">
        <f>'CUOTA ARTESANAL'!G286</f>
        <v>5.2910000000000004</v>
      </c>
      <c r="I384" s="253">
        <f>'CUOTA ARTESANAL'!H286</f>
        <v>0</v>
      </c>
      <c r="J384" s="253">
        <f>'CUOTA ARTESANAL'!I286</f>
        <v>5.617</v>
      </c>
      <c r="K384" s="253">
        <f>'CUOTA ARTESANAL'!J286</f>
        <v>1.94</v>
      </c>
      <c r="L384" s="253">
        <f>'CUOTA ARTESANAL'!K286</f>
        <v>3.677</v>
      </c>
      <c r="M384" s="254">
        <f>'CUOTA ARTESANAL'!L286</f>
        <v>0.34538009613672777</v>
      </c>
      <c r="N384" s="240" t="str">
        <f>'CUOTA ARTESANAL'!M286</f>
        <v>-</v>
      </c>
      <c r="O384" s="241">
        <f>RESUMEN!$C$4</f>
        <v>44561</v>
      </c>
      <c r="P384" s="233">
        <v>2021</v>
      </c>
      <c r="Q384" s="233"/>
    </row>
    <row r="385" spans="1:17" ht="15.75" customHeight="1">
      <c r="A385" s="238" t="s">
        <v>51</v>
      </c>
      <c r="B385" s="238" t="s">
        <v>52</v>
      </c>
      <c r="C385" s="238" t="s">
        <v>72</v>
      </c>
      <c r="D385" s="243" t="s">
        <v>337</v>
      </c>
      <c r="E385" s="243" t="str">
        <f>+'CUOTA ARTESANAL'!E285</f>
        <v>MAICOL  (969037)</v>
      </c>
      <c r="F385" s="238" t="s">
        <v>54</v>
      </c>
      <c r="G385" s="238" t="s">
        <v>58</v>
      </c>
      <c r="H385" s="253">
        <f>'CUOTA ARTESANAL'!N285</f>
        <v>10.582000000000001</v>
      </c>
      <c r="I385" s="253">
        <f>'CUOTA ARTESANAL'!O285</f>
        <v>0</v>
      </c>
      <c r="J385" s="253">
        <f>'CUOTA ARTESANAL'!P285</f>
        <v>10.582000000000001</v>
      </c>
      <c r="K385" s="253">
        <f>'CUOTA ARTESANAL'!Q285</f>
        <v>6.9050000000000011</v>
      </c>
      <c r="L385" s="253">
        <f>'CUOTA ARTESANAL'!R285</f>
        <v>3.6769999999999996</v>
      </c>
      <c r="M385" s="254">
        <f>'CUOTA ARTESANAL'!S285</f>
        <v>0.65252315252315263</v>
      </c>
      <c r="N385" s="240" t="s">
        <v>218</v>
      </c>
      <c r="O385" s="241">
        <f>RESUMEN!$C$4</f>
        <v>44561</v>
      </c>
      <c r="P385" s="233">
        <v>2021</v>
      </c>
      <c r="Q385" s="233"/>
    </row>
    <row r="386" spans="1:17" ht="15.75" customHeight="1">
      <c r="A386" s="238" t="s">
        <v>51</v>
      </c>
      <c r="B386" s="238" t="s">
        <v>52</v>
      </c>
      <c r="C386" s="238" t="s">
        <v>72</v>
      </c>
      <c r="D386" s="243" t="s">
        <v>337</v>
      </c>
      <c r="E386" s="243" t="str">
        <f>+'CUOTA ARTESANAL'!E287</f>
        <v>NORTHWESTERN III (697835)</v>
      </c>
      <c r="F386" s="238" t="s">
        <v>54</v>
      </c>
      <c r="G386" s="238" t="s">
        <v>56</v>
      </c>
      <c r="H386" s="253">
        <f>'CUOTA ARTESANAL'!G287</f>
        <v>5.2919999999999998</v>
      </c>
      <c r="I386" s="253">
        <f>'CUOTA ARTESANAL'!H287</f>
        <v>0</v>
      </c>
      <c r="J386" s="253">
        <f>'CUOTA ARTESANAL'!I287</f>
        <v>5.2919999999999998</v>
      </c>
      <c r="K386" s="253">
        <f>'CUOTA ARTESANAL'!J287</f>
        <v>3.8919999999999999</v>
      </c>
      <c r="L386" s="253">
        <f>'CUOTA ARTESANAL'!K287</f>
        <v>1.4</v>
      </c>
      <c r="M386" s="254">
        <f>'CUOTA ARTESANAL'!L287</f>
        <v>0.73544973544973546</v>
      </c>
      <c r="N386" s="240" t="str">
        <f>'CUOTA ARTESANAL'!M287</f>
        <v>-</v>
      </c>
      <c r="O386" s="241">
        <f>RESUMEN!$C$4</f>
        <v>44561</v>
      </c>
      <c r="P386" s="233">
        <v>2021</v>
      </c>
      <c r="Q386" s="233"/>
    </row>
    <row r="387" spans="1:17" ht="15.75" customHeight="1">
      <c r="A387" s="238" t="s">
        <v>51</v>
      </c>
      <c r="B387" s="238" t="s">
        <v>52</v>
      </c>
      <c r="C387" s="238" t="s">
        <v>72</v>
      </c>
      <c r="D387" s="243" t="s">
        <v>337</v>
      </c>
      <c r="E387" s="243" t="str">
        <f>+'CUOTA ARTESANAL'!E287</f>
        <v>NORTHWESTERN III (697835)</v>
      </c>
      <c r="F387" s="238" t="s">
        <v>57</v>
      </c>
      <c r="G387" s="238" t="s">
        <v>58</v>
      </c>
      <c r="H387" s="253">
        <f>'CUOTA ARTESANAL'!G288</f>
        <v>5.2919999999999998</v>
      </c>
      <c r="I387" s="253">
        <f>'CUOTA ARTESANAL'!H288</f>
        <v>0</v>
      </c>
      <c r="J387" s="253">
        <f>'CUOTA ARTESANAL'!I288</f>
        <v>6.6920000000000002</v>
      </c>
      <c r="K387" s="253">
        <f>'CUOTA ARTESANAL'!J288</f>
        <v>3.0249999999999999</v>
      </c>
      <c r="L387" s="253">
        <f>'CUOTA ARTESANAL'!K288</f>
        <v>3.6670000000000003</v>
      </c>
      <c r="M387" s="254">
        <f>'CUOTA ARTESANAL'!L288</f>
        <v>0.45203227734608487</v>
      </c>
      <c r="N387" s="240" t="str">
        <f>'CUOTA ARTESANAL'!M288</f>
        <v>-</v>
      </c>
      <c r="O387" s="241">
        <f>RESUMEN!$C$4</f>
        <v>44561</v>
      </c>
      <c r="P387" s="233">
        <v>2021</v>
      </c>
      <c r="Q387" s="233"/>
    </row>
    <row r="388" spans="1:17" ht="15.75" customHeight="1">
      <c r="A388" s="238" t="s">
        <v>51</v>
      </c>
      <c r="B388" s="238" t="s">
        <v>52</v>
      </c>
      <c r="C388" s="238" t="s">
        <v>72</v>
      </c>
      <c r="D388" s="243" t="s">
        <v>337</v>
      </c>
      <c r="E388" s="243" t="str">
        <f>+'CUOTA ARTESANAL'!E287</f>
        <v>NORTHWESTERN III (697835)</v>
      </c>
      <c r="F388" s="238" t="s">
        <v>54</v>
      </c>
      <c r="G388" s="238" t="s">
        <v>58</v>
      </c>
      <c r="H388" s="253">
        <f>'CUOTA ARTESANAL'!N287</f>
        <v>10.584</v>
      </c>
      <c r="I388" s="253">
        <f>'CUOTA ARTESANAL'!O287</f>
        <v>0</v>
      </c>
      <c r="J388" s="253">
        <f>'CUOTA ARTESANAL'!P287</f>
        <v>10.584</v>
      </c>
      <c r="K388" s="253">
        <f>'CUOTA ARTESANAL'!Q287</f>
        <v>6.9169999999999998</v>
      </c>
      <c r="L388" s="253">
        <f>'CUOTA ARTESANAL'!R287</f>
        <v>3.6669999999999998</v>
      </c>
      <c r="M388" s="254">
        <f>'CUOTA ARTESANAL'!S287</f>
        <v>0.65353363567649281</v>
      </c>
      <c r="N388" s="240" t="s">
        <v>218</v>
      </c>
      <c r="O388" s="241">
        <f>RESUMEN!$C$4</f>
        <v>44561</v>
      </c>
      <c r="P388" s="233">
        <v>2021</v>
      </c>
      <c r="Q388" s="233"/>
    </row>
    <row r="389" spans="1:17" ht="15.75" customHeight="1">
      <c r="A389" s="238" t="s">
        <v>51</v>
      </c>
      <c r="B389" s="238" t="s">
        <v>52</v>
      </c>
      <c r="C389" s="238" t="s">
        <v>72</v>
      </c>
      <c r="D389" s="243" t="s">
        <v>337</v>
      </c>
      <c r="E389" s="243" t="str">
        <f>+'CUOTA ARTESANAL'!E289</f>
        <v>PATRON DEL MAR  (969013)</v>
      </c>
      <c r="F389" s="238" t="s">
        <v>54</v>
      </c>
      <c r="G389" s="238" t="s">
        <v>56</v>
      </c>
      <c r="H389" s="253">
        <f>'CUOTA ARTESANAL'!G289</f>
        <v>7.9340000000000002</v>
      </c>
      <c r="I389" s="253">
        <f>'CUOTA ARTESANAL'!H289</f>
        <v>0</v>
      </c>
      <c r="J389" s="253">
        <f>'CUOTA ARTESANAL'!I289</f>
        <v>7.9340000000000002</v>
      </c>
      <c r="K389" s="253">
        <f>'CUOTA ARTESANAL'!J289</f>
        <v>7.411999999999999</v>
      </c>
      <c r="L389" s="253">
        <f>'CUOTA ARTESANAL'!K289</f>
        <v>0.52200000000000113</v>
      </c>
      <c r="M389" s="254">
        <f>'CUOTA ARTESANAL'!L289</f>
        <v>0.93420720947819502</v>
      </c>
      <c r="N389" s="240" t="str">
        <f>'CUOTA ARTESANAL'!M289</f>
        <v>-</v>
      </c>
      <c r="O389" s="241">
        <f>RESUMEN!$C$4</f>
        <v>44561</v>
      </c>
      <c r="P389" s="233">
        <v>2021</v>
      </c>
      <c r="Q389" s="233"/>
    </row>
    <row r="390" spans="1:17" ht="15.75" customHeight="1">
      <c r="A390" s="238" t="s">
        <v>51</v>
      </c>
      <c r="B390" s="238" t="s">
        <v>52</v>
      </c>
      <c r="C390" s="238" t="s">
        <v>72</v>
      </c>
      <c r="D390" s="243" t="s">
        <v>337</v>
      </c>
      <c r="E390" s="243" t="str">
        <f>+'CUOTA ARTESANAL'!E289</f>
        <v>PATRON DEL MAR  (969013)</v>
      </c>
      <c r="F390" s="238" t="s">
        <v>57</v>
      </c>
      <c r="G390" s="238" t="s">
        <v>58</v>
      </c>
      <c r="H390" s="253">
        <f>'CUOTA ARTESANAL'!G290</f>
        <v>2.6440000000000001</v>
      </c>
      <c r="I390" s="253">
        <f>'CUOTA ARTESANAL'!H290</f>
        <v>0</v>
      </c>
      <c r="J390" s="253">
        <f>'CUOTA ARTESANAL'!I290</f>
        <v>3.1660000000000013</v>
      </c>
      <c r="K390" s="253">
        <f>'CUOTA ARTESANAL'!J290</f>
        <v>2.9239999999999999</v>
      </c>
      <c r="L390" s="253">
        <f>'CUOTA ARTESANAL'!K290</f>
        <v>0.24200000000000133</v>
      </c>
      <c r="M390" s="254">
        <f>'CUOTA ARTESANAL'!L290</f>
        <v>0.92356285533796545</v>
      </c>
      <c r="N390" s="240">
        <f>'CUOTA ARTESANAL'!M290</f>
        <v>44560</v>
      </c>
      <c r="O390" s="241">
        <f>RESUMEN!$C$4</f>
        <v>44561</v>
      </c>
      <c r="P390" s="233">
        <v>2021</v>
      </c>
      <c r="Q390" s="233"/>
    </row>
    <row r="391" spans="1:17" ht="15.75" customHeight="1">
      <c r="A391" s="238" t="s">
        <v>51</v>
      </c>
      <c r="B391" s="238" t="s">
        <v>52</v>
      </c>
      <c r="C391" s="238" t="s">
        <v>72</v>
      </c>
      <c r="D391" s="243" t="s">
        <v>337</v>
      </c>
      <c r="E391" s="243" t="str">
        <f>+'CUOTA ARTESANAL'!E289</f>
        <v>PATRON DEL MAR  (969013)</v>
      </c>
      <c r="F391" s="238" t="s">
        <v>54</v>
      </c>
      <c r="G391" s="238" t="s">
        <v>58</v>
      </c>
      <c r="H391" s="253">
        <f>'CUOTA ARTESANAL'!N289</f>
        <v>10.577999999999999</v>
      </c>
      <c r="I391" s="253">
        <f>'CUOTA ARTESANAL'!O289</f>
        <v>0</v>
      </c>
      <c r="J391" s="253">
        <f>'CUOTA ARTESANAL'!P289</f>
        <v>10.577999999999999</v>
      </c>
      <c r="K391" s="253">
        <f>'CUOTA ARTESANAL'!Q289</f>
        <v>10.335999999999999</v>
      </c>
      <c r="L391" s="253">
        <f>'CUOTA ARTESANAL'!R289</f>
        <v>0.24200000000000088</v>
      </c>
      <c r="M391" s="254">
        <f>'CUOTA ARTESANAL'!S289</f>
        <v>0.97712232936282839</v>
      </c>
      <c r="N391" s="240" t="s">
        <v>218</v>
      </c>
      <c r="O391" s="241">
        <f>RESUMEN!$C$4</f>
        <v>44561</v>
      </c>
      <c r="P391" s="233">
        <v>2021</v>
      </c>
      <c r="Q391" s="233"/>
    </row>
    <row r="392" spans="1:17" ht="15.75" customHeight="1">
      <c r="A392" s="238" t="s">
        <v>51</v>
      </c>
      <c r="B392" s="238" t="s">
        <v>52</v>
      </c>
      <c r="C392" s="238" t="s">
        <v>72</v>
      </c>
      <c r="D392" s="243" t="s">
        <v>337</v>
      </c>
      <c r="E392" s="243" t="str">
        <f>+'CUOTA ARTESANAL'!E291</f>
        <v>SAN ANTONIO VII (967081)</v>
      </c>
      <c r="F392" s="238" t="s">
        <v>54</v>
      </c>
      <c r="G392" s="238" t="s">
        <v>56</v>
      </c>
      <c r="H392" s="253">
        <f>'CUOTA ARTESANAL'!G291</f>
        <v>5.2919999999999998</v>
      </c>
      <c r="I392" s="253">
        <f>'CUOTA ARTESANAL'!H291</f>
        <v>0</v>
      </c>
      <c r="J392" s="253">
        <f>'CUOTA ARTESANAL'!I291</f>
        <v>5.2919999999999998</v>
      </c>
      <c r="K392" s="253">
        <f>'CUOTA ARTESANAL'!J291</f>
        <v>3.8769999999999998</v>
      </c>
      <c r="L392" s="253">
        <f>'CUOTA ARTESANAL'!K291</f>
        <v>1.415</v>
      </c>
      <c r="M392" s="254">
        <f>'CUOTA ARTESANAL'!L291</f>
        <v>0.73261526832955404</v>
      </c>
      <c r="N392" s="240" t="str">
        <f>'CUOTA ARTESANAL'!M291</f>
        <v>-</v>
      </c>
      <c r="O392" s="241">
        <f>RESUMEN!$C$4</f>
        <v>44561</v>
      </c>
      <c r="P392" s="233">
        <v>2021</v>
      </c>
      <c r="Q392" s="233"/>
    </row>
    <row r="393" spans="1:17" ht="15.75" customHeight="1">
      <c r="A393" s="238" t="s">
        <v>51</v>
      </c>
      <c r="B393" s="238" t="s">
        <v>52</v>
      </c>
      <c r="C393" s="238" t="s">
        <v>72</v>
      </c>
      <c r="D393" s="243" t="s">
        <v>337</v>
      </c>
      <c r="E393" s="243" t="str">
        <f>+'CUOTA ARTESANAL'!E291</f>
        <v>SAN ANTONIO VII (967081)</v>
      </c>
      <c r="F393" s="238" t="s">
        <v>57</v>
      </c>
      <c r="G393" s="238" t="s">
        <v>58</v>
      </c>
      <c r="H393" s="253">
        <f>'CUOTA ARTESANAL'!G292</f>
        <v>5.2919999999999998</v>
      </c>
      <c r="I393" s="253">
        <f>'CUOTA ARTESANAL'!H292</f>
        <v>20</v>
      </c>
      <c r="J393" s="253">
        <f>'CUOTA ARTESANAL'!I292</f>
        <v>26.707000000000001</v>
      </c>
      <c r="K393" s="253">
        <f>'CUOTA ARTESANAL'!J292</f>
        <v>11.211</v>
      </c>
      <c r="L393" s="253">
        <f>'CUOTA ARTESANAL'!K292</f>
        <v>15.496</v>
      </c>
      <c r="M393" s="254">
        <f>'CUOTA ARTESANAL'!L292</f>
        <v>0.41977758640056911</v>
      </c>
      <c r="N393" s="240" t="str">
        <f>'CUOTA ARTESANAL'!M292</f>
        <v>-</v>
      </c>
      <c r="O393" s="241">
        <f>RESUMEN!$C$4</f>
        <v>44561</v>
      </c>
      <c r="P393" s="233">
        <v>2021</v>
      </c>
      <c r="Q393" s="233"/>
    </row>
    <row r="394" spans="1:17" ht="15.75" customHeight="1">
      <c r="A394" s="238" t="s">
        <v>51</v>
      </c>
      <c r="B394" s="238" t="s">
        <v>52</v>
      </c>
      <c r="C394" s="238" t="s">
        <v>72</v>
      </c>
      <c r="D394" s="243" t="s">
        <v>337</v>
      </c>
      <c r="E394" s="243" t="str">
        <f>+'CUOTA ARTESANAL'!E291</f>
        <v>SAN ANTONIO VII (967081)</v>
      </c>
      <c r="F394" s="238" t="s">
        <v>54</v>
      </c>
      <c r="G394" s="238" t="s">
        <v>58</v>
      </c>
      <c r="H394" s="253">
        <f>'CUOTA ARTESANAL'!N291</f>
        <v>10.584</v>
      </c>
      <c r="I394" s="253">
        <f>'CUOTA ARTESANAL'!O291</f>
        <v>20</v>
      </c>
      <c r="J394" s="253">
        <f>'CUOTA ARTESANAL'!P291</f>
        <v>30.584</v>
      </c>
      <c r="K394" s="253">
        <f>'CUOTA ARTESANAL'!Q291</f>
        <v>15.088000000000001</v>
      </c>
      <c r="L394" s="253">
        <f>'CUOTA ARTESANAL'!R291</f>
        <v>15.495999999999999</v>
      </c>
      <c r="M394" s="254">
        <f>'CUOTA ARTESANAL'!S291</f>
        <v>0.49332984567093907</v>
      </c>
      <c r="N394" s="240" t="s">
        <v>218</v>
      </c>
      <c r="O394" s="241">
        <f>RESUMEN!$C$4</f>
        <v>44561</v>
      </c>
      <c r="P394" s="233">
        <v>2021</v>
      </c>
      <c r="Q394" s="233"/>
    </row>
    <row r="395" spans="1:17" ht="15.75" customHeight="1">
      <c r="A395" s="238" t="s">
        <v>51</v>
      </c>
      <c r="B395" s="238" t="s">
        <v>52</v>
      </c>
      <c r="C395" s="238" t="s">
        <v>72</v>
      </c>
      <c r="D395" s="243" t="s">
        <v>337</v>
      </c>
      <c r="E395" s="243" t="str">
        <f>+'CUOTA ARTESANAL'!E293</f>
        <v>SAN SEBASTIAN 1  (968514)</v>
      </c>
      <c r="F395" s="238" t="s">
        <v>54</v>
      </c>
      <c r="G395" s="238" t="s">
        <v>56</v>
      </c>
      <c r="H395" s="253">
        <f>'CUOTA ARTESANAL'!G293</f>
        <v>5.2869999999999999</v>
      </c>
      <c r="I395" s="253">
        <f>'CUOTA ARTESANAL'!H293</f>
        <v>0</v>
      </c>
      <c r="J395" s="253">
        <f>'CUOTA ARTESANAL'!I293</f>
        <v>5.2869999999999999</v>
      </c>
      <c r="K395" s="253">
        <f>'CUOTA ARTESANAL'!J293</f>
        <v>4.8230000000000004</v>
      </c>
      <c r="L395" s="253">
        <f>'CUOTA ARTESANAL'!K293</f>
        <v>0.46399999999999952</v>
      </c>
      <c r="M395" s="254">
        <f>'CUOTA ARTESANAL'!L293</f>
        <v>0.91223756383582377</v>
      </c>
      <c r="N395" s="240" t="str">
        <f>'CUOTA ARTESANAL'!M293</f>
        <v>-</v>
      </c>
      <c r="O395" s="241">
        <f>RESUMEN!$C$4</f>
        <v>44561</v>
      </c>
      <c r="P395" s="233">
        <v>2021</v>
      </c>
      <c r="Q395" s="233"/>
    </row>
    <row r="396" spans="1:17" ht="15.75" customHeight="1">
      <c r="A396" s="238" t="s">
        <v>51</v>
      </c>
      <c r="B396" s="238" t="s">
        <v>52</v>
      </c>
      <c r="C396" s="238" t="s">
        <v>72</v>
      </c>
      <c r="D396" s="243" t="s">
        <v>337</v>
      </c>
      <c r="E396" s="243" t="str">
        <f>+'CUOTA ARTESANAL'!E293</f>
        <v>SAN SEBASTIAN 1  (968514)</v>
      </c>
      <c r="F396" s="238" t="s">
        <v>57</v>
      </c>
      <c r="G396" s="238" t="s">
        <v>58</v>
      </c>
      <c r="H396" s="253">
        <f>'CUOTA ARTESANAL'!G294</f>
        <v>5.2869999999999999</v>
      </c>
      <c r="I396" s="253">
        <f>'CUOTA ARTESANAL'!H294</f>
        <v>0</v>
      </c>
      <c r="J396" s="253">
        <f>'CUOTA ARTESANAL'!I294</f>
        <v>5.7509999999999994</v>
      </c>
      <c r="K396" s="253">
        <f>'CUOTA ARTESANAL'!J294</f>
        <v>4.915</v>
      </c>
      <c r="L396" s="253">
        <f>'CUOTA ARTESANAL'!K294</f>
        <v>0.83599999999999941</v>
      </c>
      <c r="M396" s="254">
        <f>'CUOTA ARTESANAL'!L294</f>
        <v>0.85463397669970453</v>
      </c>
      <c r="N396" s="240" t="str">
        <f>'CUOTA ARTESANAL'!M294</f>
        <v>-</v>
      </c>
      <c r="O396" s="241">
        <f>RESUMEN!$C$4</f>
        <v>44561</v>
      </c>
      <c r="P396" s="233">
        <v>2021</v>
      </c>
      <c r="Q396" s="233"/>
    </row>
    <row r="397" spans="1:17" ht="15.75" customHeight="1">
      <c r="A397" s="238" t="s">
        <v>51</v>
      </c>
      <c r="B397" s="238" t="s">
        <v>52</v>
      </c>
      <c r="C397" s="238" t="s">
        <v>72</v>
      </c>
      <c r="D397" s="243" t="s">
        <v>337</v>
      </c>
      <c r="E397" s="243" t="str">
        <f>+'CUOTA ARTESANAL'!E293</f>
        <v>SAN SEBASTIAN 1  (968514)</v>
      </c>
      <c r="F397" s="238" t="s">
        <v>54</v>
      </c>
      <c r="G397" s="238" t="s">
        <v>58</v>
      </c>
      <c r="H397" s="253">
        <f>'CUOTA ARTESANAL'!N293</f>
        <v>10.574</v>
      </c>
      <c r="I397" s="253">
        <f>'CUOTA ARTESANAL'!O293</f>
        <v>0</v>
      </c>
      <c r="J397" s="253">
        <f>'CUOTA ARTESANAL'!P293</f>
        <v>10.574</v>
      </c>
      <c r="K397" s="253">
        <f>'CUOTA ARTESANAL'!Q293</f>
        <v>9.7379999999999995</v>
      </c>
      <c r="L397" s="253">
        <f>'CUOTA ARTESANAL'!R293</f>
        <v>0.8360000000000003</v>
      </c>
      <c r="M397" s="254">
        <f>'CUOTA ARTESANAL'!S293</f>
        <v>0.92093815017968594</v>
      </c>
      <c r="N397" s="240" t="s">
        <v>218</v>
      </c>
      <c r="O397" s="241">
        <f>RESUMEN!$C$4</f>
        <v>44561</v>
      </c>
      <c r="P397" s="233">
        <v>2021</v>
      </c>
      <c r="Q397" s="233"/>
    </row>
    <row r="398" spans="1:17" ht="15.75" customHeight="1">
      <c r="A398" s="238" t="s">
        <v>51</v>
      </c>
      <c r="B398" s="238" t="s">
        <v>52</v>
      </c>
      <c r="C398" s="238" t="s">
        <v>72</v>
      </c>
      <c r="D398" s="243" t="s">
        <v>337</v>
      </c>
      <c r="E398" s="243" t="str">
        <f>+'CUOTA ARTESANAL'!E295</f>
        <v>TIBURON VIII (966737)</v>
      </c>
      <c r="F398" s="238" t="s">
        <v>54</v>
      </c>
      <c r="G398" s="238" t="s">
        <v>56</v>
      </c>
      <c r="H398" s="253">
        <f>'CUOTA ARTESANAL'!G295</f>
        <v>5.2919999999999998</v>
      </c>
      <c r="I398" s="253">
        <f>'CUOTA ARTESANAL'!H295</f>
        <v>0</v>
      </c>
      <c r="J398" s="253">
        <f>'CUOTA ARTESANAL'!I295</f>
        <v>5.2919999999999998</v>
      </c>
      <c r="K398" s="253">
        <f>'CUOTA ARTESANAL'!J295</f>
        <v>3.21</v>
      </c>
      <c r="L398" s="253">
        <f>'CUOTA ARTESANAL'!K295</f>
        <v>2.0819999999999999</v>
      </c>
      <c r="M398" s="254">
        <f>'CUOTA ARTESANAL'!L295</f>
        <v>0.60657596371882083</v>
      </c>
      <c r="N398" s="240" t="str">
        <f>'CUOTA ARTESANAL'!M295</f>
        <v>-</v>
      </c>
      <c r="O398" s="241">
        <f>RESUMEN!$C$4</f>
        <v>44561</v>
      </c>
      <c r="P398" s="233">
        <v>2021</v>
      </c>
      <c r="Q398" s="233"/>
    </row>
    <row r="399" spans="1:17" ht="15.75" customHeight="1">
      <c r="A399" s="238" t="s">
        <v>51</v>
      </c>
      <c r="B399" s="238" t="s">
        <v>52</v>
      </c>
      <c r="C399" s="238" t="s">
        <v>72</v>
      </c>
      <c r="D399" s="243" t="s">
        <v>337</v>
      </c>
      <c r="E399" s="243" t="str">
        <f>+'CUOTA ARTESANAL'!E295</f>
        <v>TIBURON VIII (966737)</v>
      </c>
      <c r="F399" s="238" t="s">
        <v>57</v>
      </c>
      <c r="G399" s="238" t="s">
        <v>58</v>
      </c>
      <c r="H399" s="253">
        <f>'CUOTA ARTESANAL'!G296</f>
        <v>5.2919999999999998</v>
      </c>
      <c r="I399" s="253">
        <f>'CUOTA ARTESANAL'!H296</f>
        <v>0</v>
      </c>
      <c r="J399" s="253">
        <f>'CUOTA ARTESANAL'!I296</f>
        <v>7.3739999999999997</v>
      </c>
      <c r="K399" s="253">
        <f>'CUOTA ARTESANAL'!J296</f>
        <v>5.6020000000000003</v>
      </c>
      <c r="L399" s="253">
        <f>'CUOTA ARTESANAL'!K296</f>
        <v>1.7719999999999994</v>
      </c>
      <c r="M399" s="254">
        <f>'CUOTA ARTESANAL'!L296</f>
        <v>0.75969622999728781</v>
      </c>
      <c r="N399" s="240" t="str">
        <f>'CUOTA ARTESANAL'!M296</f>
        <v>-</v>
      </c>
      <c r="O399" s="241">
        <f>RESUMEN!$C$4</f>
        <v>44561</v>
      </c>
      <c r="P399" s="233">
        <v>2021</v>
      </c>
      <c r="Q399" s="233"/>
    </row>
    <row r="400" spans="1:17" ht="15.75" customHeight="1">
      <c r="A400" s="238" t="s">
        <v>51</v>
      </c>
      <c r="B400" s="238" t="s">
        <v>52</v>
      </c>
      <c r="C400" s="238" t="s">
        <v>72</v>
      </c>
      <c r="D400" s="243" t="s">
        <v>337</v>
      </c>
      <c r="E400" s="243" t="str">
        <f>+'CUOTA ARTESANAL'!E295</f>
        <v>TIBURON VIII (966737)</v>
      </c>
      <c r="F400" s="238" t="s">
        <v>54</v>
      </c>
      <c r="G400" s="238" t="s">
        <v>58</v>
      </c>
      <c r="H400" s="253">
        <f>'CUOTA ARTESANAL'!N295</f>
        <v>10.584</v>
      </c>
      <c r="I400" s="253">
        <f>'CUOTA ARTESANAL'!O295</f>
        <v>0</v>
      </c>
      <c r="J400" s="253">
        <f>'CUOTA ARTESANAL'!P295</f>
        <v>10.584</v>
      </c>
      <c r="K400" s="253">
        <f>'CUOTA ARTESANAL'!Q295</f>
        <v>8.8120000000000012</v>
      </c>
      <c r="L400" s="253">
        <f>'CUOTA ARTESANAL'!R295</f>
        <v>1.7719999999999985</v>
      </c>
      <c r="M400" s="254">
        <f>'CUOTA ARTESANAL'!S295</f>
        <v>0.83257747543461846</v>
      </c>
      <c r="N400" s="240" t="s">
        <v>218</v>
      </c>
      <c r="O400" s="241">
        <f>RESUMEN!$C$4</f>
        <v>44561</v>
      </c>
      <c r="P400" s="233">
        <v>2021</v>
      </c>
      <c r="Q400" s="233"/>
    </row>
    <row r="401" spans="1:17" ht="15.75" customHeight="1">
      <c r="A401" s="238" t="s">
        <v>51</v>
      </c>
      <c r="B401" s="238" t="s">
        <v>52</v>
      </c>
      <c r="C401" s="238" t="s">
        <v>72</v>
      </c>
      <c r="D401" s="243" t="s">
        <v>337</v>
      </c>
      <c r="E401" s="243" t="str">
        <f>+'CUOTA ARTESANAL'!E297</f>
        <v>VIDA MARINA IV (959394)</v>
      </c>
      <c r="F401" s="238" t="s">
        <v>54</v>
      </c>
      <c r="G401" s="238" t="s">
        <v>56</v>
      </c>
      <c r="H401" s="253">
        <f>'CUOTA ARTESANAL'!G297</f>
        <v>7.9379999999999997</v>
      </c>
      <c r="I401" s="253">
        <f>'CUOTA ARTESANAL'!H297</f>
        <v>0</v>
      </c>
      <c r="J401" s="253">
        <f>'CUOTA ARTESANAL'!I297</f>
        <v>7.9379999999999997</v>
      </c>
      <c r="K401" s="253">
        <f>'CUOTA ARTESANAL'!J297</f>
        <v>5.8109999999999991</v>
      </c>
      <c r="L401" s="253">
        <f>'CUOTA ARTESANAL'!K297</f>
        <v>2.1270000000000007</v>
      </c>
      <c r="M401" s="254">
        <f>'CUOTA ARTESANAL'!L297</f>
        <v>0.73204837490551766</v>
      </c>
      <c r="N401" s="240" t="str">
        <f>'CUOTA ARTESANAL'!M297</f>
        <v>-</v>
      </c>
      <c r="O401" s="241">
        <f>RESUMEN!$C$4</f>
        <v>44561</v>
      </c>
      <c r="P401" s="233">
        <v>2021</v>
      </c>
      <c r="Q401" s="233"/>
    </row>
    <row r="402" spans="1:17" ht="15.75" customHeight="1">
      <c r="A402" s="238" t="s">
        <v>51</v>
      </c>
      <c r="B402" s="238" t="s">
        <v>52</v>
      </c>
      <c r="C402" s="238" t="s">
        <v>72</v>
      </c>
      <c r="D402" s="243" t="s">
        <v>337</v>
      </c>
      <c r="E402" s="243" t="str">
        <f>+'CUOTA ARTESANAL'!E297</f>
        <v>VIDA MARINA IV (959394)</v>
      </c>
      <c r="F402" s="238" t="s">
        <v>57</v>
      </c>
      <c r="G402" s="238" t="s">
        <v>58</v>
      </c>
      <c r="H402" s="253">
        <f>'CUOTA ARTESANAL'!G298</f>
        <v>2.6459999999999999</v>
      </c>
      <c r="I402" s="253">
        <f>'CUOTA ARTESANAL'!H298</f>
        <v>0</v>
      </c>
      <c r="J402" s="253">
        <f>'CUOTA ARTESANAL'!I298</f>
        <v>4.7730000000000006</v>
      </c>
      <c r="K402" s="253">
        <f>'CUOTA ARTESANAL'!J298</f>
        <v>4.8869999999999996</v>
      </c>
      <c r="L402" s="253">
        <f>'CUOTA ARTESANAL'!K298</f>
        <v>-0.11399999999999899</v>
      </c>
      <c r="M402" s="254">
        <f>'CUOTA ARTESANAL'!L298</f>
        <v>1.0238843494657446</v>
      </c>
      <c r="N402" s="240">
        <f>'CUOTA ARTESANAL'!M298</f>
        <v>44560</v>
      </c>
      <c r="O402" s="241">
        <f>RESUMEN!$C$4</f>
        <v>44561</v>
      </c>
      <c r="P402" s="233">
        <v>2021</v>
      </c>
      <c r="Q402" s="233"/>
    </row>
    <row r="403" spans="1:17" ht="15.75" customHeight="1">
      <c r="A403" s="238" t="s">
        <v>51</v>
      </c>
      <c r="B403" s="238" t="s">
        <v>52</v>
      </c>
      <c r="C403" s="238" t="s">
        <v>72</v>
      </c>
      <c r="D403" s="243" t="s">
        <v>337</v>
      </c>
      <c r="E403" s="243" t="str">
        <f>+'CUOTA ARTESANAL'!E297</f>
        <v>VIDA MARINA IV (959394)</v>
      </c>
      <c r="F403" s="238" t="s">
        <v>54</v>
      </c>
      <c r="G403" s="238" t="s">
        <v>58</v>
      </c>
      <c r="H403" s="253">
        <f>'CUOTA ARTESANAL'!N297</f>
        <v>10.584</v>
      </c>
      <c r="I403" s="253">
        <f>'CUOTA ARTESANAL'!O297</f>
        <v>0</v>
      </c>
      <c r="J403" s="253">
        <f>'CUOTA ARTESANAL'!P297</f>
        <v>10.584</v>
      </c>
      <c r="K403" s="253">
        <f>'CUOTA ARTESANAL'!Q297</f>
        <v>10.697999999999999</v>
      </c>
      <c r="L403" s="253">
        <f>'CUOTA ARTESANAL'!R297</f>
        <v>-0.11399999999999899</v>
      </c>
      <c r="M403" s="254">
        <f>'CUOTA ARTESANAL'!S297</f>
        <v>1.0107709750566893</v>
      </c>
      <c r="N403" s="240" t="s">
        <v>218</v>
      </c>
      <c r="O403" s="241">
        <f>RESUMEN!$C$4</f>
        <v>44561</v>
      </c>
      <c r="P403" s="233">
        <v>2021</v>
      </c>
      <c r="Q403" s="233"/>
    </row>
    <row r="404" spans="1:17" ht="15.75" customHeight="1">
      <c r="A404" s="238" t="s">
        <v>51</v>
      </c>
      <c r="B404" s="238" t="s">
        <v>52</v>
      </c>
      <c r="C404" s="238" t="s">
        <v>72</v>
      </c>
      <c r="D404" s="243" t="s">
        <v>337</v>
      </c>
      <c r="E404" s="243" t="str">
        <f>+'CUOTA ARTESANAL'!E299</f>
        <v>EMMANUEL II (967124)</v>
      </c>
      <c r="F404" s="238" t="s">
        <v>54</v>
      </c>
      <c r="G404" s="238" t="s">
        <v>56</v>
      </c>
      <c r="H404" s="253">
        <f>'CUOTA ARTESANAL'!G299</f>
        <v>7.9340000000000002</v>
      </c>
      <c r="I404" s="253">
        <f>'CUOTA ARTESANAL'!H299</f>
        <v>0</v>
      </c>
      <c r="J404" s="253">
        <f>'CUOTA ARTESANAL'!I299</f>
        <v>7.9340000000000002</v>
      </c>
      <c r="K404" s="253">
        <f>'CUOTA ARTESANAL'!J299</f>
        <v>5.2169999999999996</v>
      </c>
      <c r="L404" s="253">
        <f>'CUOTA ARTESANAL'!K299</f>
        <v>2.7170000000000005</v>
      </c>
      <c r="M404" s="254">
        <f>'CUOTA ARTESANAL'!L299</f>
        <v>0.65754978573229139</v>
      </c>
      <c r="N404" s="240" t="str">
        <f>'CUOTA ARTESANAL'!M299</f>
        <v>-</v>
      </c>
      <c r="O404" s="241">
        <f>RESUMEN!$C$4</f>
        <v>44561</v>
      </c>
      <c r="P404" s="233">
        <v>2021</v>
      </c>
      <c r="Q404" s="233"/>
    </row>
    <row r="405" spans="1:17" ht="15.75" customHeight="1">
      <c r="A405" s="238" t="s">
        <v>51</v>
      </c>
      <c r="B405" s="238" t="s">
        <v>52</v>
      </c>
      <c r="C405" s="238" t="s">
        <v>72</v>
      </c>
      <c r="D405" s="243" t="s">
        <v>337</v>
      </c>
      <c r="E405" s="243" t="str">
        <f>+'CUOTA ARTESANAL'!E299</f>
        <v>EMMANUEL II (967124)</v>
      </c>
      <c r="F405" s="238" t="s">
        <v>57</v>
      </c>
      <c r="G405" s="238" t="s">
        <v>58</v>
      </c>
      <c r="H405" s="253">
        <f>'CUOTA ARTESANAL'!G300</f>
        <v>2.6440000000000001</v>
      </c>
      <c r="I405" s="253">
        <f>'CUOTA ARTESANAL'!H300</f>
        <v>0</v>
      </c>
      <c r="J405" s="253">
        <f>'CUOTA ARTESANAL'!I300</f>
        <v>5.3610000000000007</v>
      </c>
      <c r="K405" s="253">
        <f>'CUOTA ARTESANAL'!J300</f>
        <v>1.96</v>
      </c>
      <c r="L405" s="253">
        <f>'CUOTA ARTESANAL'!K300</f>
        <v>3.4010000000000007</v>
      </c>
      <c r="M405" s="254">
        <f>'CUOTA ARTESANAL'!L300</f>
        <v>0.36560343219548586</v>
      </c>
      <c r="N405" s="240" t="str">
        <f>'CUOTA ARTESANAL'!M300</f>
        <v>-</v>
      </c>
      <c r="O405" s="241">
        <f>RESUMEN!$C$4</f>
        <v>44561</v>
      </c>
      <c r="P405" s="233">
        <v>2021</v>
      </c>
      <c r="Q405" s="233"/>
    </row>
    <row r="406" spans="1:17" ht="15.75" customHeight="1">
      <c r="A406" s="238" t="s">
        <v>51</v>
      </c>
      <c r="B406" s="238" t="s">
        <v>52</v>
      </c>
      <c r="C406" s="238" t="s">
        <v>72</v>
      </c>
      <c r="D406" s="243" t="s">
        <v>337</v>
      </c>
      <c r="E406" s="243" t="str">
        <f>+'CUOTA ARTESANAL'!E299</f>
        <v>EMMANUEL II (967124)</v>
      </c>
      <c r="F406" s="238" t="s">
        <v>54</v>
      </c>
      <c r="G406" s="238" t="s">
        <v>58</v>
      </c>
      <c r="H406" s="253">
        <f>'CUOTA ARTESANAL'!N299</f>
        <v>10.577999999999999</v>
      </c>
      <c r="I406" s="253">
        <f>'CUOTA ARTESANAL'!O299</f>
        <v>0</v>
      </c>
      <c r="J406" s="253">
        <f>'CUOTA ARTESANAL'!P299</f>
        <v>10.577999999999999</v>
      </c>
      <c r="K406" s="253">
        <f>'CUOTA ARTESANAL'!Q299</f>
        <v>7.1769999999999996</v>
      </c>
      <c r="L406" s="253">
        <f>'CUOTA ARTESANAL'!R299</f>
        <v>3.4009999999999998</v>
      </c>
      <c r="M406" s="254">
        <f>'CUOTA ARTESANAL'!S299</f>
        <v>0.67848364530156935</v>
      </c>
      <c r="N406" s="240" t="s">
        <v>218</v>
      </c>
      <c r="O406" s="241">
        <f>RESUMEN!$C$4</f>
        <v>44561</v>
      </c>
      <c r="P406" s="233">
        <v>2021</v>
      </c>
      <c r="Q406" s="233"/>
    </row>
    <row r="407" spans="1:17" ht="15.75" customHeight="1">
      <c r="A407" s="238" t="s">
        <v>51</v>
      </c>
      <c r="B407" s="238" t="s">
        <v>52</v>
      </c>
      <c r="C407" s="238" t="s">
        <v>72</v>
      </c>
      <c r="D407" s="243" t="s">
        <v>337</v>
      </c>
      <c r="E407" s="243" t="str">
        <f>+'CUOTA ARTESANAL'!E301</f>
        <v>OCEANIC III (965565)</v>
      </c>
      <c r="F407" s="238" t="s">
        <v>54</v>
      </c>
      <c r="G407" s="238" t="s">
        <v>56</v>
      </c>
      <c r="H407" s="253">
        <f>'CUOTA ARTESANAL'!G301</f>
        <v>5.2910000000000004</v>
      </c>
      <c r="I407" s="253">
        <f>'CUOTA ARTESANAL'!H301</f>
        <v>0</v>
      </c>
      <c r="J407" s="253">
        <f>'CUOTA ARTESANAL'!I301</f>
        <v>5.2910000000000004</v>
      </c>
      <c r="K407" s="253">
        <f>'CUOTA ARTESANAL'!J301</f>
        <v>5.1609999999999996</v>
      </c>
      <c r="L407" s="253">
        <f>'CUOTA ARTESANAL'!K301</f>
        <v>0.13000000000000078</v>
      </c>
      <c r="M407" s="254">
        <f>'CUOTA ARTESANAL'!L301</f>
        <v>0.97542997542997534</v>
      </c>
      <c r="N407" s="240">
        <f>'CUOTA ARTESANAL'!M301</f>
        <v>44357</v>
      </c>
      <c r="O407" s="241">
        <f>RESUMEN!$C$4</f>
        <v>44561</v>
      </c>
      <c r="P407" s="233">
        <v>2021</v>
      </c>
      <c r="Q407" s="233"/>
    </row>
    <row r="408" spans="1:17" ht="15.75" customHeight="1">
      <c r="A408" s="238" t="s">
        <v>51</v>
      </c>
      <c r="B408" s="238" t="s">
        <v>52</v>
      </c>
      <c r="C408" s="238" t="s">
        <v>72</v>
      </c>
      <c r="D408" s="243" t="s">
        <v>337</v>
      </c>
      <c r="E408" s="243" t="str">
        <f>+'CUOTA ARTESANAL'!E301</f>
        <v>OCEANIC III (965565)</v>
      </c>
      <c r="F408" s="238" t="s">
        <v>57</v>
      </c>
      <c r="G408" s="238" t="s">
        <v>58</v>
      </c>
      <c r="H408" s="253">
        <f>'CUOTA ARTESANAL'!G302</f>
        <v>5.2910000000000004</v>
      </c>
      <c r="I408" s="253">
        <f>'CUOTA ARTESANAL'!H302</f>
        <v>0</v>
      </c>
      <c r="J408" s="253">
        <f>'CUOTA ARTESANAL'!I302</f>
        <v>5.4210000000000012</v>
      </c>
      <c r="K408" s="253">
        <f>'CUOTA ARTESANAL'!J302</f>
        <v>2.3519999999999999</v>
      </c>
      <c r="L408" s="253">
        <f>'CUOTA ARTESANAL'!K302</f>
        <v>3.0690000000000013</v>
      </c>
      <c r="M408" s="254">
        <f>'CUOTA ARTESANAL'!L302</f>
        <v>0.43386828998339777</v>
      </c>
      <c r="N408" s="240" t="str">
        <f>'CUOTA ARTESANAL'!M302</f>
        <v>-</v>
      </c>
      <c r="O408" s="241">
        <f>RESUMEN!$C$4</f>
        <v>44561</v>
      </c>
      <c r="P408" s="233">
        <v>2021</v>
      </c>
      <c r="Q408" s="233"/>
    </row>
    <row r="409" spans="1:17" ht="15.75" customHeight="1">
      <c r="A409" s="238" t="s">
        <v>51</v>
      </c>
      <c r="B409" s="238" t="s">
        <v>52</v>
      </c>
      <c r="C409" s="238" t="s">
        <v>72</v>
      </c>
      <c r="D409" s="243" t="s">
        <v>337</v>
      </c>
      <c r="E409" s="243" t="str">
        <f>+'CUOTA ARTESANAL'!E301</f>
        <v>OCEANIC III (965565)</v>
      </c>
      <c r="F409" s="238" t="s">
        <v>54</v>
      </c>
      <c r="G409" s="238" t="s">
        <v>58</v>
      </c>
      <c r="H409" s="253">
        <f>'CUOTA ARTESANAL'!N301</f>
        <v>10.582000000000001</v>
      </c>
      <c r="I409" s="253">
        <f>'CUOTA ARTESANAL'!O301</f>
        <v>0</v>
      </c>
      <c r="J409" s="253">
        <f>'CUOTA ARTESANAL'!P301</f>
        <v>10.582000000000001</v>
      </c>
      <c r="K409" s="253">
        <f>'CUOTA ARTESANAL'!Q301</f>
        <v>7.5129999999999999</v>
      </c>
      <c r="L409" s="253">
        <f>'CUOTA ARTESANAL'!R301</f>
        <v>3.0690000000000008</v>
      </c>
      <c r="M409" s="254">
        <f>'CUOTA ARTESANAL'!S301</f>
        <v>0.70997920997920994</v>
      </c>
      <c r="N409" s="240" t="s">
        <v>218</v>
      </c>
      <c r="O409" s="241">
        <f>RESUMEN!$C$4</f>
        <v>44561</v>
      </c>
      <c r="P409" s="233">
        <v>2021</v>
      </c>
      <c r="Q409" s="233"/>
    </row>
    <row r="410" spans="1:17" ht="15.75" customHeight="1">
      <c r="A410" s="238" t="s">
        <v>51</v>
      </c>
      <c r="B410" s="238" t="s">
        <v>52</v>
      </c>
      <c r="C410" s="238" t="s">
        <v>72</v>
      </c>
      <c r="D410" s="243" t="s">
        <v>337</v>
      </c>
      <c r="E410" s="243" t="str">
        <f>+'CUOTA ARTESANAL'!E303</f>
        <v>AGUILA REAL  V (966819)</v>
      </c>
      <c r="F410" s="238" t="s">
        <v>54</v>
      </c>
      <c r="G410" s="238" t="s">
        <v>56</v>
      </c>
      <c r="H410" s="253">
        <f>'CUOTA ARTESANAL'!G303</f>
        <v>7.9370000000000003</v>
      </c>
      <c r="I410" s="253">
        <f>'CUOTA ARTESANAL'!H303</f>
        <v>0</v>
      </c>
      <c r="J410" s="253">
        <f>'CUOTA ARTESANAL'!I303</f>
        <v>7.9370000000000003</v>
      </c>
      <c r="K410" s="253">
        <f>'CUOTA ARTESANAL'!J303</f>
        <v>5.2240000000000002</v>
      </c>
      <c r="L410" s="253">
        <f>'CUOTA ARTESANAL'!K303</f>
        <v>2.7130000000000001</v>
      </c>
      <c r="M410" s="254">
        <f>'CUOTA ARTESANAL'!L303</f>
        <v>0.65818319264205616</v>
      </c>
      <c r="N410" s="240" t="str">
        <f>'CUOTA ARTESANAL'!M303</f>
        <v>-</v>
      </c>
      <c r="O410" s="241">
        <f>RESUMEN!$C$4</f>
        <v>44561</v>
      </c>
      <c r="P410" s="233">
        <v>2021</v>
      </c>
      <c r="Q410" s="233"/>
    </row>
    <row r="411" spans="1:17" ht="15.75" customHeight="1">
      <c r="A411" s="238" t="s">
        <v>51</v>
      </c>
      <c r="B411" s="238" t="s">
        <v>52</v>
      </c>
      <c r="C411" s="238" t="s">
        <v>72</v>
      </c>
      <c r="D411" s="243" t="s">
        <v>337</v>
      </c>
      <c r="E411" s="243" t="str">
        <f>+'CUOTA ARTESANAL'!E303</f>
        <v>AGUILA REAL  V (966819)</v>
      </c>
      <c r="F411" s="238" t="s">
        <v>57</v>
      </c>
      <c r="G411" s="238" t="s">
        <v>58</v>
      </c>
      <c r="H411" s="253">
        <f>'CUOTA ARTESANAL'!G304</f>
        <v>2.645</v>
      </c>
      <c r="I411" s="253">
        <f>'CUOTA ARTESANAL'!H304</f>
        <v>0</v>
      </c>
      <c r="J411" s="253">
        <f>'CUOTA ARTESANAL'!I304</f>
        <v>5.3580000000000005</v>
      </c>
      <c r="K411" s="253">
        <f>'CUOTA ARTESANAL'!J304</f>
        <v>1.458</v>
      </c>
      <c r="L411" s="253">
        <f>'CUOTA ARTESANAL'!K304</f>
        <v>3.9000000000000004</v>
      </c>
      <c r="M411" s="254">
        <f>'CUOTA ARTESANAL'!L304</f>
        <v>0.27211646136618139</v>
      </c>
      <c r="N411" s="240" t="str">
        <f>'CUOTA ARTESANAL'!M304</f>
        <v>-</v>
      </c>
      <c r="O411" s="241">
        <f>RESUMEN!$C$4</f>
        <v>44561</v>
      </c>
      <c r="P411" s="233">
        <v>2021</v>
      </c>
      <c r="Q411" s="233"/>
    </row>
    <row r="412" spans="1:17" ht="15.75" customHeight="1">
      <c r="A412" s="238" t="s">
        <v>51</v>
      </c>
      <c r="B412" s="238" t="s">
        <v>52</v>
      </c>
      <c r="C412" s="238" t="s">
        <v>72</v>
      </c>
      <c r="D412" s="243" t="s">
        <v>337</v>
      </c>
      <c r="E412" s="243" t="str">
        <f>+'CUOTA ARTESANAL'!E303</f>
        <v>AGUILA REAL  V (966819)</v>
      </c>
      <c r="F412" s="238" t="s">
        <v>54</v>
      </c>
      <c r="G412" s="238" t="s">
        <v>58</v>
      </c>
      <c r="H412" s="253">
        <f>'CUOTA ARTESANAL'!N303</f>
        <v>10.582000000000001</v>
      </c>
      <c r="I412" s="253">
        <f>'CUOTA ARTESANAL'!O303</f>
        <v>0</v>
      </c>
      <c r="J412" s="253">
        <f>'CUOTA ARTESANAL'!P303</f>
        <v>10.582000000000001</v>
      </c>
      <c r="K412" s="253">
        <f>'CUOTA ARTESANAL'!Q303</f>
        <v>6.6820000000000004</v>
      </c>
      <c r="L412" s="253">
        <f>'CUOTA ARTESANAL'!R303</f>
        <v>3.9000000000000004</v>
      </c>
      <c r="M412" s="254">
        <f>'CUOTA ARTESANAL'!S303</f>
        <v>0.6314496314496314</v>
      </c>
      <c r="N412" s="240" t="s">
        <v>218</v>
      </c>
      <c r="O412" s="241">
        <f>RESUMEN!$C$4</f>
        <v>44561</v>
      </c>
      <c r="P412" s="233">
        <v>2021</v>
      </c>
      <c r="Q412" s="233"/>
    </row>
    <row r="413" spans="1:17" ht="15.75" customHeight="1">
      <c r="A413" s="238" t="s">
        <v>51</v>
      </c>
      <c r="B413" s="238" t="s">
        <v>52</v>
      </c>
      <c r="C413" s="238" t="s">
        <v>72</v>
      </c>
      <c r="D413" s="243" t="s">
        <v>337</v>
      </c>
      <c r="E413" s="243" t="str">
        <f>+'CUOTA ARTESANAL'!E305</f>
        <v>AGUILUCHO I  (963628)</v>
      </c>
      <c r="F413" s="238" t="s">
        <v>54</v>
      </c>
      <c r="G413" s="238" t="s">
        <v>56</v>
      </c>
      <c r="H413" s="253">
        <f>'CUOTA ARTESANAL'!G305</f>
        <v>5.2930000000000001</v>
      </c>
      <c r="I413" s="253">
        <f>'CUOTA ARTESANAL'!H305</f>
        <v>20</v>
      </c>
      <c r="J413" s="253">
        <f>'CUOTA ARTESANAL'!I305</f>
        <v>25.292999999999999</v>
      </c>
      <c r="K413" s="253">
        <f>'CUOTA ARTESANAL'!J305</f>
        <v>11.455</v>
      </c>
      <c r="L413" s="253">
        <f>'CUOTA ARTESANAL'!K305</f>
        <v>13.837999999999999</v>
      </c>
      <c r="M413" s="254">
        <f>'CUOTA ARTESANAL'!L305</f>
        <v>0.45289210453485157</v>
      </c>
      <c r="N413" s="240" t="str">
        <f>'CUOTA ARTESANAL'!M305</f>
        <v>-</v>
      </c>
      <c r="O413" s="241">
        <f>RESUMEN!$C$4</f>
        <v>44561</v>
      </c>
      <c r="P413" s="233">
        <v>2021</v>
      </c>
      <c r="Q413" s="233"/>
    </row>
    <row r="414" spans="1:17" ht="15.75" customHeight="1">
      <c r="A414" s="238" t="s">
        <v>51</v>
      </c>
      <c r="B414" s="238" t="s">
        <v>52</v>
      </c>
      <c r="C414" s="238" t="s">
        <v>72</v>
      </c>
      <c r="D414" s="243" t="s">
        <v>337</v>
      </c>
      <c r="E414" s="243" t="str">
        <f>+'CUOTA ARTESANAL'!E305</f>
        <v>AGUILUCHO I  (963628)</v>
      </c>
      <c r="F414" s="238" t="s">
        <v>57</v>
      </c>
      <c r="G414" s="238" t="s">
        <v>58</v>
      </c>
      <c r="H414" s="253">
        <f>'CUOTA ARTESANAL'!G306</f>
        <v>5.2930000000000001</v>
      </c>
      <c r="I414" s="253">
        <f>'CUOTA ARTESANAL'!H306</f>
        <v>7</v>
      </c>
      <c r="J414" s="253">
        <f>'CUOTA ARTESANAL'!I306</f>
        <v>26.131</v>
      </c>
      <c r="K414" s="253">
        <f>'CUOTA ARTESANAL'!J306</f>
        <v>9.5399999999999991</v>
      </c>
      <c r="L414" s="253">
        <f>'CUOTA ARTESANAL'!K306</f>
        <v>16.591000000000001</v>
      </c>
      <c r="M414" s="254">
        <f>'CUOTA ARTESANAL'!L306</f>
        <v>0.36508361715969534</v>
      </c>
      <c r="N414" s="240" t="str">
        <f>'CUOTA ARTESANAL'!M306</f>
        <v>-</v>
      </c>
      <c r="O414" s="241">
        <f>RESUMEN!$C$4</f>
        <v>44561</v>
      </c>
      <c r="P414" s="233">
        <v>2021</v>
      </c>
      <c r="Q414" s="233"/>
    </row>
    <row r="415" spans="1:17" ht="15.75" customHeight="1">
      <c r="A415" s="238" t="s">
        <v>51</v>
      </c>
      <c r="B415" s="238" t="s">
        <v>52</v>
      </c>
      <c r="C415" s="238" t="s">
        <v>72</v>
      </c>
      <c r="D415" s="243" t="s">
        <v>337</v>
      </c>
      <c r="E415" s="243" t="str">
        <f>+'CUOTA ARTESANAL'!E305</f>
        <v>AGUILUCHO I  (963628)</v>
      </c>
      <c r="F415" s="238" t="s">
        <v>54</v>
      </c>
      <c r="G415" s="238" t="s">
        <v>58</v>
      </c>
      <c r="H415" s="253">
        <f>'CUOTA ARTESANAL'!N305</f>
        <v>10.586</v>
      </c>
      <c r="I415" s="253">
        <f>'CUOTA ARTESANAL'!O305</f>
        <v>27</v>
      </c>
      <c r="J415" s="253">
        <f>'CUOTA ARTESANAL'!P305</f>
        <v>37.585999999999999</v>
      </c>
      <c r="K415" s="253">
        <f>'CUOTA ARTESANAL'!Q305</f>
        <v>20.994999999999997</v>
      </c>
      <c r="L415" s="253">
        <f>'CUOTA ARTESANAL'!R305</f>
        <v>16.591000000000001</v>
      </c>
      <c r="M415" s="254">
        <f>'CUOTA ARTESANAL'!S305</f>
        <v>0.55858564359069862</v>
      </c>
      <c r="N415" s="240" t="s">
        <v>218</v>
      </c>
      <c r="O415" s="241">
        <f>RESUMEN!$C$4</f>
        <v>44561</v>
      </c>
      <c r="P415" s="233">
        <v>2021</v>
      </c>
      <c r="Q415" s="233"/>
    </row>
    <row r="416" spans="1:17" ht="15.75" customHeight="1">
      <c r="A416" s="238" t="s">
        <v>51</v>
      </c>
      <c r="B416" s="238" t="s">
        <v>52</v>
      </c>
      <c r="C416" s="238" t="s">
        <v>72</v>
      </c>
      <c r="D416" s="243" t="s">
        <v>337</v>
      </c>
      <c r="E416" s="243" t="str">
        <f>+'CUOTA ARTESANAL'!E307</f>
        <v>BARLOVENTO  (969310)</v>
      </c>
      <c r="F416" s="238" t="s">
        <v>54</v>
      </c>
      <c r="G416" s="238" t="s">
        <v>56</v>
      </c>
      <c r="H416" s="253">
        <f>'CUOTA ARTESANAL'!G307</f>
        <v>5.2910000000000004</v>
      </c>
      <c r="I416" s="253">
        <f>'CUOTA ARTESANAL'!H307</f>
        <v>0</v>
      </c>
      <c r="J416" s="253">
        <f>'CUOTA ARTESANAL'!I307</f>
        <v>5.2910000000000004</v>
      </c>
      <c r="K416" s="253">
        <f>'CUOTA ARTESANAL'!J307</f>
        <v>4.92</v>
      </c>
      <c r="L416" s="253">
        <f>'CUOTA ARTESANAL'!K307</f>
        <v>0.37100000000000044</v>
      </c>
      <c r="M416" s="254">
        <f>'CUOTA ARTESANAL'!L307</f>
        <v>0.92988092988092985</v>
      </c>
      <c r="N416" s="240" t="str">
        <f>'CUOTA ARTESANAL'!M307</f>
        <v>-</v>
      </c>
      <c r="O416" s="241">
        <f>RESUMEN!$C$4</f>
        <v>44561</v>
      </c>
      <c r="P416" s="233">
        <v>2021</v>
      </c>
      <c r="Q416" s="233"/>
    </row>
    <row r="417" spans="1:17" ht="15.75" customHeight="1">
      <c r="A417" s="238" t="s">
        <v>51</v>
      </c>
      <c r="B417" s="238" t="s">
        <v>52</v>
      </c>
      <c r="C417" s="238" t="s">
        <v>72</v>
      </c>
      <c r="D417" s="243" t="s">
        <v>337</v>
      </c>
      <c r="E417" s="243" t="str">
        <f>+'CUOTA ARTESANAL'!E307</f>
        <v>BARLOVENTO  (969310)</v>
      </c>
      <c r="F417" s="238" t="s">
        <v>57</v>
      </c>
      <c r="G417" s="238" t="s">
        <v>58</v>
      </c>
      <c r="H417" s="253">
        <f>'CUOTA ARTESANAL'!G308</f>
        <v>5.2910000000000004</v>
      </c>
      <c r="I417" s="253">
        <f>'CUOTA ARTESANAL'!H308</f>
        <v>0</v>
      </c>
      <c r="J417" s="253">
        <f>'CUOTA ARTESANAL'!I308</f>
        <v>5.6620000000000008</v>
      </c>
      <c r="K417" s="253">
        <f>'CUOTA ARTESANAL'!J308</f>
        <v>2.1150000000000002</v>
      </c>
      <c r="L417" s="253">
        <f>'CUOTA ARTESANAL'!K308</f>
        <v>3.5470000000000006</v>
      </c>
      <c r="M417" s="254">
        <f>'CUOTA ARTESANAL'!L308</f>
        <v>0.37354291769692688</v>
      </c>
      <c r="N417" s="240" t="str">
        <f>'CUOTA ARTESANAL'!M308</f>
        <v>-</v>
      </c>
      <c r="O417" s="241">
        <f>RESUMEN!$C$4</f>
        <v>44561</v>
      </c>
      <c r="P417" s="233">
        <v>2021</v>
      </c>
      <c r="Q417" s="233"/>
    </row>
    <row r="418" spans="1:17" ht="15.75" customHeight="1">
      <c r="A418" s="238" t="s">
        <v>51</v>
      </c>
      <c r="B418" s="238" t="s">
        <v>52</v>
      </c>
      <c r="C418" s="238" t="s">
        <v>72</v>
      </c>
      <c r="D418" s="243" t="s">
        <v>337</v>
      </c>
      <c r="E418" s="243" t="str">
        <f>+'CUOTA ARTESANAL'!E307</f>
        <v>BARLOVENTO  (969310)</v>
      </c>
      <c r="F418" s="238" t="s">
        <v>54</v>
      </c>
      <c r="G418" s="238" t="s">
        <v>58</v>
      </c>
      <c r="H418" s="253">
        <f>'CUOTA ARTESANAL'!N307</f>
        <v>10.582000000000001</v>
      </c>
      <c r="I418" s="253">
        <f>'CUOTA ARTESANAL'!O307</f>
        <v>0</v>
      </c>
      <c r="J418" s="253">
        <f>'CUOTA ARTESANAL'!P307</f>
        <v>10.582000000000001</v>
      </c>
      <c r="K418" s="253">
        <f>'CUOTA ARTESANAL'!Q307</f>
        <v>7.0350000000000001</v>
      </c>
      <c r="L418" s="253">
        <f>'CUOTA ARTESANAL'!R307</f>
        <v>3.5470000000000006</v>
      </c>
      <c r="M418" s="254">
        <f>'CUOTA ARTESANAL'!S307</f>
        <v>0.66480816480816474</v>
      </c>
      <c r="N418" s="240" t="s">
        <v>218</v>
      </c>
      <c r="O418" s="241">
        <f>RESUMEN!$C$4</f>
        <v>44561</v>
      </c>
      <c r="P418" s="233">
        <v>2021</v>
      </c>
      <c r="Q418" s="233"/>
    </row>
    <row r="419" spans="1:17" ht="15.75" customHeight="1">
      <c r="A419" s="238" t="s">
        <v>51</v>
      </c>
      <c r="B419" s="238" t="s">
        <v>52</v>
      </c>
      <c r="C419" s="238" t="s">
        <v>72</v>
      </c>
      <c r="D419" s="243" t="s">
        <v>337</v>
      </c>
      <c r="E419" s="243" t="str">
        <f>+'CUOTA ARTESANAL'!E309</f>
        <v>BELEN I (968302)</v>
      </c>
      <c r="F419" s="238" t="s">
        <v>54</v>
      </c>
      <c r="G419" s="238" t="s">
        <v>56</v>
      </c>
      <c r="H419" s="253">
        <f>'CUOTA ARTESANAL'!G309</f>
        <v>5.29</v>
      </c>
      <c r="I419" s="253">
        <f>'CUOTA ARTESANAL'!H309</f>
        <v>17.5</v>
      </c>
      <c r="J419" s="253">
        <f>'CUOTA ARTESANAL'!I309</f>
        <v>22.79</v>
      </c>
      <c r="K419" s="253">
        <f>'CUOTA ARTESANAL'!J309</f>
        <v>14.154999999999999</v>
      </c>
      <c r="L419" s="253">
        <f>'CUOTA ARTESANAL'!K309</f>
        <v>8.6349999999999998</v>
      </c>
      <c r="M419" s="254">
        <f>'CUOTA ARTESANAL'!L309</f>
        <v>0.62110574813514696</v>
      </c>
      <c r="N419" s="240" t="str">
        <f>'CUOTA ARTESANAL'!M309</f>
        <v>-</v>
      </c>
      <c r="O419" s="241">
        <f>RESUMEN!$C$4</f>
        <v>44561</v>
      </c>
      <c r="P419" s="233">
        <v>2021</v>
      </c>
      <c r="Q419" s="233"/>
    </row>
    <row r="420" spans="1:17" ht="15.75" customHeight="1">
      <c r="A420" s="238" t="s">
        <v>51</v>
      </c>
      <c r="B420" s="238" t="s">
        <v>52</v>
      </c>
      <c r="C420" s="238" t="s">
        <v>72</v>
      </c>
      <c r="D420" s="243" t="s">
        <v>337</v>
      </c>
      <c r="E420" s="243" t="str">
        <f>+'CUOTA ARTESANAL'!E309</f>
        <v>BELEN I (968302)</v>
      </c>
      <c r="F420" s="238" t="s">
        <v>57</v>
      </c>
      <c r="G420" s="238" t="s">
        <v>58</v>
      </c>
      <c r="H420" s="253">
        <f>'CUOTA ARTESANAL'!G310</f>
        <v>5.29</v>
      </c>
      <c r="I420" s="253">
        <f>'CUOTA ARTESANAL'!H310</f>
        <v>7</v>
      </c>
      <c r="J420" s="253">
        <f>'CUOTA ARTESANAL'!I310</f>
        <v>20.925000000000001</v>
      </c>
      <c r="K420" s="253">
        <f>'CUOTA ARTESANAL'!J310</f>
        <v>12.974</v>
      </c>
      <c r="L420" s="253">
        <f>'CUOTA ARTESANAL'!K310</f>
        <v>7.9510000000000005</v>
      </c>
      <c r="M420" s="254">
        <f>'CUOTA ARTESANAL'!L310</f>
        <v>0.62002389486260456</v>
      </c>
      <c r="N420" s="240" t="str">
        <f>'CUOTA ARTESANAL'!M310</f>
        <v>-</v>
      </c>
      <c r="O420" s="241">
        <f>RESUMEN!$C$4</f>
        <v>44561</v>
      </c>
      <c r="P420" s="233">
        <v>2021</v>
      </c>
      <c r="Q420" s="233"/>
    </row>
    <row r="421" spans="1:17" ht="15.75" customHeight="1">
      <c r="A421" s="238" t="s">
        <v>51</v>
      </c>
      <c r="B421" s="238" t="s">
        <v>52</v>
      </c>
      <c r="C421" s="238" t="s">
        <v>72</v>
      </c>
      <c r="D421" s="243" t="s">
        <v>337</v>
      </c>
      <c r="E421" s="243" t="str">
        <f>+'CUOTA ARTESANAL'!E309</f>
        <v>BELEN I (968302)</v>
      </c>
      <c r="F421" s="238" t="s">
        <v>54</v>
      </c>
      <c r="G421" s="238" t="s">
        <v>58</v>
      </c>
      <c r="H421" s="253">
        <f>'CUOTA ARTESANAL'!N309</f>
        <v>10.58</v>
      </c>
      <c r="I421" s="253">
        <f>'CUOTA ARTESANAL'!O309</f>
        <v>24.5</v>
      </c>
      <c r="J421" s="253">
        <f>'CUOTA ARTESANAL'!P309</f>
        <v>35.08</v>
      </c>
      <c r="K421" s="253">
        <f>'CUOTA ARTESANAL'!Q309</f>
        <v>27.128999999999998</v>
      </c>
      <c r="L421" s="253">
        <f>'CUOTA ARTESANAL'!R309</f>
        <v>7.9510000000000005</v>
      </c>
      <c r="M421" s="254">
        <f>'CUOTA ARTESANAL'!S309</f>
        <v>0.77334663625997713</v>
      </c>
      <c r="N421" s="240" t="s">
        <v>218</v>
      </c>
      <c r="O421" s="241">
        <f>RESUMEN!$C$4</f>
        <v>44561</v>
      </c>
      <c r="P421" s="233">
        <v>2021</v>
      </c>
      <c r="Q421" s="233"/>
    </row>
    <row r="422" spans="1:17" ht="15.75" customHeight="1">
      <c r="A422" s="238" t="s">
        <v>51</v>
      </c>
      <c r="B422" s="238" t="s">
        <v>52</v>
      </c>
      <c r="C422" s="238" t="s">
        <v>72</v>
      </c>
      <c r="D422" s="243" t="s">
        <v>337</v>
      </c>
      <c r="E422" s="243" t="str">
        <f>+'CUOTA ARTESANAL'!E311</f>
        <v>CORSARIO VI (966584)</v>
      </c>
      <c r="F422" s="238" t="s">
        <v>54</v>
      </c>
      <c r="G422" s="238" t="s">
        <v>56</v>
      </c>
      <c r="H422" s="253">
        <f>'CUOTA ARTESANAL'!G311</f>
        <v>7.9379999999999997</v>
      </c>
      <c r="I422" s="253">
        <f>'CUOTA ARTESANAL'!H311</f>
        <v>0</v>
      </c>
      <c r="J422" s="253">
        <f>'CUOTA ARTESANAL'!I311</f>
        <v>7.9379999999999997</v>
      </c>
      <c r="K422" s="253">
        <f>'CUOTA ARTESANAL'!J311</f>
        <v>5.5709999999999997</v>
      </c>
      <c r="L422" s="253">
        <f>'CUOTA ARTESANAL'!K311</f>
        <v>2.367</v>
      </c>
      <c r="M422" s="254">
        <f>'CUOTA ARTESANAL'!L311</f>
        <v>0.70181405895691606</v>
      </c>
      <c r="N422" s="240" t="str">
        <f>'CUOTA ARTESANAL'!M311</f>
        <v>-</v>
      </c>
      <c r="O422" s="241">
        <f>RESUMEN!$C$4</f>
        <v>44561</v>
      </c>
      <c r="P422" s="233">
        <v>2021</v>
      </c>
      <c r="Q422" s="233"/>
    </row>
    <row r="423" spans="1:17" ht="15.75" customHeight="1">
      <c r="A423" s="238" t="s">
        <v>51</v>
      </c>
      <c r="B423" s="238" t="s">
        <v>52</v>
      </c>
      <c r="C423" s="238" t="s">
        <v>72</v>
      </c>
      <c r="D423" s="243" t="s">
        <v>337</v>
      </c>
      <c r="E423" s="243" t="str">
        <f>+'CUOTA ARTESANAL'!E311</f>
        <v>CORSARIO VI (966584)</v>
      </c>
      <c r="F423" s="238" t="s">
        <v>57</v>
      </c>
      <c r="G423" s="238" t="s">
        <v>58</v>
      </c>
      <c r="H423" s="253">
        <f>'CUOTA ARTESANAL'!G312</f>
        <v>2.6459999999999999</v>
      </c>
      <c r="I423" s="253">
        <f>'CUOTA ARTESANAL'!H312</f>
        <v>0</v>
      </c>
      <c r="J423" s="253">
        <f>'CUOTA ARTESANAL'!I312</f>
        <v>5.0129999999999999</v>
      </c>
      <c r="K423" s="253">
        <f>'CUOTA ARTESANAL'!J312</f>
        <v>2.2690000000000001</v>
      </c>
      <c r="L423" s="253">
        <f>'CUOTA ARTESANAL'!K312</f>
        <v>2.7439999999999998</v>
      </c>
      <c r="M423" s="254">
        <f>'CUOTA ARTESANAL'!L312</f>
        <v>0.452623179732695</v>
      </c>
      <c r="N423" s="240" t="str">
        <f>'CUOTA ARTESANAL'!M312</f>
        <v>-</v>
      </c>
      <c r="O423" s="241">
        <f>RESUMEN!$C$4</f>
        <v>44561</v>
      </c>
      <c r="P423" s="233">
        <v>2021</v>
      </c>
      <c r="Q423" s="233"/>
    </row>
    <row r="424" spans="1:17" ht="15.75" customHeight="1">
      <c r="A424" s="238" t="s">
        <v>51</v>
      </c>
      <c r="B424" s="238" t="s">
        <v>52</v>
      </c>
      <c r="C424" s="238" t="s">
        <v>72</v>
      </c>
      <c r="D424" s="243" t="s">
        <v>337</v>
      </c>
      <c r="E424" s="243" t="str">
        <f>+'CUOTA ARTESANAL'!E311</f>
        <v>CORSARIO VI (966584)</v>
      </c>
      <c r="F424" s="238" t="s">
        <v>54</v>
      </c>
      <c r="G424" s="238" t="s">
        <v>58</v>
      </c>
      <c r="H424" s="253">
        <f>'CUOTA ARTESANAL'!N311</f>
        <v>10.584</v>
      </c>
      <c r="I424" s="253">
        <f>'CUOTA ARTESANAL'!O311</f>
        <v>0</v>
      </c>
      <c r="J424" s="253">
        <f>'CUOTA ARTESANAL'!P311</f>
        <v>10.584</v>
      </c>
      <c r="K424" s="253">
        <f>'CUOTA ARTESANAL'!Q311</f>
        <v>7.84</v>
      </c>
      <c r="L424" s="253">
        <f>'CUOTA ARTESANAL'!R311</f>
        <v>2.7439999999999998</v>
      </c>
      <c r="M424" s="254">
        <f>'CUOTA ARTESANAL'!S311</f>
        <v>0.7407407407407407</v>
      </c>
      <c r="N424" s="240" t="s">
        <v>218</v>
      </c>
      <c r="O424" s="241">
        <f>RESUMEN!$C$4</f>
        <v>44561</v>
      </c>
      <c r="P424" s="233">
        <v>2021</v>
      </c>
      <c r="Q424" s="233"/>
    </row>
    <row r="425" spans="1:17" ht="15.75" customHeight="1">
      <c r="A425" s="238" t="s">
        <v>51</v>
      </c>
      <c r="B425" s="238" t="s">
        <v>52</v>
      </c>
      <c r="C425" s="238" t="s">
        <v>72</v>
      </c>
      <c r="D425" s="243" t="s">
        <v>337</v>
      </c>
      <c r="E425" s="243" t="str">
        <f>+'CUOTA ARTESANAL'!E313</f>
        <v>DON MOISES I (966476)</v>
      </c>
      <c r="F425" s="238" t="s">
        <v>54</v>
      </c>
      <c r="G425" s="238" t="s">
        <v>56</v>
      </c>
      <c r="H425" s="253">
        <f>'CUOTA ARTESANAL'!G313</f>
        <v>7.9370000000000003</v>
      </c>
      <c r="I425" s="253">
        <f>'CUOTA ARTESANAL'!H313</f>
        <v>0</v>
      </c>
      <c r="J425" s="253">
        <f>'CUOTA ARTESANAL'!I313</f>
        <v>7.9370000000000003</v>
      </c>
      <c r="K425" s="253">
        <f>'CUOTA ARTESANAL'!J313</f>
        <v>5.7670000000000012</v>
      </c>
      <c r="L425" s="253">
        <f>'CUOTA ARTESANAL'!K313</f>
        <v>2.169999999999999</v>
      </c>
      <c r="M425" s="254">
        <f>'CUOTA ARTESANAL'!L313</f>
        <v>0.72659695098903876</v>
      </c>
      <c r="N425" s="240" t="str">
        <f>'CUOTA ARTESANAL'!M313</f>
        <v>-</v>
      </c>
      <c r="O425" s="241">
        <f>RESUMEN!$C$4</f>
        <v>44561</v>
      </c>
      <c r="P425" s="233">
        <v>2021</v>
      </c>
      <c r="Q425" s="233"/>
    </row>
    <row r="426" spans="1:17" ht="15.75" customHeight="1">
      <c r="A426" s="238" t="s">
        <v>51</v>
      </c>
      <c r="B426" s="238" t="s">
        <v>52</v>
      </c>
      <c r="C426" s="238" t="s">
        <v>72</v>
      </c>
      <c r="D426" s="243" t="s">
        <v>337</v>
      </c>
      <c r="E426" s="243" t="str">
        <f>+'CUOTA ARTESANAL'!E313</f>
        <v>DON MOISES I (966476)</v>
      </c>
      <c r="F426" s="238" t="s">
        <v>57</v>
      </c>
      <c r="G426" s="238" t="s">
        <v>58</v>
      </c>
      <c r="H426" s="253">
        <f>'CUOTA ARTESANAL'!G314</f>
        <v>2.645</v>
      </c>
      <c r="I426" s="253">
        <f>'CUOTA ARTESANAL'!H314</f>
        <v>0</v>
      </c>
      <c r="J426" s="253">
        <f>'CUOTA ARTESANAL'!I314</f>
        <v>4.8149999999999995</v>
      </c>
      <c r="K426" s="253">
        <f>'CUOTA ARTESANAL'!J314</f>
        <v>3.024</v>
      </c>
      <c r="L426" s="253">
        <f>'CUOTA ARTESANAL'!K314</f>
        <v>1.7909999999999995</v>
      </c>
      <c r="M426" s="254">
        <f>'CUOTA ARTESANAL'!L314</f>
        <v>0.62803738317757019</v>
      </c>
      <c r="N426" s="240" t="str">
        <f>'CUOTA ARTESANAL'!M314</f>
        <v>-</v>
      </c>
      <c r="O426" s="241">
        <f>RESUMEN!$C$4</f>
        <v>44561</v>
      </c>
      <c r="P426" s="233">
        <v>2021</v>
      </c>
      <c r="Q426" s="233"/>
    </row>
    <row r="427" spans="1:17" ht="15.75" customHeight="1">
      <c r="A427" s="238" t="s">
        <v>51</v>
      </c>
      <c r="B427" s="238" t="s">
        <v>52</v>
      </c>
      <c r="C427" s="238" t="s">
        <v>72</v>
      </c>
      <c r="D427" s="243" t="s">
        <v>337</v>
      </c>
      <c r="E427" s="243" t="str">
        <f>+'CUOTA ARTESANAL'!E313</f>
        <v>DON MOISES I (966476)</v>
      </c>
      <c r="F427" s="238" t="s">
        <v>54</v>
      </c>
      <c r="G427" s="238" t="s">
        <v>58</v>
      </c>
      <c r="H427" s="253">
        <f>'CUOTA ARTESANAL'!N313</f>
        <v>10.582000000000001</v>
      </c>
      <c r="I427" s="253">
        <f>'CUOTA ARTESANAL'!O313</f>
        <v>0</v>
      </c>
      <c r="J427" s="253">
        <f>'CUOTA ARTESANAL'!P313</f>
        <v>10.582000000000001</v>
      </c>
      <c r="K427" s="253">
        <f>'CUOTA ARTESANAL'!Q313</f>
        <v>8.7910000000000004</v>
      </c>
      <c r="L427" s="253">
        <f>'CUOTA ARTESANAL'!R313</f>
        <v>1.7910000000000004</v>
      </c>
      <c r="M427" s="254">
        <f>'CUOTA ARTESANAL'!S313</f>
        <v>0.83075033075033078</v>
      </c>
      <c r="N427" s="240" t="s">
        <v>218</v>
      </c>
      <c r="O427" s="241">
        <f>RESUMEN!$C$4</f>
        <v>44561</v>
      </c>
      <c r="P427" s="233">
        <v>2021</v>
      </c>
      <c r="Q427" s="233"/>
    </row>
    <row r="428" spans="1:17" ht="15.75" customHeight="1">
      <c r="A428" s="238" t="s">
        <v>51</v>
      </c>
      <c r="B428" s="238" t="s">
        <v>52</v>
      </c>
      <c r="C428" s="238" t="s">
        <v>72</v>
      </c>
      <c r="D428" s="243" t="s">
        <v>337</v>
      </c>
      <c r="E428" s="243" t="str">
        <f>+'CUOTA ARTESANAL'!E315</f>
        <v>EL SIRIO (966942)</v>
      </c>
      <c r="F428" s="238" t="s">
        <v>54</v>
      </c>
      <c r="G428" s="238" t="s">
        <v>56</v>
      </c>
      <c r="H428" s="253">
        <f>'CUOTA ARTESANAL'!G315</f>
        <v>5.2930000000000001</v>
      </c>
      <c r="I428" s="253">
        <f>'CUOTA ARTESANAL'!H315</f>
        <v>0</v>
      </c>
      <c r="J428" s="253">
        <f>'CUOTA ARTESANAL'!I315</f>
        <v>5.2930000000000001</v>
      </c>
      <c r="K428" s="253">
        <f>'CUOTA ARTESANAL'!J315</f>
        <v>4.4619999999999997</v>
      </c>
      <c r="L428" s="253">
        <f>'CUOTA ARTESANAL'!K315</f>
        <v>0.83100000000000041</v>
      </c>
      <c r="M428" s="254">
        <f>'CUOTA ARTESANAL'!L315</f>
        <v>0.84300018892877382</v>
      </c>
      <c r="N428" s="240" t="str">
        <f>'CUOTA ARTESANAL'!M315</f>
        <v>-</v>
      </c>
      <c r="O428" s="241">
        <f>RESUMEN!$C$4</f>
        <v>44561</v>
      </c>
      <c r="P428" s="233">
        <v>2021</v>
      </c>
      <c r="Q428" s="233"/>
    </row>
    <row r="429" spans="1:17" ht="15.75" customHeight="1">
      <c r="A429" s="238" t="s">
        <v>51</v>
      </c>
      <c r="B429" s="238" t="s">
        <v>52</v>
      </c>
      <c r="C429" s="238" t="s">
        <v>72</v>
      </c>
      <c r="D429" s="243" t="s">
        <v>337</v>
      </c>
      <c r="E429" s="243" t="str">
        <f>+'CUOTA ARTESANAL'!E315</f>
        <v>EL SIRIO (966942)</v>
      </c>
      <c r="F429" s="238" t="s">
        <v>57</v>
      </c>
      <c r="G429" s="238" t="s">
        <v>58</v>
      </c>
      <c r="H429" s="253">
        <f>'CUOTA ARTESANAL'!G316</f>
        <v>5.2930000000000001</v>
      </c>
      <c r="I429" s="253">
        <f>'CUOTA ARTESANAL'!H316</f>
        <v>0</v>
      </c>
      <c r="J429" s="253">
        <f>'CUOTA ARTESANAL'!I316</f>
        <v>6.1240000000000006</v>
      </c>
      <c r="K429" s="253">
        <f>'CUOTA ARTESANAL'!J316</f>
        <v>5.2080000000000002</v>
      </c>
      <c r="L429" s="253">
        <f>'CUOTA ARTESANAL'!K316</f>
        <v>0.91600000000000037</v>
      </c>
      <c r="M429" s="254">
        <f>'CUOTA ARTESANAL'!L316</f>
        <v>0.85042455911169168</v>
      </c>
      <c r="N429" s="240" t="str">
        <f>'CUOTA ARTESANAL'!M316</f>
        <v>-</v>
      </c>
      <c r="O429" s="241">
        <f>RESUMEN!$C$4</f>
        <v>44561</v>
      </c>
      <c r="P429" s="233">
        <v>2021</v>
      </c>
      <c r="Q429" s="233"/>
    </row>
    <row r="430" spans="1:17" ht="15.75" customHeight="1">
      <c r="A430" s="238" t="s">
        <v>51</v>
      </c>
      <c r="B430" s="238" t="s">
        <v>52</v>
      </c>
      <c r="C430" s="238" t="s">
        <v>72</v>
      </c>
      <c r="D430" s="243" t="s">
        <v>337</v>
      </c>
      <c r="E430" s="243" t="str">
        <f>+'CUOTA ARTESANAL'!E315</f>
        <v>EL SIRIO (966942)</v>
      </c>
      <c r="F430" s="238" t="s">
        <v>54</v>
      </c>
      <c r="G430" s="238" t="s">
        <v>58</v>
      </c>
      <c r="H430" s="253">
        <f>'CUOTA ARTESANAL'!N315</f>
        <v>10.586</v>
      </c>
      <c r="I430" s="253">
        <f>'CUOTA ARTESANAL'!O315</f>
        <v>0</v>
      </c>
      <c r="J430" s="253">
        <f>'CUOTA ARTESANAL'!P315</f>
        <v>10.586</v>
      </c>
      <c r="K430" s="253">
        <f>'CUOTA ARTESANAL'!Q315</f>
        <v>9.67</v>
      </c>
      <c r="L430" s="253">
        <f>'CUOTA ARTESANAL'!R315</f>
        <v>0.91600000000000037</v>
      </c>
      <c r="M430" s="254">
        <f>'CUOTA ARTESANAL'!S315</f>
        <v>0.91347062157566594</v>
      </c>
      <c r="N430" s="240" t="s">
        <v>218</v>
      </c>
      <c r="O430" s="241">
        <f>RESUMEN!$C$4</f>
        <v>44561</v>
      </c>
      <c r="P430" s="233">
        <v>2021</v>
      </c>
      <c r="Q430" s="233"/>
    </row>
    <row r="431" spans="1:17" ht="15.75" customHeight="1">
      <c r="A431" s="238" t="s">
        <v>51</v>
      </c>
      <c r="B431" s="238" t="s">
        <v>52</v>
      </c>
      <c r="C431" s="238" t="s">
        <v>72</v>
      </c>
      <c r="D431" s="243" t="s">
        <v>337</v>
      </c>
      <c r="E431" s="243" t="str">
        <f>+'CUOTA ARTESANAL'!E317</f>
        <v>ESPADON III (969212)</v>
      </c>
      <c r="F431" s="238" t="s">
        <v>54</v>
      </c>
      <c r="G431" s="238" t="s">
        <v>56</v>
      </c>
      <c r="H431" s="253">
        <f>'CUOTA ARTESANAL'!G317</f>
        <v>5.2919999999999998</v>
      </c>
      <c r="I431" s="253">
        <f>'CUOTA ARTESANAL'!H317</f>
        <v>0</v>
      </c>
      <c r="J431" s="253">
        <f>'CUOTA ARTESANAL'!I317</f>
        <v>5.2919999999999998</v>
      </c>
      <c r="K431" s="253">
        <f>'CUOTA ARTESANAL'!J317</f>
        <v>3.84</v>
      </c>
      <c r="L431" s="253">
        <f>'CUOTA ARTESANAL'!K317</f>
        <v>1.452</v>
      </c>
      <c r="M431" s="254">
        <f>'CUOTA ARTESANAL'!L317</f>
        <v>0.7256235827664399</v>
      </c>
      <c r="N431" s="240" t="str">
        <f>'CUOTA ARTESANAL'!M317</f>
        <v>-</v>
      </c>
      <c r="O431" s="241">
        <f>RESUMEN!$C$4</f>
        <v>44561</v>
      </c>
      <c r="P431" s="233">
        <v>2021</v>
      </c>
      <c r="Q431" s="233"/>
    </row>
    <row r="432" spans="1:17" ht="15.75" customHeight="1">
      <c r="A432" s="238" t="s">
        <v>51</v>
      </c>
      <c r="B432" s="238" t="s">
        <v>52</v>
      </c>
      <c r="C432" s="238" t="s">
        <v>72</v>
      </c>
      <c r="D432" s="243" t="s">
        <v>337</v>
      </c>
      <c r="E432" s="243" t="str">
        <f>+'CUOTA ARTESANAL'!E317</f>
        <v>ESPADON III (969212)</v>
      </c>
      <c r="F432" s="238" t="s">
        <v>57</v>
      </c>
      <c r="G432" s="238" t="s">
        <v>58</v>
      </c>
      <c r="H432" s="253">
        <f>'CUOTA ARTESANAL'!G318</f>
        <v>5.2919999999999998</v>
      </c>
      <c r="I432" s="253">
        <f>'CUOTA ARTESANAL'!H318</f>
        <v>0</v>
      </c>
      <c r="J432" s="253">
        <f>'CUOTA ARTESANAL'!I318</f>
        <v>6.7439999999999998</v>
      </c>
      <c r="K432" s="253">
        <f>'CUOTA ARTESANAL'!J318</f>
        <v>1.9</v>
      </c>
      <c r="L432" s="253">
        <f>'CUOTA ARTESANAL'!K318</f>
        <v>4.8439999999999994</v>
      </c>
      <c r="M432" s="254">
        <f>'CUOTA ARTESANAL'!L318</f>
        <v>0.28173190984578883</v>
      </c>
      <c r="N432" s="240" t="str">
        <f>'CUOTA ARTESANAL'!M318</f>
        <v>-</v>
      </c>
      <c r="O432" s="241">
        <f>RESUMEN!$C$4</f>
        <v>44561</v>
      </c>
      <c r="P432" s="233">
        <v>2021</v>
      </c>
      <c r="Q432" s="233"/>
    </row>
    <row r="433" spans="1:17" ht="15.75" customHeight="1">
      <c r="A433" s="238" t="s">
        <v>51</v>
      </c>
      <c r="B433" s="238" t="s">
        <v>52</v>
      </c>
      <c r="C433" s="238" t="s">
        <v>72</v>
      </c>
      <c r="D433" s="243" t="s">
        <v>337</v>
      </c>
      <c r="E433" s="243" t="str">
        <f>+'CUOTA ARTESANAL'!E317</f>
        <v>ESPADON III (969212)</v>
      </c>
      <c r="F433" s="238" t="s">
        <v>54</v>
      </c>
      <c r="G433" s="238" t="s">
        <v>58</v>
      </c>
      <c r="H433" s="253">
        <f>'CUOTA ARTESANAL'!N317</f>
        <v>10.584</v>
      </c>
      <c r="I433" s="253">
        <f>'CUOTA ARTESANAL'!O317</f>
        <v>0</v>
      </c>
      <c r="J433" s="253">
        <f>'CUOTA ARTESANAL'!P317</f>
        <v>10.584</v>
      </c>
      <c r="K433" s="253">
        <f>'CUOTA ARTESANAL'!Q317</f>
        <v>5.74</v>
      </c>
      <c r="L433" s="253">
        <f>'CUOTA ARTESANAL'!R317</f>
        <v>4.8439999999999994</v>
      </c>
      <c r="M433" s="254">
        <f>'CUOTA ARTESANAL'!S317</f>
        <v>0.54232804232804233</v>
      </c>
      <c r="N433" s="240" t="s">
        <v>218</v>
      </c>
      <c r="O433" s="241">
        <f>RESUMEN!$C$4</f>
        <v>44561</v>
      </c>
      <c r="P433" s="233">
        <v>2021</v>
      </c>
      <c r="Q433" s="233"/>
    </row>
    <row r="434" spans="1:17" ht="15.75" customHeight="1">
      <c r="A434" s="238" t="s">
        <v>51</v>
      </c>
      <c r="B434" s="238" t="s">
        <v>52</v>
      </c>
      <c r="C434" s="238" t="s">
        <v>72</v>
      </c>
      <c r="D434" s="243" t="s">
        <v>337</v>
      </c>
      <c r="E434" s="243" t="str">
        <f>+'CUOTA ARTESANAL'!E319</f>
        <v>FERNANDA IGNACIA I (967158)</v>
      </c>
      <c r="F434" s="238" t="s">
        <v>54</v>
      </c>
      <c r="G434" s="238" t="s">
        <v>56</v>
      </c>
      <c r="H434" s="253">
        <f>'CUOTA ARTESANAL'!G319</f>
        <v>5.2939999999999996</v>
      </c>
      <c r="I434" s="253">
        <f>'CUOTA ARTESANAL'!H319</f>
        <v>0</v>
      </c>
      <c r="J434" s="253">
        <f>'CUOTA ARTESANAL'!I319</f>
        <v>5.2939999999999996</v>
      </c>
      <c r="K434" s="253">
        <f>'CUOTA ARTESANAL'!J319</f>
        <v>5.6450000000000005</v>
      </c>
      <c r="L434" s="253">
        <f>'CUOTA ARTESANAL'!K319</f>
        <v>-0.35100000000000087</v>
      </c>
      <c r="M434" s="254">
        <f>'CUOTA ARTESANAL'!L319</f>
        <v>1.0663014733660749</v>
      </c>
      <c r="N434" s="240">
        <f>'CUOTA ARTESANAL'!M319</f>
        <v>44321</v>
      </c>
      <c r="O434" s="241">
        <f>RESUMEN!$C$4</f>
        <v>44561</v>
      </c>
      <c r="P434" s="233">
        <v>2021</v>
      </c>
      <c r="Q434" s="233"/>
    </row>
    <row r="435" spans="1:17" ht="15.75" customHeight="1">
      <c r="A435" s="238" t="s">
        <v>51</v>
      </c>
      <c r="B435" s="238" t="s">
        <v>52</v>
      </c>
      <c r="C435" s="238" t="s">
        <v>72</v>
      </c>
      <c r="D435" s="243" t="s">
        <v>337</v>
      </c>
      <c r="E435" s="243" t="str">
        <f>+'CUOTA ARTESANAL'!E319</f>
        <v>FERNANDA IGNACIA I (967158)</v>
      </c>
      <c r="F435" s="238" t="s">
        <v>57</v>
      </c>
      <c r="G435" s="238" t="s">
        <v>58</v>
      </c>
      <c r="H435" s="253">
        <f>'CUOTA ARTESANAL'!G320</f>
        <v>5.2939999999999996</v>
      </c>
      <c r="I435" s="253">
        <f>'CUOTA ARTESANAL'!H320</f>
        <v>20</v>
      </c>
      <c r="J435" s="253">
        <f>'CUOTA ARTESANAL'!I320</f>
        <v>24.942999999999998</v>
      </c>
      <c r="K435" s="253">
        <f>'CUOTA ARTESANAL'!J320</f>
        <v>8.3190000000000008</v>
      </c>
      <c r="L435" s="253">
        <f>'CUOTA ARTESANAL'!K320</f>
        <v>16.623999999999995</v>
      </c>
      <c r="M435" s="254">
        <f>'CUOTA ARTESANAL'!L320</f>
        <v>0.33352042657258557</v>
      </c>
      <c r="N435" s="240" t="str">
        <f>'CUOTA ARTESANAL'!M320</f>
        <v>-</v>
      </c>
      <c r="O435" s="241">
        <f>RESUMEN!$C$4</f>
        <v>44561</v>
      </c>
      <c r="P435" s="233">
        <v>2021</v>
      </c>
      <c r="Q435" s="233"/>
    </row>
    <row r="436" spans="1:17" ht="15.75" customHeight="1">
      <c r="A436" s="238" t="s">
        <v>51</v>
      </c>
      <c r="B436" s="238" t="s">
        <v>52</v>
      </c>
      <c r="C436" s="238" t="s">
        <v>72</v>
      </c>
      <c r="D436" s="243" t="s">
        <v>337</v>
      </c>
      <c r="E436" s="243" t="str">
        <f>+'CUOTA ARTESANAL'!E319</f>
        <v>FERNANDA IGNACIA I (967158)</v>
      </c>
      <c r="F436" s="238" t="s">
        <v>54</v>
      </c>
      <c r="G436" s="238" t="s">
        <v>58</v>
      </c>
      <c r="H436" s="253">
        <f>'CUOTA ARTESANAL'!N319</f>
        <v>10.587999999999999</v>
      </c>
      <c r="I436" s="253">
        <f>'CUOTA ARTESANAL'!O319</f>
        <v>20</v>
      </c>
      <c r="J436" s="253">
        <f>'CUOTA ARTESANAL'!P319</f>
        <v>30.588000000000001</v>
      </c>
      <c r="K436" s="253">
        <f>'CUOTA ARTESANAL'!Q319</f>
        <v>13.964000000000002</v>
      </c>
      <c r="L436" s="253">
        <f>'CUOTA ARTESANAL'!R319</f>
        <v>16.623999999999999</v>
      </c>
      <c r="M436" s="254">
        <f>'CUOTA ARTESANAL'!S319</f>
        <v>0.45651889629920234</v>
      </c>
      <c r="N436" s="240" t="s">
        <v>218</v>
      </c>
      <c r="O436" s="241">
        <f>RESUMEN!$C$4</f>
        <v>44561</v>
      </c>
      <c r="P436" s="233">
        <v>2021</v>
      </c>
      <c r="Q436" s="233"/>
    </row>
    <row r="437" spans="1:17" ht="15.75" customHeight="1">
      <c r="A437" s="238" t="s">
        <v>51</v>
      </c>
      <c r="B437" s="238" t="s">
        <v>52</v>
      </c>
      <c r="C437" s="238" t="s">
        <v>72</v>
      </c>
      <c r="D437" s="243" t="s">
        <v>337</v>
      </c>
      <c r="E437" s="243" t="str">
        <f>+'CUOTA ARTESANAL'!E321</f>
        <v>ALEXANDER (969309)</v>
      </c>
      <c r="F437" s="238" t="s">
        <v>54</v>
      </c>
      <c r="G437" s="238" t="s">
        <v>56</v>
      </c>
      <c r="H437" s="253">
        <f>'CUOTA ARTESANAL'!G321</f>
        <v>7.9370000000000003</v>
      </c>
      <c r="I437" s="253">
        <f>'CUOTA ARTESANAL'!H321</f>
        <v>0</v>
      </c>
      <c r="J437" s="253">
        <f>'CUOTA ARTESANAL'!I321</f>
        <v>7.9370000000000003</v>
      </c>
      <c r="K437" s="253">
        <f>'CUOTA ARTESANAL'!J321</f>
        <v>5.1130000000000004</v>
      </c>
      <c r="L437" s="253">
        <f>'CUOTA ARTESANAL'!K321</f>
        <v>2.8239999999999998</v>
      </c>
      <c r="M437" s="254">
        <f>'CUOTA ARTESANAL'!L321</f>
        <v>0.64419805972029742</v>
      </c>
      <c r="N437" s="240" t="str">
        <f>'CUOTA ARTESANAL'!M321</f>
        <v>-</v>
      </c>
      <c r="O437" s="241">
        <f>RESUMEN!$C$4</f>
        <v>44561</v>
      </c>
      <c r="P437" s="233">
        <v>2021</v>
      </c>
      <c r="Q437" s="233"/>
    </row>
    <row r="438" spans="1:17" ht="15.75" customHeight="1">
      <c r="A438" s="238" t="s">
        <v>51</v>
      </c>
      <c r="B438" s="238" t="s">
        <v>52</v>
      </c>
      <c r="C438" s="238" t="s">
        <v>72</v>
      </c>
      <c r="D438" s="243" t="s">
        <v>337</v>
      </c>
      <c r="E438" s="243" t="str">
        <f>+'CUOTA ARTESANAL'!E321</f>
        <v>ALEXANDER (969309)</v>
      </c>
      <c r="F438" s="238" t="s">
        <v>57</v>
      </c>
      <c r="G438" s="238" t="s">
        <v>58</v>
      </c>
      <c r="H438" s="253">
        <f>'CUOTA ARTESANAL'!G322</f>
        <v>2.645</v>
      </c>
      <c r="I438" s="253">
        <f>'CUOTA ARTESANAL'!H322</f>
        <v>0</v>
      </c>
      <c r="J438" s="253">
        <f>'CUOTA ARTESANAL'!I322</f>
        <v>5.4689999999999994</v>
      </c>
      <c r="K438" s="253">
        <f>'CUOTA ARTESANAL'!J322</f>
        <v>3.9699999999999998</v>
      </c>
      <c r="L438" s="253">
        <f>'CUOTA ARTESANAL'!K322</f>
        <v>1.4989999999999997</v>
      </c>
      <c r="M438" s="254">
        <f>'CUOTA ARTESANAL'!L322</f>
        <v>0.72590967270067652</v>
      </c>
      <c r="N438" s="240" t="str">
        <f>'CUOTA ARTESANAL'!M322</f>
        <v>-</v>
      </c>
      <c r="O438" s="241">
        <f>RESUMEN!$C$4</f>
        <v>44561</v>
      </c>
      <c r="P438" s="233">
        <v>2021</v>
      </c>
      <c r="Q438" s="233"/>
    </row>
    <row r="439" spans="1:17" ht="15.6" customHeight="1">
      <c r="A439" s="238" t="s">
        <v>51</v>
      </c>
      <c r="B439" s="238" t="s">
        <v>52</v>
      </c>
      <c r="C439" s="238" t="s">
        <v>72</v>
      </c>
      <c r="D439" s="243" t="s">
        <v>337</v>
      </c>
      <c r="E439" s="243" t="str">
        <f>+'CUOTA ARTESANAL'!E321</f>
        <v>ALEXANDER (969309)</v>
      </c>
      <c r="F439" s="238" t="s">
        <v>54</v>
      </c>
      <c r="G439" s="238" t="s">
        <v>58</v>
      </c>
      <c r="H439" s="253">
        <f>'CUOTA ARTESANAL'!N321</f>
        <v>10.582000000000001</v>
      </c>
      <c r="I439" s="253">
        <f>'CUOTA ARTESANAL'!O321</f>
        <v>0</v>
      </c>
      <c r="J439" s="253">
        <f>'CUOTA ARTESANAL'!P321</f>
        <v>10.582000000000001</v>
      </c>
      <c r="K439" s="253">
        <f>'CUOTA ARTESANAL'!Q321</f>
        <v>9.0830000000000002</v>
      </c>
      <c r="L439" s="253">
        <f>'CUOTA ARTESANAL'!R321</f>
        <v>1.4990000000000006</v>
      </c>
      <c r="M439" s="254">
        <f>'CUOTA ARTESANAL'!S321</f>
        <v>0.85834435834435829</v>
      </c>
      <c r="N439" s="240" t="s">
        <v>218</v>
      </c>
      <c r="O439" s="241">
        <f>RESUMEN!$C$4</f>
        <v>44561</v>
      </c>
      <c r="P439" s="233">
        <v>2021</v>
      </c>
      <c r="Q439" s="233"/>
    </row>
    <row r="440" spans="1:17" ht="15.75" customHeight="1">
      <c r="A440" s="238" t="s">
        <v>51</v>
      </c>
      <c r="B440" s="238" t="s">
        <v>52</v>
      </c>
      <c r="C440" s="238" t="s">
        <v>72</v>
      </c>
      <c r="D440" s="243" t="s">
        <v>337</v>
      </c>
      <c r="E440" s="243" t="str">
        <f>+'CUOTA ARTESANAL'!E323</f>
        <v>GERSON VIII (965326)</v>
      </c>
      <c r="F440" s="238" t="s">
        <v>54</v>
      </c>
      <c r="G440" s="238" t="s">
        <v>56</v>
      </c>
      <c r="H440" s="253">
        <f>'CUOTA ARTESANAL'!G323</f>
        <v>5.29</v>
      </c>
      <c r="I440" s="253">
        <f>'CUOTA ARTESANAL'!H323</f>
        <v>0</v>
      </c>
      <c r="J440" s="253">
        <f>'CUOTA ARTESANAL'!I323</f>
        <v>5.29</v>
      </c>
      <c r="K440" s="253">
        <f>'CUOTA ARTESANAL'!J323</f>
        <v>5.21</v>
      </c>
      <c r="L440" s="253">
        <f>'CUOTA ARTESANAL'!K323</f>
        <v>8.0000000000000071E-2</v>
      </c>
      <c r="M440" s="254">
        <f>'CUOTA ARTESANAL'!L323</f>
        <v>0.98487712665406424</v>
      </c>
      <c r="N440" s="240">
        <f>'CUOTA ARTESANAL'!M323</f>
        <v>44350</v>
      </c>
      <c r="O440" s="241">
        <f>RESUMEN!$C$4</f>
        <v>44561</v>
      </c>
      <c r="P440" s="233">
        <v>2021</v>
      </c>
      <c r="Q440" s="233"/>
    </row>
    <row r="441" spans="1:17" ht="15.75" customHeight="1">
      <c r="A441" s="238" t="s">
        <v>51</v>
      </c>
      <c r="B441" s="238" t="s">
        <v>52</v>
      </c>
      <c r="C441" s="238" t="s">
        <v>72</v>
      </c>
      <c r="D441" s="243" t="s">
        <v>337</v>
      </c>
      <c r="E441" s="243" t="str">
        <f>+'CUOTA ARTESANAL'!E323</f>
        <v>GERSON VIII (965326)</v>
      </c>
      <c r="F441" s="238" t="s">
        <v>57</v>
      </c>
      <c r="G441" s="238" t="s">
        <v>58</v>
      </c>
      <c r="H441" s="253">
        <f>'CUOTA ARTESANAL'!G324</f>
        <v>5.29</v>
      </c>
      <c r="I441" s="253">
        <f>'CUOTA ARTESANAL'!H324</f>
        <v>0</v>
      </c>
      <c r="J441" s="253">
        <f>'CUOTA ARTESANAL'!I324</f>
        <v>5.37</v>
      </c>
      <c r="K441" s="253">
        <f>'CUOTA ARTESANAL'!J324</f>
        <v>0</v>
      </c>
      <c r="L441" s="253">
        <f>'CUOTA ARTESANAL'!K324</f>
        <v>5.37</v>
      </c>
      <c r="M441" s="254">
        <f>'CUOTA ARTESANAL'!L324</f>
        <v>0</v>
      </c>
      <c r="N441" s="240" t="str">
        <f>'CUOTA ARTESANAL'!M324</f>
        <v>-</v>
      </c>
      <c r="O441" s="241">
        <f>RESUMEN!$C$4</f>
        <v>44561</v>
      </c>
      <c r="P441" s="233">
        <v>2021</v>
      </c>
      <c r="Q441" s="233"/>
    </row>
    <row r="442" spans="1:17" ht="15.75" customHeight="1">
      <c r="A442" s="238" t="s">
        <v>51</v>
      </c>
      <c r="B442" s="238" t="s">
        <v>52</v>
      </c>
      <c r="C442" s="238" t="s">
        <v>72</v>
      </c>
      <c r="D442" s="243" t="s">
        <v>337</v>
      </c>
      <c r="E442" s="243" t="str">
        <f>+'CUOTA ARTESANAL'!E323</f>
        <v>GERSON VIII (965326)</v>
      </c>
      <c r="F442" s="238" t="s">
        <v>54</v>
      </c>
      <c r="G442" s="238" t="s">
        <v>58</v>
      </c>
      <c r="H442" s="253">
        <f>'CUOTA ARTESANAL'!N323</f>
        <v>10.58</v>
      </c>
      <c r="I442" s="253">
        <f>'CUOTA ARTESANAL'!O323</f>
        <v>0</v>
      </c>
      <c r="J442" s="253">
        <f>'CUOTA ARTESANAL'!P323</f>
        <v>10.58</v>
      </c>
      <c r="K442" s="253">
        <f>'CUOTA ARTESANAL'!Q323</f>
        <v>5.21</v>
      </c>
      <c r="L442" s="253">
        <f>'CUOTA ARTESANAL'!R323</f>
        <v>5.37</v>
      </c>
      <c r="M442" s="254">
        <f>'CUOTA ARTESANAL'!S323</f>
        <v>0.49243856332703212</v>
      </c>
      <c r="N442" s="240" t="s">
        <v>218</v>
      </c>
      <c r="O442" s="241">
        <f>RESUMEN!$C$4</f>
        <v>44561</v>
      </c>
      <c r="P442" s="233">
        <v>2021</v>
      </c>
      <c r="Q442" s="233"/>
    </row>
    <row r="443" spans="1:17" ht="15.75" customHeight="1">
      <c r="A443" s="238" t="s">
        <v>51</v>
      </c>
      <c r="B443" s="238" t="s">
        <v>52</v>
      </c>
      <c r="C443" s="238" t="s">
        <v>72</v>
      </c>
      <c r="D443" s="243" t="s">
        <v>337</v>
      </c>
      <c r="E443" s="243" t="str">
        <f>+'CUOTA ARTESANAL'!E325</f>
        <v>INDEPENDENCIA I (967157)</v>
      </c>
      <c r="F443" s="238" t="s">
        <v>54</v>
      </c>
      <c r="G443" s="238" t="s">
        <v>56</v>
      </c>
      <c r="H443" s="253">
        <f>'CUOTA ARTESANAL'!G325</f>
        <v>5.2859999999999996</v>
      </c>
      <c r="I443" s="253">
        <f>'CUOTA ARTESANAL'!H325</f>
        <v>0</v>
      </c>
      <c r="J443" s="253">
        <f>'CUOTA ARTESANAL'!I325</f>
        <v>5.2859999999999996</v>
      </c>
      <c r="K443" s="253">
        <f>'CUOTA ARTESANAL'!J325</f>
        <v>3.3889999999999998</v>
      </c>
      <c r="L443" s="253">
        <f>'CUOTA ARTESANAL'!K325</f>
        <v>1.8969999999999998</v>
      </c>
      <c r="M443" s="254">
        <f>'CUOTA ARTESANAL'!L325</f>
        <v>0.64112750662126372</v>
      </c>
      <c r="N443" s="240" t="str">
        <f>'CUOTA ARTESANAL'!M325</f>
        <v>-</v>
      </c>
      <c r="O443" s="241">
        <f>RESUMEN!$C$4</f>
        <v>44561</v>
      </c>
      <c r="P443" s="233">
        <v>2021</v>
      </c>
      <c r="Q443" s="233"/>
    </row>
    <row r="444" spans="1:17" ht="15.75" customHeight="1">
      <c r="A444" s="238" t="s">
        <v>51</v>
      </c>
      <c r="B444" s="238" t="s">
        <v>52</v>
      </c>
      <c r="C444" s="238" t="s">
        <v>72</v>
      </c>
      <c r="D444" s="243" t="s">
        <v>337</v>
      </c>
      <c r="E444" s="243" t="str">
        <f>+'CUOTA ARTESANAL'!E325</f>
        <v>INDEPENDENCIA I (967157)</v>
      </c>
      <c r="F444" s="238" t="s">
        <v>57</v>
      </c>
      <c r="G444" s="238" t="s">
        <v>58</v>
      </c>
      <c r="H444" s="253">
        <f>'CUOTA ARTESANAL'!G326</f>
        <v>5.2859999999999996</v>
      </c>
      <c r="I444" s="253">
        <f>'CUOTA ARTESANAL'!H326</f>
        <v>-0.28599999999999998</v>
      </c>
      <c r="J444" s="253">
        <f>'CUOTA ARTESANAL'!I326</f>
        <v>6.8970000000000002</v>
      </c>
      <c r="K444" s="253">
        <f>'CUOTA ARTESANAL'!J326</f>
        <v>1.393</v>
      </c>
      <c r="L444" s="253">
        <f>'CUOTA ARTESANAL'!K326</f>
        <v>5.5040000000000004</v>
      </c>
      <c r="M444" s="254">
        <f>'CUOTA ARTESANAL'!L326</f>
        <v>0.20197187182833115</v>
      </c>
      <c r="N444" s="240" t="str">
        <f>'CUOTA ARTESANAL'!M326</f>
        <v>-</v>
      </c>
      <c r="O444" s="241">
        <f>RESUMEN!$C$4</f>
        <v>44561</v>
      </c>
      <c r="P444" s="233">
        <v>2021</v>
      </c>
      <c r="Q444" s="233"/>
    </row>
    <row r="445" spans="1:17" ht="15.75" customHeight="1">
      <c r="A445" s="238" t="s">
        <v>51</v>
      </c>
      <c r="B445" s="238" t="s">
        <v>52</v>
      </c>
      <c r="C445" s="238" t="s">
        <v>72</v>
      </c>
      <c r="D445" s="243" t="s">
        <v>337</v>
      </c>
      <c r="E445" s="243" t="str">
        <f>+'CUOTA ARTESANAL'!E325</f>
        <v>INDEPENDENCIA I (967157)</v>
      </c>
      <c r="F445" s="238" t="s">
        <v>54</v>
      </c>
      <c r="G445" s="238" t="s">
        <v>58</v>
      </c>
      <c r="H445" s="253">
        <f>'CUOTA ARTESANAL'!N325</f>
        <v>10.571999999999999</v>
      </c>
      <c r="I445" s="253">
        <f>'CUOTA ARTESANAL'!O325</f>
        <v>-0.28599999999999998</v>
      </c>
      <c r="J445" s="253">
        <f>'CUOTA ARTESANAL'!P325</f>
        <v>10.286</v>
      </c>
      <c r="K445" s="253">
        <f>'CUOTA ARTESANAL'!Q325</f>
        <v>4.782</v>
      </c>
      <c r="L445" s="253">
        <f>'CUOTA ARTESANAL'!R325</f>
        <v>5.5039999999999996</v>
      </c>
      <c r="M445" s="254">
        <f>'CUOTA ARTESANAL'!S325</f>
        <v>0.46490375267353684</v>
      </c>
      <c r="N445" s="240" t="s">
        <v>218</v>
      </c>
      <c r="O445" s="241">
        <f>RESUMEN!$C$4</f>
        <v>44561</v>
      </c>
      <c r="P445" s="233">
        <v>2021</v>
      </c>
      <c r="Q445" s="233"/>
    </row>
    <row r="446" spans="1:17" ht="15.75" customHeight="1">
      <c r="A446" s="238" t="s">
        <v>51</v>
      </c>
      <c r="B446" s="238" t="s">
        <v>52</v>
      </c>
      <c r="C446" s="238" t="s">
        <v>72</v>
      </c>
      <c r="D446" s="243" t="s">
        <v>337</v>
      </c>
      <c r="E446" s="243" t="str">
        <f>+'CUOTA ARTESANAL'!E327</f>
        <v>JEFE DEL MAR VII (965784)</v>
      </c>
      <c r="F446" s="238" t="s">
        <v>54</v>
      </c>
      <c r="G446" s="238" t="s">
        <v>56</v>
      </c>
      <c r="H446" s="253">
        <f>'CUOTA ARTESANAL'!G327</f>
        <v>5.2919999999999998</v>
      </c>
      <c r="I446" s="253">
        <f>'CUOTA ARTESANAL'!H327</f>
        <v>0</v>
      </c>
      <c r="J446" s="253">
        <f>'CUOTA ARTESANAL'!I327</f>
        <v>5.2919999999999998</v>
      </c>
      <c r="K446" s="253">
        <f>'CUOTA ARTESANAL'!J327</f>
        <v>5.28</v>
      </c>
      <c r="L446" s="253">
        <f>'CUOTA ARTESANAL'!K327</f>
        <v>1.1999999999999567E-2</v>
      </c>
      <c r="M446" s="254">
        <f>'CUOTA ARTESANAL'!L327</f>
        <v>0.99773242630385495</v>
      </c>
      <c r="N446" s="240">
        <f>'CUOTA ARTESANAL'!M327</f>
        <v>44371</v>
      </c>
      <c r="O446" s="241">
        <f>RESUMEN!$C$4</f>
        <v>44561</v>
      </c>
      <c r="P446" s="233">
        <v>2021</v>
      </c>
      <c r="Q446" s="233"/>
    </row>
    <row r="447" spans="1:17" ht="15.75" customHeight="1">
      <c r="A447" s="238" t="s">
        <v>51</v>
      </c>
      <c r="B447" s="238" t="s">
        <v>52</v>
      </c>
      <c r="C447" s="238" t="s">
        <v>72</v>
      </c>
      <c r="D447" s="243" t="s">
        <v>337</v>
      </c>
      <c r="E447" s="243" t="str">
        <f>+'CUOTA ARTESANAL'!E327</f>
        <v>JEFE DEL MAR VII (965784)</v>
      </c>
      <c r="F447" s="238" t="s">
        <v>57</v>
      </c>
      <c r="G447" s="238" t="s">
        <v>58</v>
      </c>
      <c r="H447" s="253">
        <f>'CUOTA ARTESANAL'!G328</f>
        <v>5.2919999999999998</v>
      </c>
      <c r="I447" s="253">
        <f>'CUOTA ARTESANAL'!H328</f>
        <v>0</v>
      </c>
      <c r="J447" s="253">
        <f>'CUOTA ARTESANAL'!I328</f>
        <v>5.3039999999999994</v>
      </c>
      <c r="K447" s="253">
        <f>'CUOTA ARTESANAL'!J328</f>
        <v>3.3679999999999994</v>
      </c>
      <c r="L447" s="253">
        <f>'CUOTA ARTESANAL'!K328</f>
        <v>1.9359999999999999</v>
      </c>
      <c r="M447" s="254">
        <f>'CUOTA ARTESANAL'!L328</f>
        <v>0.63499245852187025</v>
      </c>
      <c r="N447" s="240" t="str">
        <f>'CUOTA ARTESANAL'!M328</f>
        <v>-</v>
      </c>
      <c r="O447" s="241">
        <f>RESUMEN!$C$4</f>
        <v>44561</v>
      </c>
      <c r="P447" s="233">
        <v>2021</v>
      </c>
      <c r="Q447" s="233"/>
    </row>
    <row r="448" spans="1:17" ht="15.75" customHeight="1">
      <c r="A448" s="238" t="s">
        <v>51</v>
      </c>
      <c r="B448" s="238" t="s">
        <v>52</v>
      </c>
      <c r="C448" s="238" t="s">
        <v>72</v>
      </c>
      <c r="D448" s="243" t="s">
        <v>337</v>
      </c>
      <c r="E448" s="243" t="str">
        <f>+'CUOTA ARTESANAL'!E327</f>
        <v>JEFE DEL MAR VII (965784)</v>
      </c>
      <c r="F448" s="238" t="s">
        <v>54</v>
      </c>
      <c r="G448" s="238" t="s">
        <v>58</v>
      </c>
      <c r="H448" s="253">
        <f>'CUOTA ARTESANAL'!N327</f>
        <v>10.584</v>
      </c>
      <c r="I448" s="253">
        <f>'CUOTA ARTESANAL'!O327</f>
        <v>0</v>
      </c>
      <c r="J448" s="253">
        <f>'CUOTA ARTESANAL'!P327</f>
        <v>10.584</v>
      </c>
      <c r="K448" s="253">
        <f>'CUOTA ARTESANAL'!Q327</f>
        <v>8.6479999999999997</v>
      </c>
      <c r="L448" s="253">
        <f>'CUOTA ARTESANAL'!R327</f>
        <v>1.9359999999999999</v>
      </c>
      <c r="M448" s="254">
        <f>'CUOTA ARTESANAL'!S327</f>
        <v>0.81708238851095993</v>
      </c>
      <c r="N448" s="240" t="s">
        <v>218</v>
      </c>
      <c r="O448" s="241">
        <f>RESUMEN!$C$4</f>
        <v>44561</v>
      </c>
      <c r="P448" s="233">
        <v>2021</v>
      </c>
      <c r="Q448" s="233"/>
    </row>
    <row r="449" spans="1:17" ht="15.75" customHeight="1">
      <c r="A449" s="238" t="s">
        <v>51</v>
      </c>
      <c r="B449" s="238" t="s">
        <v>52</v>
      </c>
      <c r="C449" s="238" t="s">
        <v>72</v>
      </c>
      <c r="D449" s="243" t="s">
        <v>337</v>
      </c>
      <c r="E449" s="243" t="str">
        <f>+'CUOTA ARTESANAL'!E329</f>
        <v>KING FISH I (966651)</v>
      </c>
      <c r="F449" s="238" t="s">
        <v>54</v>
      </c>
      <c r="G449" s="238" t="s">
        <v>56</v>
      </c>
      <c r="H449" s="253">
        <f>'CUOTA ARTESANAL'!G329</f>
        <v>7.9379999999999997</v>
      </c>
      <c r="I449" s="253">
        <f>'CUOTA ARTESANAL'!H329</f>
        <v>0</v>
      </c>
      <c r="J449" s="253">
        <f>'CUOTA ARTESANAL'!I329</f>
        <v>7.9379999999999997</v>
      </c>
      <c r="K449" s="253">
        <f>'CUOTA ARTESANAL'!J329</f>
        <v>5.4370000000000003</v>
      </c>
      <c r="L449" s="253">
        <f>'CUOTA ARTESANAL'!K329</f>
        <v>2.5009999999999994</v>
      </c>
      <c r="M449" s="254">
        <f>'CUOTA ARTESANAL'!L329</f>
        <v>0.68493323255228022</v>
      </c>
      <c r="N449" s="240" t="str">
        <f>'CUOTA ARTESANAL'!M329</f>
        <v>-</v>
      </c>
      <c r="O449" s="241">
        <f>RESUMEN!$C$4</f>
        <v>44561</v>
      </c>
      <c r="P449" s="233">
        <v>2021</v>
      </c>
      <c r="Q449" s="233"/>
    </row>
    <row r="450" spans="1:17" ht="15.75" customHeight="1">
      <c r="A450" s="238" t="s">
        <v>51</v>
      </c>
      <c r="B450" s="238" t="s">
        <v>52</v>
      </c>
      <c r="C450" s="238" t="s">
        <v>72</v>
      </c>
      <c r="D450" s="243" t="s">
        <v>337</v>
      </c>
      <c r="E450" s="243" t="str">
        <f>+'CUOTA ARTESANAL'!E329</f>
        <v>KING FISH I (966651)</v>
      </c>
      <c r="F450" s="238" t="s">
        <v>57</v>
      </c>
      <c r="G450" s="238" t="s">
        <v>58</v>
      </c>
      <c r="H450" s="253">
        <f>'CUOTA ARTESANAL'!G330</f>
        <v>2.6459999999999999</v>
      </c>
      <c r="I450" s="253">
        <f>'CUOTA ARTESANAL'!H330</f>
        <v>0</v>
      </c>
      <c r="J450" s="253">
        <f>'CUOTA ARTESANAL'!I330</f>
        <v>5.1469999999999994</v>
      </c>
      <c r="K450" s="253">
        <f>'CUOTA ARTESANAL'!J330</f>
        <v>5.141</v>
      </c>
      <c r="L450" s="253">
        <f>'CUOTA ARTESANAL'!K330</f>
        <v>5.9999999999993392E-3</v>
      </c>
      <c r="M450" s="254">
        <f>'CUOTA ARTESANAL'!L330</f>
        <v>0.99883427239168465</v>
      </c>
      <c r="N450" s="240">
        <f>'CUOTA ARTESANAL'!M330</f>
        <v>44560</v>
      </c>
      <c r="O450" s="241">
        <f>RESUMEN!$C$4</f>
        <v>44561</v>
      </c>
      <c r="P450" s="233">
        <v>2021</v>
      </c>
      <c r="Q450" s="233"/>
    </row>
    <row r="451" spans="1:17" ht="15.75" customHeight="1">
      <c r="A451" s="238" t="s">
        <v>51</v>
      </c>
      <c r="B451" s="238" t="s">
        <v>52</v>
      </c>
      <c r="C451" s="238" t="s">
        <v>72</v>
      </c>
      <c r="D451" s="243" t="s">
        <v>337</v>
      </c>
      <c r="E451" s="243" t="str">
        <f>+'CUOTA ARTESANAL'!E329</f>
        <v>KING FISH I (966651)</v>
      </c>
      <c r="F451" s="238" t="s">
        <v>54</v>
      </c>
      <c r="G451" s="238" t="s">
        <v>58</v>
      </c>
      <c r="H451" s="253">
        <f>'CUOTA ARTESANAL'!N329</f>
        <v>10.584</v>
      </c>
      <c r="I451" s="253">
        <f>'CUOTA ARTESANAL'!O329</f>
        <v>0</v>
      </c>
      <c r="J451" s="253">
        <f>'CUOTA ARTESANAL'!P329</f>
        <v>10.584</v>
      </c>
      <c r="K451" s="253">
        <f>'CUOTA ARTESANAL'!Q329</f>
        <v>10.577999999999999</v>
      </c>
      <c r="L451" s="253">
        <f>'CUOTA ARTESANAL'!R329</f>
        <v>6.0000000000002274E-3</v>
      </c>
      <c r="M451" s="254">
        <f>'CUOTA ARTESANAL'!S329</f>
        <v>0.99943310657596374</v>
      </c>
      <c r="N451" s="240" t="s">
        <v>218</v>
      </c>
      <c r="O451" s="241">
        <f>RESUMEN!$C$4</f>
        <v>44561</v>
      </c>
      <c r="P451" s="233">
        <v>2021</v>
      </c>
      <c r="Q451" s="233"/>
    </row>
    <row r="452" spans="1:17" ht="15.75" customHeight="1">
      <c r="A452" s="238" t="s">
        <v>51</v>
      </c>
      <c r="B452" s="238" t="s">
        <v>52</v>
      </c>
      <c r="C452" s="238" t="s">
        <v>72</v>
      </c>
      <c r="D452" s="243" t="s">
        <v>337</v>
      </c>
      <c r="E452" s="243" t="str">
        <f>+'CUOTA ARTESANAL'!E331</f>
        <v>KOMATSU KAMING I (965179)</v>
      </c>
      <c r="F452" s="238" t="s">
        <v>54</v>
      </c>
      <c r="G452" s="238" t="s">
        <v>56</v>
      </c>
      <c r="H452" s="253">
        <f>'CUOTA ARTESANAL'!G331</f>
        <v>5.29</v>
      </c>
      <c r="I452" s="253">
        <f>'CUOTA ARTESANAL'!H331</f>
        <v>0</v>
      </c>
      <c r="J452" s="253">
        <f>'CUOTA ARTESANAL'!I331</f>
        <v>5.29</v>
      </c>
      <c r="K452" s="253">
        <f>'CUOTA ARTESANAL'!J331</f>
        <v>4.5090000000000003</v>
      </c>
      <c r="L452" s="253">
        <f>'CUOTA ARTESANAL'!K331</f>
        <v>0.78099999999999969</v>
      </c>
      <c r="M452" s="254">
        <f>'CUOTA ARTESANAL'!L331</f>
        <v>0.85236294896030251</v>
      </c>
      <c r="N452" s="240" t="str">
        <f>'CUOTA ARTESANAL'!M331</f>
        <v>-</v>
      </c>
      <c r="O452" s="241">
        <f>RESUMEN!$C$4</f>
        <v>44561</v>
      </c>
      <c r="P452" s="233">
        <v>2021</v>
      </c>
      <c r="Q452" s="233"/>
    </row>
    <row r="453" spans="1:17" ht="15.75" customHeight="1">
      <c r="A453" s="238" t="s">
        <v>51</v>
      </c>
      <c r="B453" s="238" t="s">
        <v>52</v>
      </c>
      <c r="C453" s="238" t="s">
        <v>72</v>
      </c>
      <c r="D453" s="243" t="s">
        <v>337</v>
      </c>
      <c r="E453" s="243" t="str">
        <f>+'CUOTA ARTESANAL'!E331</f>
        <v>KOMATSU KAMING I (965179)</v>
      </c>
      <c r="F453" s="238" t="s">
        <v>57</v>
      </c>
      <c r="G453" s="238" t="s">
        <v>58</v>
      </c>
      <c r="H453" s="253">
        <f>'CUOTA ARTESANAL'!G332</f>
        <v>5.29</v>
      </c>
      <c r="I453" s="253">
        <f>'CUOTA ARTESANAL'!H332</f>
        <v>0</v>
      </c>
      <c r="J453" s="253">
        <f>'CUOTA ARTESANAL'!I332</f>
        <v>6.0709999999999997</v>
      </c>
      <c r="K453" s="253">
        <f>'CUOTA ARTESANAL'!J332</f>
        <v>4.1310000000000002</v>
      </c>
      <c r="L453" s="253">
        <f>'CUOTA ARTESANAL'!K332</f>
        <v>1.9399999999999995</v>
      </c>
      <c r="M453" s="254">
        <f>'CUOTA ARTESANAL'!L332</f>
        <v>0.68044803162576184</v>
      </c>
      <c r="N453" s="240" t="str">
        <f>'CUOTA ARTESANAL'!M332</f>
        <v>-</v>
      </c>
      <c r="O453" s="241">
        <f>RESUMEN!$C$4</f>
        <v>44561</v>
      </c>
      <c r="P453" s="233">
        <v>2021</v>
      </c>
      <c r="Q453" s="233"/>
    </row>
    <row r="454" spans="1:17" ht="15.75" customHeight="1">
      <c r="A454" s="238" t="s">
        <v>51</v>
      </c>
      <c r="B454" s="238" t="s">
        <v>52</v>
      </c>
      <c r="C454" s="238" t="s">
        <v>72</v>
      </c>
      <c r="D454" s="243" t="s">
        <v>337</v>
      </c>
      <c r="E454" s="243" t="str">
        <f>+'CUOTA ARTESANAL'!E331</f>
        <v>KOMATSU KAMING I (965179)</v>
      </c>
      <c r="F454" s="238" t="s">
        <v>54</v>
      </c>
      <c r="G454" s="238" t="s">
        <v>58</v>
      </c>
      <c r="H454" s="253">
        <f>'CUOTA ARTESANAL'!N331</f>
        <v>10.58</v>
      </c>
      <c r="I454" s="253">
        <f>'CUOTA ARTESANAL'!O331</f>
        <v>0</v>
      </c>
      <c r="J454" s="253">
        <f>'CUOTA ARTESANAL'!P331</f>
        <v>10.58</v>
      </c>
      <c r="K454" s="253">
        <f>'CUOTA ARTESANAL'!Q331</f>
        <v>8.64</v>
      </c>
      <c r="L454" s="253">
        <f>'CUOTA ARTESANAL'!R331</f>
        <v>1.9399999999999995</v>
      </c>
      <c r="M454" s="254">
        <f>'CUOTA ARTESANAL'!S331</f>
        <v>0.81663516068052933</v>
      </c>
      <c r="N454" s="240" t="s">
        <v>218</v>
      </c>
      <c r="O454" s="241">
        <f>RESUMEN!$C$4</f>
        <v>44561</v>
      </c>
      <c r="P454" s="233">
        <v>2021</v>
      </c>
      <c r="Q454" s="233"/>
    </row>
    <row r="455" spans="1:17" ht="15.75" customHeight="1">
      <c r="A455" s="238" t="s">
        <v>51</v>
      </c>
      <c r="B455" s="238" t="s">
        <v>52</v>
      </c>
      <c r="C455" s="238" t="s">
        <v>72</v>
      </c>
      <c r="D455" s="243" t="s">
        <v>337</v>
      </c>
      <c r="E455" s="243" t="str">
        <f>+'CUOTA ARTESANAL'!E333</f>
        <v>MAR BEN (966274)</v>
      </c>
      <c r="F455" s="238" t="s">
        <v>54</v>
      </c>
      <c r="G455" s="238" t="s">
        <v>56</v>
      </c>
      <c r="H455" s="253">
        <f>'CUOTA ARTESANAL'!G333</f>
        <v>5.2910000000000004</v>
      </c>
      <c r="I455" s="253">
        <f>'CUOTA ARTESANAL'!H333</f>
        <v>0</v>
      </c>
      <c r="J455" s="253">
        <f>'CUOTA ARTESANAL'!I333</f>
        <v>5.2910000000000004</v>
      </c>
      <c r="K455" s="253">
        <f>'CUOTA ARTESANAL'!J333</f>
        <v>4.9099999999999993</v>
      </c>
      <c r="L455" s="253">
        <f>'CUOTA ARTESANAL'!K333</f>
        <v>0.38100000000000112</v>
      </c>
      <c r="M455" s="254">
        <f>'CUOTA ARTESANAL'!L333</f>
        <v>0.92799092799092775</v>
      </c>
      <c r="N455" s="240" t="str">
        <f>'CUOTA ARTESANAL'!M333</f>
        <v>-</v>
      </c>
      <c r="O455" s="241">
        <f>RESUMEN!$C$4</f>
        <v>44561</v>
      </c>
      <c r="P455" s="233">
        <v>2021</v>
      </c>
      <c r="Q455" s="233"/>
    </row>
    <row r="456" spans="1:17" ht="15.75" customHeight="1">
      <c r="A456" s="238" t="s">
        <v>51</v>
      </c>
      <c r="B456" s="238" t="s">
        <v>52</v>
      </c>
      <c r="C456" s="238" t="s">
        <v>72</v>
      </c>
      <c r="D456" s="243" t="s">
        <v>337</v>
      </c>
      <c r="E456" s="243" t="str">
        <f>+'CUOTA ARTESANAL'!E333</f>
        <v>MAR BEN (966274)</v>
      </c>
      <c r="F456" s="238" t="s">
        <v>57</v>
      </c>
      <c r="G456" s="238" t="s">
        <v>58</v>
      </c>
      <c r="H456" s="253">
        <f>'CUOTA ARTESANAL'!G334</f>
        <v>5.2910000000000004</v>
      </c>
      <c r="I456" s="253">
        <f>'CUOTA ARTESANAL'!H334</f>
        <v>0</v>
      </c>
      <c r="J456" s="253">
        <f>'CUOTA ARTESANAL'!I334</f>
        <v>5.6720000000000015</v>
      </c>
      <c r="K456" s="253">
        <f>'CUOTA ARTESANAL'!J334</f>
        <v>5.6559999999999997</v>
      </c>
      <c r="L456" s="253">
        <f>'CUOTA ARTESANAL'!K334</f>
        <v>1.6000000000001791E-2</v>
      </c>
      <c r="M456" s="254">
        <f>'CUOTA ARTESANAL'!L334</f>
        <v>0.99717912552891363</v>
      </c>
      <c r="N456" s="240">
        <f>'CUOTA ARTESANAL'!M334</f>
        <v>44560</v>
      </c>
      <c r="O456" s="241">
        <f>RESUMEN!$C$4</f>
        <v>44561</v>
      </c>
      <c r="P456" s="233">
        <v>2021</v>
      </c>
      <c r="Q456" s="233"/>
    </row>
    <row r="457" spans="1:17" ht="15.75" customHeight="1">
      <c r="A457" s="238" t="s">
        <v>51</v>
      </c>
      <c r="B457" s="238" t="s">
        <v>52</v>
      </c>
      <c r="C457" s="238" t="s">
        <v>72</v>
      </c>
      <c r="D457" s="243" t="s">
        <v>337</v>
      </c>
      <c r="E457" s="243" t="str">
        <f>+'CUOTA ARTESANAL'!E333</f>
        <v>MAR BEN (966274)</v>
      </c>
      <c r="F457" s="238" t="s">
        <v>54</v>
      </c>
      <c r="G457" s="238" t="s">
        <v>58</v>
      </c>
      <c r="H457" s="253">
        <f>'CUOTA ARTESANAL'!N333</f>
        <v>10.582000000000001</v>
      </c>
      <c r="I457" s="253">
        <f>'CUOTA ARTESANAL'!O333</f>
        <v>0</v>
      </c>
      <c r="J457" s="253">
        <f>'CUOTA ARTESANAL'!P333</f>
        <v>10.582000000000001</v>
      </c>
      <c r="K457" s="253">
        <f>'CUOTA ARTESANAL'!Q333</f>
        <v>10.565999999999999</v>
      </c>
      <c r="L457" s="253">
        <f>'CUOTA ARTESANAL'!R333</f>
        <v>1.6000000000001791E-2</v>
      </c>
      <c r="M457" s="254">
        <f>'CUOTA ARTESANAL'!S333</f>
        <v>0.9984879984879983</v>
      </c>
      <c r="N457" s="240" t="s">
        <v>218</v>
      </c>
      <c r="O457" s="241">
        <f>RESUMEN!$C$4</f>
        <v>44561</v>
      </c>
      <c r="P457" s="233">
        <v>2021</v>
      </c>
      <c r="Q457" s="233"/>
    </row>
    <row r="458" spans="1:17" ht="15.75" customHeight="1">
      <c r="A458" s="238" t="s">
        <v>51</v>
      </c>
      <c r="B458" s="238" t="s">
        <v>52</v>
      </c>
      <c r="C458" s="238" t="s">
        <v>72</v>
      </c>
      <c r="D458" s="243" t="s">
        <v>337</v>
      </c>
      <c r="E458" s="243" t="str">
        <f>+'CUOTA ARTESANAL'!E335</f>
        <v>MAR LOA (968228)</v>
      </c>
      <c r="F458" s="238" t="s">
        <v>54</v>
      </c>
      <c r="G458" s="238" t="s">
        <v>56</v>
      </c>
      <c r="H458" s="253">
        <f>'CUOTA ARTESANAL'!G335</f>
        <v>5.2910000000000004</v>
      </c>
      <c r="I458" s="253">
        <f>'CUOTA ARTESANAL'!H335</f>
        <v>0</v>
      </c>
      <c r="J458" s="253">
        <f>'CUOTA ARTESANAL'!I335</f>
        <v>5.2910000000000004</v>
      </c>
      <c r="K458" s="253">
        <f>'CUOTA ARTESANAL'!J335</f>
        <v>4.665</v>
      </c>
      <c r="L458" s="253">
        <f>'CUOTA ARTESANAL'!K335</f>
        <v>0.62600000000000033</v>
      </c>
      <c r="M458" s="254">
        <f>'CUOTA ARTESANAL'!L335</f>
        <v>0.88168588168588158</v>
      </c>
      <c r="N458" s="240" t="str">
        <f>'CUOTA ARTESANAL'!M335</f>
        <v>-</v>
      </c>
      <c r="O458" s="241">
        <f>RESUMEN!$C$4</f>
        <v>44561</v>
      </c>
      <c r="P458" s="233">
        <v>2021</v>
      </c>
      <c r="Q458" s="233"/>
    </row>
    <row r="459" spans="1:17" ht="15.75" customHeight="1">
      <c r="A459" s="238" t="s">
        <v>51</v>
      </c>
      <c r="B459" s="238" t="s">
        <v>52</v>
      </c>
      <c r="C459" s="238" t="s">
        <v>72</v>
      </c>
      <c r="D459" s="243" t="s">
        <v>337</v>
      </c>
      <c r="E459" s="243" t="str">
        <f>+'CUOTA ARTESANAL'!E335</f>
        <v>MAR LOA (968228)</v>
      </c>
      <c r="F459" s="238" t="s">
        <v>57</v>
      </c>
      <c r="G459" s="238" t="s">
        <v>58</v>
      </c>
      <c r="H459" s="253">
        <f>'CUOTA ARTESANAL'!G336</f>
        <v>5.2910000000000004</v>
      </c>
      <c r="I459" s="253">
        <f>'CUOTA ARTESANAL'!H336</f>
        <v>0</v>
      </c>
      <c r="J459" s="253">
        <f>'CUOTA ARTESANAL'!I336</f>
        <v>5.9170000000000007</v>
      </c>
      <c r="K459" s="253">
        <f>'CUOTA ARTESANAL'!J336</f>
        <v>5.75</v>
      </c>
      <c r="L459" s="253">
        <f>'CUOTA ARTESANAL'!K336</f>
        <v>0.1670000000000007</v>
      </c>
      <c r="M459" s="254">
        <f>'CUOTA ARTESANAL'!L336</f>
        <v>0.97177623795842472</v>
      </c>
      <c r="N459" s="240">
        <f>'CUOTA ARTESANAL'!M336</f>
        <v>44560</v>
      </c>
      <c r="O459" s="241">
        <f>RESUMEN!$C$4</f>
        <v>44561</v>
      </c>
      <c r="P459" s="233">
        <v>2021</v>
      </c>
      <c r="Q459" s="233"/>
    </row>
    <row r="460" spans="1:17" ht="15.75" customHeight="1">
      <c r="A460" s="238" t="s">
        <v>51</v>
      </c>
      <c r="B460" s="238" t="s">
        <v>52</v>
      </c>
      <c r="C460" s="238" t="s">
        <v>72</v>
      </c>
      <c r="D460" s="243" t="s">
        <v>337</v>
      </c>
      <c r="E460" s="243" t="str">
        <f>+'CUOTA ARTESANAL'!E335</f>
        <v>MAR LOA (968228)</v>
      </c>
      <c r="F460" s="238" t="s">
        <v>54</v>
      </c>
      <c r="G460" s="238" t="s">
        <v>58</v>
      </c>
      <c r="H460" s="253">
        <f>'CUOTA ARTESANAL'!N335</f>
        <v>10.582000000000001</v>
      </c>
      <c r="I460" s="253">
        <f>'CUOTA ARTESANAL'!O335</f>
        <v>0</v>
      </c>
      <c r="J460" s="253">
        <f>'CUOTA ARTESANAL'!P335</f>
        <v>10.582000000000001</v>
      </c>
      <c r="K460" s="253">
        <f>'CUOTA ARTESANAL'!Q335</f>
        <v>10.414999999999999</v>
      </c>
      <c r="L460" s="253">
        <f>'CUOTA ARTESANAL'!R335</f>
        <v>0.16700000000000159</v>
      </c>
      <c r="M460" s="254">
        <f>'CUOTA ARTESANAL'!S335</f>
        <v>0.98421848421848412</v>
      </c>
      <c r="N460" s="240" t="s">
        <v>218</v>
      </c>
      <c r="O460" s="241">
        <f>RESUMEN!$C$4</f>
        <v>44561</v>
      </c>
      <c r="P460" s="233">
        <v>2021</v>
      </c>
      <c r="Q460" s="233"/>
    </row>
    <row r="461" spans="1:17" ht="15.75" customHeight="1">
      <c r="A461" s="238" t="s">
        <v>51</v>
      </c>
      <c r="B461" s="238" t="s">
        <v>52</v>
      </c>
      <c r="C461" s="238" t="s">
        <v>72</v>
      </c>
      <c r="D461" s="243" t="s">
        <v>337</v>
      </c>
      <c r="E461" s="243" t="str">
        <f>+'CUOTA ARTESANAL'!E337</f>
        <v>MAX RAPER I (965814)</v>
      </c>
      <c r="F461" s="238" t="s">
        <v>54</v>
      </c>
      <c r="G461" s="238" t="s">
        <v>56</v>
      </c>
      <c r="H461" s="253">
        <f>'CUOTA ARTESANAL'!G337</f>
        <v>5.2889999999999997</v>
      </c>
      <c r="I461" s="253">
        <f>'CUOTA ARTESANAL'!H337</f>
        <v>0</v>
      </c>
      <c r="J461" s="253">
        <f>'CUOTA ARTESANAL'!I337</f>
        <v>5.2889999999999997</v>
      </c>
      <c r="K461" s="253">
        <f>'CUOTA ARTESANAL'!J337</f>
        <v>6.9509999999999996</v>
      </c>
      <c r="L461" s="253">
        <f>'CUOTA ARTESANAL'!K337</f>
        <v>-1.6619999999999999</v>
      </c>
      <c r="M461" s="254">
        <f>'CUOTA ARTESANAL'!L337</f>
        <v>1.3142370958593308</v>
      </c>
      <c r="N461" s="240">
        <f>'CUOTA ARTESANAL'!M337</f>
        <v>44364</v>
      </c>
      <c r="O461" s="241">
        <f>RESUMEN!$C$4</f>
        <v>44561</v>
      </c>
      <c r="P461" s="233">
        <v>2021</v>
      </c>
      <c r="Q461" s="233"/>
    </row>
    <row r="462" spans="1:17" ht="15.75" customHeight="1">
      <c r="A462" s="238" t="s">
        <v>51</v>
      </c>
      <c r="B462" s="238" t="s">
        <v>52</v>
      </c>
      <c r="C462" s="238" t="s">
        <v>72</v>
      </c>
      <c r="D462" s="243" t="s">
        <v>337</v>
      </c>
      <c r="E462" s="243" t="str">
        <f>+'CUOTA ARTESANAL'!E337</f>
        <v>MAX RAPER I (965814)</v>
      </c>
      <c r="F462" s="238" t="s">
        <v>57</v>
      </c>
      <c r="G462" s="238" t="s">
        <v>58</v>
      </c>
      <c r="H462" s="253">
        <f>'CUOTA ARTESANAL'!G338</f>
        <v>5.2889999999999997</v>
      </c>
      <c r="I462" s="253">
        <f>'CUOTA ARTESANAL'!H338</f>
        <v>0</v>
      </c>
      <c r="J462" s="253">
        <f>'CUOTA ARTESANAL'!I338</f>
        <v>3.6269999999999998</v>
      </c>
      <c r="K462" s="253">
        <f>'CUOTA ARTESANAL'!J338</f>
        <v>2.391</v>
      </c>
      <c r="L462" s="253">
        <f>'CUOTA ARTESANAL'!K338</f>
        <v>1.2359999999999998</v>
      </c>
      <c r="M462" s="254">
        <f>'CUOTA ARTESANAL'!L338</f>
        <v>0.65922249793217536</v>
      </c>
      <c r="N462" s="240" t="str">
        <f>'CUOTA ARTESANAL'!M338</f>
        <v>-</v>
      </c>
      <c r="O462" s="241">
        <f>RESUMEN!$C$4</f>
        <v>44561</v>
      </c>
      <c r="P462" s="233">
        <v>2021</v>
      </c>
      <c r="Q462" s="233"/>
    </row>
    <row r="463" spans="1:17" ht="15.75" customHeight="1">
      <c r="A463" s="238" t="s">
        <v>51</v>
      </c>
      <c r="B463" s="238" t="s">
        <v>52</v>
      </c>
      <c r="C463" s="238" t="s">
        <v>72</v>
      </c>
      <c r="D463" s="243" t="s">
        <v>337</v>
      </c>
      <c r="E463" s="243" t="str">
        <f>+'CUOTA ARTESANAL'!E337</f>
        <v>MAX RAPER I (965814)</v>
      </c>
      <c r="F463" s="238" t="s">
        <v>54</v>
      </c>
      <c r="G463" s="238" t="s">
        <v>58</v>
      </c>
      <c r="H463" s="253">
        <f>'CUOTA ARTESANAL'!N337</f>
        <v>10.577999999999999</v>
      </c>
      <c r="I463" s="253">
        <f>'CUOTA ARTESANAL'!O337</f>
        <v>0</v>
      </c>
      <c r="J463" s="253">
        <f>'CUOTA ARTESANAL'!P337</f>
        <v>10.577999999999999</v>
      </c>
      <c r="K463" s="253">
        <f>'CUOTA ARTESANAL'!Q337</f>
        <v>9.3419999999999987</v>
      </c>
      <c r="L463" s="253">
        <f>'CUOTA ARTESANAL'!R337</f>
        <v>1.2360000000000007</v>
      </c>
      <c r="M463" s="254">
        <f>'CUOTA ARTESANAL'!S337</f>
        <v>0.88315371525808273</v>
      </c>
      <c r="N463" s="240" t="s">
        <v>218</v>
      </c>
      <c r="O463" s="241">
        <f>RESUMEN!$C$4</f>
        <v>44561</v>
      </c>
      <c r="P463" s="233">
        <v>2021</v>
      </c>
      <c r="Q463" s="233"/>
    </row>
    <row r="464" spans="1:17" ht="15.75" customHeight="1">
      <c r="A464" s="238" t="s">
        <v>51</v>
      </c>
      <c r="B464" s="238" t="s">
        <v>52</v>
      </c>
      <c r="C464" s="238" t="s">
        <v>72</v>
      </c>
      <c r="D464" s="243" t="s">
        <v>337</v>
      </c>
      <c r="E464" s="243" t="str">
        <f>+'CUOTA ARTESANAL'!E339</f>
        <v>MISTER CHILE I (965767)</v>
      </c>
      <c r="F464" s="238" t="s">
        <v>54</v>
      </c>
      <c r="G464" s="238" t="s">
        <v>56</v>
      </c>
      <c r="H464" s="253">
        <f>'CUOTA ARTESANAL'!G339</f>
        <v>5.29</v>
      </c>
      <c r="I464" s="253">
        <f>'CUOTA ARTESANAL'!H339</f>
        <v>0</v>
      </c>
      <c r="J464" s="253">
        <f>'CUOTA ARTESANAL'!I339</f>
        <v>5.29</v>
      </c>
      <c r="K464" s="253">
        <f>'CUOTA ARTESANAL'!J339</f>
        <v>3.42</v>
      </c>
      <c r="L464" s="253">
        <f>'CUOTA ARTESANAL'!K339</f>
        <v>1.87</v>
      </c>
      <c r="M464" s="254">
        <f>'CUOTA ARTESANAL'!L339</f>
        <v>0.64650283553875232</v>
      </c>
      <c r="N464" s="240" t="str">
        <f>'CUOTA ARTESANAL'!M339</f>
        <v>-</v>
      </c>
      <c r="O464" s="241">
        <f>RESUMEN!$C$4</f>
        <v>44561</v>
      </c>
      <c r="P464" s="233">
        <v>2021</v>
      </c>
      <c r="Q464" s="233"/>
    </row>
    <row r="465" spans="1:17" ht="15.75" customHeight="1">
      <c r="A465" s="238" t="s">
        <v>51</v>
      </c>
      <c r="B465" s="238" t="s">
        <v>52</v>
      </c>
      <c r="C465" s="238" t="s">
        <v>72</v>
      </c>
      <c r="D465" s="243" t="s">
        <v>337</v>
      </c>
      <c r="E465" s="243" t="str">
        <f>+'CUOTA ARTESANAL'!E339</f>
        <v>MISTER CHILE I (965767)</v>
      </c>
      <c r="F465" s="238" t="s">
        <v>57</v>
      </c>
      <c r="G465" s="238" t="s">
        <v>58</v>
      </c>
      <c r="H465" s="253">
        <f>'CUOTA ARTESANAL'!G340</f>
        <v>5.29</v>
      </c>
      <c r="I465" s="253">
        <f>'CUOTA ARTESANAL'!H340</f>
        <v>0</v>
      </c>
      <c r="J465" s="253">
        <f>'CUOTA ARTESANAL'!I340</f>
        <v>7.16</v>
      </c>
      <c r="K465" s="253">
        <f>'CUOTA ARTESANAL'!J340</f>
        <v>2.484</v>
      </c>
      <c r="L465" s="253">
        <f>'CUOTA ARTESANAL'!K340</f>
        <v>4.6760000000000002</v>
      </c>
      <c r="M465" s="254">
        <f>'CUOTA ARTESANAL'!L340</f>
        <v>0.34692737430167597</v>
      </c>
      <c r="N465" s="240" t="str">
        <f>'CUOTA ARTESANAL'!M340</f>
        <v>-</v>
      </c>
      <c r="O465" s="241">
        <f>RESUMEN!$C$4</f>
        <v>44561</v>
      </c>
      <c r="P465" s="233">
        <v>2021</v>
      </c>
      <c r="Q465" s="233"/>
    </row>
    <row r="466" spans="1:17" ht="15.75" customHeight="1">
      <c r="A466" s="238" t="s">
        <v>51</v>
      </c>
      <c r="B466" s="238" t="s">
        <v>52</v>
      </c>
      <c r="C466" s="238" t="s">
        <v>72</v>
      </c>
      <c r="D466" s="243" t="s">
        <v>337</v>
      </c>
      <c r="E466" s="243" t="str">
        <f>+'CUOTA ARTESANAL'!E339</f>
        <v>MISTER CHILE I (965767)</v>
      </c>
      <c r="F466" s="238" t="s">
        <v>54</v>
      </c>
      <c r="G466" s="238" t="s">
        <v>58</v>
      </c>
      <c r="H466" s="253">
        <f>'CUOTA ARTESANAL'!N339</f>
        <v>10.58</v>
      </c>
      <c r="I466" s="253">
        <f>'CUOTA ARTESANAL'!O339</f>
        <v>0</v>
      </c>
      <c r="J466" s="253">
        <f>'CUOTA ARTESANAL'!P339</f>
        <v>10.58</v>
      </c>
      <c r="K466" s="253">
        <f>'CUOTA ARTESANAL'!Q339</f>
        <v>5.9039999999999999</v>
      </c>
      <c r="L466" s="253">
        <f>'CUOTA ARTESANAL'!R339</f>
        <v>4.6760000000000002</v>
      </c>
      <c r="M466" s="254">
        <f>'CUOTA ARTESANAL'!S339</f>
        <v>0.55803402646502831</v>
      </c>
      <c r="N466" s="240" t="s">
        <v>218</v>
      </c>
      <c r="O466" s="241">
        <f>RESUMEN!$C$4</f>
        <v>44561</v>
      </c>
      <c r="P466" s="233">
        <v>2021</v>
      </c>
      <c r="Q466" s="233"/>
    </row>
    <row r="467" spans="1:17" ht="15.75" customHeight="1">
      <c r="A467" s="238" t="s">
        <v>51</v>
      </c>
      <c r="B467" s="238" t="s">
        <v>52</v>
      </c>
      <c r="C467" s="238" t="s">
        <v>72</v>
      </c>
      <c r="D467" s="243" t="s">
        <v>337</v>
      </c>
      <c r="E467" s="243" t="str">
        <f>+'CUOTA ARTESANAL'!E341</f>
        <v>DON BLAS  (969046)</v>
      </c>
      <c r="F467" s="238" t="s">
        <v>54</v>
      </c>
      <c r="G467" s="238" t="s">
        <v>56</v>
      </c>
      <c r="H467" s="253">
        <f>'CUOTA ARTESANAL'!G341</f>
        <v>7.9379999999999997</v>
      </c>
      <c r="I467" s="253">
        <f>'CUOTA ARTESANAL'!H341</f>
        <v>8.75</v>
      </c>
      <c r="J467" s="253">
        <f>'CUOTA ARTESANAL'!I341</f>
        <v>16.687999999999999</v>
      </c>
      <c r="K467" s="253">
        <f>'CUOTA ARTESANAL'!J341</f>
        <v>5.4759999999999991</v>
      </c>
      <c r="L467" s="253">
        <f>'CUOTA ARTESANAL'!K341</f>
        <v>11.212</v>
      </c>
      <c r="M467" s="254">
        <f>'CUOTA ARTESANAL'!L341</f>
        <v>0.32813998082454454</v>
      </c>
      <c r="N467" s="240">
        <f>'CUOTA ARTESANAL'!M341</f>
        <v>44334</v>
      </c>
      <c r="O467" s="241">
        <f>RESUMEN!$C$4</f>
        <v>44561</v>
      </c>
      <c r="P467" s="233">
        <v>2021</v>
      </c>
      <c r="Q467" s="233"/>
    </row>
    <row r="468" spans="1:17" ht="15.75" customHeight="1">
      <c r="A468" s="238" t="s">
        <v>51</v>
      </c>
      <c r="B468" s="238" t="s">
        <v>52</v>
      </c>
      <c r="C468" s="238" t="s">
        <v>72</v>
      </c>
      <c r="D468" s="243" t="s">
        <v>337</v>
      </c>
      <c r="E468" s="243" t="str">
        <f>+'CUOTA ARTESANAL'!E341</f>
        <v>DON BLAS  (969046)</v>
      </c>
      <c r="F468" s="238" t="s">
        <v>57</v>
      </c>
      <c r="G468" s="238" t="s">
        <v>58</v>
      </c>
      <c r="H468" s="253">
        <f>'CUOTA ARTESANAL'!G342</f>
        <v>2.6459999999999999</v>
      </c>
      <c r="I468" s="253">
        <f>'CUOTA ARTESANAL'!H342</f>
        <v>20</v>
      </c>
      <c r="J468" s="253">
        <f>'CUOTA ARTESANAL'!I342</f>
        <v>33.858000000000004</v>
      </c>
      <c r="K468" s="253">
        <f>'CUOTA ARTESANAL'!J342</f>
        <v>23.253</v>
      </c>
      <c r="L468" s="253">
        <f>'CUOTA ARTESANAL'!K342</f>
        <v>10.605000000000004</v>
      </c>
      <c r="M468" s="254">
        <f>'CUOTA ARTESANAL'!L342</f>
        <v>0.68678008151692349</v>
      </c>
      <c r="N468" s="240" t="str">
        <f>'CUOTA ARTESANAL'!M342</f>
        <v>-</v>
      </c>
      <c r="O468" s="241">
        <f>RESUMEN!$C$4</f>
        <v>44561</v>
      </c>
      <c r="P468" s="233">
        <v>2021</v>
      </c>
      <c r="Q468" s="233"/>
    </row>
    <row r="469" spans="1:17" ht="15.75" customHeight="1">
      <c r="A469" s="238" t="s">
        <v>51</v>
      </c>
      <c r="B469" s="238" t="s">
        <v>52</v>
      </c>
      <c r="C469" s="238" t="s">
        <v>72</v>
      </c>
      <c r="D469" s="243" t="s">
        <v>337</v>
      </c>
      <c r="E469" s="243" t="str">
        <f>+'CUOTA ARTESANAL'!E341</f>
        <v>DON BLAS  (969046)</v>
      </c>
      <c r="F469" s="238" t="s">
        <v>54</v>
      </c>
      <c r="G469" s="238" t="s">
        <v>58</v>
      </c>
      <c r="H469" s="253">
        <f>'CUOTA ARTESANAL'!N341</f>
        <v>10.584</v>
      </c>
      <c r="I469" s="253">
        <f>'CUOTA ARTESANAL'!O341</f>
        <v>28.75</v>
      </c>
      <c r="J469" s="253">
        <f>'CUOTA ARTESANAL'!P341</f>
        <v>39.334000000000003</v>
      </c>
      <c r="K469" s="253">
        <f>'CUOTA ARTESANAL'!Q341</f>
        <v>28.728999999999999</v>
      </c>
      <c r="L469" s="253">
        <f>'CUOTA ARTESANAL'!R341</f>
        <v>10.605000000000004</v>
      </c>
      <c r="M469" s="254">
        <f>'CUOTA ARTESANAL'!S341</f>
        <v>0.73038592566227678</v>
      </c>
      <c r="N469" s="240" t="s">
        <v>218</v>
      </c>
      <c r="O469" s="241">
        <f>RESUMEN!$C$4</f>
        <v>44561</v>
      </c>
      <c r="P469" s="233">
        <v>2021</v>
      </c>
      <c r="Q469" s="233"/>
    </row>
    <row r="470" spans="1:17" ht="15.75" customHeight="1">
      <c r="A470" s="238" t="s">
        <v>51</v>
      </c>
      <c r="B470" s="238" t="s">
        <v>52</v>
      </c>
      <c r="C470" s="238" t="s">
        <v>72</v>
      </c>
      <c r="D470" s="243" t="s">
        <v>337</v>
      </c>
      <c r="E470" s="243" t="str">
        <f>+'CUOTA ARTESANAL'!E343</f>
        <v>PITUFO III (966444)</v>
      </c>
      <c r="F470" s="238" t="s">
        <v>54</v>
      </c>
      <c r="G470" s="238" t="s">
        <v>56</v>
      </c>
      <c r="H470" s="253">
        <f>'CUOTA ARTESANAL'!G343</f>
        <v>5.2919999999999998</v>
      </c>
      <c r="I470" s="253">
        <f>'CUOTA ARTESANAL'!H343</f>
        <v>0</v>
      </c>
      <c r="J470" s="253">
        <f>'CUOTA ARTESANAL'!I343</f>
        <v>5.2919999999999998</v>
      </c>
      <c r="K470" s="253">
        <f>'CUOTA ARTESANAL'!J343</f>
        <v>4.1300000000000008</v>
      </c>
      <c r="L470" s="253">
        <f>'CUOTA ARTESANAL'!K343</f>
        <v>1.161999999999999</v>
      </c>
      <c r="M470" s="254">
        <f>'CUOTA ARTESANAL'!L343</f>
        <v>0.78042328042328057</v>
      </c>
      <c r="N470" s="240" t="str">
        <f>'CUOTA ARTESANAL'!M343</f>
        <v>-</v>
      </c>
      <c r="O470" s="241">
        <f>RESUMEN!$C$4</f>
        <v>44561</v>
      </c>
      <c r="P470" s="233">
        <v>2021</v>
      </c>
      <c r="Q470" s="233"/>
    </row>
    <row r="471" spans="1:17" ht="15.75" customHeight="1">
      <c r="A471" s="238" t="s">
        <v>51</v>
      </c>
      <c r="B471" s="238" t="s">
        <v>52</v>
      </c>
      <c r="C471" s="238" t="s">
        <v>72</v>
      </c>
      <c r="D471" s="243" t="s">
        <v>337</v>
      </c>
      <c r="E471" s="243" t="str">
        <f>+'CUOTA ARTESANAL'!E343</f>
        <v>PITUFO III (966444)</v>
      </c>
      <c r="F471" s="238" t="s">
        <v>57</v>
      </c>
      <c r="G471" s="238" t="s">
        <v>58</v>
      </c>
      <c r="H471" s="253">
        <f>'CUOTA ARTESANAL'!G344</f>
        <v>5.2919999999999998</v>
      </c>
      <c r="I471" s="253">
        <f>'CUOTA ARTESANAL'!H344</f>
        <v>22</v>
      </c>
      <c r="J471" s="253">
        <f>'CUOTA ARTESANAL'!I344</f>
        <v>28.454000000000001</v>
      </c>
      <c r="K471" s="253">
        <f>'CUOTA ARTESANAL'!J344</f>
        <v>21.527999999999999</v>
      </c>
      <c r="L471" s="253">
        <f>'CUOTA ARTESANAL'!K344</f>
        <v>6.9260000000000019</v>
      </c>
      <c r="M471" s="254">
        <f>'CUOTA ARTESANAL'!L344</f>
        <v>0.75658958318689806</v>
      </c>
      <c r="N471" s="240" t="str">
        <f>'CUOTA ARTESANAL'!M344</f>
        <v>-</v>
      </c>
      <c r="O471" s="241">
        <f>RESUMEN!$C$4</f>
        <v>44561</v>
      </c>
      <c r="P471" s="233">
        <v>2021</v>
      </c>
      <c r="Q471" s="233"/>
    </row>
    <row r="472" spans="1:17" ht="15.75" customHeight="1">
      <c r="A472" s="238" t="s">
        <v>51</v>
      </c>
      <c r="B472" s="238" t="s">
        <v>52</v>
      </c>
      <c r="C472" s="238" t="s">
        <v>72</v>
      </c>
      <c r="D472" s="243" t="s">
        <v>337</v>
      </c>
      <c r="E472" s="243" t="str">
        <f>+'CUOTA ARTESANAL'!E343</f>
        <v>PITUFO III (966444)</v>
      </c>
      <c r="F472" s="238" t="s">
        <v>54</v>
      </c>
      <c r="G472" s="238" t="s">
        <v>58</v>
      </c>
      <c r="H472" s="253">
        <f>'CUOTA ARTESANAL'!N343</f>
        <v>10.584</v>
      </c>
      <c r="I472" s="253">
        <f>'CUOTA ARTESANAL'!O343</f>
        <v>22</v>
      </c>
      <c r="J472" s="253">
        <f>'CUOTA ARTESANAL'!P343</f>
        <v>32.584000000000003</v>
      </c>
      <c r="K472" s="253">
        <f>'CUOTA ARTESANAL'!Q343</f>
        <v>25.658000000000001</v>
      </c>
      <c r="L472" s="253">
        <f>'CUOTA ARTESANAL'!R343</f>
        <v>6.9260000000000019</v>
      </c>
      <c r="M472" s="254">
        <f>'CUOTA ARTESANAL'!S343</f>
        <v>0.78744168917260005</v>
      </c>
      <c r="N472" s="240" t="s">
        <v>218</v>
      </c>
      <c r="O472" s="241">
        <f>RESUMEN!$C$4</f>
        <v>44561</v>
      </c>
      <c r="P472" s="233">
        <v>2021</v>
      </c>
      <c r="Q472" s="233"/>
    </row>
    <row r="473" spans="1:17" ht="15.75" customHeight="1">
      <c r="A473" s="238" t="s">
        <v>51</v>
      </c>
      <c r="B473" s="238" t="s">
        <v>52</v>
      </c>
      <c r="C473" s="238" t="s">
        <v>72</v>
      </c>
      <c r="D473" s="243" t="s">
        <v>337</v>
      </c>
      <c r="E473" s="243" t="str">
        <f>+'CUOTA ARTESANAL'!E345</f>
        <v>PUNTA DE LOBOS II (968163)</v>
      </c>
      <c r="F473" s="238" t="s">
        <v>54</v>
      </c>
      <c r="G473" s="238" t="s">
        <v>56</v>
      </c>
      <c r="H473" s="253">
        <f>'CUOTA ARTESANAL'!G345</f>
        <v>7.9379999999999997</v>
      </c>
      <c r="I473" s="253">
        <f>'CUOTA ARTESANAL'!H345</f>
        <v>6</v>
      </c>
      <c r="J473" s="253">
        <f>'CUOTA ARTESANAL'!I345</f>
        <v>13.937999999999999</v>
      </c>
      <c r="K473" s="253">
        <f>'CUOTA ARTESANAL'!J345</f>
        <v>8.6999999999999993</v>
      </c>
      <c r="L473" s="253">
        <f>'CUOTA ARTESANAL'!K345</f>
        <v>5.2379999999999995</v>
      </c>
      <c r="M473" s="254">
        <f>'CUOTA ARTESANAL'!L345</f>
        <v>0.6241928540680155</v>
      </c>
      <c r="N473" s="240" t="str">
        <f>'CUOTA ARTESANAL'!M345</f>
        <v>-</v>
      </c>
      <c r="O473" s="241">
        <f>RESUMEN!$C$4</f>
        <v>44561</v>
      </c>
      <c r="P473" s="233">
        <v>2021</v>
      </c>
      <c r="Q473" s="233"/>
    </row>
    <row r="474" spans="1:17" ht="15.75" customHeight="1">
      <c r="A474" s="238" t="s">
        <v>51</v>
      </c>
      <c r="B474" s="238" t="s">
        <v>52</v>
      </c>
      <c r="C474" s="238" t="s">
        <v>72</v>
      </c>
      <c r="D474" s="243" t="s">
        <v>337</v>
      </c>
      <c r="E474" s="243" t="str">
        <f>+'CUOTA ARTESANAL'!E345</f>
        <v>PUNTA DE LOBOS II (968163)</v>
      </c>
      <c r="F474" s="238" t="s">
        <v>57</v>
      </c>
      <c r="G474" s="238" t="s">
        <v>58</v>
      </c>
      <c r="H474" s="253">
        <f>'CUOTA ARTESANAL'!G346</f>
        <v>2.6459999999999999</v>
      </c>
      <c r="I474" s="253">
        <f>'CUOTA ARTESANAL'!H346</f>
        <v>0</v>
      </c>
      <c r="J474" s="253">
        <f>'CUOTA ARTESANAL'!I346</f>
        <v>7.8839999999999995</v>
      </c>
      <c r="K474" s="253">
        <f>'CUOTA ARTESANAL'!J346</f>
        <v>6.2149999999999999</v>
      </c>
      <c r="L474" s="253">
        <f>'CUOTA ARTESANAL'!K346</f>
        <v>1.6689999999999996</v>
      </c>
      <c r="M474" s="254">
        <f>'CUOTA ARTESANAL'!L346</f>
        <v>0.78830542871638765</v>
      </c>
      <c r="N474" s="240" t="str">
        <f>'CUOTA ARTESANAL'!M346</f>
        <v>-</v>
      </c>
      <c r="O474" s="241">
        <f>RESUMEN!$C$4</f>
        <v>44561</v>
      </c>
      <c r="P474" s="233">
        <v>2021</v>
      </c>
      <c r="Q474" s="233"/>
    </row>
    <row r="475" spans="1:17" ht="15.75" customHeight="1">
      <c r="A475" s="238" t="s">
        <v>51</v>
      </c>
      <c r="B475" s="238" t="s">
        <v>52</v>
      </c>
      <c r="C475" s="238" t="s">
        <v>72</v>
      </c>
      <c r="D475" s="243" t="s">
        <v>337</v>
      </c>
      <c r="E475" s="243" t="str">
        <f>+'CUOTA ARTESANAL'!E345</f>
        <v>PUNTA DE LOBOS II (968163)</v>
      </c>
      <c r="F475" s="238" t="s">
        <v>54</v>
      </c>
      <c r="G475" s="238" t="s">
        <v>58</v>
      </c>
      <c r="H475" s="253">
        <f>'CUOTA ARTESANAL'!N345</f>
        <v>10.584</v>
      </c>
      <c r="I475" s="253">
        <f>'CUOTA ARTESANAL'!O345</f>
        <v>6</v>
      </c>
      <c r="J475" s="253">
        <f>'CUOTA ARTESANAL'!P345</f>
        <v>16.584</v>
      </c>
      <c r="K475" s="253">
        <f>'CUOTA ARTESANAL'!Q345</f>
        <v>14.914999999999999</v>
      </c>
      <c r="L475" s="253">
        <f>'CUOTA ARTESANAL'!R345</f>
        <v>1.6690000000000005</v>
      </c>
      <c r="M475" s="254">
        <f>'CUOTA ARTESANAL'!S345</f>
        <v>0.89936082971538833</v>
      </c>
      <c r="N475" s="240" t="s">
        <v>218</v>
      </c>
      <c r="O475" s="241">
        <f>RESUMEN!$C$4</f>
        <v>44561</v>
      </c>
      <c r="P475" s="233">
        <v>2021</v>
      </c>
      <c r="Q475" s="233"/>
    </row>
    <row r="476" spans="1:17" ht="15.75" customHeight="1">
      <c r="A476" s="238" t="s">
        <v>51</v>
      </c>
      <c r="B476" s="238" t="s">
        <v>52</v>
      </c>
      <c r="C476" s="238" t="s">
        <v>72</v>
      </c>
      <c r="D476" s="243" t="s">
        <v>337</v>
      </c>
      <c r="E476" s="243" t="str">
        <f>+'CUOTA ARTESANAL'!E347</f>
        <v>PUNTA DE LOBOS I (967155)</v>
      </c>
      <c r="F476" s="238" t="s">
        <v>54</v>
      </c>
      <c r="G476" s="238" t="s">
        <v>56</v>
      </c>
      <c r="H476" s="253">
        <f>'CUOTA ARTESANAL'!G347</f>
        <v>7.9379999999999997</v>
      </c>
      <c r="I476" s="253">
        <f>'CUOTA ARTESANAL'!H347</f>
        <v>8.75</v>
      </c>
      <c r="J476" s="253">
        <f>'CUOTA ARTESANAL'!I347</f>
        <v>16.687999999999999</v>
      </c>
      <c r="K476" s="253">
        <f>'CUOTA ARTESANAL'!J347</f>
        <v>6.8849999999999998</v>
      </c>
      <c r="L476" s="253">
        <f>'CUOTA ARTESANAL'!K347</f>
        <v>9.802999999999999</v>
      </c>
      <c r="M476" s="254">
        <f>'CUOTA ARTESANAL'!L347</f>
        <v>0.41257190795781401</v>
      </c>
      <c r="N476" s="240" t="str">
        <f>'CUOTA ARTESANAL'!M347</f>
        <v>-</v>
      </c>
      <c r="O476" s="241">
        <f>RESUMEN!$C$4</f>
        <v>44561</v>
      </c>
      <c r="P476" s="233">
        <v>2021</v>
      </c>
      <c r="Q476" s="233"/>
    </row>
    <row r="477" spans="1:17" ht="15.75" customHeight="1">
      <c r="A477" s="238" t="s">
        <v>51</v>
      </c>
      <c r="B477" s="238" t="s">
        <v>52</v>
      </c>
      <c r="C477" s="238" t="s">
        <v>72</v>
      </c>
      <c r="D477" s="243" t="s">
        <v>337</v>
      </c>
      <c r="E477" s="243" t="str">
        <f>+'CUOTA ARTESANAL'!E347</f>
        <v>PUNTA DE LOBOS I (967155)</v>
      </c>
      <c r="F477" s="238" t="s">
        <v>57</v>
      </c>
      <c r="G477" s="238" t="s">
        <v>58</v>
      </c>
      <c r="H477" s="253">
        <f>'CUOTA ARTESANAL'!G348</f>
        <v>2.6459999999999999</v>
      </c>
      <c r="I477" s="253">
        <f>'CUOTA ARTESANAL'!H348</f>
        <v>10</v>
      </c>
      <c r="J477" s="253">
        <f>'CUOTA ARTESANAL'!I348</f>
        <v>22.448999999999998</v>
      </c>
      <c r="K477" s="253">
        <f>'CUOTA ARTESANAL'!J348</f>
        <v>14.244</v>
      </c>
      <c r="L477" s="253">
        <f>'CUOTA ARTESANAL'!K348</f>
        <v>8.2049999999999983</v>
      </c>
      <c r="M477" s="254">
        <f>'CUOTA ARTESANAL'!L348</f>
        <v>0.63450487772283848</v>
      </c>
      <c r="N477" s="240" t="str">
        <f>'CUOTA ARTESANAL'!M348</f>
        <v>-</v>
      </c>
      <c r="O477" s="241">
        <f>RESUMEN!$C$4</f>
        <v>44561</v>
      </c>
      <c r="P477" s="233">
        <v>2021</v>
      </c>
      <c r="Q477" s="233"/>
    </row>
    <row r="478" spans="1:17" ht="15.75" customHeight="1">
      <c r="A478" s="238" t="s">
        <v>51</v>
      </c>
      <c r="B478" s="238" t="s">
        <v>52</v>
      </c>
      <c r="C478" s="238" t="s">
        <v>72</v>
      </c>
      <c r="D478" s="243" t="s">
        <v>337</v>
      </c>
      <c r="E478" s="243" t="str">
        <f>+'CUOTA ARTESANAL'!E347</f>
        <v>PUNTA DE LOBOS I (967155)</v>
      </c>
      <c r="F478" s="238" t="s">
        <v>54</v>
      </c>
      <c r="G478" s="238" t="s">
        <v>58</v>
      </c>
      <c r="H478" s="253">
        <f>'CUOTA ARTESANAL'!N347</f>
        <v>10.584</v>
      </c>
      <c r="I478" s="253">
        <f>'CUOTA ARTESANAL'!O347</f>
        <v>18.75</v>
      </c>
      <c r="J478" s="253">
        <f>'CUOTA ARTESANAL'!P347</f>
        <v>29.334</v>
      </c>
      <c r="K478" s="253">
        <f>'CUOTA ARTESANAL'!Q347</f>
        <v>21.128999999999998</v>
      </c>
      <c r="L478" s="253">
        <f>'CUOTA ARTESANAL'!R347</f>
        <v>8.2050000000000018</v>
      </c>
      <c r="M478" s="254">
        <f>'CUOTA ARTESANAL'!S347</f>
        <v>0.72029044794436481</v>
      </c>
      <c r="N478" s="240" t="s">
        <v>218</v>
      </c>
      <c r="O478" s="241">
        <f>RESUMEN!$C$4</f>
        <v>44561</v>
      </c>
      <c r="P478" s="233">
        <v>2021</v>
      </c>
      <c r="Q478" s="233"/>
    </row>
    <row r="479" spans="1:17" ht="15.75" customHeight="1">
      <c r="A479" s="238" t="s">
        <v>51</v>
      </c>
      <c r="B479" s="238" t="s">
        <v>52</v>
      </c>
      <c r="C479" s="238" t="s">
        <v>72</v>
      </c>
      <c r="D479" s="243" t="s">
        <v>337</v>
      </c>
      <c r="E479" s="243" t="str">
        <f>+'CUOTA ARTESANAL'!E349</f>
        <v>PUNTA DEL ESTE I (966953)</v>
      </c>
      <c r="F479" s="238" t="s">
        <v>54</v>
      </c>
      <c r="G479" s="238" t="s">
        <v>56</v>
      </c>
      <c r="H479" s="253">
        <f>'CUOTA ARTESANAL'!G349</f>
        <v>5.2939999999999996</v>
      </c>
      <c r="I479" s="253">
        <f>'CUOTA ARTESANAL'!H349</f>
        <v>0</v>
      </c>
      <c r="J479" s="253">
        <f>'CUOTA ARTESANAL'!I349</f>
        <v>5.2939999999999996</v>
      </c>
      <c r="K479" s="253">
        <f>'CUOTA ARTESANAL'!J349</f>
        <v>2.1949999999999998</v>
      </c>
      <c r="L479" s="253">
        <f>'CUOTA ARTESANAL'!K349</f>
        <v>3.0989999999999998</v>
      </c>
      <c r="M479" s="254">
        <f>'CUOTA ARTESANAL'!L349</f>
        <v>0.41462032489610878</v>
      </c>
      <c r="N479" s="240" t="str">
        <f>'CUOTA ARTESANAL'!M349</f>
        <v>-</v>
      </c>
      <c r="O479" s="241">
        <f>RESUMEN!$C$4</f>
        <v>44561</v>
      </c>
      <c r="P479" s="233">
        <v>2021</v>
      </c>
      <c r="Q479" s="233"/>
    </row>
    <row r="480" spans="1:17" ht="15.75" customHeight="1">
      <c r="A480" s="238" t="s">
        <v>51</v>
      </c>
      <c r="B480" s="238" t="s">
        <v>52</v>
      </c>
      <c r="C480" s="238" t="s">
        <v>72</v>
      </c>
      <c r="D480" s="243" t="s">
        <v>337</v>
      </c>
      <c r="E480" s="243" t="str">
        <f>+'CUOTA ARTESANAL'!E349</f>
        <v>PUNTA DEL ESTE I (966953)</v>
      </c>
      <c r="F480" s="238" t="s">
        <v>57</v>
      </c>
      <c r="G480" s="238" t="s">
        <v>58</v>
      </c>
      <c r="H480" s="253">
        <f>'CUOTA ARTESANAL'!G350</f>
        <v>5.2939999999999996</v>
      </c>
      <c r="I480" s="253">
        <f>'CUOTA ARTESANAL'!H350</f>
        <v>0</v>
      </c>
      <c r="J480" s="253">
        <f>'CUOTA ARTESANAL'!I350</f>
        <v>8.3929999999999989</v>
      </c>
      <c r="K480" s="253">
        <f>'CUOTA ARTESANAL'!J350</f>
        <v>3.4090000000000003</v>
      </c>
      <c r="L480" s="253">
        <f>'CUOTA ARTESANAL'!K350</f>
        <v>4.9839999999999982</v>
      </c>
      <c r="M480" s="254">
        <f>'CUOTA ARTESANAL'!L350</f>
        <v>0.40617180984153467</v>
      </c>
      <c r="N480" s="240" t="str">
        <f>'CUOTA ARTESANAL'!M350</f>
        <v>-</v>
      </c>
      <c r="O480" s="241">
        <f>RESUMEN!$C$4</f>
        <v>44561</v>
      </c>
      <c r="P480" s="233">
        <v>2021</v>
      </c>
      <c r="Q480" s="233"/>
    </row>
    <row r="481" spans="1:17" ht="15.75" customHeight="1">
      <c r="A481" s="238" t="s">
        <v>51</v>
      </c>
      <c r="B481" s="238" t="s">
        <v>52</v>
      </c>
      <c r="C481" s="238" t="s">
        <v>72</v>
      </c>
      <c r="D481" s="243" t="s">
        <v>337</v>
      </c>
      <c r="E481" s="243" t="str">
        <f>+'CUOTA ARTESANAL'!E349</f>
        <v>PUNTA DEL ESTE I (966953)</v>
      </c>
      <c r="F481" s="238" t="s">
        <v>54</v>
      </c>
      <c r="G481" s="238" t="s">
        <v>58</v>
      </c>
      <c r="H481" s="253">
        <f>'CUOTA ARTESANAL'!N349</f>
        <v>10.587999999999999</v>
      </c>
      <c r="I481" s="253">
        <f>'CUOTA ARTESANAL'!O349</f>
        <v>0</v>
      </c>
      <c r="J481" s="253">
        <f>'CUOTA ARTESANAL'!P349</f>
        <v>10.587999999999999</v>
      </c>
      <c r="K481" s="253">
        <f>'CUOTA ARTESANAL'!Q349</f>
        <v>5.6040000000000001</v>
      </c>
      <c r="L481" s="253">
        <f>'CUOTA ARTESANAL'!R349</f>
        <v>4.9839999999999991</v>
      </c>
      <c r="M481" s="254">
        <f>'CUOTA ARTESANAL'!S349</f>
        <v>0.52927842840952022</v>
      </c>
      <c r="N481" s="240" t="s">
        <v>218</v>
      </c>
      <c r="O481" s="241">
        <f>RESUMEN!$C$4</f>
        <v>44561</v>
      </c>
      <c r="P481" s="233">
        <v>2021</v>
      </c>
      <c r="Q481" s="233"/>
    </row>
    <row r="482" spans="1:17" ht="15.75" customHeight="1">
      <c r="A482" s="238" t="s">
        <v>51</v>
      </c>
      <c r="B482" s="238" t="s">
        <v>52</v>
      </c>
      <c r="C482" s="238" t="s">
        <v>72</v>
      </c>
      <c r="D482" s="243" t="s">
        <v>337</v>
      </c>
      <c r="E482" s="243" t="str">
        <f>+'CUOTA ARTESANAL'!E351</f>
        <v>RAYO DE SOL IV (965226)</v>
      </c>
      <c r="F482" s="238" t="s">
        <v>54</v>
      </c>
      <c r="G482" s="238" t="s">
        <v>56</v>
      </c>
      <c r="H482" s="253">
        <f>'CUOTA ARTESANAL'!G351</f>
        <v>5.2910000000000004</v>
      </c>
      <c r="I482" s="253">
        <f>'CUOTA ARTESANAL'!H351</f>
        <v>8</v>
      </c>
      <c r="J482" s="253">
        <f>'CUOTA ARTESANAL'!I351</f>
        <v>13.291</v>
      </c>
      <c r="K482" s="253">
        <f>'CUOTA ARTESANAL'!J351</f>
        <v>6.7410000000000005</v>
      </c>
      <c r="L482" s="253">
        <f>'CUOTA ARTESANAL'!K351</f>
        <v>6.55</v>
      </c>
      <c r="M482" s="254">
        <f>'CUOTA ARTESANAL'!L351</f>
        <v>0.50718531336994965</v>
      </c>
      <c r="N482" s="240" t="str">
        <f>'CUOTA ARTESANAL'!M351</f>
        <v>-</v>
      </c>
      <c r="O482" s="241">
        <f>RESUMEN!$C$4</f>
        <v>44561</v>
      </c>
      <c r="P482" s="233">
        <v>2021</v>
      </c>
      <c r="Q482" s="233"/>
    </row>
    <row r="483" spans="1:17" ht="15.75" customHeight="1">
      <c r="A483" s="238" t="s">
        <v>51</v>
      </c>
      <c r="B483" s="238" t="s">
        <v>52</v>
      </c>
      <c r="C483" s="238" t="s">
        <v>72</v>
      </c>
      <c r="D483" s="243" t="s">
        <v>337</v>
      </c>
      <c r="E483" s="243" t="str">
        <f>+'CUOTA ARTESANAL'!E351</f>
        <v>RAYO DE SOL IV (965226)</v>
      </c>
      <c r="F483" s="238" t="s">
        <v>57</v>
      </c>
      <c r="G483" s="238" t="s">
        <v>58</v>
      </c>
      <c r="H483" s="253">
        <f>'CUOTA ARTESANAL'!G352</f>
        <v>5.2910000000000004</v>
      </c>
      <c r="I483" s="253">
        <f>'CUOTA ARTESANAL'!H352</f>
        <v>6</v>
      </c>
      <c r="J483" s="253">
        <f>'CUOTA ARTESANAL'!I352</f>
        <v>17.841000000000001</v>
      </c>
      <c r="K483" s="253">
        <f>'CUOTA ARTESANAL'!J352</f>
        <v>7.06</v>
      </c>
      <c r="L483" s="253">
        <f>'CUOTA ARTESANAL'!K352</f>
        <v>10.781000000000002</v>
      </c>
      <c r="M483" s="254">
        <f>'CUOTA ARTESANAL'!L352</f>
        <v>0.39571772882685946</v>
      </c>
      <c r="N483" s="240" t="str">
        <f>'CUOTA ARTESANAL'!M352</f>
        <v>-</v>
      </c>
      <c r="O483" s="241">
        <f>RESUMEN!$C$4</f>
        <v>44561</v>
      </c>
      <c r="P483" s="233">
        <v>2021</v>
      </c>
      <c r="Q483" s="233"/>
    </row>
    <row r="484" spans="1:17" ht="15.75" customHeight="1">
      <c r="A484" s="238" t="s">
        <v>51</v>
      </c>
      <c r="B484" s="238" t="s">
        <v>52</v>
      </c>
      <c r="C484" s="238" t="s">
        <v>72</v>
      </c>
      <c r="D484" s="243" t="s">
        <v>337</v>
      </c>
      <c r="E484" s="243" t="str">
        <f>+'CUOTA ARTESANAL'!E351</f>
        <v>RAYO DE SOL IV (965226)</v>
      </c>
      <c r="F484" s="238" t="s">
        <v>54</v>
      </c>
      <c r="G484" s="238" t="s">
        <v>58</v>
      </c>
      <c r="H484" s="253">
        <f>'CUOTA ARTESANAL'!N351</f>
        <v>10.582000000000001</v>
      </c>
      <c r="I484" s="253">
        <f>'CUOTA ARTESANAL'!O351</f>
        <v>14</v>
      </c>
      <c r="J484" s="253">
        <f>'CUOTA ARTESANAL'!P351</f>
        <v>24.582000000000001</v>
      </c>
      <c r="K484" s="253">
        <f>'CUOTA ARTESANAL'!Q351</f>
        <v>13.801</v>
      </c>
      <c r="L484" s="253">
        <f>'CUOTA ARTESANAL'!R351</f>
        <v>10.781000000000001</v>
      </c>
      <c r="M484" s="254">
        <f>'CUOTA ARTESANAL'!S351</f>
        <v>0.56142706045073631</v>
      </c>
      <c r="N484" s="240" t="s">
        <v>218</v>
      </c>
      <c r="O484" s="241">
        <f>RESUMEN!$C$4</f>
        <v>44561</v>
      </c>
      <c r="P484" s="233">
        <v>2021</v>
      </c>
      <c r="Q484" s="233"/>
    </row>
    <row r="485" spans="1:17" ht="15.75" customHeight="1">
      <c r="A485" s="238" t="s">
        <v>51</v>
      </c>
      <c r="B485" s="238" t="s">
        <v>52</v>
      </c>
      <c r="C485" s="238" t="s">
        <v>72</v>
      </c>
      <c r="D485" s="243" t="s">
        <v>337</v>
      </c>
      <c r="E485" s="243" t="str">
        <f>+'CUOTA ARTESANAL'!E353</f>
        <v>RAYO IV (966787)</v>
      </c>
      <c r="F485" s="238" t="s">
        <v>54</v>
      </c>
      <c r="G485" s="238" t="s">
        <v>56</v>
      </c>
      <c r="H485" s="253">
        <f>'CUOTA ARTESANAL'!G353</f>
        <v>5.2919999999999998</v>
      </c>
      <c r="I485" s="253">
        <f>'CUOTA ARTESANAL'!H353</f>
        <v>0</v>
      </c>
      <c r="J485" s="253">
        <f>'CUOTA ARTESANAL'!I353</f>
        <v>5.2919999999999998</v>
      </c>
      <c r="K485" s="253">
        <f>'CUOTA ARTESANAL'!J353</f>
        <v>4.9500000000000011</v>
      </c>
      <c r="L485" s="253">
        <f>'CUOTA ARTESANAL'!K353</f>
        <v>0.34199999999999875</v>
      </c>
      <c r="M485" s="254">
        <f>'CUOTA ARTESANAL'!L353</f>
        <v>0.93537414965986421</v>
      </c>
      <c r="N485" s="240" t="str">
        <f>'CUOTA ARTESANAL'!M353</f>
        <v>-</v>
      </c>
      <c r="O485" s="241">
        <f>RESUMEN!$C$4</f>
        <v>44561</v>
      </c>
      <c r="P485" s="233">
        <v>2021</v>
      </c>
      <c r="Q485" s="233"/>
    </row>
    <row r="486" spans="1:17" ht="15.75" customHeight="1">
      <c r="A486" s="238" t="s">
        <v>51</v>
      </c>
      <c r="B486" s="238" t="s">
        <v>52</v>
      </c>
      <c r="C486" s="238" t="s">
        <v>72</v>
      </c>
      <c r="D486" s="243" t="s">
        <v>337</v>
      </c>
      <c r="E486" s="243" t="str">
        <f>+'CUOTA ARTESANAL'!E353</f>
        <v>RAYO IV (966787)</v>
      </c>
      <c r="F486" s="238" t="s">
        <v>57</v>
      </c>
      <c r="G486" s="238" t="s">
        <v>58</v>
      </c>
      <c r="H486" s="253">
        <f>'CUOTA ARTESANAL'!G354</f>
        <v>5.2919999999999998</v>
      </c>
      <c r="I486" s="253">
        <f>'CUOTA ARTESANAL'!H354</f>
        <v>10</v>
      </c>
      <c r="J486" s="253">
        <f>'CUOTA ARTESANAL'!I354</f>
        <v>15.633999999999999</v>
      </c>
      <c r="K486" s="253">
        <f>'CUOTA ARTESANAL'!J354</f>
        <v>9.6750000000000007</v>
      </c>
      <c r="L486" s="253">
        <f>'CUOTA ARTESANAL'!K354</f>
        <v>5.9589999999999979</v>
      </c>
      <c r="M486" s="254">
        <f>'CUOTA ARTESANAL'!L354</f>
        <v>0.61884354611743642</v>
      </c>
      <c r="N486" s="240" t="str">
        <f>'CUOTA ARTESANAL'!M354</f>
        <v>-</v>
      </c>
      <c r="O486" s="241">
        <f>RESUMEN!$C$4</f>
        <v>44561</v>
      </c>
      <c r="P486" s="233">
        <v>2021</v>
      </c>
      <c r="Q486" s="233"/>
    </row>
    <row r="487" spans="1:17" ht="15.75" customHeight="1">
      <c r="A487" s="238" t="s">
        <v>51</v>
      </c>
      <c r="B487" s="238" t="s">
        <v>52</v>
      </c>
      <c r="C487" s="238" t="s">
        <v>72</v>
      </c>
      <c r="D487" s="243" t="s">
        <v>337</v>
      </c>
      <c r="E487" s="243" t="str">
        <f>+'CUOTA ARTESANAL'!E353</f>
        <v>RAYO IV (966787)</v>
      </c>
      <c r="F487" s="238" t="s">
        <v>54</v>
      </c>
      <c r="G487" s="238" t="s">
        <v>58</v>
      </c>
      <c r="H487" s="253">
        <f>'CUOTA ARTESANAL'!N353</f>
        <v>10.584</v>
      </c>
      <c r="I487" s="253">
        <f>'CUOTA ARTESANAL'!O353</f>
        <v>10</v>
      </c>
      <c r="J487" s="253">
        <f>'CUOTA ARTESANAL'!P353</f>
        <v>20.584</v>
      </c>
      <c r="K487" s="253">
        <f>'CUOTA ARTESANAL'!Q353</f>
        <v>14.625000000000002</v>
      </c>
      <c r="L487" s="253">
        <f>'CUOTA ARTESANAL'!R353</f>
        <v>5.9589999999999979</v>
      </c>
      <c r="M487" s="254">
        <f>'CUOTA ARTESANAL'!S353</f>
        <v>0.71050330353672764</v>
      </c>
      <c r="N487" s="240" t="s">
        <v>218</v>
      </c>
      <c r="O487" s="241">
        <f>RESUMEN!$C$4</f>
        <v>44561</v>
      </c>
      <c r="P487" s="233">
        <v>2021</v>
      </c>
      <c r="Q487" s="233"/>
    </row>
    <row r="488" spans="1:17" ht="15.75" customHeight="1">
      <c r="A488" s="238" t="s">
        <v>51</v>
      </c>
      <c r="B488" s="238" t="s">
        <v>52</v>
      </c>
      <c r="C488" s="238" t="s">
        <v>72</v>
      </c>
      <c r="D488" s="243" t="s">
        <v>337</v>
      </c>
      <c r="E488" s="243" t="str">
        <f>+'CUOTA ARTESANAL'!E355</f>
        <v>NAUTILUS III (968827)</v>
      </c>
      <c r="F488" s="238" t="s">
        <v>54</v>
      </c>
      <c r="G488" s="238" t="s">
        <v>56</v>
      </c>
      <c r="H488" s="253">
        <f>'CUOTA ARTESANAL'!G355</f>
        <v>7.9349999999999996</v>
      </c>
      <c r="I488" s="253">
        <f>'CUOTA ARTESANAL'!H355</f>
        <v>0</v>
      </c>
      <c r="J488" s="253">
        <f>'CUOTA ARTESANAL'!I355</f>
        <v>7.9349999999999996</v>
      </c>
      <c r="K488" s="253">
        <f>'CUOTA ARTESANAL'!J355</f>
        <v>5.7710000000000008</v>
      </c>
      <c r="L488" s="253">
        <f>'CUOTA ARTESANAL'!K355</f>
        <v>2.1639999999999988</v>
      </c>
      <c r="M488" s="254">
        <f>'CUOTA ARTESANAL'!L355</f>
        <v>0.7272841839949592</v>
      </c>
      <c r="N488" s="240">
        <f>'CUOTA ARTESANAL'!M355</f>
        <v>44334</v>
      </c>
      <c r="O488" s="241">
        <f>RESUMEN!$C$4</f>
        <v>44561</v>
      </c>
      <c r="P488" s="233">
        <v>2021</v>
      </c>
      <c r="Q488" s="233"/>
    </row>
    <row r="489" spans="1:17" ht="15.75" customHeight="1">
      <c r="A489" s="238" t="s">
        <v>51</v>
      </c>
      <c r="B489" s="238" t="s">
        <v>52</v>
      </c>
      <c r="C489" s="238" t="s">
        <v>72</v>
      </c>
      <c r="D489" s="243" t="s">
        <v>337</v>
      </c>
      <c r="E489" s="243" t="str">
        <f>+'CUOTA ARTESANAL'!E355</f>
        <v>NAUTILUS III (968827)</v>
      </c>
      <c r="F489" s="238" t="s">
        <v>57</v>
      </c>
      <c r="G489" s="238" t="s">
        <v>58</v>
      </c>
      <c r="H489" s="253">
        <f>'CUOTA ARTESANAL'!G356</f>
        <v>2.645</v>
      </c>
      <c r="I489" s="253">
        <f>'CUOTA ARTESANAL'!H356</f>
        <v>0</v>
      </c>
      <c r="J489" s="253">
        <f>'CUOTA ARTESANAL'!I356</f>
        <v>4.8089999999999993</v>
      </c>
      <c r="K489" s="253">
        <f>'CUOTA ARTESANAL'!J356</f>
        <v>0.86699999999999999</v>
      </c>
      <c r="L489" s="253">
        <f>'CUOTA ARTESANAL'!K356</f>
        <v>3.9419999999999993</v>
      </c>
      <c r="M489" s="254">
        <f>'CUOTA ARTESANAL'!L356</f>
        <v>0.1802869619463506</v>
      </c>
      <c r="N489" s="240" t="str">
        <f>'CUOTA ARTESANAL'!M356</f>
        <v>-</v>
      </c>
      <c r="O489" s="241">
        <f>RESUMEN!$C$4</f>
        <v>44561</v>
      </c>
      <c r="P489" s="233">
        <v>2021</v>
      </c>
      <c r="Q489" s="233"/>
    </row>
    <row r="490" spans="1:17" ht="15.75" customHeight="1">
      <c r="A490" s="238" t="s">
        <v>51</v>
      </c>
      <c r="B490" s="238" t="s">
        <v>52</v>
      </c>
      <c r="C490" s="238" t="s">
        <v>72</v>
      </c>
      <c r="D490" s="243" t="s">
        <v>337</v>
      </c>
      <c r="E490" s="243" t="str">
        <f>+'CUOTA ARTESANAL'!E355</f>
        <v>NAUTILUS III (968827)</v>
      </c>
      <c r="F490" s="238" t="s">
        <v>54</v>
      </c>
      <c r="G490" s="238" t="s">
        <v>58</v>
      </c>
      <c r="H490" s="253">
        <f>'CUOTA ARTESANAL'!N355</f>
        <v>10.58</v>
      </c>
      <c r="I490" s="253">
        <f>'CUOTA ARTESANAL'!O355</f>
        <v>0</v>
      </c>
      <c r="J490" s="253">
        <f>'CUOTA ARTESANAL'!P355</f>
        <v>10.58</v>
      </c>
      <c r="K490" s="253">
        <f>'CUOTA ARTESANAL'!Q355</f>
        <v>6.6380000000000008</v>
      </c>
      <c r="L490" s="253">
        <f>'CUOTA ARTESANAL'!R355</f>
        <v>3.9419999999999993</v>
      </c>
      <c r="M490" s="254">
        <f>'CUOTA ARTESANAL'!S355</f>
        <v>0.62741020793950852</v>
      </c>
      <c r="N490" s="240" t="s">
        <v>218</v>
      </c>
      <c r="O490" s="241">
        <f>RESUMEN!$C$4</f>
        <v>44561</v>
      </c>
      <c r="P490" s="233">
        <v>2021</v>
      </c>
      <c r="Q490" s="233"/>
    </row>
    <row r="491" spans="1:17" ht="15.75" customHeight="1">
      <c r="A491" s="238" t="s">
        <v>51</v>
      </c>
      <c r="B491" s="238" t="s">
        <v>52</v>
      </c>
      <c r="C491" s="238" t="s">
        <v>72</v>
      </c>
      <c r="D491" s="243" t="s">
        <v>337</v>
      </c>
      <c r="E491" s="243" t="str">
        <f>+'CUOTA ARTESANAL'!E357</f>
        <v>SANTA OLGA III (966443)</v>
      </c>
      <c r="F491" s="238" t="s">
        <v>54</v>
      </c>
      <c r="G491" s="238" t="s">
        <v>56</v>
      </c>
      <c r="H491" s="253">
        <f>'CUOTA ARTESANAL'!G357</f>
        <v>7.9379999999999997</v>
      </c>
      <c r="I491" s="253">
        <f>'CUOTA ARTESANAL'!H357</f>
        <v>0</v>
      </c>
      <c r="J491" s="253">
        <f>'CUOTA ARTESANAL'!I357</f>
        <v>7.9379999999999997</v>
      </c>
      <c r="K491" s="253">
        <f>'CUOTA ARTESANAL'!J357</f>
        <v>6.0780000000000012</v>
      </c>
      <c r="L491" s="253">
        <f>'CUOTA ARTESANAL'!K357</f>
        <v>1.8599999999999985</v>
      </c>
      <c r="M491" s="254">
        <f>'CUOTA ARTESANAL'!L357</f>
        <v>0.76568405139833728</v>
      </c>
      <c r="N491" s="240" t="str">
        <f>'CUOTA ARTESANAL'!M357</f>
        <v>-</v>
      </c>
      <c r="O491" s="241">
        <f>RESUMEN!$C$4</f>
        <v>44561</v>
      </c>
      <c r="P491" s="233">
        <v>2021</v>
      </c>
      <c r="Q491" s="233"/>
    </row>
    <row r="492" spans="1:17" ht="15.75" customHeight="1">
      <c r="A492" s="238" t="s">
        <v>51</v>
      </c>
      <c r="B492" s="238" t="s">
        <v>52</v>
      </c>
      <c r="C492" s="238" t="s">
        <v>72</v>
      </c>
      <c r="D492" s="243" t="s">
        <v>337</v>
      </c>
      <c r="E492" s="243" t="str">
        <f>+'CUOTA ARTESANAL'!E357</f>
        <v>SANTA OLGA III (966443)</v>
      </c>
      <c r="F492" s="238" t="s">
        <v>57</v>
      </c>
      <c r="G492" s="238" t="s">
        <v>58</v>
      </c>
      <c r="H492" s="253">
        <f>'CUOTA ARTESANAL'!G358</f>
        <v>2.6459999999999999</v>
      </c>
      <c r="I492" s="253">
        <f>'CUOTA ARTESANAL'!H358</f>
        <v>0</v>
      </c>
      <c r="J492" s="253">
        <f>'CUOTA ARTESANAL'!I358</f>
        <v>4.5059999999999985</v>
      </c>
      <c r="K492" s="253">
        <f>'CUOTA ARTESANAL'!J358</f>
        <v>3.0259999999999998</v>
      </c>
      <c r="L492" s="253">
        <f>'CUOTA ARTESANAL'!K358</f>
        <v>1.4799999999999986</v>
      </c>
      <c r="M492" s="254">
        <f>'CUOTA ARTESANAL'!L358</f>
        <v>0.67154904571682217</v>
      </c>
      <c r="N492" s="240" t="str">
        <f>'CUOTA ARTESANAL'!M358</f>
        <v>-</v>
      </c>
      <c r="O492" s="241">
        <f>RESUMEN!$C$4</f>
        <v>44561</v>
      </c>
      <c r="P492" s="233">
        <v>2021</v>
      </c>
      <c r="Q492" s="233"/>
    </row>
    <row r="493" spans="1:17" ht="15.75" customHeight="1">
      <c r="A493" s="238" t="s">
        <v>51</v>
      </c>
      <c r="B493" s="238" t="s">
        <v>52</v>
      </c>
      <c r="C493" s="238" t="s">
        <v>72</v>
      </c>
      <c r="D493" s="243" t="s">
        <v>337</v>
      </c>
      <c r="E493" s="243" t="str">
        <f>+'CUOTA ARTESANAL'!E357</f>
        <v>SANTA OLGA III (966443)</v>
      </c>
      <c r="F493" s="238" t="s">
        <v>54</v>
      </c>
      <c r="G493" s="238" t="s">
        <v>58</v>
      </c>
      <c r="H493" s="253">
        <f>'CUOTA ARTESANAL'!N357</f>
        <v>10.584</v>
      </c>
      <c r="I493" s="253">
        <f>'CUOTA ARTESANAL'!O357</f>
        <v>0</v>
      </c>
      <c r="J493" s="253">
        <f>'CUOTA ARTESANAL'!P357</f>
        <v>10.584</v>
      </c>
      <c r="K493" s="253">
        <f>'CUOTA ARTESANAL'!Q357</f>
        <v>9.104000000000001</v>
      </c>
      <c r="L493" s="253">
        <f>'CUOTA ARTESANAL'!R357</f>
        <v>1.4799999999999986</v>
      </c>
      <c r="M493" s="254">
        <f>'CUOTA ARTESANAL'!S357</f>
        <v>0.86016628873771739</v>
      </c>
      <c r="N493" s="240" t="s">
        <v>218</v>
      </c>
      <c r="O493" s="241">
        <f>RESUMEN!$C$4</f>
        <v>44561</v>
      </c>
      <c r="P493" s="233">
        <v>2021</v>
      </c>
      <c r="Q493" s="233"/>
    </row>
    <row r="494" spans="1:17" ht="15.75" customHeight="1">
      <c r="A494" s="238" t="s">
        <v>51</v>
      </c>
      <c r="B494" s="238" t="s">
        <v>52</v>
      </c>
      <c r="C494" s="238" t="s">
        <v>72</v>
      </c>
      <c r="D494" s="243" t="s">
        <v>337</v>
      </c>
      <c r="E494" s="243" t="str">
        <f>+'CUOTA ARTESANAL'!E359</f>
        <v>SIMBAD EL MARINO VI (967018)</v>
      </c>
      <c r="F494" s="238" t="s">
        <v>54</v>
      </c>
      <c r="G494" s="238" t="s">
        <v>56</v>
      </c>
      <c r="H494" s="253">
        <f>'CUOTA ARTESANAL'!G359</f>
        <v>5.2910000000000004</v>
      </c>
      <c r="I494" s="253">
        <f>'CUOTA ARTESANAL'!H359</f>
        <v>0</v>
      </c>
      <c r="J494" s="253">
        <f>'CUOTA ARTESANAL'!I359</f>
        <v>5.2910000000000004</v>
      </c>
      <c r="K494" s="253">
        <f>'CUOTA ARTESANAL'!J359</f>
        <v>4.4240000000000004</v>
      </c>
      <c r="L494" s="253">
        <f>'CUOTA ARTESANAL'!K359</f>
        <v>0.86699999999999999</v>
      </c>
      <c r="M494" s="254">
        <f>'CUOTA ARTESANAL'!L359</f>
        <v>0.8361368361368362</v>
      </c>
      <c r="N494" s="240" t="str">
        <f>'CUOTA ARTESANAL'!M359</f>
        <v>-</v>
      </c>
      <c r="O494" s="241">
        <f>RESUMEN!$C$4</f>
        <v>44561</v>
      </c>
      <c r="P494" s="233">
        <v>2021</v>
      </c>
      <c r="Q494" s="233"/>
    </row>
    <row r="495" spans="1:17" ht="15.75" customHeight="1">
      <c r="A495" s="238" t="s">
        <v>51</v>
      </c>
      <c r="B495" s="238" t="s">
        <v>52</v>
      </c>
      <c r="C495" s="238" t="s">
        <v>72</v>
      </c>
      <c r="D495" s="243" t="s">
        <v>337</v>
      </c>
      <c r="E495" s="243" t="str">
        <f>+'CUOTA ARTESANAL'!E359</f>
        <v>SIMBAD EL MARINO VI (967018)</v>
      </c>
      <c r="F495" s="238" t="s">
        <v>57</v>
      </c>
      <c r="G495" s="238" t="s">
        <v>58</v>
      </c>
      <c r="H495" s="253">
        <f>'CUOTA ARTESANAL'!G360</f>
        <v>5.2910000000000004</v>
      </c>
      <c r="I495" s="253">
        <f>'CUOTA ARTESANAL'!H360</f>
        <v>0</v>
      </c>
      <c r="J495" s="253">
        <f>'CUOTA ARTESANAL'!I360</f>
        <v>6.1580000000000004</v>
      </c>
      <c r="K495" s="253">
        <f>'CUOTA ARTESANAL'!J360</f>
        <v>5.9950000000000001</v>
      </c>
      <c r="L495" s="253">
        <f>'CUOTA ARTESANAL'!K360</f>
        <v>0.16300000000000026</v>
      </c>
      <c r="M495" s="254">
        <f>'CUOTA ARTESANAL'!L360</f>
        <v>0.97353036700227347</v>
      </c>
      <c r="N495" s="240">
        <f>'CUOTA ARTESANAL'!M360</f>
        <v>44560</v>
      </c>
      <c r="O495" s="241">
        <f>RESUMEN!$C$4</f>
        <v>44561</v>
      </c>
      <c r="P495" s="233">
        <v>2021</v>
      </c>
      <c r="Q495" s="233"/>
    </row>
    <row r="496" spans="1:17" ht="15.75" customHeight="1">
      <c r="A496" s="238" t="s">
        <v>51</v>
      </c>
      <c r="B496" s="238" t="s">
        <v>52</v>
      </c>
      <c r="C496" s="238" t="s">
        <v>72</v>
      </c>
      <c r="D496" s="243" t="s">
        <v>337</v>
      </c>
      <c r="E496" s="243" t="str">
        <f>+'CUOTA ARTESANAL'!E359</f>
        <v>SIMBAD EL MARINO VI (967018)</v>
      </c>
      <c r="F496" s="238" t="s">
        <v>54</v>
      </c>
      <c r="G496" s="238" t="s">
        <v>58</v>
      </c>
      <c r="H496" s="253">
        <f>'CUOTA ARTESANAL'!N359</f>
        <v>10.582000000000001</v>
      </c>
      <c r="I496" s="253">
        <f>'CUOTA ARTESANAL'!O359</f>
        <v>0</v>
      </c>
      <c r="J496" s="253">
        <f>'CUOTA ARTESANAL'!P359</f>
        <v>10.582000000000001</v>
      </c>
      <c r="K496" s="253">
        <f>'CUOTA ARTESANAL'!Q359</f>
        <v>10.419</v>
      </c>
      <c r="L496" s="253">
        <f>'CUOTA ARTESANAL'!R359</f>
        <v>0.16300000000000026</v>
      </c>
      <c r="M496" s="254">
        <f>'CUOTA ARTESANAL'!S359</f>
        <v>0.98459648459648452</v>
      </c>
      <c r="N496" s="240" t="s">
        <v>218</v>
      </c>
      <c r="O496" s="241">
        <f>RESUMEN!$C$4</f>
        <v>44561</v>
      </c>
      <c r="P496" s="233">
        <v>2021</v>
      </c>
      <c r="Q496" s="233"/>
    </row>
    <row r="497" spans="1:17" ht="15.75" customHeight="1">
      <c r="A497" s="238" t="s">
        <v>51</v>
      </c>
      <c r="B497" s="238" t="s">
        <v>52</v>
      </c>
      <c r="C497" s="238" t="s">
        <v>72</v>
      </c>
      <c r="D497" s="243" t="s">
        <v>337</v>
      </c>
      <c r="E497" s="243" t="str">
        <f>+'CUOTA ARTESANAL'!E361</f>
        <v>ADONAI ALEJEIM (969227)</v>
      </c>
      <c r="F497" s="238" t="s">
        <v>54</v>
      </c>
      <c r="G497" s="238" t="s">
        <v>56</v>
      </c>
      <c r="H497" s="253">
        <f>'CUOTA ARTESANAL'!G361</f>
        <v>5.2910000000000004</v>
      </c>
      <c r="I497" s="253">
        <f>'CUOTA ARTESANAL'!H361</f>
        <v>0</v>
      </c>
      <c r="J497" s="253">
        <f>'CUOTA ARTESANAL'!I361</f>
        <v>5.2910000000000004</v>
      </c>
      <c r="K497" s="253">
        <f>'CUOTA ARTESANAL'!J361</f>
        <v>5.27</v>
      </c>
      <c r="L497" s="253">
        <f>'CUOTA ARTESANAL'!K361</f>
        <v>2.1000000000000796E-2</v>
      </c>
      <c r="M497" s="254">
        <f>'CUOTA ARTESANAL'!L361</f>
        <v>0.99603099603099587</v>
      </c>
      <c r="N497" s="239" t="str">
        <f>'CUOTA ARTESANAL'!M361</f>
        <v>-</v>
      </c>
      <c r="O497" s="241">
        <f>RESUMEN!$C$4</f>
        <v>44561</v>
      </c>
      <c r="P497" s="233">
        <v>2021</v>
      </c>
      <c r="Q497" s="233"/>
    </row>
    <row r="498" spans="1:17" ht="15.75" customHeight="1">
      <c r="A498" s="238" t="s">
        <v>51</v>
      </c>
      <c r="B498" s="238" t="s">
        <v>52</v>
      </c>
      <c r="C498" s="238" t="s">
        <v>72</v>
      </c>
      <c r="D498" s="243" t="s">
        <v>337</v>
      </c>
      <c r="E498" s="243" t="str">
        <f>+'CUOTA ARTESANAL'!E361</f>
        <v>ADONAI ALEJEIM (969227)</v>
      </c>
      <c r="F498" s="238" t="s">
        <v>57</v>
      </c>
      <c r="G498" s="238" t="s">
        <v>58</v>
      </c>
      <c r="H498" s="253">
        <f>'CUOTA ARTESANAL'!G362</f>
        <v>5.2910000000000004</v>
      </c>
      <c r="I498" s="253">
        <f>'CUOTA ARTESANAL'!H362</f>
        <v>0</v>
      </c>
      <c r="J498" s="253">
        <f>'CUOTA ARTESANAL'!I362</f>
        <v>5.3120000000000012</v>
      </c>
      <c r="K498" s="253">
        <f>'CUOTA ARTESANAL'!J362</f>
        <v>2</v>
      </c>
      <c r="L498" s="253">
        <f>'CUOTA ARTESANAL'!K362</f>
        <v>3.3120000000000012</v>
      </c>
      <c r="M498" s="254">
        <f>'CUOTA ARTESANAL'!L362</f>
        <v>0.37650602409638545</v>
      </c>
      <c r="N498" s="239" t="str">
        <f>'CUOTA ARTESANAL'!M362</f>
        <v>-</v>
      </c>
      <c r="O498" s="241">
        <f>RESUMEN!$C$4</f>
        <v>44561</v>
      </c>
      <c r="P498" s="233">
        <v>2021</v>
      </c>
      <c r="Q498" s="233"/>
    </row>
    <row r="499" spans="1:17" ht="15.75" customHeight="1">
      <c r="A499" s="238" t="s">
        <v>51</v>
      </c>
      <c r="B499" s="238" t="s">
        <v>52</v>
      </c>
      <c r="C499" s="238" t="s">
        <v>72</v>
      </c>
      <c r="D499" s="243" t="s">
        <v>337</v>
      </c>
      <c r="E499" s="243" t="str">
        <f>+'CUOTA ARTESANAL'!E361</f>
        <v>ADONAI ALEJEIM (969227)</v>
      </c>
      <c r="F499" s="238" t="s">
        <v>54</v>
      </c>
      <c r="G499" s="238" t="s">
        <v>58</v>
      </c>
      <c r="H499" s="253">
        <f>'CUOTA ARTESANAL'!N361</f>
        <v>10.582000000000001</v>
      </c>
      <c r="I499" s="253">
        <f>'CUOTA ARTESANAL'!O361</f>
        <v>0</v>
      </c>
      <c r="J499" s="253">
        <f>'CUOTA ARTESANAL'!P361</f>
        <v>10.582000000000001</v>
      </c>
      <c r="K499" s="253">
        <f>'CUOTA ARTESANAL'!Q361</f>
        <v>7.27</v>
      </c>
      <c r="L499" s="253">
        <f>'CUOTA ARTESANAL'!R361</f>
        <v>3.3120000000000012</v>
      </c>
      <c r="M499" s="254">
        <f>'CUOTA ARTESANAL'!S361</f>
        <v>0.68701568701568694</v>
      </c>
      <c r="N499" s="240" t="s">
        <v>218</v>
      </c>
      <c r="O499" s="241">
        <f>RESUMEN!$C$4</f>
        <v>44561</v>
      </c>
      <c r="P499" s="233">
        <v>2021</v>
      </c>
      <c r="Q499" s="233"/>
    </row>
    <row r="500" spans="1:17" ht="15.75" customHeight="1">
      <c r="A500" s="238" t="s">
        <v>51</v>
      </c>
      <c r="B500" s="238" t="s">
        <v>52</v>
      </c>
      <c r="C500" s="238" t="s">
        <v>72</v>
      </c>
      <c r="D500" s="243" t="s">
        <v>337</v>
      </c>
      <c r="E500" s="243" t="str">
        <f>+'CUOTA ARTESANAL'!E363</f>
        <v>AQUILES VI (966275)</v>
      </c>
      <c r="F500" s="238" t="s">
        <v>54</v>
      </c>
      <c r="G500" s="238" t="s">
        <v>56</v>
      </c>
      <c r="H500" s="253">
        <f>'CUOTA ARTESANAL'!G363</f>
        <v>5.29</v>
      </c>
      <c r="I500" s="253">
        <f>'CUOTA ARTESANAL'!H363</f>
        <v>0</v>
      </c>
      <c r="J500" s="253">
        <f>'CUOTA ARTESANAL'!I363</f>
        <v>5.29</v>
      </c>
      <c r="K500" s="253">
        <f>'CUOTA ARTESANAL'!J363</f>
        <v>5.5549999999999997</v>
      </c>
      <c r="L500" s="253">
        <f>'CUOTA ARTESANAL'!K363</f>
        <v>-0.26499999999999968</v>
      </c>
      <c r="M500" s="254">
        <f>'CUOTA ARTESANAL'!L363</f>
        <v>1.050094517958412</v>
      </c>
      <c r="N500" s="239" t="str">
        <f>'CUOTA ARTESANAL'!M363</f>
        <v>-</v>
      </c>
      <c r="O500" s="241">
        <f>RESUMEN!$C$4</f>
        <v>44561</v>
      </c>
      <c r="P500" s="233">
        <v>2021</v>
      </c>
      <c r="Q500" s="233"/>
    </row>
    <row r="501" spans="1:17" ht="15.75" customHeight="1">
      <c r="A501" s="238" t="s">
        <v>51</v>
      </c>
      <c r="B501" s="238" t="s">
        <v>52</v>
      </c>
      <c r="C501" s="238" t="s">
        <v>72</v>
      </c>
      <c r="D501" s="243" t="s">
        <v>337</v>
      </c>
      <c r="E501" s="243" t="str">
        <f>+'CUOTA ARTESANAL'!E363</f>
        <v>AQUILES VI (966275)</v>
      </c>
      <c r="F501" s="238" t="s">
        <v>57</v>
      </c>
      <c r="G501" s="238" t="s">
        <v>58</v>
      </c>
      <c r="H501" s="253">
        <f>'CUOTA ARTESANAL'!G364</f>
        <v>5.29</v>
      </c>
      <c r="I501" s="253">
        <f>'CUOTA ARTESANAL'!H364</f>
        <v>0</v>
      </c>
      <c r="J501" s="253">
        <f>'CUOTA ARTESANAL'!I364</f>
        <v>5.0250000000000004</v>
      </c>
      <c r="K501" s="253">
        <f>'CUOTA ARTESANAL'!J364</f>
        <v>2.1349999999999998</v>
      </c>
      <c r="L501" s="253">
        <f>'CUOTA ARTESANAL'!K364</f>
        <v>2.8900000000000006</v>
      </c>
      <c r="M501" s="254">
        <f>'CUOTA ARTESANAL'!L364</f>
        <v>0.42487562189054717</v>
      </c>
      <c r="N501" s="239" t="str">
        <f>'CUOTA ARTESANAL'!M364</f>
        <v>-</v>
      </c>
      <c r="O501" s="241">
        <f>RESUMEN!$C$4</f>
        <v>44561</v>
      </c>
      <c r="P501" s="233">
        <v>2021</v>
      </c>
      <c r="Q501" s="233"/>
    </row>
    <row r="502" spans="1:17" ht="15.75" customHeight="1">
      <c r="A502" s="238" t="s">
        <v>51</v>
      </c>
      <c r="B502" s="238" t="s">
        <v>52</v>
      </c>
      <c r="C502" s="238" t="s">
        <v>72</v>
      </c>
      <c r="D502" s="243" t="s">
        <v>337</v>
      </c>
      <c r="E502" s="243" t="str">
        <f>+'CUOTA ARTESANAL'!E363</f>
        <v>AQUILES VI (966275)</v>
      </c>
      <c r="F502" s="238" t="s">
        <v>54</v>
      </c>
      <c r="G502" s="238" t="s">
        <v>58</v>
      </c>
      <c r="H502" s="253">
        <f>'CUOTA ARTESANAL'!N363</f>
        <v>10.58</v>
      </c>
      <c r="I502" s="253">
        <f>'CUOTA ARTESANAL'!O363</f>
        <v>0</v>
      </c>
      <c r="J502" s="253">
        <f>'CUOTA ARTESANAL'!P363</f>
        <v>10.58</v>
      </c>
      <c r="K502" s="253">
        <f>'CUOTA ARTESANAL'!Q363</f>
        <v>7.6899999999999995</v>
      </c>
      <c r="L502" s="253">
        <f>'CUOTA ARTESANAL'!R363</f>
        <v>2.8900000000000006</v>
      </c>
      <c r="M502" s="254">
        <f>'CUOTA ARTESANAL'!S363</f>
        <v>0.72684310018903586</v>
      </c>
      <c r="N502" s="240" t="s">
        <v>218</v>
      </c>
      <c r="O502" s="241">
        <f>RESUMEN!$C$4</f>
        <v>44561</v>
      </c>
      <c r="P502" s="233">
        <v>2021</v>
      </c>
      <c r="Q502" s="233"/>
    </row>
    <row r="503" spans="1:17" ht="15.75" customHeight="1">
      <c r="A503" s="238" t="s">
        <v>51</v>
      </c>
      <c r="B503" s="238" t="s">
        <v>52</v>
      </c>
      <c r="C503" s="238" t="s">
        <v>72</v>
      </c>
      <c r="D503" s="243" t="s">
        <v>337</v>
      </c>
      <c r="E503" s="243" t="str">
        <f>+'CUOTA ARTESANAL'!E365</f>
        <v>BAYWACHT II (966647)</v>
      </c>
      <c r="F503" s="238" t="s">
        <v>54</v>
      </c>
      <c r="G503" s="238" t="s">
        <v>56</v>
      </c>
      <c r="H503" s="253">
        <f>'CUOTA ARTESANAL'!G365</f>
        <v>5.2919999999999998</v>
      </c>
      <c r="I503" s="253">
        <f>'CUOTA ARTESANAL'!H365</f>
        <v>0</v>
      </c>
      <c r="J503" s="253">
        <f>'CUOTA ARTESANAL'!I365</f>
        <v>5.2919999999999998</v>
      </c>
      <c r="K503" s="253">
        <f>'CUOTA ARTESANAL'!J365</f>
        <v>4.0999999999999996</v>
      </c>
      <c r="L503" s="253">
        <f>'CUOTA ARTESANAL'!K365</f>
        <v>1.1920000000000002</v>
      </c>
      <c r="M503" s="254">
        <f>'CUOTA ARTESANAL'!L365</f>
        <v>0.77475434618291761</v>
      </c>
      <c r="N503" s="239" t="str">
        <f>'CUOTA ARTESANAL'!M365</f>
        <v>-</v>
      </c>
      <c r="O503" s="241">
        <f>RESUMEN!$C$4</f>
        <v>44561</v>
      </c>
      <c r="P503" s="233">
        <v>2021</v>
      </c>
      <c r="Q503" s="233"/>
    </row>
    <row r="504" spans="1:17" ht="15.75" customHeight="1">
      <c r="A504" s="238" t="s">
        <v>51</v>
      </c>
      <c r="B504" s="238" t="s">
        <v>52</v>
      </c>
      <c r="C504" s="238" t="s">
        <v>72</v>
      </c>
      <c r="D504" s="243" t="s">
        <v>337</v>
      </c>
      <c r="E504" s="243" t="str">
        <f>+'CUOTA ARTESANAL'!E365</f>
        <v>BAYWACHT II (966647)</v>
      </c>
      <c r="F504" s="238" t="s">
        <v>57</v>
      </c>
      <c r="G504" s="238" t="s">
        <v>58</v>
      </c>
      <c r="H504" s="253">
        <f>'CUOTA ARTESANAL'!G366</f>
        <v>5.2919999999999998</v>
      </c>
      <c r="I504" s="253">
        <f>'CUOTA ARTESANAL'!H366</f>
        <v>0</v>
      </c>
      <c r="J504" s="253">
        <f>'CUOTA ARTESANAL'!I366</f>
        <v>6.484</v>
      </c>
      <c r="K504" s="253">
        <f>'CUOTA ARTESANAL'!J366</f>
        <v>0</v>
      </c>
      <c r="L504" s="253">
        <f>'CUOTA ARTESANAL'!K366</f>
        <v>6.484</v>
      </c>
      <c r="M504" s="254">
        <f>'CUOTA ARTESANAL'!L366</f>
        <v>0</v>
      </c>
      <c r="N504" s="239" t="str">
        <f>'CUOTA ARTESANAL'!M366</f>
        <v>-</v>
      </c>
      <c r="O504" s="241">
        <f>RESUMEN!$C$4</f>
        <v>44561</v>
      </c>
      <c r="P504" s="233">
        <v>2021</v>
      </c>
      <c r="Q504" s="233"/>
    </row>
    <row r="505" spans="1:17" ht="15.75" customHeight="1">
      <c r="A505" s="238" t="s">
        <v>51</v>
      </c>
      <c r="B505" s="238" t="s">
        <v>52</v>
      </c>
      <c r="C505" s="238" t="s">
        <v>72</v>
      </c>
      <c r="D505" s="243" t="s">
        <v>337</v>
      </c>
      <c r="E505" s="243" t="str">
        <f>+'CUOTA ARTESANAL'!E365</f>
        <v>BAYWACHT II (966647)</v>
      </c>
      <c r="F505" s="238" t="s">
        <v>54</v>
      </c>
      <c r="G505" s="238" t="s">
        <v>58</v>
      </c>
      <c r="H505" s="253">
        <f>'CUOTA ARTESANAL'!N365</f>
        <v>10.584</v>
      </c>
      <c r="I505" s="253">
        <f>'CUOTA ARTESANAL'!O365</f>
        <v>0</v>
      </c>
      <c r="J505" s="253">
        <f>'CUOTA ARTESANAL'!P365</f>
        <v>10.584</v>
      </c>
      <c r="K505" s="253">
        <f>'CUOTA ARTESANAL'!Q365</f>
        <v>4.0999999999999996</v>
      </c>
      <c r="L505" s="253">
        <f>'CUOTA ARTESANAL'!R365</f>
        <v>6.484</v>
      </c>
      <c r="M505" s="254">
        <f>'CUOTA ARTESANAL'!S365</f>
        <v>0.3873771730914588</v>
      </c>
      <c r="N505" s="240" t="s">
        <v>218</v>
      </c>
      <c r="O505" s="241">
        <f>RESUMEN!$C$4</f>
        <v>44561</v>
      </c>
      <c r="P505" s="233">
        <v>2021</v>
      </c>
      <c r="Q505" s="233"/>
    </row>
    <row r="506" spans="1:17" ht="15.75" customHeight="1">
      <c r="A506" s="238" t="s">
        <v>51</v>
      </c>
      <c r="B506" s="238" t="s">
        <v>52</v>
      </c>
      <c r="C506" s="238" t="s">
        <v>72</v>
      </c>
      <c r="D506" s="243" t="s">
        <v>337</v>
      </c>
      <c r="E506" s="243" t="str">
        <f>+'CUOTA ARTESANAL'!E367</f>
        <v>GALILEA (965735)</v>
      </c>
      <c r="F506" s="238" t="s">
        <v>54</v>
      </c>
      <c r="G506" s="238" t="s">
        <v>56</v>
      </c>
      <c r="H506" s="253">
        <f>'CUOTA ARTESANAL'!G367</f>
        <v>7.9379999999999997</v>
      </c>
      <c r="I506" s="253">
        <f>'CUOTA ARTESANAL'!H367</f>
        <v>0</v>
      </c>
      <c r="J506" s="253">
        <f>'CUOTA ARTESANAL'!I367</f>
        <v>7.9379999999999997</v>
      </c>
      <c r="K506" s="253">
        <f>'CUOTA ARTESANAL'!J367</f>
        <v>5.13</v>
      </c>
      <c r="L506" s="253">
        <f>'CUOTA ARTESANAL'!K367</f>
        <v>2.8079999999999998</v>
      </c>
      <c r="M506" s="254">
        <f>'CUOTA ARTESANAL'!L367</f>
        <v>0.6462585034013606</v>
      </c>
      <c r="N506" s="239" t="str">
        <f>'CUOTA ARTESANAL'!M367</f>
        <v>-</v>
      </c>
      <c r="O506" s="241">
        <f>RESUMEN!$C$4</f>
        <v>44561</v>
      </c>
      <c r="P506" s="233">
        <v>2021</v>
      </c>
      <c r="Q506" s="233"/>
    </row>
    <row r="507" spans="1:17" ht="15.75" customHeight="1">
      <c r="A507" s="238" t="s">
        <v>51</v>
      </c>
      <c r="B507" s="238" t="s">
        <v>52</v>
      </c>
      <c r="C507" s="238" t="s">
        <v>72</v>
      </c>
      <c r="D507" s="243" t="s">
        <v>337</v>
      </c>
      <c r="E507" s="243" t="str">
        <f>+'CUOTA ARTESANAL'!E367</f>
        <v>GALILEA (965735)</v>
      </c>
      <c r="F507" s="238" t="s">
        <v>57</v>
      </c>
      <c r="G507" s="238" t="s">
        <v>58</v>
      </c>
      <c r="H507" s="253">
        <f>'CUOTA ARTESANAL'!G368</f>
        <v>2.6459999999999999</v>
      </c>
      <c r="I507" s="253">
        <f>'CUOTA ARTESANAL'!H368</f>
        <v>0</v>
      </c>
      <c r="J507" s="253">
        <f>'CUOTA ARTESANAL'!I368</f>
        <v>5.4539999999999997</v>
      </c>
      <c r="K507" s="253">
        <f>'CUOTA ARTESANAL'!J368</f>
        <v>1.8660000000000001</v>
      </c>
      <c r="L507" s="253">
        <f>'CUOTA ARTESANAL'!K368</f>
        <v>3.5879999999999996</v>
      </c>
      <c r="M507" s="254">
        <f>'CUOTA ARTESANAL'!L368</f>
        <v>0.34213421342134215</v>
      </c>
      <c r="N507" s="239" t="str">
        <f>'CUOTA ARTESANAL'!M368</f>
        <v>-</v>
      </c>
      <c r="O507" s="241">
        <f>RESUMEN!$C$4</f>
        <v>44561</v>
      </c>
      <c r="P507" s="233">
        <v>2021</v>
      </c>
      <c r="Q507" s="233"/>
    </row>
    <row r="508" spans="1:17" ht="15.75" customHeight="1">
      <c r="A508" s="238" t="s">
        <v>51</v>
      </c>
      <c r="B508" s="238" t="s">
        <v>52</v>
      </c>
      <c r="C508" s="238" t="s">
        <v>72</v>
      </c>
      <c r="D508" s="243" t="s">
        <v>337</v>
      </c>
      <c r="E508" s="243" t="str">
        <f>+'CUOTA ARTESANAL'!E367</f>
        <v>GALILEA (965735)</v>
      </c>
      <c r="F508" s="238" t="s">
        <v>54</v>
      </c>
      <c r="G508" s="238" t="s">
        <v>58</v>
      </c>
      <c r="H508" s="253">
        <f>'CUOTA ARTESANAL'!N367</f>
        <v>10.584</v>
      </c>
      <c r="I508" s="253">
        <f>'CUOTA ARTESANAL'!O367</f>
        <v>0</v>
      </c>
      <c r="J508" s="253">
        <f>'CUOTA ARTESANAL'!P367</f>
        <v>10.584</v>
      </c>
      <c r="K508" s="253">
        <f>'CUOTA ARTESANAL'!Q367</f>
        <v>6.9960000000000004</v>
      </c>
      <c r="L508" s="253">
        <f>'CUOTA ARTESANAL'!R367</f>
        <v>3.5879999999999992</v>
      </c>
      <c r="M508" s="254">
        <f>'CUOTA ARTESANAL'!S367</f>
        <v>0.66099773242630389</v>
      </c>
      <c r="N508" s="240" t="s">
        <v>218</v>
      </c>
      <c r="O508" s="241">
        <f>RESUMEN!$C$4</f>
        <v>44561</v>
      </c>
      <c r="P508" s="233">
        <v>2021</v>
      </c>
      <c r="Q508" s="233"/>
    </row>
    <row r="509" spans="1:17" ht="15.75" customHeight="1">
      <c r="A509" s="238" t="s">
        <v>51</v>
      </c>
      <c r="B509" s="238" t="s">
        <v>52</v>
      </c>
      <c r="C509" s="238" t="s">
        <v>72</v>
      </c>
      <c r="D509" s="243" t="s">
        <v>337</v>
      </c>
      <c r="E509" s="243" t="str">
        <f>+'CUOTA ARTESANAL'!E369</f>
        <v>VICTOR MANUEL V (966623)</v>
      </c>
      <c r="F509" s="238" t="s">
        <v>54</v>
      </c>
      <c r="G509" s="238" t="s">
        <v>56</v>
      </c>
      <c r="H509" s="253">
        <f>'CUOTA ARTESANAL'!G369</f>
        <v>5.2919999999999998</v>
      </c>
      <c r="I509" s="253">
        <f>'CUOTA ARTESANAL'!H369</f>
        <v>8</v>
      </c>
      <c r="J509" s="253">
        <f>'CUOTA ARTESANAL'!I369</f>
        <v>13.292</v>
      </c>
      <c r="K509" s="253">
        <f>'CUOTA ARTESANAL'!J369</f>
        <v>6.9350000000000005</v>
      </c>
      <c r="L509" s="253">
        <f>'CUOTA ARTESANAL'!K369</f>
        <v>6.3569999999999993</v>
      </c>
      <c r="M509" s="254">
        <f>'CUOTA ARTESANAL'!L369</f>
        <v>0.52174240144447792</v>
      </c>
      <c r="N509" s="239" t="str">
        <f>'CUOTA ARTESANAL'!M369</f>
        <v>-</v>
      </c>
      <c r="O509" s="241">
        <f>RESUMEN!$C$4</f>
        <v>44561</v>
      </c>
      <c r="P509" s="233">
        <v>2021</v>
      </c>
      <c r="Q509" s="233"/>
    </row>
    <row r="510" spans="1:17" ht="15.75" customHeight="1">
      <c r="A510" s="238" t="s">
        <v>51</v>
      </c>
      <c r="B510" s="238" t="s">
        <v>52</v>
      </c>
      <c r="C510" s="238" t="s">
        <v>72</v>
      </c>
      <c r="D510" s="243" t="s">
        <v>337</v>
      </c>
      <c r="E510" s="243" t="str">
        <f>+'CUOTA ARTESANAL'!E369</f>
        <v>VICTOR MANUEL V (966623)</v>
      </c>
      <c r="F510" s="238" t="s">
        <v>57</v>
      </c>
      <c r="G510" s="238" t="s">
        <v>58</v>
      </c>
      <c r="H510" s="253">
        <f>'CUOTA ARTESANAL'!G370</f>
        <v>5.2919999999999998</v>
      </c>
      <c r="I510" s="253">
        <f>'CUOTA ARTESANAL'!H370</f>
        <v>6</v>
      </c>
      <c r="J510" s="253">
        <f>'CUOTA ARTESANAL'!I370</f>
        <v>17.649000000000001</v>
      </c>
      <c r="K510" s="253">
        <f>'CUOTA ARTESANAL'!J370</f>
        <v>8.1539999999999999</v>
      </c>
      <c r="L510" s="253">
        <f>'CUOTA ARTESANAL'!K370</f>
        <v>9.495000000000001</v>
      </c>
      <c r="M510" s="254">
        <f>'CUOTA ARTESANAL'!L370</f>
        <v>0.46200917899031102</v>
      </c>
      <c r="N510" s="239" t="str">
        <f>'CUOTA ARTESANAL'!M370</f>
        <v>-</v>
      </c>
      <c r="O510" s="241">
        <f>RESUMEN!$C$4</f>
        <v>44561</v>
      </c>
      <c r="P510" s="233">
        <v>2021</v>
      </c>
      <c r="Q510" s="233"/>
    </row>
    <row r="511" spans="1:17" ht="15.75" customHeight="1">
      <c r="A511" s="238" t="s">
        <v>51</v>
      </c>
      <c r="B511" s="238" t="s">
        <v>52</v>
      </c>
      <c r="C511" s="238" t="s">
        <v>72</v>
      </c>
      <c r="D511" s="243" t="s">
        <v>337</v>
      </c>
      <c r="E511" s="243" t="str">
        <f>+'CUOTA ARTESANAL'!E369</f>
        <v>VICTOR MANUEL V (966623)</v>
      </c>
      <c r="F511" s="238" t="s">
        <v>54</v>
      </c>
      <c r="G511" s="238" t="s">
        <v>58</v>
      </c>
      <c r="H511" s="253">
        <f>'CUOTA ARTESANAL'!N369</f>
        <v>10.584</v>
      </c>
      <c r="I511" s="253">
        <f>'CUOTA ARTESANAL'!O369</f>
        <v>14</v>
      </c>
      <c r="J511" s="253">
        <f>'CUOTA ARTESANAL'!P369</f>
        <v>24.584</v>
      </c>
      <c r="K511" s="253">
        <f>'CUOTA ARTESANAL'!Q369</f>
        <v>15.089</v>
      </c>
      <c r="L511" s="253">
        <f>'CUOTA ARTESANAL'!R369</f>
        <v>9.4949999999999992</v>
      </c>
      <c r="M511" s="254">
        <f>'CUOTA ARTESANAL'!S369</f>
        <v>0.6137731858119102</v>
      </c>
      <c r="N511" s="240" t="s">
        <v>218</v>
      </c>
      <c r="O511" s="241">
        <f>RESUMEN!$C$4</f>
        <v>44561</v>
      </c>
      <c r="P511" s="233">
        <v>2021</v>
      </c>
      <c r="Q511" s="233"/>
    </row>
    <row r="512" spans="1:17" ht="15.75" customHeight="1">
      <c r="A512" s="238" t="s">
        <v>51</v>
      </c>
      <c r="B512" s="238" t="s">
        <v>52</v>
      </c>
      <c r="C512" s="238" t="s">
        <v>72</v>
      </c>
      <c r="D512" s="243" t="s">
        <v>337</v>
      </c>
      <c r="E512" s="243" t="str">
        <f>+'CUOTA ARTESANAL'!E371</f>
        <v>TIO CHERITO (966055)</v>
      </c>
      <c r="F512" s="238" t="s">
        <v>54</v>
      </c>
      <c r="G512" s="238" t="s">
        <v>56</v>
      </c>
      <c r="H512" s="253">
        <f>'CUOTA ARTESANAL'!G371</f>
        <v>5.2919999999999998</v>
      </c>
      <c r="I512" s="253">
        <f>'CUOTA ARTESANAL'!H371</f>
        <v>0</v>
      </c>
      <c r="J512" s="253">
        <f>'CUOTA ARTESANAL'!I371</f>
        <v>5.2919999999999998</v>
      </c>
      <c r="K512" s="253">
        <f>'CUOTA ARTESANAL'!J371</f>
        <v>3.2730000000000001</v>
      </c>
      <c r="L512" s="253">
        <f>'CUOTA ARTESANAL'!K371</f>
        <v>2.0189999999999997</v>
      </c>
      <c r="M512" s="254">
        <f>'CUOTA ARTESANAL'!L371</f>
        <v>0.61848072562358281</v>
      </c>
      <c r="N512" s="240" t="str">
        <f>'CUOTA ARTESANAL'!M371</f>
        <v>-</v>
      </c>
      <c r="O512" s="241">
        <f>RESUMEN!$C$4</f>
        <v>44561</v>
      </c>
      <c r="P512" s="233">
        <v>2021</v>
      </c>
      <c r="Q512" s="233"/>
    </row>
    <row r="513" spans="1:17" ht="15.75" customHeight="1">
      <c r="A513" s="238" t="s">
        <v>51</v>
      </c>
      <c r="B513" s="238" t="s">
        <v>52</v>
      </c>
      <c r="C513" s="238" t="s">
        <v>72</v>
      </c>
      <c r="D513" s="243" t="s">
        <v>337</v>
      </c>
      <c r="E513" s="243" t="str">
        <f>+'CUOTA ARTESANAL'!E371</f>
        <v>TIO CHERITO (966055)</v>
      </c>
      <c r="F513" s="238" t="s">
        <v>57</v>
      </c>
      <c r="G513" s="238" t="s">
        <v>58</v>
      </c>
      <c r="H513" s="253">
        <f>'CUOTA ARTESANAL'!G372</f>
        <v>5.2919999999999998</v>
      </c>
      <c r="I513" s="253">
        <f>'CUOTA ARTESANAL'!H372</f>
        <v>0</v>
      </c>
      <c r="J513" s="253">
        <f>'CUOTA ARTESANAL'!I372</f>
        <v>7.3109999999999999</v>
      </c>
      <c r="K513" s="253">
        <f>'CUOTA ARTESANAL'!J372</f>
        <v>0.92500000000000004</v>
      </c>
      <c r="L513" s="253">
        <f>'CUOTA ARTESANAL'!K372</f>
        <v>6.3860000000000001</v>
      </c>
      <c r="M513" s="254">
        <f>'CUOTA ARTESANAL'!L372</f>
        <v>0.12652167966078512</v>
      </c>
      <c r="N513" s="240" t="str">
        <f>'CUOTA ARTESANAL'!M372</f>
        <v>-</v>
      </c>
      <c r="O513" s="241">
        <f>RESUMEN!$C$4</f>
        <v>44561</v>
      </c>
      <c r="P513" s="233">
        <v>2021</v>
      </c>
      <c r="Q513" s="233"/>
    </row>
    <row r="514" spans="1:17" ht="15.75" customHeight="1">
      <c r="A514" s="238" t="s">
        <v>51</v>
      </c>
      <c r="B514" s="238" t="s">
        <v>52</v>
      </c>
      <c r="C514" s="238" t="s">
        <v>72</v>
      </c>
      <c r="D514" s="243" t="s">
        <v>337</v>
      </c>
      <c r="E514" s="243" t="str">
        <f>+'CUOTA ARTESANAL'!E371</f>
        <v>TIO CHERITO (966055)</v>
      </c>
      <c r="F514" s="238" t="s">
        <v>54</v>
      </c>
      <c r="G514" s="238" t="s">
        <v>58</v>
      </c>
      <c r="H514" s="253">
        <f>'CUOTA ARTESANAL'!N371</f>
        <v>10.584</v>
      </c>
      <c r="I514" s="253">
        <f>'CUOTA ARTESANAL'!O371</f>
        <v>0</v>
      </c>
      <c r="J514" s="253">
        <f>'CUOTA ARTESANAL'!P371</f>
        <v>10.584</v>
      </c>
      <c r="K514" s="253">
        <f>'CUOTA ARTESANAL'!Q371</f>
        <v>4.1980000000000004</v>
      </c>
      <c r="L514" s="253">
        <f>'CUOTA ARTESANAL'!R371</f>
        <v>6.3859999999999992</v>
      </c>
      <c r="M514" s="254">
        <f>'CUOTA ARTESANAL'!S371</f>
        <v>0.3966364323507181</v>
      </c>
      <c r="N514" s="240" t="s">
        <v>218</v>
      </c>
      <c r="O514" s="241">
        <f>RESUMEN!$C$4</f>
        <v>44561</v>
      </c>
      <c r="P514" s="233">
        <v>2021</v>
      </c>
      <c r="Q514" s="233"/>
    </row>
    <row r="515" spans="1:17" ht="15.75" customHeight="1">
      <c r="A515" s="238" t="s">
        <v>51</v>
      </c>
      <c r="B515" s="238" t="s">
        <v>52</v>
      </c>
      <c r="C515" s="238" t="s">
        <v>72</v>
      </c>
      <c r="D515" s="243" t="s">
        <v>337</v>
      </c>
      <c r="E515" s="243" t="str">
        <f>+'CUOTA ARTESANAL'!E373</f>
        <v>LEONORA II (966658)</v>
      </c>
      <c r="F515" s="238" t="s">
        <v>54</v>
      </c>
      <c r="G515" s="238" t="s">
        <v>56</v>
      </c>
      <c r="H515" s="253">
        <f>'CUOTA ARTESANAL'!G373</f>
        <v>5.2919999999999998</v>
      </c>
      <c r="I515" s="253">
        <f>'CUOTA ARTESANAL'!H373</f>
        <v>0</v>
      </c>
      <c r="J515" s="253">
        <f>'CUOTA ARTESANAL'!I373</f>
        <v>5.2919999999999998</v>
      </c>
      <c r="K515" s="253">
        <f>'CUOTA ARTESANAL'!J373</f>
        <v>4.9409999999999998</v>
      </c>
      <c r="L515" s="253">
        <f>'CUOTA ARTESANAL'!K373</f>
        <v>0.35099999999999998</v>
      </c>
      <c r="M515" s="254">
        <f>'CUOTA ARTESANAL'!L373</f>
        <v>0.93367346938775508</v>
      </c>
      <c r="N515" s="240" t="str">
        <f>'CUOTA ARTESANAL'!M373</f>
        <v>-</v>
      </c>
      <c r="O515" s="241">
        <f>RESUMEN!$C$4</f>
        <v>44561</v>
      </c>
      <c r="P515" s="233">
        <v>2021</v>
      </c>
      <c r="Q515" s="233"/>
    </row>
    <row r="516" spans="1:17" ht="15.75" customHeight="1">
      <c r="A516" s="238" t="s">
        <v>51</v>
      </c>
      <c r="B516" s="238" t="s">
        <v>52</v>
      </c>
      <c r="C516" s="238" t="s">
        <v>72</v>
      </c>
      <c r="D516" s="243" t="s">
        <v>337</v>
      </c>
      <c r="E516" s="243" t="str">
        <f>+'CUOTA ARTESANAL'!E373</f>
        <v>LEONORA II (966658)</v>
      </c>
      <c r="F516" s="238" t="s">
        <v>57</v>
      </c>
      <c r="G516" s="238" t="s">
        <v>58</v>
      </c>
      <c r="H516" s="253">
        <f>'CUOTA ARTESANAL'!G374</f>
        <v>5.2919999999999998</v>
      </c>
      <c r="I516" s="253">
        <f>'CUOTA ARTESANAL'!H374</f>
        <v>0</v>
      </c>
      <c r="J516" s="253">
        <f>'CUOTA ARTESANAL'!I374</f>
        <v>5.6429999999999998</v>
      </c>
      <c r="K516" s="253">
        <f>'CUOTA ARTESANAL'!J374</f>
        <v>0.40500000000000003</v>
      </c>
      <c r="L516" s="253">
        <f>'CUOTA ARTESANAL'!K374</f>
        <v>5.2379999999999995</v>
      </c>
      <c r="M516" s="254">
        <f>'CUOTA ARTESANAL'!L374</f>
        <v>7.1770334928229679E-2</v>
      </c>
      <c r="N516" s="240" t="str">
        <f>'CUOTA ARTESANAL'!M374</f>
        <v>-</v>
      </c>
      <c r="O516" s="241">
        <f>RESUMEN!$C$4</f>
        <v>44561</v>
      </c>
      <c r="P516" s="233">
        <v>2021</v>
      </c>
      <c r="Q516" s="233"/>
    </row>
    <row r="517" spans="1:17" ht="15.75" customHeight="1">
      <c r="A517" s="238" t="s">
        <v>51</v>
      </c>
      <c r="B517" s="238" t="s">
        <v>52</v>
      </c>
      <c r="C517" s="238" t="s">
        <v>72</v>
      </c>
      <c r="D517" s="243" t="s">
        <v>337</v>
      </c>
      <c r="E517" s="243" t="str">
        <f>+'CUOTA ARTESANAL'!E373</f>
        <v>LEONORA II (966658)</v>
      </c>
      <c r="F517" s="238" t="s">
        <v>54</v>
      </c>
      <c r="G517" s="238" t="s">
        <v>58</v>
      </c>
      <c r="H517" s="253">
        <f>'CUOTA ARTESANAL'!N373</f>
        <v>10.584</v>
      </c>
      <c r="I517" s="253">
        <f>'CUOTA ARTESANAL'!O373</f>
        <v>0</v>
      </c>
      <c r="J517" s="253">
        <f>'CUOTA ARTESANAL'!P373</f>
        <v>10.584</v>
      </c>
      <c r="K517" s="253">
        <f>'CUOTA ARTESANAL'!Q373</f>
        <v>5.3460000000000001</v>
      </c>
      <c r="L517" s="253">
        <f>'CUOTA ARTESANAL'!R373</f>
        <v>5.2379999999999995</v>
      </c>
      <c r="M517" s="254">
        <f>'CUOTA ARTESANAL'!S373</f>
        <v>0.50510204081632659</v>
      </c>
      <c r="N517" s="240" t="s">
        <v>218</v>
      </c>
      <c r="O517" s="241">
        <f>RESUMEN!$C$4</f>
        <v>44561</v>
      </c>
      <c r="P517" s="233">
        <v>2021</v>
      </c>
      <c r="Q517" s="233"/>
    </row>
    <row r="518" spans="1:17" ht="15.75" customHeight="1">
      <c r="A518" s="238" t="s">
        <v>51</v>
      </c>
      <c r="B518" s="238" t="s">
        <v>52</v>
      </c>
      <c r="C518" s="238" t="s">
        <v>72</v>
      </c>
      <c r="D518" s="243" t="s">
        <v>337</v>
      </c>
      <c r="E518" s="243" t="str">
        <f>+'CUOTA ARTESANAL'!E375</f>
        <v>BUENA VISTA IV (965550)</v>
      </c>
      <c r="F518" s="238" t="s">
        <v>54</v>
      </c>
      <c r="G518" s="238" t="s">
        <v>56</v>
      </c>
      <c r="H518" s="253">
        <f>'CUOTA ARTESANAL'!G375</f>
        <v>5.2880000000000003</v>
      </c>
      <c r="I518" s="253">
        <f>'CUOTA ARTESANAL'!H375</f>
        <v>0</v>
      </c>
      <c r="J518" s="253">
        <f>'CUOTA ARTESANAL'!I375</f>
        <v>5.2880000000000003</v>
      </c>
      <c r="K518" s="253">
        <f>'CUOTA ARTESANAL'!J375</f>
        <v>0.27</v>
      </c>
      <c r="L518" s="253">
        <f>'CUOTA ARTESANAL'!K375</f>
        <v>5.0180000000000007</v>
      </c>
      <c r="M518" s="254">
        <f>'CUOTA ARTESANAL'!L375</f>
        <v>5.1059001512859303E-2</v>
      </c>
      <c r="N518" s="240" t="str">
        <f>'CUOTA ARTESANAL'!M375</f>
        <v>-</v>
      </c>
      <c r="O518" s="241">
        <f>RESUMEN!$C$4</f>
        <v>44561</v>
      </c>
      <c r="P518" s="233">
        <v>2021</v>
      </c>
      <c r="Q518" s="233"/>
    </row>
    <row r="519" spans="1:17" ht="15.75" customHeight="1">
      <c r="A519" s="238" t="s">
        <v>51</v>
      </c>
      <c r="B519" s="238" t="s">
        <v>52</v>
      </c>
      <c r="C519" s="238" t="s">
        <v>72</v>
      </c>
      <c r="D519" s="243" t="s">
        <v>337</v>
      </c>
      <c r="E519" s="243" t="str">
        <f>+'CUOTA ARTESANAL'!E375</f>
        <v>BUENA VISTA IV (965550)</v>
      </c>
      <c r="F519" s="238" t="s">
        <v>57</v>
      </c>
      <c r="G519" s="238" t="s">
        <v>58</v>
      </c>
      <c r="H519" s="253">
        <f>'CUOTA ARTESANAL'!G376</f>
        <v>5.2880000000000003</v>
      </c>
      <c r="I519" s="253">
        <f>'CUOTA ARTESANAL'!H376</f>
        <v>0</v>
      </c>
      <c r="J519" s="253">
        <f>'CUOTA ARTESANAL'!I376</f>
        <v>10.306000000000001</v>
      </c>
      <c r="K519" s="253">
        <f>'CUOTA ARTESANAL'!J376</f>
        <v>2.2380000000000004</v>
      </c>
      <c r="L519" s="253">
        <f>'CUOTA ARTESANAL'!K376</f>
        <v>8.0680000000000014</v>
      </c>
      <c r="M519" s="254">
        <f>'CUOTA ARTESANAL'!L376</f>
        <v>0.21715505530758783</v>
      </c>
      <c r="N519" s="240" t="str">
        <f>'CUOTA ARTESANAL'!M376</f>
        <v>-</v>
      </c>
      <c r="O519" s="241">
        <f>RESUMEN!$C$4</f>
        <v>44561</v>
      </c>
      <c r="P519" s="233">
        <v>2021</v>
      </c>
      <c r="Q519" s="233"/>
    </row>
    <row r="520" spans="1:17" ht="15.75" customHeight="1">
      <c r="A520" s="238" t="s">
        <v>51</v>
      </c>
      <c r="B520" s="238" t="s">
        <v>52</v>
      </c>
      <c r="C520" s="238" t="s">
        <v>72</v>
      </c>
      <c r="D520" s="243" t="s">
        <v>337</v>
      </c>
      <c r="E520" s="243" t="str">
        <f>+'CUOTA ARTESANAL'!E375</f>
        <v>BUENA VISTA IV (965550)</v>
      </c>
      <c r="F520" s="238" t="s">
        <v>54</v>
      </c>
      <c r="G520" s="238" t="s">
        <v>58</v>
      </c>
      <c r="H520" s="253">
        <f>'CUOTA ARTESANAL'!N375</f>
        <v>10.576000000000001</v>
      </c>
      <c r="I520" s="253">
        <f>'CUOTA ARTESANAL'!O375</f>
        <v>0</v>
      </c>
      <c r="J520" s="253">
        <f>'CUOTA ARTESANAL'!P375</f>
        <v>10.576000000000001</v>
      </c>
      <c r="K520" s="253">
        <f>'CUOTA ARTESANAL'!Q375</f>
        <v>2.5080000000000005</v>
      </c>
      <c r="L520" s="253">
        <f>'CUOTA ARTESANAL'!R375</f>
        <v>8.0679999999999996</v>
      </c>
      <c r="M520" s="254">
        <f>'CUOTA ARTESANAL'!S375</f>
        <v>0.23714069591527992</v>
      </c>
      <c r="N520" s="240" t="s">
        <v>218</v>
      </c>
      <c r="O520" s="241">
        <f>RESUMEN!$C$4</f>
        <v>44561</v>
      </c>
      <c r="P520" s="233">
        <v>2021</v>
      </c>
      <c r="Q520" s="233"/>
    </row>
    <row r="521" spans="1:17" ht="15.75" customHeight="1">
      <c r="A521" s="238" t="s">
        <v>51</v>
      </c>
      <c r="B521" s="238" t="s">
        <v>52</v>
      </c>
      <c r="C521" s="238" t="s">
        <v>72</v>
      </c>
      <c r="D521" s="243" t="s">
        <v>337</v>
      </c>
      <c r="E521" s="243" t="str">
        <f>+'CUOTA ARTESANAL'!E377</f>
        <v>DON BETITO I (967595)</v>
      </c>
      <c r="F521" s="238" t="s">
        <v>54</v>
      </c>
      <c r="G521" s="238" t="s">
        <v>56</v>
      </c>
      <c r="H521" s="253">
        <f>'CUOTA ARTESANAL'!G377</f>
        <v>5.29</v>
      </c>
      <c r="I521" s="253">
        <f>'CUOTA ARTESANAL'!H377</f>
        <v>0</v>
      </c>
      <c r="J521" s="253">
        <f>'CUOTA ARTESANAL'!I377</f>
        <v>5.29</v>
      </c>
      <c r="K521" s="253">
        <f>'CUOTA ARTESANAL'!J377</f>
        <v>1.33</v>
      </c>
      <c r="L521" s="253">
        <f>'CUOTA ARTESANAL'!K377</f>
        <v>3.96</v>
      </c>
      <c r="M521" s="254">
        <f>'CUOTA ARTESANAL'!L377</f>
        <v>0.25141776937618149</v>
      </c>
      <c r="N521" s="240" t="str">
        <f>'CUOTA ARTESANAL'!M377</f>
        <v>-</v>
      </c>
      <c r="O521" s="241">
        <f>RESUMEN!$C$4</f>
        <v>44561</v>
      </c>
      <c r="P521" s="233">
        <v>2021</v>
      </c>
      <c r="Q521" s="233"/>
    </row>
    <row r="522" spans="1:17" ht="15.75" customHeight="1">
      <c r="A522" s="238" t="s">
        <v>51</v>
      </c>
      <c r="B522" s="238" t="s">
        <v>52</v>
      </c>
      <c r="C522" s="238" t="s">
        <v>72</v>
      </c>
      <c r="D522" s="243" t="s">
        <v>337</v>
      </c>
      <c r="E522" s="243" t="str">
        <f>+'CUOTA ARTESANAL'!E377</f>
        <v>DON BETITO I (967595)</v>
      </c>
      <c r="F522" s="238" t="s">
        <v>57</v>
      </c>
      <c r="G522" s="238" t="s">
        <v>58</v>
      </c>
      <c r="H522" s="253">
        <f>'CUOTA ARTESANAL'!G378</f>
        <v>5.29</v>
      </c>
      <c r="I522" s="253">
        <f>'CUOTA ARTESANAL'!H378</f>
        <v>0</v>
      </c>
      <c r="J522" s="253">
        <f>'CUOTA ARTESANAL'!I378</f>
        <v>9.25</v>
      </c>
      <c r="K522" s="253">
        <f>'CUOTA ARTESANAL'!J378</f>
        <v>0.59399999999999997</v>
      </c>
      <c r="L522" s="253">
        <f>'CUOTA ARTESANAL'!K378</f>
        <v>8.6560000000000006</v>
      </c>
      <c r="M522" s="254">
        <f>'CUOTA ARTESANAL'!L378</f>
        <v>6.4216216216216218E-2</v>
      </c>
      <c r="N522" s="240" t="str">
        <f>'CUOTA ARTESANAL'!M378</f>
        <v>-</v>
      </c>
      <c r="O522" s="241">
        <f>RESUMEN!$C$4</f>
        <v>44561</v>
      </c>
      <c r="P522" s="233">
        <v>2021</v>
      </c>
      <c r="Q522" s="233"/>
    </row>
    <row r="523" spans="1:17" ht="15.75" customHeight="1">
      <c r="A523" s="238" t="s">
        <v>51</v>
      </c>
      <c r="B523" s="238" t="s">
        <v>52</v>
      </c>
      <c r="C523" s="238" t="s">
        <v>72</v>
      </c>
      <c r="D523" s="243" t="s">
        <v>337</v>
      </c>
      <c r="E523" s="243" t="str">
        <f>+'CUOTA ARTESANAL'!E377</f>
        <v>DON BETITO I (967595)</v>
      </c>
      <c r="F523" s="238" t="s">
        <v>54</v>
      </c>
      <c r="G523" s="238" t="s">
        <v>58</v>
      </c>
      <c r="H523" s="253">
        <f>'CUOTA ARTESANAL'!N377</f>
        <v>10.58</v>
      </c>
      <c r="I523" s="253">
        <f>'CUOTA ARTESANAL'!O377</f>
        <v>0</v>
      </c>
      <c r="J523" s="253">
        <f>'CUOTA ARTESANAL'!P377</f>
        <v>10.58</v>
      </c>
      <c r="K523" s="253">
        <f>'CUOTA ARTESANAL'!Q377</f>
        <v>1.9239999999999999</v>
      </c>
      <c r="L523" s="253">
        <f>'CUOTA ARTESANAL'!R377</f>
        <v>8.6560000000000006</v>
      </c>
      <c r="M523" s="254">
        <f>'CUOTA ARTESANAL'!S377</f>
        <v>0.18185255198487713</v>
      </c>
      <c r="N523" s="240" t="s">
        <v>218</v>
      </c>
      <c r="O523" s="241">
        <f>RESUMEN!$C$4</f>
        <v>44561</v>
      </c>
      <c r="P523" s="233">
        <v>2021</v>
      </c>
      <c r="Q523" s="233"/>
    </row>
    <row r="524" spans="1:17" ht="15.75" customHeight="1">
      <c r="A524" s="238" t="s">
        <v>51</v>
      </c>
      <c r="B524" s="238" t="s">
        <v>52</v>
      </c>
      <c r="C524" s="238" t="s">
        <v>72</v>
      </c>
      <c r="D524" s="243" t="s">
        <v>337</v>
      </c>
      <c r="E524" s="243" t="str">
        <f>+'CUOTA ARTESANAL'!E379</f>
        <v>EL FENIX I (965543)</v>
      </c>
      <c r="F524" s="238" t="s">
        <v>54</v>
      </c>
      <c r="G524" s="238" t="s">
        <v>56</v>
      </c>
      <c r="H524" s="253">
        <f>'CUOTA ARTESANAL'!G379</f>
        <v>5.2919999999999998</v>
      </c>
      <c r="I524" s="253">
        <f>'CUOTA ARTESANAL'!H379</f>
        <v>0</v>
      </c>
      <c r="J524" s="253">
        <f>'CUOTA ARTESANAL'!I379</f>
        <v>5.2919999999999998</v>
      </c>
      <c r="K524" s="253">
        <f>'CUOTA ARTESANAL'!J379</f>
        <v>1.9960000000000002</v>
      </c>
      <c r="L524" s="253">
        <f>'CUOTA ARTESANAL'!K379</f>
        <v>3.2959999999999994</v>
      </c>
      <c r="M524" s="254">
        <f>'CUOTA ARTESANAL'!L379</f>
        <v>0.37717309145880579</v>
      </c>
      <c r="N524" s="240" t="str">
        <f>'CUOTA ARTESANAL'!M379</f>
        <v>-</v>
      </c>
      <c r="O524" s="241">
        <f>RESUMEN!$C$4</f>
        <v>44561</v>
      </c>
      <c r="P524" s="233">
        <v>2021</v>
      </c>
      <c r="Q524" s="233"/>
    </row>
    <row r="525" spans="1:17" ht="15.75" customHeight="1">
      <c r="A525" s="238" t="s">
        <v>51</v>
      </c>
      <c r="B525" s="238" t="s">
        <v>52</v>
      </c>
      <c r="C525" s="238" t="s">
        <v>72</v>
      </c>
      <c r="D525" s="243" t="s">
        <v>337</v>
      </c>
      <c r="E525" s="243" t="str">
        <f>+'CUOTA ARTESANAL'!E379</f>
        <v>EL FENIX I (965543)</v>
      </c>
      <c r="F525" s="238" t="s">
        <v>57</v>
      </c>
      <c r="G525" s="238" t="s">
        <v>58</v>
      </c>
      <c r="H525" s="253">
        <f>'CUOTA ARTESANAL'!G380</f>
        <v>5.2919999999999998</v>
      </c>
      <c r="I525" s="253">
        <f>'CUOTA ARTESANAL'!H380</f>
        <v>0</v>
      </c>
      <c r="J525" s="253">
        <f>'CUOTA ARTESANAL'!I380</f>
        <v>8.5879999999999992</v>
      </c>
      <c r="K525" s="253">
        <f>'CUOTA ARTESANAL'!J380</f>
        <v>3.1859999999999999</v>
      </c>
      <c r="L525" s="253">
        <f>'CUOTA ARTESANAL'!K380</f>
        <v>5.4019999999999992</v>
      </c>
      <c r="M525" s="254">
        <f>'CUOTA ARTESANAL'!L380</f>
        <v>0.37098276665114116</v>
      </c>
      <c r="N525" s="240" t="str">
        <f>'CUOTA ARTESANAL'!M380</f>
        <v>-</v>
      </c>
      <c r="O525" s="241">
        <f>RESUMEN!$C$4</f>
        <v>44561</v>
      </c>
      <c r="P525" s="233">
        <v>2021</v>
      </c>
      <c r="Q525" s="233"/>
    </row>
    <row r="526" spans="1:17" ht="15.75" customHeight="1">
      <c r="A526" s="238" t="s">
        <v>51</v>
      </c>
      <c r="B526" s="238" t="s">
        <v>52</v>
      </c>
      <c r="C526" s="238" t="s">
        <v>72</v>
      </c>
      <c r="D526" s="243" t="s">
        <v>337</v>
      </c>
      <c r="E526" s="243" t="str">
        <f>+'CUOTA ARTESANAL'!E379</f>
        <v>EL FENIX I (965543)</v>
      </c>
      <c r="F526" s="238" t="s">
        <v>54</v>
      </c>
      <c r="G526" s="238" t="s">
        <v>58</v>
      </c>
      <c r="H526" s="253">
        <f>'CUOTA ARTESANAL'!N379</f>
        <v>10.584</v>
      </c>
      <c r="I526" s="253">
        <f>'CUOTA ARTESANAL'!O379</f>
        <v>0</v>
      </c>
      <c r="J526" s="253">
        <f>'CUOTA ARTESANAL'!P379</f>
        <v>10.584</v>
      </c>
      <c r="K526" s="253">
        <f>'CUOTA ARTESANAL'!Q379</f>
        <v>5.1820000000000004</v>
      </c>
      <c r="L526" s="253">
        <f>'CUOTA ARTESANAL'!R379</f>
        <v>5.4019999999999992</v>
      </c>
      <c r="M526" s="254">
        <f>'CUOTA ARTESANAL'!S379</f>
        <v>0.48960695389266823</v>
      </c>
      <c r="N526" s="240" t="s">
        <v>218</v>
      </c>
      <c r="O526" s="241">
        <f>RESUMEN!$C$4</f>
        <v>44561</v>
      </c>
      <c r="P526" s="233">
        <v>2021</v>
      </c>
      <c r="Q526" s="233"/>
    </row>
    <row r="527" spans="1:17" ht="15.75" customHeight="1">
      <c r="A527" s="238" t="s">
        <v>51</v>
      </c>
      <c r="B527" s="238" t="s">
        <v>52</v>
      </c>
      <c r="C527" s="238" t="s">
        <v>72</v>
      </c>
      <c r="D527" s="243" t="s">
        <v>337</v>
      </c>
      <c r="E527" s="243" t="str">
        <f>+'CUOTA ARTESANAL'!E381</f>
        <v>ZORRO II (969300)</v>
      </c>
      <c r="F527" s="238" t="s">
        <v>54</v>
      </c>
      <c r="G527" s="238" t="s">
        <v>56</v>
      </c>
      <c r="H527" s="253">
        <f>'CUOTA ARTESANAL'!G381</f>
        <v>5.29</v>
      </c>
      <c r="I527" s="253">
        <f>'CUOTA ARTESANAL'!H381</f>
        <v>0</v>
      </c>
      <c r="J527" s="253">
        <f>'CUOTA ARTESANAL'!I381</f>
        <v>5.29</v>
      </c>
      <c r="K527" s="253">
        <f>'CUOTA ARTESANAL'!J381</f>
        <v>2.97</v>
      </c>
      <c r="L527" s="253">
        <f>'CUOTA ARTESANAL'!K381</f>
        <v>2.3199999999999998</v>
      </c>
      <c r="M527" s="254">
        <f>'CUOTA ARTESANAL'!L381</f>
        <v>0.56143667296786393</v>
      </c>
      <c r="N527" s="240" t="str">
        <f>'CUOTA ARTESANAL'!M381</f>
        <v>-</v>
      </c>
      <c r="O527" s="241">
        <f>RESUMEN!$C$4</f>
        <v>44561</v>
      </c>
      <c r="P527" s="233">
        <v>2021</v>
      </c>
      <c r="Q527" s="233"/>
    </row>
    <row r="528" spans="1:17" ht="15.75" customHeight="1">
      <c r="A528" s="238" t="s">
        <v>51</v>
      </c>
      <c r="B528" s="238" t="s">
        <v>52</v>
      </c>
      <c r="C528" s="238" t="s">
        <v>72</v>
      </c>
      <c r="D528" s="243" t="s">
        <v>337</v>
      </c>
      <c r="E528" s="243" t="str">
        <f>+'CUOTA ARTESANAL'!E381</f>
        <v>ZORRO II (969300)</v>
      </c>
      <c r="F528" s="238" t="s">
        <v>57</v>
      </c>
      <c r="G528" s="238" t="s">
        <v>58</v>
      </c>
      <c r="H528" s="253">
        <f>'CUOTA ARTESANAL'!G382</f>
        <v>5.29</v>
      </c>
      <c r="I528" s="253">
        <f>'CUOTA ARTESANAL'!H382</f>
        <v>0</v>
      </c>
      <c r="J528" s="253">
        <f>'CUOTA ARTESANAL'!I382</f>
        <v>7.6099999999999994</v>
      </c>
      <c r="K528" s="253">
        <f>'CUOTA ARTESANAL'!J382</f>
        <v>5.7779999999999996</v>
      </c>
      <c r="L528" s="253">
        <f>'CUOTA ARTESANAL'!K382</f>
        <v>1.8319999999999999</v>
      </c>
      <c r="M528" s="254">
        <f>'CUOTA ARTESANAL'!L382</f>
        <v>0.75926412614980288</v>
      </c>
      <c r="N528" s="240" t="str">
        <f>'CUOTA ARTESANAL'!M382</f>
        <v>-</v>
      </c>
      <c r="O528" s="241">
        <f>RESUMEN!$C$4</f>
        <v>44561</v>
      </c>
      <c r="P528" s="233">
        <v>2021</v>
      </c>
      <c r="Q528" s="233"/>
    </row>
    <row r="529" spans="1:17" ht="15.75" customHeight="1">
      <c r="A529" s="238" t="s">
        <v>51</v>
      </c>
      <c r="B529" s="238" t="s">
        <v>52</v>
      </c>
      <c r="C529" s="238" t="s">
        <v>72</v>
      </c>
      <c r="D529" s="243" t="s">
        <v>337</v>
      </c>
      <c r="E529" s="243" t="str">
        <f>+'CUOTA ARTESANAL'!E381</f>
        <v>ZORRO II (969300)</v>
      </c>
      <c r="F529" s="238" t="s">
        <v>54</v>
      </c>
      <c r="G529" s="238" t="s">
        <v>58</v>
      </c>
      <c r="H529" s="253">
        <f>'CUOTA ARTESANAL'!N381</f>
        <v>10.58</v>
      </c>
      <c r="I529" s="253">
        <f>'CUOTA ARTESANAL'!O381</f>
        <v>0</v>
      </c>
      <c r="J529" s="253">
        <f>'CUOTA ARTESANAL'!P381</f>
        <v>10.58</v>
      </c>
      <c r="K529" s="253">
        <f>'CUOTA ARTESANAL'!Q381</f>
        <v>8.7479999999999993</v>
      </c>
      <c r="L529" s="253">
        <f>'CUOTA ARTESANAL'!R381</f>
        <v>1.8320000000000007</v>
      </c>
      <c r="M529" s="254">
        <f>'CUOTA ARTESANAL'!S381</f>
        <v>0.82684310018903584</v>
      </c>
      <c r="N529" s="240" t="s">
        <v>218</v>
      </c>
      <c r="O529" s="241">
        <f>RESUMEN!$C$4</f>
        <v>44561</v>
      </c>
      <c r="P529" s="233">
        <v>2021</v>
      </c>
      <c r="Q529" s="233"/>
    </row>
    <row r="530" spans="1:17" ht="15.75" customHeight="1">
      <c r="A530" s="238" t="s">
        <v>51</v>
      </c>
      <c r="B530" s="238" t="s">
        <v>52</v>
      </c>
      <c r="C530" s="238" t="s">
        <v>72</v>
      </c>
      <c r="D530" s="243" t="s">
        <v>337</v>
      </c>
      <c r="E530" s="243" t="str">
        <f>+'CUOTA ARTESANAL'!E383</f>
        <v>ESPERANZA III (968695)</v>
      </c>
      <c r="F530" s="238" t="s">
        <v>54</v>
      </c>
      <c r="G530" s="238" t="s">
        <v>56</v>
      </c>
      <c r="H530" s="253">
        <f>'CUOTA ARTESANAL'!G383</f>
        <v>7.9390000000000001</v>
      </c>
      <c r="I530" s="253">
        <f>'CUOTA ARTESANAL'!H383</f>
        <v>0</v>
      </c>
      <c r="J530" s="253">
        <f>'CUOTA ARTESANAL'!I383</f>
        <v>7.9390000000000001</v>
      </c>
      <c r="K530" s="253">
        <f>'CUOTA ARTESANAL'!J383</f>
        <v>7.987000000000001</v>
      </c>
      <c r="L530" s="253">
        <f>'CUOTA ARTESANAL'!K383</f>
        <v>-4.8000000000000931E-2</v>
      </c>
      <c r="M530" s="254">
        <f>'CUOTA ARTESANAL'!L383</f>
        <v>1.0060461015241215</v>
      </c>
      <c r="N530" s="240">
        <f>'CUOTA ARTESANAL'!M383</f>
        <v>44350</v>
      </c>
      <c r="O530" s="241">
        <f>RESUMEN!$C$4</f>
        <v>44561</v>
      </c>
      <c r="P530" s="233">
        <v>2021</v>
      </c>
      <c r="Q530" s="233"/>
    </row>
    <row r="531" spans="1:17" ht="15.75" customHeight="1">
      <c r="A531" s="238" t="s">
        <v>51</v>
      </c>
      <c r="B531" s="238" t="s">
        <v>52</v>
      </c>
      <c r="C531" s="238" t="s">
        <v>72</v>
      </c>
      <c r="D531" s="243" t="s">
        <v>337</v>
      </c>
      <c r="E531" s="243" t="str">
        <f>+'CUOTA ARTESANAL'!E383</f>
        <v>ESPERANZA III (968695)</v>
      </c>
      <c r="F531" s="238" t="s">
        <v>57</v>
      </c>
      <c r="G531" s="238" t="s">
        <v>58</v>
      </c>
      <c r="H531" s="253">
        <f>'CUOTA ARTESANAL'!G384</f>
        <v>2.6469999999999998</v>
      </c>
      <c r="I531" s="253">
        <f>'CUOTA ARTESANAL'!H384</f>
        <v>0</v>
      </c>
      <c r="J531" s="253">
        <f>'CUOTA ARTESANAL'!I384</f>
        <v>2.5989999999999989</v>
      </c>
      <c r="K531" s="253">
        <f>'CUOTA ARTESANAL'!J384</f>
        <v>3.294</v>
      </c>
      <c r="L531" s="253">
        <f>'CUOTA ARTESANAL'!K384</f>
        <v>-0.69500000000000117</v>
      </c>
      <c r="M531" s="254">
        <f>'CUOTA ARTESANAL'!L384</f>
        <v>1.2674105425163531</v>
      </c>
      <c r="N531" s="240">
        <f>'CUOTA ARTESANAL'!M384</f>
        <v>44560</v>
      </c>
      <c r="O531" s="241">
        <f>RESUMEN!$C$4</f>
        <v>44561</v>
      </c>
      <c r="P531" s="233">
        <v>2021</v>
      </c>
      <c r="Q531" s="233"/>
    </row>
    <row r="532" spans="1:17" ht="15.75" customHeight="1">
      <c r="A532" s="238" t="s">
        <v>51</v>
      </c>
      <c r="B532" s="238" t="s">
        <v>52</v>
      </c>
      <c r="C532" s="238" t="s">
        <v>72</v>
      </c>
      <c r="D532" s="243" t="s">
        <v>337</v>
      </c>
      <c r="E532" s="243" t="str">
        <f>+'CUOTA ARTESANAL'!E383</f>
        <v>ESPERANZA III (968695)</v>
      </c>
      <c r="F532" s="238" t="s">
        <v>54</v>
      </c>
      <c r="G532" s="238" t="s">
        <v>58</v>
      </c>
      <c r="H532" s="253">
        <f>'CUOTA ARTESANAL'!N383</f>
        <v>10.586</v>
      </c>
      <c r="I532" s="253">
        <f>'CUOTA ARTESANAL'!O383</f>
        <v>0</v>
      </c>
      <c r="J532" s="253">
        <f>'CUOTA ARTESANAL'!P383</f>
        <v>10.586</v>
      </c>
      <c r="K532" s="253">
        <f>'CUOTA ARTESANAL'!Q383</f>
        <v>11.281000000000001</v>
      </c>
      <c r="L532" s="253">
        <f>'CUOTA ARTESANAL'!R383</f>
        <v>-0.69500000000000028</v>
      </c>
      <c r="M532" s="254">
        <f>'CUOTA ARTESANAL'!S383</f>
        <v>1.0656527489136596</v>
      </c>
      <c r="N532" s="240" t="s">
        <v>218</v>
      </c>
      <c r="O532" s="241">
        <f>RESUMEN!$C$4</f>
        <v>44561</v>
      </c>
      <c r="P532" s="233">
        <v>2021</v>
      </c>
      <c r="Q532" s="233"/>
    </row>
    <row r="533" spans="1:17" ht="15.75" customHeight="1">
      <c r="A533" s="238" t="s">
        <v>51</v>
      </c>
      <c r="B533" s="238" t="s">
        <v>52</v>
      </c>
      <c r="C533" s="238" t="s">
        <v>72</v>
      </c>
      <c r="D533" s="243" t="s">
        <v>337</v>
      </c>
      <c r="E533" s="243" t="str">
        <f>+'CUOTA ARTESANAL'!E385</f>
        <v>LUIS RICARDO III (966090)</v>
      </c>
      <c r="F533" s="238" t="s">
        <v>54</v>
      </c>
      <c r="G533" s="238" t="s">
        <v>56</v>
      </c>
      <c r="H533" s="253">
        <f>'CUOTA ARTESANAL'!G385</f>
        <v>5.2910000000000004</v>
      </c>
      <c r="I533" s="253">
        <f>'CUOTA ARTESANAL'!H385</f>
        <v>0</v>
      </c>
      <c r="J533" s="253">
        <f>'CUOTA ARTESANAL'!I385</f>
        <v>5.2910000000000004</v>
      </c>
      <c r="K533" s="253">
        <f>'CUOTA ARTESANAL'!J385</f>
        <v>4.1039999999999992</v>
      </c>
      <c r="L533" s="253">
        <f>'CUOTA ARTESANAL'!K385</f>
        <v>1.1870000000000012</v>
      </c>
      <c r="M533" s="254">
        <f>'CUOTA ARTESANAL'!L385</f>
        <v>0.77565677565677549</v>
      </c>
      <c r="N533" s="240" t="str">
        <f>'CUOTA ARTESANAL'!M385</f>
        <v>-</v>
      </c>
      <c r="O533" s="241">
        <f>RESUMEN!$C$4</f>
        <v>44561</v>
      </c>
      <c r="P533" s="233">
        <v>2021</v>
      </c>
      <c r="Q533" s="233"/>
    </row>
    <row r="534" spans="1:17" ht="15.75" customHeight="1">
      <c r="A534" s="238" t="s">
        <v>51</v>
      </c>
      <c r="B534" s="238" t="s">
        <v>52</v>
      </c>
      <c r="C534" s="238" t="s">
        <v>72</v>
      </c>
      <c r="D534" s="243" t="s">
        <v>337</v>
      </c>
      <c r="E534" s="243" t="str">
        <f>+'CUOTA ARTESANAL'!E385</f>
        <v>LUIS RICARDO III (966090)</v>
      </c>
      <c r="F534" s="238" t="s">
        <v>57</v>
      </c>
      <c r="G534" s="238" t="s">
        <v>58</v>
      </c>
      <c r="H534" s="253">
        <f>'CUOTA ARTESANAL'!G386</f>
        <v>5.2910000000000004</v>
      </c>
      <c r="I534" s="253">
        <f>'CUOTA ARTESANAL'!H386</f>
        <v>0</v>
      </c>
      <c r="J534" s="253">
        <f>'CUOTA ARTESANAL'!I386</f>
        <v>6.4780000000000015</v>
      </c>
      <c r="K534" s="253">
        <f>'CUOTA ARTESANAL'!J386</f>
        <v>1.998</v>
      </c>
      <c r="L534" s="253">
        <f>'CUOTA ARTESANAL'!K386</f>
        <v>4.4800000000000013</v>
      </c>
      <c r="M534" s="254">
        <f>'CUOTA ARTESANAL'!L386</f>
        <v>0.30842852732324783</v>
      </c>
      <c r="N534" s="240" t="str">
        <f>'CUOTA ARTESANAL'!M386</f>
        <v>-</v>
      </c>
      <c r="O534" s="241">
        <f>RESUMEN!$C$4</f>
        <v>44561</v>
      </c>
      <c r="P534" s="233">
        <v>2021</v>
      </c>
      <c r="Q534" s="233"/>
    </row>
    <row r="535" spans="1:17" ht="15.75" customHeight="1">
      <c r="A535" s="238" t="s">
        <v>51</v>
      </c>
      <c r="B535" s="238" t="s">
        <v>52</v>
      </c>
      <c r="C535" s="238" t="s">
        <v>72</v>
      </c>
      <c r="D535" s="243" t="s">
        <v>337</v>
      </c>
      <c r="E535" s="243" t="str">
        <f>+'CUOTA ARTESANAL'!E385</f>
        <v>LUIS RICARDO III (966090)</v>
      </c>
      <c r="F535" s="238" t="s">
        <v>54</v>
      </c>
      <c r="G535" s="238" t="s">
        <v>58</v>
      </c>
      <c r="H535" s="253">
        <f>'CUOTA ARTESANAL'!N385</f>
        <v>10.582000000000001</v>
      </c>
      <c r="I535" s="253">
        <f>'CUOTA ARTESANAL'!O385</f>
        <v>0</v>
      </c>
      <c r="J535" s="253">
        <f>'CUOTA ARTESANAL'!P385</f>
        <v>10.582000000000001</v>
      </c>
      <c r="K535" s="253">
        <f>'CUOTA ARTESANAL'!Q385</f>
        <v>6.1019999999999994</v>
      </c>
      <c r="L535" s="253">
        <f>'CUOTA ARTESANAL'!R385</f>
        <v>4.4800000000000013</v>
      </c>
      <c r="M535" s="254">
        <f>'CUOTA ARTESANAL'!S385</f>
        <v>0.57663957663957655</v>
      </c>
      <c r="N535" s="240" t="s">
        <v>218</v>
      </c>
      <c r="O535" s="241">
        <f>RESUMEN!$C$4</f>
        <v>44561</v>
      </c>
      <c r="P535" s="233">
        <v>2021</v>
      </c>
      <c r="Q535" s="233"/>
    </row>
    <row r="536" spans="1:17" ht="15.75" customHeight="1">
      <c r="A536" s="238" t="s">
        <v>51</v>
      </c>
      <c r="B536" s="238" t="s">
        <v>52</v>
      </c>
      <c r="C536" s="238" t="s">
        <v>72</v>
      </c>
      <c r="D536" s="243" t="s">
        <v>337</v>
      </c>
      <c r="E536" s="243" t="str">
        <f>+'CUOTA ARTESANAL'!E387</f>
        <v>TERESITA II (968011)</v>
      </c>
      <c r="F536" s="238" t="s">
        <v>54</v>
      </c>
      <c r="G536" s="238" t="s">
        <v>56</v>
      </c>
      <c r="H536" s="253">
        <f>'CUOTA ARTESANAL'!G387</f>
        <v>5.2919999999999998</v>
      </c>
      <c r="I536" s="253">
        <f>'CUOTA ARTESANAL'!H387</f>
        <v>0</v>
      </c>
      <c r="J536" s="253">
        <f>'CUOTA ARTESANAL'!I387</f>
        <v>5.2919999999999998</v>
      </c>
      <c r="K536" s="253">
        <f>'CUOTA ARTESANAL'!J387</f>
        <v>3.02</v>
      </c>
      <c r="L536" s="253">
        <f>'CUOTA ARTESANAL'!K387</f>
        <v>2.2719999999999998</v>
      </c>
      <c r="M536" s="254">
        <f>'CUOTA ARTESANAL'!L387</f>
        <v>0.57067271352985638</v>
      </c>
      <c r="N536" s="240" t="str">
        <f>'CUOTA ARTESANAL'!M387</f>
        <v>-</v>
      </c>
      <c r="O536" s="241">
        <f>RESUMEN!$C$4</f>
        <v>44561</v>
      </c>
      <c r="P536" s="233">
        <v>2021</v>
      </c>
      <c r="Q536" s="233"/>
    </row>
    <row r="537" spans="1:17" ht="15.75" customHeight="1">
      <c r="A537" s="238" t="s">
        <v>51</v>
      </c>
      <c r="B537" s="238" t="s">
        <v>52</v>
      </c>
      <c r="C537" s="238" t="s">
        <v>72</v>
      </c>
      <c r="D537" s="243" t="s">
        <v>337</v>
      </c>
      <c r="E537" s="243" t="str">
        <f>+'CUOTA ARTESANAL'!E387</f>
        <v>TERESITA II (968011)</v>
      </c>
      <c r="F537" s="238" t="s">
        <v>57</v>
      </c>
      <c r="G537" s="238" t="s">
        <v>58</v>
      </c>
      <c r="H537" s="253">
        <f>'CUOTA ARTESANAL'!G388</f>
        <v>5.2919999999999998</v>
      </c>
      <c r="I537" s="253">
        <f>'CUOTA ARTESANAL'!H388</f>
        <v>0</v>
      </c>
      <c r="J537" s="253">
        <f>'CUOTA ARTESANAL'!I388</f>
        <v>7.5640000000000001</v>
      </c>
      <c r="K537" s="253">
        <f>'CUOTA ARTESANAL'!J388</f>
        <v>2.6920000000000002</v>
      </c>
      <c r="L537" s="253">
        <f>'CUOTA ARTESANAL'!K388</f>
        <v>4.8719999999999999</v>
      </c>
      <c r="M537" s="254">
        <f>'CUOTA ARTESANAL'!L388</f>
        <v>0.35589635113696461</v>
      </c>
      <c r="N537" s="240" t="str">
        <f>'CUOTA ARTESANAL'!M388</f>
        <v>-</v>
      </c>
      <c r="O537" s="241">
        <f>RESUMEN!$C$4</f>
        <v>44561</v>
      </c>
      <c r="P537" s="233">
        <v>2021</v>
      </c>
      <c r="Q537" s="233"/>
    </row>
    <row r="538" spans="1:17" ht="15.75" customHeight="1">
      <c r="A538" s="238" t="s">
        <v>51</v>
      </c>
      <c r="B538" s="238" t="s">
        <v>52</v>
      </c>
      <c r="C538" s="238" t="s">
        <v>72</v>
      </c>
      <c r="D538" s="243" t="s">
        <v>337</v>
      </c>
      <c r="E538" s="243" t="str">
        <f>+'CUOTA ARTESANAL'!E387</f>
        <v>TERESITA II (968011)</v>
      </c>
      <c r="F538" s="238" t="s">
        <v>54</v>
      </c>
      <c r="G538" s="238" t="s">
        <v>58</v>
      </c>
      <c r="H538" s="253">
        <f>'CUOTA ARTESANAL'!N387</f>
        <v>10.584</v>
      </c>
      <c r="I538" s="253">
        <f>'CUOTA ARTESANAL'!O387</f>
        <v>0</v>
      </c>
      <c r="J538" s="253">
        <f>'CUOTA ARTESANAL'!P387</f>
        <v>10.584</v>
      </c>
      <c r="K538" s="253">
        <f>'CUOTA ARTESANAL'!Q387</f>
        <v>5.7119999999999997</v>
      </c>
      <c r="L538" s="253">
        <f>'CUOTA ARTESANAL'!R387</f>
        <v>4.8719999999999999</v>
      </c>
      <c r="M538" s="254">
        <f>'CUOTA ARTESANAL'!S387</f>
        <v>0.53968253968253965</v>
      </c>
      <c r="N538" s="240" t="s">
        <v>218</v>
      </c>
      <c r="O538" s="241">
        <f>RESUMEN!$C$4</f>
        <v>44561</v>
      </c>
      <c r="P538" s="233">
        <v>2021</v>
      </c>
      <c r="Q538" s="233"/>
    </row>
    <row r="539" spans="1:17" ht="15.75" customHeight="1">
      <c r="A539" s="238" t="s">
        <v>51</v>
      </c>
      <c r="B539" s="238" t="s">
        <v>52</v>
      </c>
      <c r="C539" s="238" t="s">
        <v>72</v>
      </c>
      <c r="D539" s="243" t="s">
        <v>337</v>
      </c>
      <c r="E539" s="243" t="str">
        <f>+'CUOTA ARTESANAL'!E389</f>
        <v>PEZ DORADO III (967326)</v>
      </c>
      <c r="F539" s="238" t="s">
        <v>54</v>
      </c>
      <c r="G539" s="238" t="s">
        <v>56</v>
      </c>
      <c r="H539" s="253">
        <f>'CUOTA ARTESANAL'!G389</f>
        <v>5.2910000000000004</v>
      </c>
      <c r="I539" s="253">
        <f>'CUOTA ARTESANAL'!H389</f>
        <v>0</v>
      </c>
      <c r="J539" s="253">
        <f>'CUOTA ARTESANAL'!I389</f>
        <v>5.2910000000000004</v>
      </c>
      <c r="K539" s="253">
        <f>'CUOTA ARTESANAL'!J389</f>
        <v>4.88</v>
      </c>
      <c r="L539" s="253">
        <f>'CUOTA ARTESANAL'!K389</f>
        <v>0.41100000000000048</v>
      </c>
      <c r="M539" s="254">
        <f>'CUOTA ARTESANAL'!L389</f>
        <v>0.92232092232092222</v>
      </c>
      <c r="N539" s="240" t="str">
        <f>'CUOTA ARTESANAL'!M389</f>
        <v>-</v>
      </c>
      <c r="O539" s="241">
        <f>RESUMEN!$C$4</f>
        <v>44561</v>
      </c>
      <c r="P539" s="233">
        <v>2021</v>
      </c>
      <c r="Q539" s="233"/>
    </row>
    <row r="540" spans="1:17" ht="15.75" customHeight="1">
      <c r="A540" s="238" t="s">
        <v>51</v>
      </c>
      <c r="B540" s="238" t="s">
        <v>52</v>
      </c>
      <c r="C540" s="238" t="s">
        <v>72</v>
      </c>
      <c r="D540" s="243" t="s">
        <v>337</v>
      </c>
      <c r="E540" s="243" t="str">
        <f>+'CUOTA ARTESANAL'!E389</f>
        <v>PEZ DORADO III (967326)</v>
      </c>
      <c r="F540" s="238" t="s">
        <v>57</v>
      </c>
      <c r="G540" s="238" t="s">
        <v>58</v>
      </c>
      <c r="H540" s="253">
        <f>'CUOTA ARTESANAL'!G390</f>
        <v>5.2910000000000004</v>
      </c>
      <c r="I540" s="253">
        <f>'CUOTA ARTESANAL'!H390</f>
        <v>0</v>
      </c>
      <c r="J540" s="253">
        <f>'CUOTA ARTESANAL'!I390</f>
        <v>5.7020000000000008</v>
      </c>
      <c r="K540" s="253">
        <f>'CUOTA ARTESANAL'!J390</f>
        <v>2.25</v>
      </c>
      <c r="L540" s="253">
        <f>'CUOTA ARTESANAL'!K390</f>
        <v>3.4520000000000008</v>
      </c>
      <c r="M540" s="254">
        <f>'CUOTA ARTESANAL'!L390</f>
        <v>0.39459838653104168</v>
      </c>
      <c r="N540" s="240" t="str">
        <f>'CUOTA ARTESANAL'!M390</f>
        <v>-</v>
      </c>
      <c r="O540" s="241">
        <f>RESUMEN!$C$4</f>
        <v>44561</v>
      </c>
      <c r="P540" s="233">
        <v>2021</v>
      </c>
      <c r="Q540" s="233"/>
    </row>
    <row r="541" spans="1:17" ht="15.75" customHeight="1">
      <c r="A541" s="238" t="s">
        <v>51</v>
      </c>
      <c r="B541" s="238" t="s">
        <v>52</v>
      </c>
      <c r="C541" s="238" t="s">
        <v>72</v>
      </c>
      <c r="D541" s="243" t="s">
        <v>337</v>
      </c>
      <c r="E541" s="243" t="str">
        <f>+'CUOTA ARTESANAL'!E389</f>
        <v>PEZ DORADO III (967326)</v>
      </c>
      <c r="F541" s="238" t="s">
        <v>54</v>
      </c>
      <c r="G541" s="238" t="s">
        <v>58</v>
      </c>
      <c r="H541" s="253">
        <f>'CUOTA ARTESANAL'!N389</f>
        <v>10.582000000000001</v>
      </c>
      <c r="I541" s="253">
        <f>'CUOTA ARTESANAL'!O389</f>
        <v>0</v>
      </c>
      <c r="J541" s="253">
        <f>'CUOTA ARTESANAL'!P389</f>
        <v>10.582000000000001</v>
      </c>
      <c r="K541" s="253">
        <f>'CUOTA ARTESANAL'!Q389</f>
        <v>7.13</v>
      </c>
      <c r="L541" s="253">
        <f>'CUOTA ARTESANAL'!R389</f>
        <v>3.4520000000000008</v>
      </c>
      <c r="M541" s="254">
        <f>'CUOTA ARTESANAL'!S389</f>
        <v>0.67378567378567378</v>
      </c>
      <c r="N541" s="240" t="s">
        <v>218</v>
      </c>
      <c r="O541" s="241">
        <f>RESUMEN!$C$4</f>
        <v>44561</v>
      </c>
      <c r="P541" s="233">
        <v>2021</v>
      </c>
      <c r="Q541" s="233"/>
    </row>
    <row r="542" spans="1:17" ht="15.75" customHeight="1">
      <c r="A542" s="238" t="s">
        <v>51</v>
      </c>
      <c r="B542" s="238" t="s">
        <v>52</v>
      </c>
      <c r="C542" s="238" t="s">
        <v>72</v>
      </c>
      <c r="D542" s="243" t="s">
        <v>337</v>
      </c>
      <c r="E542" s="243" t="str">
        <f>+'CUOTA ARTESANAL'!E391</f>
        <v>SAN NICOLAS I (963622)</v>
      </c>
      <c r="F542" s="238" t="s">
        <v>54</v>
      </c>
      <c r="G542" s="238" t="s">
        <v>56</v>
      </c>
      <c r="H542" s="253">
        <f>'CUOTA ARTESANAL'!G391</f>
        <v>5.2910000000000004</v>
      </c>
      <c r="I542" s="253">
        <f>'CUOTA ARTESANAL'!H391</f>
        <v>0</v>
      </c>
      <c r="J542" s="253">
        <f>'CUOTA ARTESANAL'!I391</f>
        <v>5.2910000000000004</v>
      </c>
      <c r="K542" s="253">
        <f>'CUOTA ARTESANAL'!J391</f>
        <v>5.0140000000000011</v>
      </c>
      <c r="L542" s="253">
        <f>'CUOTA ARTESANAL'!K391</f>
        <v>0.27699999999999925</v>
      </c>
      <c r="M542" s="254">
        <f>'CUOTA ARTESANAL'!L391</f>
        <v>0.94764694764694779</v>
      </c>
      <c r="N542" s="240" t="str">
        <f>'CUOTA ARTESANAL'!M391</f>
        <v>-</v>
      </c>
      <c r="O542" s="241">
        <f>RESUMEN!$C$4</f>
        <v>44561</v>
      </c>
      <c r="P542" s="233">
        <v>2021</v>
      </c>
      <c r="Q542" s="233"/>
    </row>
    <row r="543" spans="1:17" ht="15.75" customHeight="1">
      <c r="A543" s="238" t="s">
        <v>51</v>
      </c>
      <c r="B543" s="238" t="s">
        <v>52</v>
      </c>
      <c r="C543" s="238" t="s">
        <v>72</v>
      </c>
      <c r="D543" s="243" t="s">
        <v>337</v>
      </c>
      <c r="E543" s="243" t="str">
        <f>+'CUOTA ARTESANAL'!E391</f>
        <v>SAN NICOLAS I (963622)</v>
      </c>
      <c r="F543" s="238" t="s">
        <v>57</v>
      </c>
      <c r="G543" s="238" t="s">
        <v>58</v>
      </c>
      <c r="H543" s="253">
        <f>'CUOTA ARTESANAL'!G392</f>
        <v>5.2910000000000004</v>
      </c>
      <c r="I543" s="253">
        <f>'CUOTA ARTESANAL'!H392</f>
        <v>0</v>
      </c>
      <c r="J543" s="253">
        <f>'CUOTA ARTESANAL'!I392</f>
        <v>5.5679999999999996</v>
      </c>
      <c r="K543" s="253">
        <f>'CUOTA ARTESANAL'!J392</f>
        <v>0</v>
      </c>
      <c r="L543" s="253">
        <f>'CUOTA ARTESANAL'!K392</f>
        <v>5.5679999999999996</v>
      </c>
      <c r="M543" s="254">
        <f>'CUOTA ARTESANAL'!L392</f>
        <v>0</v>
      </c>
      <c r="N543" s="240" t="str">
        <f>'CUOTA ARTESANAL'!M392</f>
        <v>-</v>
      </c>
      <c r="O543" s="241">
        <f>RESUMEN!$C$4</f>
        <v>44561</v>
      </c>
      <c r="P543" s="233">
        <v>2021</v>
      </c>
      <c r="Q543" s="233"/>
    </row>
    <row r="544" spans="1:17" ht="15.75" customHeight="1">
      <c r="A544" s="238" t="s">
        <v>51</v>
      </c>
      <c r="B544" s="238" t="s">
        <v>52</v>
      </c>
      <c r="C544" s="238" t="s">
        <v>72</v>
      </c>
      <c r="D544" s="243" t="s">
        <v>337</v>
      </c>
      <c r="E544" s="243" t="str">
        <f>+'CUOTA ARTESANAL'!E391</f>
        <v>SAN NICOLAS I (963622)</v>
      </c>
      <c r="F544" s="238" t="s">
        <v>54</v>
      </c>
      <c r="G544" s="238" t="s">
        <v>58</v>
      </c>
      <c r="H544" s="253">
        <f>'CUOTA ARTESANAL'!N391</f>
        <v>10.582000000000001</v>
      </c>
      <c r="I544" s="253">
        <f>'CUOTA ARTESANAL'!O391</f>
        <v>0</v>
      </c>
      <c r="J544" s="253">
        <f>'CUOTA ARTESANAL'!P391</f>
        <v>10.582000000000001</v>
      </c>
      <c r="K544" s="253">
        <f>'CUOTA ARTESANAL'!Q391</f>
        <v>5.0140000000000011</v>
      </c>
      <c r="L544" s="253">
        <f>'CUOTA ARTESANAL'!R391</f>
        <v>5.5679999999999996</v>
      </c>
      <c r="M544" s="254">
        <f>'CUOTA ARTESANAL'!S391</f>
        <v>0.4738234738234739</v>
      </c>
      <c r="N544" s="240" t="s">
        <v>218</v>
      </c>
      <c r="O544" s="241">
        <f>RESUMEN!$C$4</f>
        <v>44561</v>
      </c>
      <c r="P544" s="233">
        <v>2021</v>
      </c>
      <c r="Q544" s="233"/>
    </row>
    <row r="545" spans="1:17" ht="15.75" customHeight="1">
      <c r="A545" s="238" t="s">
        <v>51</v>
      </c>
      <c r="B545" s="238" t="s">
        <v>52</v>
      </c>
      <c r="C545" s="238" t="s">
        <v>72</v>
      </c>
      <c r="D545" s="243" t="s">
        <v>337</v>
      </c>
      <c r="E545" s="243" t="str">
        <f>+'CUOTA ARTESANAL'!E393</f>
        <v>SAN ROQUE VII (966419)</v>
      </c>
      <c r="F545" s="238" t="s">
        <v>54</v>
      </c>
      <c r="G545" s="238" t="s">
        <v>56</v>
      </c>
      <c r="H545" s="253">
        <f>'CUOTA ARTESANAL'!G393</f>
        <v>5.2919999999999998</v>
      </c>
      <c r="I545" s="253">
        <f>'CUOTA ARTESANAL'!H393</f>
        <v>0</v>
      </c>
      <c r="J545" s="253">
        <f>'CUOTA ARTESANAL'!I393</f>
        <v>5.2919999999999998</v>
      </c>
      <c r="K545" s="253">
        <f>'CUOTA ARTESANAL'!J393</f>
        <v>3.6720000000000002</v>
      </c>
      <c r="L545" s="253">
        <f>'CUOTA ARTESANAL'!K393</f>
        <v>1.6199999999999997</v>
      </c>
      <c r="M545" s="254">
        <f>'CUOTA ARTESANAL'!L393</f>
        <v>0.69387755102040827</v>
      </c>
      <c r="N545" s="240" t="str">
        <f>'CUOTA ARTESANAL'!M393</f>
        <v>-</v>
      </c>
      <c r="O545" s="241">
        <f>RESUMEN!$C$4</f>
        <v>44561</v>
      </c>
      <c r="P545" s="233">
        <v>2021</v>
      </c>
      <c r="Q545" s="233"/>
    </row>
    <row r="546" spans="1:17" ht="15.75" customHeight="1">
      <c r="A546" s="238" t="s">
        <v>51</v>
      </c>
      <c r="B546" s="238" t="s">
        <v>52</v>
      </c>
      <c r="C546" s="238" t="s">
        <v>72</v>
      </c>
      <c r="D546" s="243" t="s">
        <v>337</v>
      </c>
      <c r="E546" s="243" t="str">
        <f>+'CUOTA ARTESANAL'!E393</f>
        <v>SAN ROQUE VII (966419)</v>
      </c>
      <c r="F546" s="238" t="s">
        <v>57</v>
      </c>
      <c r="G546" s="238" t="s">
        <v>58</v>
      </c>
      <c r="H546" s="253">
        <f>'CUOTA ARTESANAL'!G394</f>
        <v>5.2919999999999998</v>
      </c>
      <c r="I546" s="253">
        <f>'CUOTA ARTESANAL'!H394</f>
        <v>0</v>
      </c>
      <c r="J546" s="253">
        <f>'CUOTA ARTESANAL'!I394</f>
        <v>6.911999999999999</v>
      </c>
      <c r="K546" s="253">
        <f>'CUOTA ARTESANAL'!J394</f>
        <v>1.609</v>
      </c>
      <c r="L546" s="253">
        <f>'CUOTA ARTESANAL'!K394</f>
        <v>5.302999999999999</v>
      </c>
      <c r="M546" s="254">
        <f>'CUOTA ARTESANAL'!L394</f>
        <v>0.23278356481481485</v>
      </c>
      <c r="N546" s="240" t="str">
        <f>'CUOTA ARTESANAL'!M394</f>
        <v>-</v>
      </c>
      <c r="O546" s="241">
        <f>RESUMEN!$C$4</f>
        <v>44561</v>
      </c>
      <c r="P546" s="233">
        <v>2021</v>
      </c>
      <c r="Q546" s="233"/>
    </row>
    <row r="547" spans="1:17" ht="16.5" customHeight="1">
      <c r="A547" s="238" t="s">
        <v>51</v>
      </c>
      <c r="B547" s="238" t="s">
        <v>52</v>
      </c>
      <c r="C547" s="238" t="s">
        <v>72</v>
      </c>
      <c r="D547" s="243" t="s">
        <v>337</v>
      </c>
      <c r="E547" s="243" t="str">
        <f>+'CUOTA ARTESANAL'!E393</f>
        <v>SAN ROQUE VII (966419)</v>
      </c>
      <c r="F547" s="238" t="s">
        <v>54</v>
      </c>
      <c r="G547" s="238" t="s">
        <v>58</v>
      </c>
      <c r="H547" s="253">
        <f>'CUOTA ARTESANAL'!N393</f>
        <v>10.584</v>
      </c>
      <c r="I547" s="253">
        <f>'CUOTA ARTESANAL'!O393</f>
        <v>0</v>
      </c>
      <c r="J547" s="253">
        <f>'CUOTA ARTESANAL'!P393</f>
        <v>10.584</v>
      </c>
      <c r="K547" s="253">
        <f>'CUOTA ARTESANAL'!Q393</f>
        <v>5.2810000000000006</v>
      </c>
      <c r="L547" s="253">
        <f>'CUOTA ARTESANAL'!R393</f>
        <v>5.302999999999999</v>
      </c>
      <c r="M547" s="254">
        <f>'CUOTA ARTESANAL'!S393</f>
        <v>0.49896069538926691</v>
      </c>
      <c r="N547" s="240" t="s">
        <v>218</v>
      </c>
      <c r="O547" s="241">
        <f>RESUMEN!$C$4</f>
        <v>44561</v>
      </c>
      <c r="P547" s="233">
        <v>2021</v>
      </c>
      <c r="Q547" s="233"/>
    </row>
    <row r="548" spans="1:17" ht="16.5" customHeight="1">
      <c r="A548" s="238" t="s">
        <v>51</v>
      </c>
      <c r="B548" s="238" t="s">
        <v>52</v>
      </c>
      <c r="C548" s="238" t="s">
        <v>72</v>
      </c>
      <c r="D548" s="243" t="s">
        <v>337</v>
      </c>
      <c r="E548" s="243" t="str">
        <f>+'CUOTA ARTESANAL'!E395</f>
        <v>BENJAMIN ANTONIO M (964033)</v>
      </c>
      <c r="F548" s="238" t="s">
        <v>54</v>
      </c>
      <c r="G548" s="238" t="s">
        <v>56</v>
      </c>
      <c r="H548" s="253">
        <f>'CUOTA ARTESANAL'!G395</f>
        <v>5.2919999999999998</v>
      </c>
      <c r="I548" s="253">
        <f>'CUOTA ARTESANAL'!H395</f>
        <v>13.811</v>
      </c>
      <c r="J548" s="253">
        <f>'CUOTA ARTESANAL'!I395</f>
        <v>19.103000000000002</v>
      </c>
      <c r="K548" s="253">
        <f>'CUOTA ARTESANAL'!J395</f>
        <v>8.8000000000000007</v>
      </c>
      <c r="L548" s="253">
        <f>'CUOTA ARTESANAL'!K395</f>
        <v>10.303000000000001</v>
      </c>
      <c r="M548" s="254">
        <f>'CUOTA ARTESANAL'!L395</f>
        <v>0.4606606292205413</v>
      </c>
      <c r="N548" s="239" t="str">
        <f>'CUOTA ARTESANAL'!M395</f>
        <v>-</v>
      </c>
      <c r="O548" s="241">
        <f>RESUMEN!$C$4</f>
        <v>44561</v>
      </c>
      <c r="P548" s="233">
        <v>2021</v>
      </c>
      <c r="Q548" s="233"/>
    </row>
    <row r="549" spans="1:17" ht="16.5" customHeight="1">
      <c r="A549" s="238" t="s">
        <v>51</v>
      </c>
      <c r="B549" s="238" t="s">
        <v>52</v>
      </c>
      <c r="C549" s="238" t="s">
        <v>72</v>
      </c>
      <c r="D549" s="243" t="s">
        <v>337</v>
      </c>
      <c r="E549" s="243" t="str">
        <f>+'CUOTA ARTESANAL'!E395</f>
        <v>BENJAMIN ANTONIO M (964033)</v>
      </c>
      <c r="F549" s="238" t="s">
        <v>57</v>
      </c>
      <c r="G549" s="238" t="s">
        <v>58</v>
      </c>
      <c r="H549" s="253">
        <f>'CUOTA ARTESANAL'!G396</f>
        <v>5.2919999999999998</v>
      </c>
      <c r="I549" s="253">
        <f>'CUOTA ARTESANAL'!H396</f>
        <v>0</v>
      </c>
      <c r="J549" s="253">
        <f>'CUOTA ARTESANAL'!I396</f>
        <v>15.595000000000001</v>
      </c>
      <c r="K549" s="253">
        <f>'CUOTA ARTESANAL'!J396</f>
        <v>9.2949999999999999</v>
      </c>
      <c r="L549" s="253">
        <f>'CUOTA ARTESANAL'!K396</f>
        <v>6.3000000000000007</v>
      </c>
      <c r="M549" s="254">
        <f>'CUOTA ARTESANAL'!L396</f>
        <v>0.59602436678422566</v>
      </c>
      <c r="N549" s="239" t="str">
        <f>'CUOTA ARTESANAL'!M396</f>
        <v>-</v>
      </c>
      <c r="O549" s="241">
        <f>RESUMEN!$C$4</f>
        <v>44561</v>
      </c>
      <c r="P549" s="233">
        <v>2021</v>
      </c>
      <c r="Q549" s="233"/>
    </row>
    <row r="550" spans="1:17" ht="16.5" customHeight="1">
      <c r="A550" s="238" t="s">
        <v>51</v>
      </c>
      <c r="B550" s="238" t="s">
        <v>52</v>
      </c>
      <c r="C550" s="238" t="s">
        <v>72</v>
      </c>
      <c r="D550" s="243" t="s">
        <v>337</v>
      </c>
      <c r="E550" s="243" t="str">
        <f>+'CUOTA ARTESANAL'!E395</f>
        <v>BENJAMIN ANTONIO M (964033)</v>
      </c>
      <c r="F550" s="238" t="s">
        <v>54</v>
      </c>
      <c r="G550" s="238" t="s">
        <v>58</v>
      </c>
      <c r="H550" s="253">
        <f>'CUOTA ARTESANAL'!N395</f>
        <v>10.584</v>
      </c>
      <c r="I550" s="253">
        <f>'CUOTA ARTESANAL'!O395</f>
        <v>13.811</v>
      </c>
      <c r="J550" s="253">
        <f>'CUOTA ARTESANAL'!P395</f>
        <v>24.395</v>
      </c>
      <c r="K550" s="253">
        <f>'CUOTA ARTESANAL'!Q395</f>
        <v>18.094999999999999</v>
      </c>
      <c r="L550" s="253">
        <f>'CUOTA ARTESANAL'!R395</f>
        <v>6.3000000000000007</v>
      </c>
      <c r="M550" s="254">
        <f>'CUOTA ARTESANAL'!S395</f>
        <v>0.74175035868005734</v>
      </c>
      <c r="N550" s="240" t="s">
        <v>218</v>
      </c>
      <c r="O550" s="241">
        <f>RESUMEN!$C$4</f>
        <v>44561</v>
      </c>
      <c r="P550" s="233">
        <v>2021</v>
      </c>
      <c r="Q550" s="233"/>
    </row>
    <row r="551" spans="1:17" ht="16.5" customHeight="1">
      <c r="A551" s="238" t="s">
        <v>51</v>
      </c>
      <c r="B551" s="238" t="s">
        <v>52</v>
      </c>
      <c r="C551" s="238" t="s">
        <v>72</v>
      </c>
      <c r="D551" s="243" t="s">
        <v>337</v>
      </c>
      <c r="E551" s="243" t="str">
        <f>+'CUOTA ARTESANAL'!E397</f>
        <v>EL TORITO II (966116)</v>
      </c>
      <c r="F551" s="238" t="s">
        <v>54</v>
      </c>
      <c r="G551" s="238" t="s">
        <v>56</v>
      </c>
      <c r="H551" s="253">
        <f>'CUOTA ARTESANAL'!G397</f>
        <v>7.9370000000000003</v>
      </c>
      <c r="I551" s="253">
        <f>'CUOTA ARTESANAL'!H397</f>
        <v>0</v>
      </c>
      <c r="J551" s="253">
        <f>'CUOTA ARTESANAL'!I397</f>
        <v>7.9370000000000003</v>
      </c>
      <c r="K551" s="253">
        <f>'CUOTA ARTESANAL'!J397</f>
        <v>5.5620000000000003</v>
      </c>
      <c r="L551" s="253">
        <f>'CUOTA ARTESANAL'!K397</f>
        <v>2.375</v>
      </c>
      <c r="M551" s="254">
        <f>'CUOTA ARTESANAL'!L397</f>
        <v>0.70076855234975433</v>
      </c>
      <c r="N551" s="239" t="str">
        <f>'CUOTA ARTESANAL'!M397</f>
        <v>-</v>
      </c>
      <c r="O551" s="241">
        <f>RESUMEN!$C$4</f>
        <v>44561</v>
      </c>
      <c r="P551" s="233">
        <v>2021</v>
      </c>
      <c r="Q551" s="233"/>
    </row>
    <row r="552" spans="1:17" ht="16.5" customHeight="1">
      <c r="A552" s="238" t="s">
        <v>51</v>
      </c>
      <c r="B552" s="238" t="s">
        <v>52</v>
      </c>
      <c r="C552" s="238" t="s">
        <v>72</v>
      </c>
      <c r="D552" s="243" t="s">
        <v>337</v>
      </c>
      <c r="E552" s="243" t="str">
        <f>+'CUOTA ARTESANAL'!E397</f>
        <v>EL TORITO II (966116)</v>
      </c>
      <c r="F552" s="238" t="s">
        <v>57</v>
      </c>
      <c r="G552" s="238" t="s">
        <v>58</v>
      </c>
      <c r="H552" s="253">
        <f>'CUOTA ARTESANAL'!G398</f>
        <v>2.645</v>
      </c>
      <c r="I552" s="253">
        <f>'CUOTA ARTESANAL'!H398</f>
        <v>0</v>
      </c>
      <c r="J552" s="253">
        <f>'CUOTA ARTESANAL'!I398</f>
        <v>5.0199999999999996</v>
      </c>
      <c r="K552" s="253">
        <f>'CUOTA ARTESANAL'!J398</f>
        <v>3.1589999999999998</v>
      </c>
      <c r="L552" s="253">
        <f>'CUOTA ARTESANAL'!K398</f>
        <v>1.8609999999999998</v>
      </c>
      <c r="M552" s="254">
        <f>'CUOTA ARTESANAL'!L398</f>
        <v>0.62928286852589643</v>
      </c>
      <c r="N552" s="239" t="str">
        <f>'CUOTA ARTESANAL'!M398</f>
        <v>-</v>
      </c>
      <c r="O552" s="241">
        <f>RESUMEN!$C$4</f>
        <v>44561</v>
      </c>
      <c r="P552" s="233">
        <v>2021</v>
      </c>
      <c r="Q552" s="233"/>
    </row>
    <row r="553" spans="1:17" ht="16.5" customHeight="1">
      <c r="A553" s="238" t="s">
        <v>51</v>
      </c>
      <c r="B553" s="238" t="s">
        <v>52</v>
      </c>
      <c r="C553" s="238" t="s">
        <v>72</v>
      </c>
      <c r="D553" s="243" t="s">
        <v>337</v>
      </c>
      <c r="E553" s="243" t="str">
        <f>+'CUOTA ARTESANAL'!E397</f>
        <v>EL TORITO II (966116)</v>
      </c>
      <c r="F553" s="238" t="s">
        <v>54</v>
      </c>
      <c r="G553" s="238" t="s">
        <v>58</v>
      </c>
      <c r="H553" s="253">
        <f>'CUOTA ARTESANAL'!N397</f>
        <v>10.582000000000001</v>
      </c>
      <c r="I553" s="253">
        <f>'CUOTA ARTESANAL'!O397</f>
        <v>0</v>
      </c>
      <c r="J553" s="253">
        <f>'CUOTA ARTESANAL'!P397</f>
        <v>10.582000000000001</v>
      </c>
      <c r="K553" s="253">
        <f>'CUOTA ARTESANAL'!Q397</f>
        <v>8.7210000000000001</v>
      </c>
      <c r="L553" s="253">
        <f>'CUOTA ARTESANAL'!R397</f>
        <v>1.8610000000000007</v>
      </c>
      <c r="M553" s="254">
        <f>'CUOTA ARTESANAL'!S397</f>
        <v>0.82413532413532409</v>
      </c>
      <c r="N553" s="240" t="s">
        <v>218</v>
      </c>
      <c r="O553" s="241">
        <f>RESUMEN!$C$4</f>
        <v>44561</v>
      </c>
      <c r="P553" s="233">
        <v>2021</v>
      </c>
      <c r="Q553" s="233"/>
    </row>
    <row r="554" spans="1:17" ht="16.5" customHeight="1">
      <c r="A554" s="238" t="s">
        <v>51</v>
      </c>
      <c r="B554" s="238" t="s">
        <v>52</v>
      </c>
      <c r="C554" s="238" t="s">
        <v>72</v>
      </c>
      <c r="D554" s="243" t="s">
        <v>337</v>
      </c>
      <c r="E554" s="243" t="str">
        <f>+'CUOTA ARTESANAL'!E399</f>
        <v>GUARDIAN DE LA BAHIA III (961540)</v>
      </c>
      <c r="F554" s="238" t="s">
        <v>54</v>
      </c>
      <c r="G554" s="238" t="s">
        <v>56</v>
      </c>
      <c r="H554" s="253">
        <f>'CUOTA ARTESANAL'!G399</f>
        <v>5.2919999999999998</v>
      </c>
      <c r="I554" s="253">
        <f>'CUOTA ARTESANAL'!H399</f>
        <v>0</v>
      </c>
      <c r="J554" s="253">
        <f>'CUOTA ARTESANAL'!I399</f>
        <v>5.2919999999999998</v>
      </c>
      <c r="K554" s="253">
        <f>'CUOTA ARTESANAL'!J399</f>
        <v>4.08</v>
      </c>
      <c r="L554" s="253">
        <f>'CUOTA ARTESANAL'!K399</f>
        <v>1.2119999999999997</v>
      </c>
      <c r="M554" s="254">
        <f>'CUOTA ARTESANAL'!L399</f>
        <v>0.77097505668934241</v>
      </c>
      <c r="N554" s="239" t="str">
        <f>'CUOTA ARTESANAL'!M399</f>
        <v>-</v>
      </c>
      <c r="O554" s="241">
        <f>RESUMEN!$C$4</f>
        <v>44561</v>
      </c>
      <c r="P554" s="233">
        <v>2021</v>
      </c>
      <c r="Q554" s="233"/>
    </row>
    <row r="555" spans="1:17" ht="16.5" customHeight="1">
      <c r="A555" s="238" t="s">
        <v>51</v>
      </c>
      <c r="B555" s="238" t="s">
        <v>52</v>
      </c>
      <c r="C555" s="238" t="s">
        <v>72</v>
      </c>
      <c r="D555" s="243" t="s">
        <v>337</v>
      </c>
      <c r="E555" s="243" t="str">
        <f>+'CUOTA ARTESANAL'!E399</f>
        <v>GUARDIAN DE LA BAHIA III (961540)</v>
      </c>
      <c r="F555" s="238" t="s">
        <v>57</v>
      </c>
      <c r="G555" s="238" t="s">
        <v>58</v>
      </c>
      <c r="H555" s="253">
        <f>'CUOTA ARTESANAL'!G400</f>
        <v>5.2919999999999998</v>
      </c>
      <c r="I555" s="253">
        <f>'CUOTA ARTESANAL'!H400</f>
        <v>0</v>
      </c>
      <c r="J555" s="253">
        <f>'CUOTA ARTESANAL'!I400</f>
        <v>6.5039999999999996</v>
      </c>
      <c r="K555" s="253">
        <f>'CUOTA ARTESANAL'!J400</f>
        <v>0</v>
      </c>
      <c r="L555" s="253">
        <f>'CUOTA ARTESANAL'!K400</f>
        <v>6.5039999999999996</v>
      </c>
      <c r="M555" s="254">
        <f>'CUOTA ARTESANAL'!L400</f>
        <v>0</v>
      </c>
      <c r="N555" s="239" t="str">
        <f>'CUOTA ARTESANAL'!M400</f>
        <v>-</v>
      </c>
      <c r="O555" s="241">
        <f>RESUMEN!$C$4</f>
        <v>44561</v>
      </c>
      <c r="P555" s="233">
        <v>2021</v>
      </c>
      <c r="Q555" s="233"/>
    </row>
    <row r="556" spans="1:17" ht="16.5" customHeight="1">
      <c r="A556" s="238" t="s">
        <v>51</v>
      </c>
      <c r="B556" s="238" t="s">
        <v>52</v>
      </c>
      <c r="C556" s="238" t="s">
        <v>72</v>
      </c>
      <c r="D556" s="243" t="s">
        <v>337</v>
      </c>
      <c r="E556" s="243" t="str">
        <f>+'CUOTA ARTESANAL'!E399</f>
        <v>GUARDIAN DE LA BAHIA III (961540)</v>
      </c>
      <c r="F556" s="238" t="s">
        <v>54</v>
      </c>
      <c r="G556" s="238" t="s">
        <v>58</v>
      </c>
      <c r="H556" s="253">
        <f>'CUOTA ARTESANAL'!N399</f>
        <v>10.584</v>
      </c>
      <c r="I556" s="253">
        <f>'CUOTA ARTESANAL'!O399</f>
        <v>0</v>
      </c>
      <c r="J556" s="253">
        <f>'CUOTA ARTESANAL'!P399</f>
        <v>10.584</v>
      </c>
      <c r="K556" s="253">
        <f>'CUOTA ARTESANAL'!Q399</f>
        <v>4.08</v>
      </c>
      <c r="L556" s="253">
        <f>'CUOTA ARTESANAL'!R399</f>
        <v>6.5039999999999996</v>
      </c>
      <c r="M556" s="254">
        <f>'CUOTA ARTESANAL'!S399</f>
        <v>0.3854875283446712</v>
      </c>
      <c r="N556" s="240" t="s">
        <v>218</v>
      </c>
      <c r="O556" s="241">
        <f>RESUMEN!$C$4</f>
        <v>44561</v>
      </c>
      <c r="P556" s="233">
        <v>2021</v>
      </c>
      <c r="Q556" s="233"/>
    </row>
    <row r="557" spans="1:17" ht="15.75" customHeight="1">
      <c r="A557" s="238" t="s">
        <v>51</v>
      </c>
      <c r="B557" s="238" t="s">
        <v>52</v>
      </c>
      <c r="C557" s="238" t="s">
        <v>72</v>
      </c>
      <c r="D557" s="243" t="s">
        <v>337</v>
      </c>
      <c r="E557" s="243" t="str">
        <f>+'CUOTA ARTESANAL'!E401</f>
        <v>TITANIC VII (967667)</v>
      </c>
      <c r="F557" s="238" t="s">
        <v>54</v>
      </c>
      <c r="G557" s="238" t="s">
        <v>56</v>
      </c>
      <c r="H557" s="253">
        <f>'CUOTA ARTESANAL'!G401</f>
        <v>5.2889999999999997</v>
      </c>
      <c r="I557" s="253">
        <f>'CUOTA ARTESANAL'!H401</f>
        <v>0</v>
      </c>
      <c r="J557" s="253">
        <f>'CUOTA ARTESANAL'!I401</f>
        <v>5.2889999999999997</v>
      </c>
      <c r="K557" s="253">
        <f>'CUOTA ARTESANAL'!J401</f>
        <v>3.0150000000000001</v>
      </c>
      <c r="L557" s="253">
        <f>'CUOTA ARTESANAL'!K401</f>
        <v>2.2739999999999996</v>
      </c>
      <c r="M557" s="254">
        <f>'CUOTA ARTESANAL'!L401</f>
        <v>0.57005104934770279</v>
      </c>
      <c r="N557" s="240" t="str">
        <f>'CUOTA ARTESANAL'!M401</f>
        <v>-</v>
      </c>
      <c r="O557" s="241">
        <f>RESUMEN!$C$4</f>
        <v>44561</v>
      </c>
      <c r="P557" s="233">
        <v>2021</v>
      </c>
      <c r="Q557" s="233"/>
    </row>
    <row r="558" spans="1:17" ht="15.75" customHeight="1">
      <c r="A558" s="238" t="s">
        <v>51</v>
      </c>
      <c r="B558" s="238" t="s">
        <v>52</v>
      </c>
      <c r="C558" s="238" t="s">
        <v>72</v>
      </c>
      <c r="D558" s="243" t="s">
        <v>337</v>
      </c>
      <c r="E558" s="243" t="str">
        <f>+'CUOTA ARTESANAL'!E401</f>
        <v>TITANIC VII (967667)</v>
      </c>
      <c r="F558" s="238" t="s">
        <v>57</v>
      </c>
      <c r="G558" s="238" t="s">
        <v>58</v>
      </c>
      <c r="H558" s="253">
        <f>'CUOTA ARTESANAL'!G402</f>
        <v>5.2889999999999997</v>
      </c>
      <c r="I558" s="253">
        <f>'CUOTA ARTESANAL'!H402</f>
        <v>0</v>
      </c>
      <c r="J558" s="253">
        <f>'CUOTA ARTESANAL'!I402</f>
        <v>7.5629999999999988</v>
      </c>
      <c r="K558" s="253">
        <f>'CUOTA ARTESANAL'!J402</f>
        <v>0</v>
      </c>
      <c r="L558" s="253">
        <f>'CUOTA ARTESANAL'!K402</f>
        <v>7.5629999999999988</v>
      </c>
      <c r="M558" s="254">
        <f>'CUOTA ARTESANAL'!L402</f>
        <v>0</v>
      </c>
      <c r="N558" s="240" t="str">
        <f>'CUOTA ARTESANAL'!M402</f>
        <v>-</v>
      </c>
      <c r="O558" s="241">
        <f>RESUMEN!$C$4</f>
        <v>44561</v>
      </c>
      <c r="P558" s="233">
        <v>2021</v>
      </c>
      <c r="Q558" s="233"/>
    </row>
    <row r="559" spans="1:17" ht="15.75" customHeight="1">
      <c r="A559" s="238" t="s">
        <v>51</v>
      </c>
      <c r="B559" s="238" t="s">
        <v>52</v>
      </c>
      <c r="C559" s="238" t="s">
        <v>72</v>
      </c>
      <c r="D559" s="243" t="s">
        <v>337</v>
      </c>
      <c r="E559" s="243" t="str">
        <f>+'CUOTA ARTESANAL'!E401</f>
        <v>TITANIC VII (967667)</v>
      </c>
      <c r="F559" s="238" t="s">
        <v>54</v>
      </c>
      <c r="G559" s="238" t="s">
        <v>58</v>
      </c>
      <c r="H559" s="253">
        <f>'CUOTA ARTESANAL'!N401</f>
        <v>10.577999999999999</v>
      </c>
      <c r="I559" s="253">
        <f>'CUOTA ARTESANAL'!O401</f>
        <v>0</v>
      </c>
      <c r="J559" s="253">
        <f>'CUOTA ARTESANAL'!P401</f>
        <v>10.577999999999999</v>
      </c>
      <c r="K559" s="253">
        <f>'CUOTA ARTESANAL'!Q401</f>
        <v>3.0150000000000001</v>
      </c>
      <c r="L559" s="253">
        <f>'CUOTA ARTESANAL'!R401</f>
        <v>7.5629999999999988</v>
      </c>
      <c r="M559" s="254">
        <f>'CUOTA ARTESANAL'!S401</f>
        <v>0.28502552467385139</v>
      </c>
      <c r="N559" s="240" t="s">
        <v>218</v>
      </c>
      <c r="O559" s="241">
        <f>RESUMEN!$C$4</f>
        <v>44561</v>
      </c>
      <c r="P559" s="233">
        <v>2021</v>
      </c>
      <c r="Q559" s="233"/>
    </row>
    <row r="560" spans="1:17" ht="15.75" customHeight="1">
      <c r="A560" s="238" t="s">
        <v>51</v>
      </c>
      <c r="B560" s="238" t="s">
        <v>52</v>
      </c>
      <c r="C560" s="238" t="s">
        <v>72</v>
      </c>
      <c r="D560" s="243" t="s">
        <v>337</v>
      </c>
      <c r="E560" s="243" t="str">
        <f>+'CUOTA ARTESANAL'!E403</f>
        <v xml:space="preserve"> SOFIA II (963674)</v>
      </c>
      <c r="F560" s="238" t="s">
        <v>54</v>
      </c>
      <c r="G560" s="238" t="s">
        <v>56</v>
      </c>
      <c r="H560" s="253">
        <f>'CUOTA ARTESANAL'!G403</f>
        <v>5.2889999999999997</v>
      </c>
      <c r="I560" s="253">
        <f>'CUOTA ARTESANAL'!H403</f>
        <v>0</v>
      </c>
      <c r="J560" s="253">
        <f>'CUOTA ARTESANAL'!I403</f>
        <v>5.2889999999999997</v>
      </c>
      <c r="K560" s="253">
        <f>'CUOTA ARTESANAL'!J403</f>
        <v>4.1310000000000002</v>
      </c>
      <c r="L560" s="253">
        <f>'CUOTA ARTESANAL'!K403</f>
        <v>1.1579999999999995</v>
      </c>
      <c r="M560" s="254">
        <f>'CUOTA ARTESANAL'!L403</f>
        <v>0.78105501985252423</v>
      </c>
      <c r="N560" s="240" t="str">
        <f>'CUOTA ARTESANAL'!M403</f>
        <v>-</v>
      </c>
      <c r="O560" s="241">
        <f>RESUMEN!$C$4</f>
        <v>44561</v>
      </c>
      <c r="P560" s="233">
        <v>2021</v>
      </c>
      <c r="Q560" s="233"/>
    </row>
    <row r="561" spans="1:17" ht="15.75" customHeight="1">
      <c r="A561" s="238" t="s">
        <v>51</v>
      </c>
      <c r="B561" s="238" t="s">
        <v>52</v>
      </c>
      <c r="C561" s="238" t="s">
        <v>72</v>
      </c>
      <c r="D561" s="243" t="s">
        <v>337</v>
      </c>
      <c r="E561" s="243" t="str">
        <f>+'CUOTA ARTESANAL'!E403</f>
        <v xml:space="preserve"> SOFIA II (963674)</v>
      </c>
      <c r="F561" s="238" t="s">
        <v>57</v>
      </c>
      <c r="G561" s="238" t="s">
        <v>58</v>
      </c>
      <c r="H561" s="253">
        <f>'CUOTA ARTESANAL'!G404</f>
        <v>5.2889999999999997</v>
      </c>
      <c r="I561" s="253">
        <f>'CUOTA ARTESANAL'!H404</f>
        <v>0</v>
      </c>
      <c r="J561" s="253">
        <f>'CUOTA ARTESANAL'!I404</f>
        <v>6.4469999999999992</v>
      </c>
      <c r="K561" s="253">
        <f>'CUOTA ARTESANAL'!J404</f>
        <v>4.1310000000000002</v>
      </c>
      <c r="L561" s="253">
        <f>'CUOTA ARTESANAL'!K404</f>
        <v>2.3159999999999989</v>
      </c>
      <c r="M561" s="254">
        <f>'CUOTA ARTESANAL'!L404</f>
        <v>0.64076314564913928</v>
      </c>
      <c r="N561" s="240" t="str">
        <f>'CUOTA ARTESANAL'!M404</f>
        <v>-</v>
      </c>
      <c r="O561" s="241">
        <f>RESUMEN!$C$4</f>
        <v>44561</v>
      </c>
      <c r="P561" s="233">
        <v>2021</v>
      </c>
      <c r="Q561" s="233"/>
    </row>
    <row r="562" spans="1:17" ht="15.75" customHeight="1">
      <c r="A562" s="238" t="s">
        <v>51</v>
      </c>
      <c r="B562" s="238" t="s">
        <v>52</v>
      </c>
      <c r="C562" s="238" t="s">
        <v>72</v>
      </c>
      <c r="D562" s="243" t="s">
        <v>337</v>
      </c>
      <c r="E562" s="243" t="str">
        <f>+'CUOTA ARTESANAL'!E403</f>
        <v xml:space="preserve"> SOFIA II (963674)</v>
      </c>
      <c r="F562" s="238" t="s">
        <v>54</v>
      </c>
      <c r="G562" s="238" t="s">
        <v>58</v>
      </c>
      <c r="H562" s="253">
        <f>'CUOTA ARTESANAL'!N403</f>
        <v>10.577999999999999</v>
      </c>
      <c r="I562" s="253">
        <f>'CUOTA ARTESANAL'!O403</f>
        <v>0</v>
      </c>
      <c r="J562" s="253">
        <f>'CUOTA ARTESANAL'!P403</f>
        <v>10.577999999999999</v>
      </c>
      <c r="K562" s="253">
        <f>'CUOTA ARTESANAL'!Q403</f>
        <v>8.2620000000000005</v>
      </c>
      <c r="L562" s="253">
        <f>'CUOTA ARTESANAL'!R403</f>
        <v>2.3159999999999989</v>
      </c>
      <c r="M562" s="254">
        <f>'CUOTA ARTESANAL'!S403</f>
        <v>0.78105501985252423</v>
      </c>
      <c r="N562" s="240" t="s">
        <v>218</v>
      </c>
      <c r="O562" s="241">
        <f>RESUMEN!$C$4</f>
        <v>44561</v>
      </c>
      <c r="P562" s="233">
        <v>2021</v>
      </c>
      <c r="Q562" s="233"/>
    </row>
    <row r="563" spans="1:17" ht="15.75" customHeight="1">
      <c r="A563" s="238" t="s">
        <v>51</v>
      </c>
      <c r="B563" s="238" t="s">
        <v>52</v>
      </c>
      <c r="C563" s="238" t="s">
        <v>72</v>
      </c>
      <c r="D563" s="243" t="s">
        <v>337</v>
      </c>
      <c r="E563" s="243" t="str">
        <f>+'CUOTA ARTESANAL'!E405</f>
        <v>ANUBIS II (965560)</v>
      </c>
      <c r="F563" s="238" t="s">
        <v>54</v>
      </c>
      <c r="G563" s="238" t="s">
        <v>56</v>
      </c>
      <c r="H563" s="253">
        <f>'CUOTA ARTESANAL'!G405</f>
        <v>5.2930000000000001</v>
      </c>
      <c r="I563" s="253">
        <f>'CUOTA ARTESANAL'!H405</f>
        <v>0</v>
      </c>
      <c r="J563" s="253">
        <f>'CUOTA ARTESANAL'!I405</f>
        <v>5.2930000000000001</v>
      </c>
      <c r="K563" s="253">
        <f>'CUOTA ARTESANAL'!J405</f>
        <v>0.8640000000000001</v>
      </c>
      <c r="L563" s="253">
        <f>'CUOTA ARTESANAL'!K405</f>
        <v>4.4290000000000003</v>
      </c>
      <c r="M563" s="254">
        <f>'CUOTA ARTESANAL'!L405</f>
        <v>0.16323446060835067</v>
      </c>
      <c r="N563" s="240" t="str">
        <f>'CUOTA ARTESANAL'!M405</f>
        <v>-</v>
      </c>
      <c r="O563" s="241">
        <f>RESUMEN!$C$4</f>
        <v>44561</v>
      </c>
      <c r="P563" s="233">
        <v>2021</v>
      </c>
      <c r="Q563" s="233"/>
    </row>
    <row r="564" spans="1:17" ht="15.75" customHeight="1">
      <c r="A564" s="238" t="s">
        <v>51</v>
      </c>
      <c r="B564" s="238" t="s">
        <v>52</v>
      </c>
      <c r="C564" s="238" t="s">
        <v>72</v>
      </c>
      <c r="D564" s="243" t="s">
        <v>337</v>
      </c>
      <c r="E564" s="243" t="str">
        <f>+'CUOTA ARTESANAL'!E405</f>
        <v>ANUBIS II (965560)</v>
      </c>
      <c r="F564" s="238" t="s">
        <v>57</v>
      </c>
      <c r="G564" s="238" t="s">
        <v>58</v>
      </c>
      <c r="H564" s="253">
        <f>'CUOTA ARTESANAL'!G406</f>
        <v>5.2930000000000001</v>
      </c>
      <c r="I564" s="253">
        <f>'CUOTA ARTESANAL'!H406</f>
        <v>0</v>
      </c>
      <c r="J564" s="253">
        <f>'CUOTA ARTESANAL'!I406</f>
        <v>9.7220000000000013</v>
      </c>
      <c r="K564" s="253">
        <f>'CUOTA ARTESANAL'!J406</f>
        <v>5.3190000000000008</v>
      </c>
      <c r="L564" s="253">
        <f>'CUOTA ARTESANAL'!K406</f>
        <v>4.4030000000000005</v>
      </c>
      <c r="M564" s="254">
        <f>'CUOTA ARTESANAL'!L406</f>
        <v>0.54710964822053076</v>
      </c>
      <c r="N564" s="240" t="str">
        <f>'CUOTA ARTESANAL'!M406</f>
        <v>-</v>
      </c>
      <c r="O564" s="241">
        <f>RESUMEN!$C$4</f>
        <v>44561</v>
      </c>
      <c r="P564" s="233">
        <v>2021</v>
      </c>
      <c r="Q564" s="233"/>
    </row>
    <row r="565" spans="1:17" ht="15.75" customHeight="1">
      <c r="A565" s="238" t="s">
        <v>51</v>
      </c>
      <c r="B565" s="238" t="s">
        <v>52</v>
      </c>
      <c r="C565" s="238" t="s">
        <v>72</v>
      </c>
      <c r="D565" s="243" t="s">
        <v>337</v>
      </c>
      <c r="E565" s="243" t="str">
        <f>+'CUOTA ARTESANAL'!E405</f>
        <v>ANUBIS II (965560)</v>
      </c>
      <c r="F565" s="238" t="s">
        <v>54</v>
      </c>
      <c r="G565" s="238" t="s">
        <v>58</v>
      </c>
      <c r="H565" s="253">
        <f>'CUOTA ARTESANAL'!N405</f>
        <v>10.586</v>
      </c>
      <c r="I565" s="253">
        <f>'CUOTA ARTESANAL'!O405</f>
        <v>0</v>
      </c>
      <c r="J565" s="253">
        <f>'CUOTA ARTESANAL'!P405</f>
        <v>10.586</v>
      </c>
      <c r="K565" s="253">
        <f>'CUOTA ARTESANAL'!Q405</f>
        <v>6.1830000000000007</v>
      </c>
      <c r="L565" s="253">
        <f>'CUOTA ARTESANAL'!R405</f>
        <v>4.4029999999999996</v>
      </c>
      <c r="M565" s="254">
        <f>'CUOTA ARTESANAL'!S405</f>
        <v>0.58407330436425475</v>
      </c>
      <c r="N565" s="240" t="s">
        <v>218</v>
      </c>
      <c r="O565" s="241">
        <f>RESUMEN!$C$4</f>
        <v>44561</v>
      </c>
      <c r="P565" s="233">
        <v>2021</v>
      </c>
      <c r="Q565" s="233"/>
    </row>
    <row r="566" spans="1:17" ht="15.75" customHeight="1">
      <c r="A566" s="238" t="s">
        <v>51</v>
      </c>
      <c r="B566" s="238" t="s">
        <v>52</v>
      </c>
      <c r="C566" s="238" t="s">
        <v>72</v>
      </c>
      <c r="D566" s="243" t="s">
        <v>337</v>
      </c>
      <c r="E566" s="243" t="str">
        <f>+'CUOTA ARTESANAL'!E407</f>
        <v xml:space="preserve">ARIES V (967117) </v>
      </c>
      <c r="F566" s="238" t="s">
        <v>54</v>
      </c>
      <c r="G566" s="238" t="s">
        <v>56</v>
      </c>
      <c r="H566" s="253">
        <f>'CUOTA ARTESANAL'!G407</f>
        <v>5.2869999999999999</v>
      </c>
      <c r="I566" s="253">
        <f>'CUOTA ARTESANAL'!H407</f>
        <v>0</v>
      </c>
      <c r="J566" s="253">
        <f>'CUOTA ARTESANAL'!I407</f>
        <v>5.2869999999999999</v>
      </c>
      <c r="K566" s="253">
        <f>'CUOTA ARTESANAL'!J407</f>
        <v>5.1570000000000009</v>
      </c>
      <c r="L566" s="253">
        <f>'CUOTA ARTESANAL'!K407</f>
        <v>0.12999999999999901</v>
      </c>
      <c r="M566" s="254">
        <f>'CUOTA ARTESANAL'!L407</f>
        <v>0.97541138641951974</v>
      </c>
      <c r="N566" s="240" t="str">
        <f>'CUOTA ARTESANAL'!M407</f>
        <v>-</v>
      </c>
      <c r="O566" s="241">
        <f>RESUMEN!$C$4</f>
        <v>44561</v>
      </c>
      <c r="P566" s="233">
        <v>2021</v>
      </c>
      <c r="Q566" s="233"/>
    </row>
    <row r="567" spans="1:17" ht="15.75" customHeight="1">
      <c r="A567" s="238" t="s">
        <v>51</v>
      </c>
      <c r="B567" s="238" t="s">
        <v>52</v>
      </c>
      <c r="C567" s="238" t="s">
        <v>72</v>
      </c>
      <c r="D567" s="243" t="s">
        <v>337</v>
      </c>
      <c r="E567" s="243" t="str">
        <f>+'CUOTA ARTESANAL'!E407</f>
        <v xml:space="preserve">ARIES V (967117) </v>
      </c>
      <c r="F567" s="238" t="s">
        <v>57</v>
      </c>
      <c r="G567" s="238" t="s">
        <v>58</v>
      </c>
      <c r="H567" s="253">
        <f>'CUOTA ARTESANAL'!G408</f>
        <v>5.2869999999999999</v>
      </c>
      <c r="I567" s="253">
        <f>'CUOTA ARTESANAL'!H408</f>
        <v>0</v>
      </c>
      <c r="J567" s="253">
        <f>'CUOTA ARTESANAL'!I408</f>
        <v>5.4169999999999989</v>
      </c>
      <c r="K567" s="253">
        <f>'CUOTA ARTESANAL'!J408</f>
        <v>3.7260000000000004</v>
      </c>
      <c r="L567" s="253">
        <f>'CUOTA ARTESANAL'!K408</f>
        <v>1.6909999999999985</v>
      </c>
      <c r="M567" s="254">
        <f>'CUOTA ARTESANAL'!L408</f>
        <v>0.68783459479416675</v>
      </c>
      <c r="N567" s="240" t="str">
        <f>'CUOTA ARTESANAL'!M408</f>
        <v>-</v>
      </c>
      <c r="O567" s="241">
        <f>RESUMEN!$C$4</f>
        <v>44561</v>
      </c>
      <c r="P567" s="233">
        <v>2021</v>
      </c>
      <c r="Q567" s="233"/>
    </row>
    <row r="568" spans="1:17" ht="15.75" customHeight="1">
      <c r="A568" s="238" t="s">
        <v>51</v>
      </c>
      <c r="B568" s="238" t="s">
        <v>52</v>
      </c>
      <c r="C568" s="238" t="s">
        <v>72</v>
      </c>
      <c r="D568" s="243" t="s">
        <v>337</v>
      </c>
      <c r="E568" s="243" t="str">
        <f>+'CUOTA ARTESANAL'!E407</f>
        <v xml:space="preserve">ARIES V (967117) </v>
      </c>
      <c r="F568" s="238" t="s">
        <v>54</v>
      </c>
      <c r="G568" s="238" t="s">
        <v>58</v>
      </c>
      <c r="H568" s="253">
        <f>'CUOTA ARTESANAL'!N407</f>
        <v>10.574</v>
      </c>
      <c r="I568" s="253">
        <f>'CUOTA ARTESANAL'!O407</f>
        <v>0</v>
      </c>
      <c r="J568" s="253">
        <f>'CUOTA ARTESANAL'!P407</f>
        <v>10.574</v>
      </c>
      <c r="K568" s="253">
        <f>'CUOTA ARTESANAL'!Q407</f>
        <v>8.8830000000000009</v>
      </c>
      <c r="L568" s="253">
        <f>'CUOTA ARTESANAL'!R407</f>
        <v>1.6909999999999989</v>
      </c>
      <c r="M568" s="254">
        <f>'CUOTA ARTESANAL'!S407</f>
        <v>0.84007944013618319</v>
      </c>
      <c r="N568" s="240" t="s">
        <v>218</v>
      </c>
      <c r="O568" s="241">
        <f>RESUMEN!$C$4</f>
        <v>44561</v>
      </c>
      <c r="P568" s="233">
        <v>2021</v>
      </c>
      <c r="Q568" s="233"/>
    </row>
    <row r="569" spans="1:17" ht="15.75" customHeight="1">
      <c r="A569" s="238" t="s">
        <v>51</v>
      </c>
      <c r="B569" s="238" t="s">
        <v>52</v>
      </c>
      <c r="C569" s="238" t="s">
        <v>72</v>
      </c>
      <c r="D569" s="243" t="s">
        <v>337</v>
      </c>
      <c r="E569" s="243" t="str">
        <f>+'CUOTA ARTESANAL'!E409</f>
        <v>CACHARPIN III (966768)</v>
      </c>
      <c r="F569" s="238" t="s">
        <v>54</v>
      </c>
      <c r="G569" s="238" t="s">
        <v>56</v>
      </c>
      <c r="H569" s="253">
        <f>'CUOTA ARTESANAL'!G409</f>
        <v>5.2910000000000004</v>
      </c>
      <c r="I569" s="253">
        <f>'CUOTA ARTESANAL'!H409</f>
        <v>0</v>
      </c>
      <c r="J569" s="253">
        <f>'CUOTA ARTESANAL'!I409</f>
        <v>5.2910000000000004</v>
      </c>
      <c r="K569" s="253">
        <f>'CUOTA ARTESANAL'!J409</f>
        <v>3.5469999999999997</v>
      </c>
      <c r="L569" s="253">
        <f>'CUOTA ARTESANAL'!K409</f>
        <v>1.7440000000000007</v>
      </c>
      <c r="M569" s="254">
        <f>'CUOTA ARTESANAL'!L409</f>
        <v>0.6703836703836703</v>
      </c>
      <c r="N569" s="240" t="str">
        <f>'CUOTA ARTESANAL'!M409</f>
        <v>-</v>
      </c>
      <c r="O569" s="241">
        <f>RESUMEN!$C$4</f>
        <v>44561</v>
      </c>
      <c r="P569" s="233">
        <v>2021</v>
      </c>
      <c r="Q569" s="233"/>
    </row>
    <row r="570" spans="1:17" ht="15.75" customHeight="1">
      <c r="A570" s="238" t="s">
        <v>51</v>
      </c>
      <c r="B570" s="238" t="s">
        <v>52</v>
      </c>
      <c r="C570" s="238" t="s">
        <v>72</v>
      </c>
      <c r="D570" s="243" t="s">
        <v>337</v>
      </c>
      <c r="E570" s="243" t="str">
        <f>+'CUOTA ARTESANAL'!E409</f>
        <v>CACHARPIN III (966768)</v>
      </c>
      <c r="F570" s="238" t="s">
        <v>57</v>
      </c>
      <c r="G570" s="238" t="s">
        <v>58</v>
      </c>
      <c r="H570" s="253">
        <f>'CUOTA ARTESANAL'!G410</f>
        <v>5.2910000000000004</v>
      </c>
      <c r="I570" s="253">
        <f>'CUOTA ARTESANAL'!H410</f>
        <v>0</v>
      </c>
      <c r="J570" s="253">
        <f>'CUOTA ARTESANAL'!I410</f>
        <v>7.035000000000001</v>
      </c>
      <c r="K570" s="253">
        <f>'CUOTA ARTESANAL'!J410</f>
        <v>2.4029999999999996</v>
      </c>
      <c r="L570" s="253">
        <f>'CUOTA ARTESANAL'!K410</f>
        <v>4.6320000000000014</v>
      </c>
      <c r="M570" s="254">
        <f>'CUOTA ARTESANAL'!L410</f>
        <v>0.34157782515991458</v>
      </c>
      <c r="N570" s="240" t="str">
        <f>'CUOTA ARTESANAL'!M410</f>
        <v>-</v>
      </c>
      <c r="O570" s="241">
        <f>RESUMEN!$C$4</f>
        <v>44561</v>
      </c>
      <c r="P570" s="233">
        <v>2021</v>
      </c>
      <c r="Q570" s="233"/>
    </row>
    <row r="571" spans="1:17" ht="15.75" customHeight="1">
      <c r="A571" s="238" t="s">
        <v>51</v>
      </c>
      <c r="B571" s="238" t="s">
        <v>52</v>
      </c>
      <c r="C571" s="238" t="s">
        <v>72</v>
      </c>
      <c r="D571" s="243" t="s">
        <v>337</v>
      </c>
      <c r="E571" s="243" t="str">
        <f>+'CUOTA ARTESANAL'!E409</f>
        <v>CACHARPIN III (966768)</v>
      </c>
      <c r="F571" s="238" t="s">
        <v>54</v>
      </c>
      <c r="G571" s="238" t="s">
        <v>58</v>
      </c>
      <c r="H571" s="253">
        <f>'CUOTA ARTESANAL'!N409</f>
        <v>10.582000000000001</v>
      </c>
      <c r="I571" s="253">
        <f>'CUOTA ARTESANAL'!O409</f>
        <v>0</v>
      </c>
      <c r="J571" s="253">
        <f>'CUOTA ARTESANAL'!P409</f>
        <v>10.582000000000001</v>
      </c>
      <c r="K571" s="253">
        <f>'CUOTA ARTESANAL'!Q409</f>
        <v>5.9499999999999993</v>
      </c>
      <c r="L571" s="253">
        <f>'CUOTA ARTESANAL'!R409</f>
        <v>4.6320000000000014</v>
      </c>
      <c r="M571" s="254">
        <f>'CUOTA ARTESANAL'!S409</f>
        <v>0.56227556227556219</v>
      </c>
      <c r="N571" s="240" t="s">
        <v>218</v>
      </c>
      <c r="O571" s="241">
        <f>RESUMEN!$C$4</f>
        <v>44561</v>
      </c>
      <c r="P571" s="233">
        <v>2021</v>
      </c>
      <c r="Q571" s="233"/>
    </row>
    <row r="572" spans="1:17" ht="15.75" customHeight="1">
      <c r="A572" s="238" t="s">
        <v>51</v>
      </c>
      <c r="B572" s="238" t="s">
        <v>52</v>
      </c>
      <c r="C572" s="238" t="s">
        <v>72</v>
      </c>
      <c r="D572" s="243" t="s">
        <v>337</v>
      </c>
      <c r="E572" s="243" t="str">
        <f>+'CUOTA ARTESANAL'!E411</f>
        <v>CHILOTE I (961144)</v>
      </c>
      <c r="F572" s="238" t="s">
        <v>54</v>
      </c>
      <c r="G572" s="238" t="s">
        <v>56</v>
      </c>
      <c r="H572" s="253">
        <f>'CUOTA ARTESANAL'!G411</f>
        <v>5.2919999999999998</v>
      </c>
      <c r="I572" s="253">
        <f>'CUOTA ARTESANAL'!H411</f>
        <v>0</v>
      </c>
      <c r="J572" s="253">
        <f>'CUOTA ARTESANAL'!I411</f>
        <v>5.2919999999999998</v>
      </c>
      <c r="K572" s="253">
        <f>'CUOTA ARTESANAL'!J411</f>
        <v>3.8340000000000001</v>
      </c>
      <c r="L572" s="253">
        <f>'CUOTA ARTESANAL'!K411</f>
        <v>1.4579999999999997</v>
      </c>
      <c r="M572" s="254">
        <f>'CUOTA ARTESANAL'!L411</f>
        <v>0.72448979591836737</v>
      </c>
      <c r="N572" s="240" t="str">
        <f>'CUOTA ARTESANAL'!M411</f>
        <v>-</v>
      </c>
      <c r="O572" s="241">
        <f>RESUMEN!$C$4</f>
        <v>44561</v>
      </c>
      <c r="P572" s="233">
        <v>2021</v>
      </c>
      <c r="Q572" s="233"/>
    </row>
    <row r="573" spans="1:17" ht="15.75" customHeight="1">
      <c r="A573" s="238" t="s">
        <v>51</v>
      </c>
      <c r="B573" s="238" t="s">
        <v>52</v>
      </c>
      <c r="C573" s="238" t="s">
        <v>72</v>
      </c>
      <c r="D573" s="243" t="s">
        <v>337</v>
      </c>
      <c r="E573" s="243" t="str">
        <f>+'CUOTA ARTESANAL'!E411</f>
        <v>CHILOTE I (961144)</v>
      </c>
      <c r="F573" s="238" t="s">
        <v>57</v>
      </c>
      <c r="G573" s="238" t="s">
        <v>58</v>
      </c>
      <c r="H573" s="253">
        <f>'CUOTA ARTESANAL'!G412</f>
        <v>5.2919999999999998</v>
      </c>
      <c r="I573" s="253">
        <f>'CUOTA ARTESANAL'!H412</f>
        <v>0</v>
      </c>
      <c r="J573" s="253">
        <f>'CUOTA ARTESANAL'!I412</f>
        <v>6.75</v>
      </c>
      <c r="K573" s="253">
        <f>'CUOTA ARTESANAL'!J412</f>
        <v>3.7800000000000002</v>
      </c>
      <c r="L573" s="253">
        <f>'CUOTA ARTESANAL'!K412</f>
        <v>2.9699999999999998</v>
      </c>
      <c r="M573" s="254">
        <f>'CUOTA ARTESANAL'!L412</f>
        <v>0.56000000000000005</v>
      </c>
      <c r="N573" s="240" t="str">
        <f>'CUOTA ARTESANAL'!M412</f>
        <v>-</v>
      </c>
      <c r="O573" s="241">
        <f>RESUMEN!$C$4</f>
        <v>44561</v>
      </c>
      <c r="P573" s="233">
        <v>2021</v>
      </c>
      <c r="Q573" s="233"/>
    </row>
    <row r="574" spans="1:17" ht="15.75" customHeight="1">
      <c r="A574" s="238" t="s">
        <v>51</v>
      </c>
      <c r="B574" s="238" t="s">
        <v>52</v>
      </c>
      <c r="C574" s="238" t="s">
        <v>72</v>
      </c>
      <c r="D574" s="243" t="s">
        <v>337</v>
      </c>
      <c r="E574" s="243" t="str">
        <f>+'CUOTA ARTESANAL'!E411</f>
        <v>CHILOTE I (961144)</v>
      </c>
      <c r="F574" s="238" t="s">
        <v>54</v>
      </c>
      <c r="G574" s="238" t="s">
        <v>58</v>
      </c>
      <c r="H574" s="253">
        <f>'CUOTA ARTESANAL'!N411</f>
        <v>10.584</v>
      </c>
      <c r="I574" s="253">
        <f>'CUOTA ARTESANAL'!O411</f>
        <v>0</v>
      </c>
      <c r="J574" s="253">
        <f>'CUOTA ARTESANAL'!P411</f>
        <v>10.584</v>
      </c>
      <c r="K574" s="253">
        <f>'CUOTA ARTESANAL'!Q411</f>
        <v>7.6140000000000008</v>
      </c>
      <c r="L574" s="253">
        <f>'CUOTA ARTESANAL'!R411</f>
        <v>2.9699999999999989</v>
      </c>
      <c r="M574" s="254">
        <f>'CUOTA ARTESANAL'!S411</f>
        <v>0.71938775510204089</v>
      </c>
      <c r="N574" s="240" t="s">
        <v>218</v>
      </c>
      <c r="O574" s="241">
        <f>RESUMEN!$C$4</f>
        <v>44561</v>
      </c>
      <c r="P574" s="233">
        <v>2021</v>
      </c>
      <c r="Q574" s="233"/>
    </row>
    <row r="575" spans="1:17" ht="15.75" customHeight="1">
      <c r="A575" s="238" t="s">
        <v>51</v>
      </c>
      <c r="B575" s="238" t="s">
        <v>52</v>
      </c>
      <c r="C575" s="238" t="s">
        <v>72</v>
      </c>
      <c r="D575" s="243" t="s">
        <v>337</v>
      </c>
      <c r="E575" s="243" t="str">
        <f>+'CUOTA ARTESANAL'!E413</f>
        <v>CRISTIAN III (963684)</v>
      </c>
      <c r="F575" s="238" t="s">
        <v>54</v>
      </c>
      <c r="G575" s="238" t="s">
        <v>56</v>
      </c>
      <c r="H575" s="253">
        <f>'CUOTA ARTESANAL'!G413</f>
        <v>5.2910000000000004</v>
      </c>
      <c r="I575" s="253">
        <f>'CUOTA ARTESANAL'!H413</f>
        <v>0</v>
      </c>
      <c r="J575" s="253">
        <f>'CUOTA ARTESANAL'!I413</f>
        <v>5.2910000000000004</v>
      </c>
      <c r="K575" s="253">
        <f>'CUOTA ARTESANAL'!J413</f>
        <v>1.377</v>
      </c>
      <c r="L575" s="253">
        <f>'CUOTA ARTESANAL'!K413</f>
        <v>3.9140000000000006</v>
      </c>
      <c r="M575" s="254">
        <f>'CUOTA ARTESANAL'!L413</f>
        <v>0.26025326025326023</v>
      </c>
      <c r="N575" s="240" t="str">
        <f>'CUOTA ARTESANAL'!M413</f>
        <v>-</v>
      </c>
      <c r="O575" s="241">
        <f>RESUMEN!$C$4</f>
        <v>44561</v>
      </c>
      <c r="P575" s="233">
        <v>2021</v>
      </c>
      <c r="Q575" s="233"/>
    </row>
    <row r="576" spans="1:17" ht="15.75" customHeight="1">
      <c r="A576" s="238" t="s">
        <v>51</v>
      </c>
      <c r="B576" s="238" t="s">
        <v>52</v>
      </c>
      <c r="C576" s="238" t="s">
        <v>72</v>
      </c>
      <c r="D576" s="243" t="s">
        <v>337</v>
      </c>
      <c r="E576" s="243" t="str">
        <f>+'CUOTA ARTESANAL'!E413</f>
        <v>CRISTIAN III (963684)</v>
      </c>
      <c r="F576" s="238" t="s">
        <v>57</v>
      </c>
      <c r="G576" s="238" t="s">
        <v>58</v>
      </c>
      <c r="H576" s="253">
        <f>'CUOTA ARTESANAL'!G414</f>
        <v>5.2910000000000004</v>
      </c>
      <c r="I576" s="253">
        <f>'CUOTA ARTESANAL'!H414</f>
        <v>0</v>
      </c>
      <c r="J576" s="253">
        <f>'CUOTA ARTESANAL'!I414</f>
        <v>9.2050000000000018</v>
      </c>
      <c r="K576" s="253">
        <f>'CUOTA ARTESANAL'!J414</f>
        <v>5.5350000000000001</v>
      </c>
      <c r="L576" s="253">
        <f>'CUOTA ARTESANAL'!K414</f>
        <v>3.6700000000000017</v>
      </c>
      <c r="M576" s="254">
        <f>'CUOTA ARTESANAL'!L414</f>
        <v>0.60130363932645292</v>
      </c>
      <c r="N576" s="240" t="str">
        <f>'CUOTA ARTESANAL'!M414</f>
        <v>-</v>
      </c>
      <c r="O576" s="241">
        <f>RESUMEN!$C$4</f>
        <v>44561</v>
      </c>
      <c r="P576" s="233">
        <v>2021</v>
      </c>
      <c r="Q576" s="233"/>
    </row>
    <row r="577" spans="1:17" ht="15.75" customHeight="1">
      <c r="A577" s="238" t="s">
        <v>51</v>
      </c>
      <c r="B577" s="238" t="s">
        <v>52</v>
      </c>
      <c r="C577" s="238" t="s">
        <v>72</v>
      </c>
      <c r="D577" s="243" t="s">
        <v>337</v>
      </c>
      <c r="E577" s="243" t="str">
        <f>+'CUOTA ARTESANAL'!E413</f>
        <v>CRISTIAN III (963684)</v>
      </c>
      <c r="F577" s="238" t="s">
        <v>54</v>
      </c>
      <c r="G577" s="238" t="s">
        <v>58</v>
      </c>
      <c r="H577" s="253">
        <f>'CUOTA ARTESANAL'!N413</f>
        <v>10.582000000000001</v>
      </c>
      <c r="I577" s="253">
        <f>'CUOTA ARTESANAL'!O413</f>
        <v>0</v>
      </c>
      <c r="J577" s="253">
        <f>'CUOTA ARTESANAL'!P413</f>
        <v>10.582000000000001</v>
      </c>
      <c r="K577" s="253">
        <f>'CUOTA ARTESANAL'!Q413</f>
        <v>6.9119999999999999</v>
      </c>
      <c r="L577" s="253">
        <f>'CUOTA ARTESANAL'!R413</f>
        <v>3.6700000000000008</v>
      </c>
      <c r="M577" s="254">
        <f>'CUOTA ARTESANAL'!S413</f>
        <v>0.65318465318465313</v>
      </c>
      <c r="N577" s="240" t="s">
        <v>218</v>
      </c>
      <c r="O577" s="241">
        <f>RESUMEN!$C$4</f>
        <v>44561</v>
      </c>
      <c r="P577" s="233">
        <v>2021</v>
      </c>
      <c r="Q577" s="233"/>
    </row>
    <row r="578" spans="1:17" ht="15.75" customHeight="1">
      <c r="A578" s="238" t="s">
        <v>51</v>
      </c>
      <c r="B578" s="238" t="s">
        <v>52</v>
      </c>
      <c r="C578" s="238" t="s">
        <v>72</v>
      </c>
      <c r="D578" s="243" t="s">
        <v>337</v>
      </c>
      <c r="E578" s="243" t="str">
        <f>+'CUOTA ARTESANAL'!E415</f>
        <v>CRISTOBAL II (967948)</v>
      </c>
      <c r="F578" s="238" t="s">
        <v>54</v>
      </c>
      <c r="G578" s="238" t="s">
        <v>56</v>
      </c>
      <c r="H578" s="253">
        <f>'CUOTA ARTESANAL'!G415</f>
        <v>5.2939999999999996</v>
      </c>
      <c r="I578" s="253">
        <f>'CUOTA ARTESANAL'!H415</f>
        <v>0</v>
      </c>
      <c r="J578" s="253">
        <f>'CUOTA ARTESANAL'!I415</f>
        <v>5.2939999999999996</v>
      </c>
      <c r="K578" s="253">
        <f>'CUOTA ARTESANAL'!J415</f>
        <v>1.863</v>
      </c>
      <c r="L578" s="253">
        <f>'CUOTA ARTESANAL'!K415</f>
        <v>3.4309999999999996</v>
      </c>
      <c r="M578" s="254">
        <f>'CUOTA ARTESANAL'!L415</f>
        <v>0.35190782017378164</v>
      </c>
      <c r="N578" s="240" t="str">
        <f>'CUOTA ARTESANAL'!M415</f>
        <v>-</v>
      </c>
      <c r="O578" s="241">
        <f>RESUMEN!$C$4</f>
        <v>44561</v>
      </c>
      <c r="P578" s="233">
        <v>2021</v>
      </c>
      <c r="Q578" s="233"/>
    </row>
    <row r="579" spans="1:17" ht="15.75" customHeight="1">
      <c r="A579" s="238" t="s">
        <v>51</v>
      </c>
      <c r="B579" s="238" t="s">
        <v>52</v>
      </c>
      <c r="C579" s="238" t="s">
        <v>72</v>
      </c>
      <c r="D579" s="243" t="s">
        <v>337</v>
      </c>
      <c r="E579" s="243" t="str">
        <f>+'CUOTA ARTESANAL'!E415</f>
        <v>CRISTOBAL II (967948)</v>
      </c>
      <c r="F579" s="238" t="s">
        <v>57</v>
      </c>
      <c r="G579" s="238" t="s">
        <v>58</v>
      </c>
      <c r="H579" s="253">
        <f>'CUOTA ARTESANAL'!G416</f>
        <v>5.2939999999999996</v>
      </c>
      <c r="I579" s="253">
        <f>'CUOTA ARTESANAL'!H416</f>
        <v>0</v>
      </c>
      <c r="J579" s="253">
        <f>'CUOTA ARTESANAL'!I416</f>
        <v>8.7249999999999996</v>
      </c>
      <c r="K579" s="253">
        <f>'CUOTA ARTESANAL'!J416</f>
        <v>3.1859999999999999</v>
      </c>
      <c r="L579" s="253">
        <f>'CUOTA ARTESANAL'!K416</f>
        <v>5.5389999999999997</v>
      </c>
      <c r="M579" s="254">
        <f>'CUOTA ARTESANAL'!L416</f>
        <v>0.36515759312320917</v>
      </c>
      <c r="N579" s="240" t="str">
        <f>'CUOTA ARTESANAL'!M416</f>
        <v>-</v>
      </c>
      <c r="O579" s="241">
        <f>RESUMEN!$C$4</f>
        <v>44561</v>
      </c>
      <c r="P579" s="233">
        <v>2021</v>
      </c>
      <c r="Q579" s="233"/>
    </row>
    <row r="580" spans="1:17" ht="15.75" customHeight="1">
      <c r="A580" s="238" t="s">
        <v>51</v>
      </c>
      <c r="B580" s="238" t="s">
        <v>52</v>
      </c>
      <c r="C580" s="238" t="s">
        <v>72</v>
      </c>
      <c r="D580" s="243" t="s">
        <v>337</v>
      </c>
      <c r="E580" s="243" t="str">
        <f>+'CUOTA ARTESANAL'!E415</f>
        <v>CRISTOBAL II (967948)</v>
      </c>
      <c r="F580" s="238" t="s">
        <v>54</v>
      </c>
      <c r="G580" s="238" t="s">
        <v>58</v>
      </c>
      <c r="H580" s="253">
        <f>'CUOTA ARTESANAL'!N415</f>
        <v>10.587999999999999</v>
      </c>
      <c r="I580" s="253">
        <f>'CUOTA ARTESANAL'!O415</f>
        <v>0</v>
      </c>
      <c r="J580" s="253">
        <f>'CUOTA ARTESANAL'!P415</f>
        <v>10.587999999999999</v>
      </c>
      <c r="K580" s="253">
        <f>'CUOTA ARTESANAL'!Q415</f>
        <v>5.0489999999999995</v>
      </c>
      <c r="L580" s="253">
        <f>'CUOTA ARTESANAL'!R415</f>
        <v>5.5389999999999997</v>
      </c>
      <c r="M580" s="254">
        <f>'CUOTA ARTESANAL'!S415</f>
        <v>0.47686059690215338</v>
      </c>
      <c r="N580" s="240" t="s">
        <v>218</v>
      </c>
      <c r="O580" s="241">
        <f>RESUMEN!$C$4</f>
        <v>44561</v>
      </c>
      <c r="P580" s="233">
        <v>2021</v>
      </c>
      <c r="Q580" s="233"/>
    </row>
    <row r="581" spans="1:17" ht="15.75" customHeight="1">
      <c r="A581" s="238" t="s">
        <v>51</v>
      </c>
      <c r="B581" s="238" t="s">
        <v>52</v>
      </c>
      <c r="C581" s="238" t="s">
        <v>72</v>
      </c>
      <c r="D581" s="243" t="s">
        <v>337</v>
      </c>
      <c r="E581" s="243" t="str">
        <f>+'CUOTA ARTESANAL'!E417</f>
        <v>CRISTOBAL III (966327)</v>
      </c>
      <c r="F581" s="238" t="s">
        <v>54</v>
      </c>
      <c r="G581" s="238" t="s">
        <v>56</v>
      </c>
      <c r="H581" s="253">
        <f>'CUOTA ARTESANAL'!G417</f>
        <v>5.3029999999999999</v>
      </c>
      <c r="I581" s="253">
        <f>'CUOTA ARTESANAL'!H417</f>
        <v>0</v>
      </c>
      <c r="J581" s="253">
        <f>'CUOTA ARTESANAL'!I417</f>
        <v>5.3029999999999999</v>
      </c>
      <c r="K581" s="253">
        <f>'CUOTA ARTESANAL'!J417</f>
        <v>1.8359999999999999</v>
      </c>
      <c r="L581" s="253">
        <f>'CUOTA ARTESANAL'!K417</f>
        <v>3.4670000000000001</v>
      </c>
      <c r="M581" s="254">
        <f>'CUOTA ARTESANAL'!L417</f>
        <v>0.3462191212521214</v>
      </c>
      <c r="N581" s="240" t="str">
        <f>'CUOTA ARTESANAL'!M417</f>
        <v>-</v>
      </c>
      <c r="O581" s="241">
        <f>RESUMEN!$C$4</f>
        <v>44561</v>
      </c>
      <c r="P581" s="233">
        <v>2021</v>
      </c>
      <c r="Q581" s="233"/>
    </row>
    <row r="582" spans="1:17" ht="15.75" customHeight="1">
      <c r="A582" s="238" t="s">
        <v>51</v>
      </c>
      <c r="B582" s="238" t="s">
        <v>52</v>
      </c>
      <c r="C582" s="238" t="s">
        <v>72</v>
      </c>
      <c r="D582" s="243" t="s">
        <v>337</v>
      </c>
      <c r="E582" s="243" t="str">
        <f>+'CUOTA ARTESANAL'!E417</f>
        <v>CRISTOBAL III (966327)</v>
      </c>
      <c r="F582" s="238" t="s">
        <v>57</v>
      </c>
      <c r="G582" s="238" t="s">
        <v>58</v>
      </c>
      <c r="H582" s="253">
        <f>'CUOTA ARTESANAL'!G418</f>
        <v>5.3029999999999999</v>
      </c>
      <c r="I582" s="253">
        <f>'CUOTA ARTESANAL'!H418</f>
        <v>0</v>
      </c>
      <c r="J582" s="253">
        <f>'CUOTA ARTESANAL'!I418</f>
        <v>8.77</v>
      </c>
      <c r="K582" s="253">
        <f>'CUOTA ARTESANAL'!J418</f>
        <v>3.6720000000000002</v>
      </c>
      <c r="L582" s="253">
        <f>'CUOTA ARTESANAL'!K418</f>
        <v>5.097999999999999</v>
      </c>
      <c r="M582" s="254">
        <f>'CUOTA ARTESANAL'!L418</f>
        <v>0.41870011402508556</v>
      </c>
      <c r="N582" s="240" t="str">
        <f>'CUOTA ARTESANAL'!M418</f>
        <v>-</v>
      </c>
      <c r="O582" s="241">
        <f>RESUMEN!$C$4</f>
        <v>44561</v>
      </c>
      <c r="P582" s="233">
        <v>2021</v>
      </c>
      <c r="Q582" s="233"/>
    </row>
    <row r="583" spans="1:17" ht="15.75" customHeight="1">
      <c r="A583" s="238" t="s">
        <v>51</v>
      </c>
      <c r="B583" s="238" t="s">
        <v>52</v>
      </c>
      <c r="C583" s="238" t="s">
        <v>72</v>
      </c>
      <c r="D583" s="243" t="s">
        <v>337</v>
      </c>
      <c r="E583" s="243" t="str">
        <f>+'CUOTA ARTESANAL'!E417</f>
        <v>CRISTOBAL III (966327)</v>
      </c>
      <c r="F583" s="238" t="s">
        <v>54</v>
      </c>
      <c r="G583" s="238" t="s">
        <v>58</v>
      </c>
      <c r="H583" s="253">
        <f>'CUOTA ARTESANAL'!N417</f>
        <v>10.606</v>
      </c>
      <c r="I583" s="253">
        <f>'CUOTA ARTESANAL'!O417</f>
        <v>0</v>
      </c>
      <c r="J583" s="253">
        <f>'CUOTA ARTESANAL'!P417</f>
        <v>10.606</v>
      </c>
      <c r="K583" s="253">
        <f>'CUOTA ARTESANAL'!Q417</f>
        <v>5.508</v>
      </c>
      <c r="L583" s="253">
        <f>'CUOTA ARTESANAL'!R417</f>
        <v>5.0979999999999999</v>
      </c>
      <c r="M583" s="254">
        <f>'CUOTA ARTESANAL'!S417</f>
        <v>0.51932868187818215</v>
      </c>
      <c r="N583" s="240" t="s">
        <v>218</v>
      </c>
      <c r="O583" s="241">
        <f>RESUMEN!$C$4</f>
        <v>44561</v>
      </c>
      <c r="P583" s="233">
        <v>2021</v>
      </c>
      <c r="Q583" s="233"/>
    </row>
    <row r="584" spans="1:17" ht="15.75" customHeight="1">
      <c r="A584" s="238" t="s">
        <v>51</v>
      </c>
      <c r="B584" s="238" t="s">
        <v>52</v>
      </c>
      <c r="C584" s="238" t="s">
        <v>72</v>
      </c>
      <c r="D584" s="243" t="s">
        <v>337</v>
      </c>
      <c r="E584" s="243" t="str">
        <f>+'CUOTA ARTESANAL'!E419</f>
        <v>DAYSI ANDREA IV (966642)</v>
      </c>
      <c r="F584" s="238" t="s">
        <v>54</v>
      </c>
      <c r="G584" s="238" t="s">
        <v>56</v>
      </c>
      <c r="H584" s="253">
        <f>'CUOTA ARTESANAL'!G419</f>
        <v>7.9370000000000003</v>
      </c>
      <c r="I584" s="253">
        <f>'CUOTA ARTESANAL'!H419</f>
        <v>0</v>
      </c>
      <c r="J584" s="253">
        <f>'CUOTA ARTESANAL'!I419</f>
        <v>7.9370000000000003</v>
      </c>
      <c r="K584" s="253">
        <f>'CUOTA ARTESANAL'!J419</f>
        <v>6.75</v>
      </c>
      <c r="L584" s="253">
        <f>'CUOTA ARTESANAL'!K419</f>
        <v>1.1870000000000003</v>
      </c>
      <c r="M584" s="254">
        <f>'CUOTA ARTESANAL'!L419</f>
        <v>0.85044727226911931</v>
      </c>
      <c r="N584" s="240" t="str">
        <f>'CUOTA ARTESANAL'!M419</f>
        <v>-</v>
      </c>
      <c r="O584" s="241">
        <f>RESUMEN!$C$4</f>
        <v>44561</v>
      </c>
      <c r="P584" s="233">
        <v>2021</v>
      </c>
      <c r="Q584" s="233"/>
    </row>
    <row r="585" spans="1:17" ht="15.75" customHeight="1">
      <c r="A585" s="238" t="s">
        <v>51</v>
      </c>
      <c r="B585" s="238" t="s">
        <v>52</v>
      </c>
      <c r="C585" s="238" t="s">
        <v>72</v>
      </c>
      <c r="D585" s="243" t="s">
        <v>337</v>
      </c>
      <c r="E585" s="243" t="str">
        <f>+'CUOTA ARTESANAL'!E419</f>
        <v>DAYSI ANDREA IV (966642)</v>
      </c>
      <c r="F585" s="238" t="s">
        <v>57</v>
      </c>
      <c r="G585" s="238" t="s">
        <v>58</v>
      </c>
      <c r="H585" s="253">
        <f>'CUOTA ARTESANAL'!G420</f>
        <v>2.645</v>
      </c>
      <c r="I585" s="253">
        <f>'CUOTA ARTESANAL'!H420</f>
        <v>0</v>
      </c>
      <c r="J585" s="253">
        <f>'CUOTA ARTESANAL'!I420</f>
        <v>3.8320000000000003</v>
      </c>
      <c r="K585" s="253">
        <f>'CUOTA ARTESANAL'!J420</f>
        <v>2.2950000000000004</v>
      </c>
      <c r="L585" s="253">
        <f>'CUOTA ARTESANAL'!K420</f>
        <v>1.5369999999999999</v>
      </c>
      <c r="M585" s="254">
        <f>'CUOTA ARTESANAL'!L420</f>
        <v>0.59890396659707734</v>
      </c>
      <c r="N585" s="240" t="str">
        <f>'CUOTA ARTESANAL'!M420</f>
        <v>-</v>
      </c>
      <c r="O585" s="241">
        <f>RESUMEN!$C$4</f>
        <v>44561</v>
      </c>
      <c r="P585" s="233">
        <v>2021</v>
      </c>
      <c r="Q585" s="233"/>
    </row>
    <row r="586" spans="1:17" ht="15.75" customHeight="1">
      <c r="A586" s="238" t="s">
        <v>51</v>
      </c>
      <c r="B586" s="238" t="s">
        <v>52</v>
      </c>
      <c r="C586" s="238" t="s">
        <v>72</v>
      </c>
      <c r="D586" s="243" t="s">
        <v>337</v>
      </c>
      <c r="E586" s="243" t="str">
        <f>+'CUOTA ARTESANAL'!E419</f>
        <v>DAYSI ANDREA IV (966642)</v>
      </c>
      <c r="F586" s="238" t="s">
        <v>54</v>
      </c>
      <c r="G586" s="238" t="s">
        <v>58</v>
      </c>
      <c r="H586" s="253">
        <f>'CUOTA ARTESANAL'!N419</f>
        <v>10.582000000000001</v>
      </c>
      <c r="I586" s="253">
        <f>'CUOTA ARTESANAL'!O419</f>
        <v>0</v>
      </c>
      <c r="J586" s="253">
        <f>'CUOTA ARTESANAL'!P419</f>
        <v>10.582000000000001</v>
      </c>
      <c r="K586" s="253">
        <f>'CUOTA ARTESANAL'!Q419</f>
        <v>9.0449999999999999</v>
      </c>
      <c r="L586" s="253">
        <f>'CUOTA ARTESANAL'!R419</f>
        <v>1.5370000000000008</v>
      </c>
      <c r="M586" s="254">
        <f>'CUOTA ARTESANAL'!S419</f>
        <v>0.85475335475335468</v>
      </c>
      <c r="N586" s="240" t="s">
        <v>218</v>
      </c>
      <c r="O586" s="241">
        <f>RESUMEN!$C$4</f>
        <v>44561</v>
      </c>
      <c r="P586" s="233">
        <v>2021</v>
      </c>
      <c r="Q586" s="233"/>
    </row>
    <row r="587" spans="1:17" ht="15.75" customHeight="1">
      <c r="A587" s="238" t="s">
        <v>51</v>
      </c>
      <c r="B587" s="238" t="s">
        <v>52</v>
      </c>
      <c r="C587" s="238" t="s">
        <v>72</v>
      </c>
      <c r="D587" s="243" t="s">
        <v>337</v>
      </c>
      <c r="E587" s="243" t="str">
        <f>+'CUOTA ARTESANAL'!E421</f>
        <v>FARO FELIX III (965293)</v>
      </c>
      <c r="F587" s="238" t="s">
        <v>54</v>
      </c>
      <c r="G587" s="238" t="s">
        <v>56</v>
      </c>
      <c r="H587" s="253">
        <f>'CUOTA ARTESANAL'!G421</f>
        <v>5.29</v>
      </c>
      <c r="I587" s="253">
        <f>'CUOTA ARTESANAL'!H421</f>
        <v>0</v>
      </c>
      <c r="J587" s="253">
        <f>'CUOTA ARTESANAL'!I421</f>
        <v>5.29</v>
      </c>
      <c r="K587" s="253">
        <f>'CUOTA ARTESANAL'!J421</f>
        <v>3.0780000000000003</v>
      </c>
      <c r="L587" s="253">
        <f>'CUOTA ARTESANAL'!K421</f>
        <v>2.2119999999999997</v>
      </c>
      <c r="M587" s="254">
        <f>'CUOTA ARTESANAL'!L421</f>
        <v>0.58185255198487718</v>
      </c>
      <c r="N587" s="240" t="str">
        <f>'CUOTA ARTESANAL'!M421</f>
        <v>-</v>
      </c>
      <c r="O587" s="241">
        <f>RESUMEN!$C$4</f>
        <v>44561</v>
      </c>
      <c r="P587" s="233">
        <v>2021</v>
      </c>
      <c r="Q587" s="233"/>
    </row>
    <row r="588" spans="1:17" ht="15.75" customHeight="1">
      <c r="A588" s="238" t="s">
        <v>51</v>
      </c>
      <c r="B588" s="238" t="s">
        <v>52</v>
      </c>
      <c r="C588" s="238" t="s">
        <v>72</v>
      </c>
      <c r="D588" s="243" t="s">
        <v>337</v>
      </c>
      <c r="E588" s="243" t="str">
        <f>+'CUOTA ARTESANAL'!E421</f>
        <v>FARO FELIX III (965293)</v>
      </c>
      <c r="F588" s="238" t="s">
        <v>57</v>
      </c>
      <c r="G588" s="238" t="s">
        <v>58</v>
      </c>
      <c r="H588" s="253">
        <f>'CUOTA ARTESANAL'!G422</f>
        <v>5.29</v>
      </c>
      <c r="I588" s="253">
        <f>'CUOTA ARTESANAL'!H422</f>
        <v>0</v>
      </c>
      <c r="J588" s="253">
        <f>'CUOTA ARTESANAL'!I422</f>
        <v>7.5019999999999998</v>
      </c>
      <c r="K588" s="253">
        <f>'CUOTA ARTESANAL'!J422</f>
        <v>4.05</v>
      </c>
      <c r="L588" s="253">
        <f>'CUOTA ARTESANAL'!K422</f>
        <v>3.452</v>
      </c>
      <c r="M588" s="254">
        <f>'CUOTA ARTESANAL'!L422</f>
        <v>0.5398560383897627</v>
      </c>
      <c r="N588" s="240" t="str">
        <f>'CUOTA ARTESANAL'!M422</f>
        <v>-</v>
      </c>
      <c r="O588" s="241">
        <f>RESUMEN!$C$4</f>
        <v>44561</v>
      </c>
      <c r="P588" s="233">
        <v>2021</v>
      </c>
      <c r="Q588" s="233"/>
    </row>
    <row r="589" spans="1:17" ht="15.75" customHeight="1">
      <c r="A589" s="238" t="s">
        <v>51</v>
      </c>
      <c r="B589" s="238" t="s">
        <v>52</v>
      </c>
      <c r="C589" s="238" t="s">
        <v>72</v>
      </c>
      <c r="D589" s="243" t="s">
        <v>337</v>
      </c>
      <c r="E589" s="243" t="str">
        <f>+'CUOTA ARTESANAL'!E421</f>
        <v>FARO FELIX III (965293)</v>
      </c>
      <c r="F589" s="238" t="s">
        <v>54</v>
      </c>
      <c r="G589" s="238" t="s">
        <v>58</v>
      </c>
      <c r="H589" s="253">
        <f>'CUOTA ARTESANAL'!N421</f>
        <v>10.58</v>
      </c>
      <c r="I589" s="253">
        <f>'CUOTA ARTESANAL'!O421</f>
        <v>0</v>
      </c>
      <c r="J589" s="253">
        <f>'CUOTA ARTESANAL'!P421</f>
        <v>10.58</v>
      </c>
      <c r="K589" s="253">
        <f>'CUOTA ARTESANAL'!Q421</f>
        <v>7.1280000000000001</v>
      </c>
      <c r="L589" s="253">
        <f>'CUOTA ARTESANAL'!R421</f>
        <v>3.452</v>
      </c>
      <c r="M589" s="254">
        <f>'CUOTA ARTESANAL'!S421</f>
        <v>0.67372400756143669</v>
      </c>
      <c r="N589" s="240" t="s">
        <v>218</v>
      </c>
      <c r="O589" s="241">
        <f>RESUMEN!$C$4</f>
        <v>44561</v>
      </c>
      <c r="P589" s="233">
        <v>2021</v>
      </c>
      <c r="Q589" s="233"/>
    </row>
    <row r="590" spans="1:17" ht="15.75" customHeight="1">
      <c r="A590" s="238" t="s">
        <v>51</v>
      </c>
      <c r="B590" s="238" t="s">
        <v>52</v>
      </c>
      <c r="C590" s="238" t="s">
        <v>72</v>
      </c>
      <c r="D590" s="243" t="s">
        <v>337</v>
      </c>
      <c r="E590" s="243" t="str">
        <f>+'CUOTA ARTESANAL'!E423</f>
        <v>JEREMY IGNACIO II (963727)</v>
      </c>
      <c r="F590" s="238" t="s">
        <v>54</v>
      </c>
      <c r="G590" s="238" t="s">
        <v>56</v>
      </c>
      <c r="H590" s="253">
        <f>'CUOTA ARTESANAL'!G423</f>
        <v>5.2919999999999998</v>
      </c>
      <c r="I590" s="253">
        <f>'CUOTA ARTESANAL'!H423</f>
        <v>0</v>
      </c>
      <c r="J590" s="253">
        <f>'CUOTA ARTESANAL'!I423</f>
        <v>5.2919999999999998</v>
      </c>
      <c r="K590" s="253">
        <f>'CUOTA ARTESANAL'!J423</f>
        <v>0.27</v>
      </c>
      <c r="L590" s="253">
        <f>'CUOTA ARTESANAL'!K423</f>
        <v>5.0220000000000002</v>
      </c>
      <c r="M590" s="254">
        <f>'CUOTA ARTESANAL'!L423</f>
        <v>5.1020408163265314E-2</v>
      </c>
      <c r="N590" s="240" t="str">
        <f>'CUOTA ARTESANAL'!M423</f>
        <v>-</v>
      </c>
      <c r="O590" s="241">
        <f>RESUMEN!$C$4</f>
        <v>44561</v>
      </c>
      <c r="P590" s="233">
        <v>2021</v>
      </c>
      <c r="Q590" s="233"/>
    </row>
    <row r="591" spans="1:17" ht="15.75" customHeight="1">
      <c r="A591" s="238" t="s">
        <v>51</v>
      </c>
      <c r="B591" s="238" t="s">
        <v>52</v>
      </c>
      <c r="C591" s="238" t="s">
        <v>72</v>
      </c>
      <c r="D591" s="243" t="s">
        <v>337</v>
      </c>
      <c r="E591" s="243" t="str">
        <f>+'CUOTA ARTESANAL'!E423</f>
        <v>JEREMY IGNACIO II (963727)</v>
      </c>
      <c r="F591" s="238" t="s">
        <v>57</v>
      </c>
      <c r="G591" s="238" t="s">
        <v>58</v>
      </c>
      <c r="H591" s="253">
        <f>'CUOTA ARTESANAL'!G424</f>
        <v>5.2919999999999998</v>
      </c>
      <c r="I591" s="253">
        <f>'CUOTA ARTESANAL'!H424</f>
        <v>0</v>
      </c>
      <c r="J591" s="253">
        <f>'CUOTA ARTESANAL'!I424</f>
        <v>10.314</v>
      </c>
      <c r="K591" s="253">
        <f>'CUOTA ARTESANAL'!J424</f>
        <v>3.7800000000000002</v>
      </c>
      <c r="L591" s="253">
        <f>'CUOTA ARTESANAL'!K424</f>
        <v>6.5339999999999998</v>
      </c>
      <c r="M591" s="254">
        <f>'CUOTA ARTESANAL'!L424</f>
        <v>0.36649214659685864</v>
      </c>
      <c r="N591" s="240" t="str">
        <f>'CUOTA ARTESANAL'!M424</f>
        <v>-</v>
      </c>
      <c r="O591" s="241">
        <f>RESUMEN!$C$4</f>
        <v>44561</v>
      </c>
      <c r="P591" s="233">
        <v>2021</v>
      </c>
      <c r="Q591" s="233"/>
    </row>
    <row r="592" spans="1:17" ht="15.75" customHeight="1">
      <c r="A592" s="238" t="s">
        <v>51</v>
      </c>
      <c r="B592" s="238" t="s">
        <v>52</v>
      </c>
      <c r="C592" s="238" t="s">
        <v>72</v>
      </c>
      <c r="D592" s="243" t="s">
        <v>337</v>
      </c>
      <c r="E592" s="243" t="str">
        <f>+'CUOTA ARTESANAL'!E423</f>
        <v>JEREMY IGNACIO II (963727)</v>
      </c>
      <c r="F592" s="238" t="s">
        <v>54</v>
      </c>
      <c r="G592" s="238" t="s">
        <v>58</v>
      </c>
      <c r="H592" s="253">
        <f>'CUOTA ARTESANAL'!N423</f>
        <v>10.584</v>
      </c>
      <c r="I592" s="253">
        <f>'CUOTA ARTESANAL'!O423</f>
        <v>0</v>
      </c>
      <c r="J592" s="253">
        <f>'CUOTA ARTESANAL'!P423</f>
        <v>10.584</v>
      </c>
      <c r="K592" s="253">
        <f>'CUOTA ARTESANAL'!Q423</f>
        <v>4.0500000000000007</v>
      </c>
      <c r="L592" s="253">
        <f>'CUOTA ARTESANAL'!R423</f>
        <v>6.5339999999999989</v>
      </c>
      <c r="M592" s="254">
        <f>'CUOTA ARTESANAL'!S423</f>
        <v>0.38265306122448989</v>
      </c>
      <c r="N592" s="240" t="s">
        <v>218</v>
      </c>
      <c r="O592" s="241">
        <f>RESUMEN!$C$4</f>
        <v>44561</v>
      </c>
      <c r="P592" s="233">
        <v>2021</v>
      </c>
      <c r="Q592" s="233"/>
    </row>
    <row r="593" spans="1:17" ht="15.75" customHeight="1">
      <c r="A593" s="238" t="s">
        <v>51</v>
      </c>
      <c r="B593" s="238" t="s">
        <v>52</v>
      </c>
      <c r="C593" s="238" t="s">
        <v>72</v>
      </c>
      <c r="D593" s="243" t="s">
        <v>337</v>
      </c>
      <c r="E593" s="243" t="str">
        <f>+'CUOTA ARTESANAL'!E425</f>
        <v>JIMMY CRISTAL II (966785)</v>
      </c>
      <c r="F593" s="238" t="s">
        <v>54</v>
      </c>
      <c r="G593" s="238" t="s">
        <v>56</v>
      </c>
      <c r="H593" s="253">
        <f>'CUOTA ARTESANAL'!G425</f>
        <v>5.2910000000000004</v>
      </c>
      <c r="I593" s="253">
        <f>'CUOTA ARTESANAL'!H425</f>
        <v>0</v>
      </c>
      <c r="J593" s="253">
        <f>'CUOTA ARTESANAL'!I425</f>
        <v>5.2910000000000004</v>
      </c>
      <c r="K593" s="253">
        <f>'CUOTA ARTESANAL'!J425</f>
        <v>0.91800000000000004</v>
      </c>
      <c r="L593" s="253">
        <f>'CUOTA ARTESANAL'!K425</f>
        <v>4.3730000000000002</v>
      </c>
      <c r="M593" s="254">
        <f>'CUOTA ARTESANAL'!L425</f>
        <v>0.17350217350217351</v>
      </c>
      <c r="N593" s="240" t="str">
        <f>'CUOTA ARTESANAL'!M425</f>
        <v>-</v>
      </c>
      <c r="O593" s="241">
        <f>RESUMEN!$C$4</f>
        <v>44561</v>
      </c>
      <c r="P593" s="233">
        <v>2021</v>
      </c>
      <c r="Q593" s="233"/>
    </row>
    <row r="594" spans="1:17" ht="15.75" customHeight="1">
      <c r="A594" s="238" t="s">
        <v>51</v>
      </c>
      <c r="B594" s="238" t="s">
        <v>52</v>
      </c>
      <c r="C594" s="238" t="s">
        <v>72</v>
      </c>
      <c r="D594" s="243" t="s">
        <v>337</v>
      </c>
      <c r="E594" s="243" t="str">
        <f>+'CUOTA ARTESANAL'!E425</f>
        <v>JIMMY CRISTAL II (966785)</v>
      </c>
      <c r="F594" s="238" t="s">
        <v>57</v>
      </c>
      <c r="G594" s="238" t="s">
        <v>58</v>
      </c>
      <c r="H594" s="253">
        <f>'CUOTA ARTESANAL'!G426</f>
        <v>5.2910000000000004</v>
      </c>
      <c r="I594" s="253">
        <f>'CUOTA ARTESANAL'!H426</f>
        <v>0</v>
      </c>
      <c r="J594" s="253">
        <f>'CUOTA ARTESANAL'!I426</f>
        <v>9.6640000000000015</v>
      </c>
      <c r="K594" s="253">
        <f>'CUOTA ARTESANAL'!J426</f>
        <v>5.7240000000000002</v>
      </c>
      <c r="L594" s="253">
        <f>'CUOTA ARTESANAL'!K426</f>
        <v>3.9400000000000013</v>
      </c>
      <c r="M594" s="254">
        <f>'CUOTA ARTESANAL'!L426</f>
        <v>0.59230132450331119</v>
      </c>
      <c r="N594" s="240" t="str">
        <f>'CUOTA ARTESANAL'!M426</f>
        <v>-</v>
      </c>
      <c r="O594" s="241">
        <f>RESUMEN!$C$4</f>
        <v>44561</v>
      </c>
      <c r="P594" s="233">
        <v>2021</v>
      </c>
      <c r="Q594" s="233"/>
    </row>
    <row r="595" spans="1:17" ht="15.75" customHeight="1">
      <c r="A595" s="238" t="s">
        <v>51</v>
      </c>
      <c r="B595" s="238" t="s">
        <v>52</v>
      </c>
      <c r="C595" s="238" t="s">
        <v>72</v>
      </c>
      <c r="D595" s="243" t="s">
        <v>337</v>
      </c>
      <c r="E595" s="243" t="str">
        <f>+'CUOTA ARTESANAL'!E425</f>
        <v>JIMMY CRISTAL II (966785)</v>
      </c>
      <c r="F595" s="238" t="s">
        <v>54</v>
      </c>
      <c r="G595" s="238" t="s">
        <v>58</v>
      </c>
      <c r="H595" s="253">
        <f>'CUOTA ARTESANAL'!N425</f>
        <v>10.582000000000001</v>
      </c>
      <c r="I595" s="253">
        <f>'CUOTA ARTESANAL'!O425</f>
        <v>0</v>
      </c>
      <c r="J595" s="253">
        <f>'CUOTA ARTESANAL'!P425</f>
        <v>10.582000000000001</v>
      </c>
      <c r="K595" s="253">
        <f>'CUOTA ARTESANAL'!Q425</f>
        <v>6.6420000000000003</v>
      </c>
      <c r="L595" s="253">
        <f>'CUOTA ARTESANAL'!R425</f>
        <v>3.9400000000000004</v>
      </c>
      <c r="M595" s="254">
        <f>'CUOTA ARTESANAL'!S425</f>
        <v>0.62766962766962764</v>
      </c>
      <c r="N595" s="240" t="s">
        <v>218</v>
      </c>
      <c r="O595" s="241">
        <f>RESUMEN!$C$4</f>
        <v>44561</v>
      </c>
      <c r="P595" s="233">
        <v>2021</v>
      </c>
      <c r="Q595" s="233"/>
    </row>
    <row r="596" spans="1:17" ht="15.75" customHeight="1">
      <c r="A596" s="238" t="s">
        <v>51</v>
      </c>
      <c r="B596" s="238" t="s">
        <v>52</v>
      </c>
      <c r="C596" s="238" t="s">
        <v>72</v>
      </c>
      <c r="D596" s="243" t="s">
        <v>337</v>
      </c>
      <c r="E596" s="243" t="str">
        <f>+'CUOTA ARTESANAL'!E427</f>
        <v>KOSITA II (966412)</v>
      </c>
      <c r="F596" s="238" t="s">
        <v>54</v>
      </c>
      <c r="G596" s="238" t="s">
        <v>56</v>
      </c>
      <c r="H596" s="253">
        <f>'CUOTA ARTESANAL'!G427</f>
        <v>5.29</v>
      </c>
      <c r="I596" s="253">
        <f>'CUOTA ARTESANAL'!H427</f>
        <v>0</v>
      </c>
      <c r="J596" s="253">
        <f>'CUOTA ARTESANAL'!I427</f>
        <v>5.29</v>
      </c>
      <c r="K596" s="253">
        <f>'CUOTA ARTESANAL'!J427</f>
        <v>5.3190000000000008</v>
      </c>
      <c r="L596" s="253">
        <f>'CUOTA ARTESANAL'!K427</f>
        <v>-2.9000000000000803E-2</v>
      </c>
      <c r="M596" s="254">
        <f>'CUOTA ARTESANAL'!L427</f>
        <v>1.0054820415879018</v>
      </c>
      <c r="N596" s="240">
        <f>'CUOTA ARTESANAL'!M427</f>
        <v>44371</v>
      </c>
      <c r="O596" s="241">
        <f>RESUMEN!$C$4</f>
        <v>44561</v>
      </c>
      <c r="P596" s="233">
        <v>2021</v>
      </c>
      <c r="Q596" s="233"/>
    </row>
    <row r="597" spans="1:17" ht="15.75" customHeight="1">
      <c r="A597" s="238" t="s">
        <v>51</v>
      </c>
      <c r="B597" s="238" t="s">
        <v>52</v>
      </c>
      <c r="C597" s="238" t="s">
        <v>72</v>
      </c>
      <c r="D597" s="243" t="s">
        <v>337</v>
      </c>
      <c r="E597" s="243" t="str">
        <f>+'CUOTA ARTESANAL'!E427</f>
        <v>KOSITA II (966412)</v>
      </c>
      <c r="F597" s="238" t="s">
        <v>57</v>
      </c>
      <c r="G597" s="238" t="s">
        <v>58</v>
      </c>
      <c r="H597" s="253">
        <f>'CUOTA ARTESANAL'!G428</f>
        <v>5.29</v>
      </c>
      <c r="I597" s="253">
        <f>'CUOTA ARTESANAL'!H428</f>
        <v>0</v>
      </c>
      <c r="J597" s="253">
        <f>'CUOTA ARTESANAL'!I428</f>
        <v>5.2609999999999992</v>
      </c>
      <c r="K597" s="253">
        <f>'CUOTA ARTESANAL'!J428</f>
        <v>3.1320000000000001</v>
      </c>
      <c r="L597" s="253">
        <f>'CUOTA ARTESANAL'!K428</f>
        <v>2.1289999999999991</v>
      </c>
      <c r="M597" s="254">
        <f>'CUOTA ARTESANAL'!L428</f>
        <v>0.59532408287397842</v>
      </c>
      <c r="N597" s="240" t="str">
        <f>'CUOTA ARTESANAL'!M428</f>
        <v>-</v>
      </c>
      <c r="O597" s="241">
        <f>RESUMEN!$C$4</f>
        <v>44561</v>
      </c>
      <c r="P597" s="233">
        <v>2021</v>
      </c>
      <c r="Q597" s="233"/>
    </row>
    <row r="598" spans="1:17" ht="15.75" customHeight="1">
      <c r="A598" s="238" t="s">
        <v>51</v>
      </c>
      <c r="B598" s="238" t="s">
        <v>52</v>
      </c>
      <c r="C598" s="238" t="s">
        <v>72</v>
      </c>
      <c r="D598" s="243" t="s">
        <v>337</v>
      </c>
      <c r="E598" s="243" t="str">
        <f>+'CUOTA ARTESANAL'!E427</f>
        <v>KOSITA II (966412)</v>
      </c>
      <c r="F598" s="238" t="s">
        <v>54</v>
      </c>
      <c r="G598" s="238" t="s">
        <v>58</v>
      </c>
      <c r="H598" s="253">
        <f>'CUOTA ARTESANAL'!N427</f>
        <v>10.58</v>
      </c>
      <c r="I598" s="253">
        <f>'CUOTA ARTESANAL'!O427</f>
        <v>0</v>
      </c>
      <c r="J598" s="253">
        <f>'CUOTA ARTESANAL'!P427</f>
        <v>10.58</v>
      </c>
      <c r="K598" s="253">
        <f>'CUOTA ARTESANAL'!Q427</f>
        <v>8.4510000000000005</v>
      </c>
      <c r="L598" s="253">
        <f>'CUOTA ARTESANAL'!R427</f>
        <v>2.1289999999999996</v>
      </c>
      <c r="M598" s="254">
        <f>'CUOTA ARTESANAL'!S427</f>
        <v>0.79877126654064279</v>
      </c>
      <c r="N598" s="240" t="s">
        <v>218</v>
      </c>
      <c r="O598" s="241">
        <f>RESUMEN!$C$4</f>
        <v>44561</v>
      </c>
      <c r="P598" s="233">
        <v>2021</v>
      </c>
      <c r="Q598" s="233"/>
    </row>
    <row r="599" spans="1:17" ht="15.75" customHeight="1">
      <c r="A599" s="238" t="s">
        <v>51</v>
      </c>
      <c r="B599" s="238" t="s">
        <v>52</v>
      </c>
      <c r="C599" s="238" t="s">
        <v>72</v>
      </c>
      <c r="D599" s="243" t="s">
        <v>337</v>
      </c>
      <c r="E599" s="243" t="str">
        <f>+'CUOTA ARTESANAL'!E429</f>
        <v>LAITO II (697698)</v>
      </c>
      <c r="F599" s="238" t="s">
        <v>54</v>
      </c>
      <c r="G599" s="238" t="s">
        <v>56</v>
      </c>
      <c r="H599" s="253">
        <f>'CUOTA ARTESANAL'!G429</f>
        <v>5.2880000000000003</v>
      </c>
      <c r="I599" s="253">
        <f>'CUOTA ARTESANAL'!H429</f>
        <v>0</v>
      </c>
      <c r="J599" s="253">
        <f>'CUOTA ARTESANAL'!I429</f>
        <v>5.2880000000000003</v>
      </c>
      <c r="K599" s="253">
        <f>'CUOTA ARTESANAL'!J429</f>
        <v>3.9419999999999997</v>
      </c>
      <c r="L599" s="253">
        <f>'CUOTA ARTESANAL'!K429</f>
        <v>1.3460000000000005</v>
      </c>
      <c r="M599" s="254">
        <f>'CUOTA ARTESANAL'!L429</f>
        <v>0.7454614220877458</v>
      </c>
      <c r="N599" s="240" t="str">
        <f>'CUOTA ARTESANAL'!M429</f>
        <v>-</v>
      </c>
      <c r="O599" s="241">
        <f>RESUMEN!$C$4</f>
        <v>44561</v>
      </c>
      <c r="P599" s="233">
        <v>2021</v>
      </c>
      <c r="Q599" s="233"/>
    </row>
    <row r="600" spans="1:17" ht="15.75" customHeight="1">
      <c r="A600" s="238" t="s">
        <v>51</v>
      </c>
      <c r="B600" s="238" t="s">
        <v>52</v>
      </c>
      <c r="C600" s="238" t="s">
        <v>72</v>
      </c>
      <c r="D600" s="243" t="s">
        <v>337</v>
      </c>
      <c r="E600" s="243" t="str">
        <f>+'CUOTA ARTESANAL'!E429</f>
        <v>LAITO II (697698)</v>
      </c>
      <c r="F600" s="238" t="s">
        <v>57</v>
      </c>
      <c r="G600" s="238" t="s">
        <v>58</v>
      </c>
      <c r="H600" s="253">
        <f>'CUOTA ARTESANAL'!G430</f>
        <v>5.2880000000000003</v>
      </c>
      <c r="I600" s="253">
        <f>'CUOTA ARTESANAL'!H430</f>
        <v>0</v>
      </c>
      <c r="J600" s="253">
        <f>'CUOTA ARTESANAL'!I430</f>
        <v>6.6340000000000003</v>
      </c>
      <c r="K600" s="253">
        <f>'CUOTA ARTESANAL'!J430</f>
        <v>3.1050000000000004</v>
      </c>
      <c r="L600" s="253">
        <f>'CUOTA ARTESANAL'!K430</f>
        <v>3.5289999999999999</v>
      </c>
      <c r="M600" s="254">
        <f>'CUOTA ARTESANAL'!L430</f>
        <v>0.46804341272233951</v>
      </c>
      <c r="N600" s="240" t="str">
        <f>'CUOTA ARTESANAL'!M430</f>
        <v>-</v>
      </c>
      <c r="O600" s="241">
        <f>RESUMEN!$C$4</f>
        <v>44561</v>
      </c>
      <c r="P600" s="233">
        <v>2021</v>
      </c>
      <c r="Q600" s="233"/>
    </row>
    <row r="601" spans="1:17" ht="15.75" customHeight="1">
      <c r="A601" s="238" t="s">
        <v>51</v>
      </c>
      <c r="B601" s="238" t="s">
        <v>52</v>
      </c>
      <c r="C601" s="238" t="s">
        <v>72</v>
      </c>
      <c r="D601" s="243" t="s">
        <v>337</v>
      </c>
      <c r="E601" s="243" t="str">
        <f>+'CUOTA ARTESANAL'!E429</f>
        <v>LAITO II (697698)</v>
      </c>
      <c r="F601" s="238" t="s">
        <v>54</v>
      </c>
      <c r="G601" s="238" t="s">
        <v>58</v>
      </c>
      <c r="H601" s="253">
        <f>'CUOTA ARTESANAL'!N429</f>
        <v>10.576000000000001</v>
      </c>
      <c r="I601" s="253">
        <f>'CUOTA ARTESANAL'!O429</f>
        <v>0</v>
      </c>
      <c r="J601" s="253">
        <f>'CUOTA ARTESANAL'!P429</f>
        <v>10.576000000000001</v>
      </c>
      <c r="K601" s="253">
        <f>'CUOTA ARTESANAL'!Q429</f>
        <v>7.0470000000000006</v>
      </c>
      <c r="L601" s="253">
        <f>'CUOTA ARTESANAL'!R429</f>
        <v>3.5289999999999999</v>
      </c>
      <c r="M601" s="254">
        <f>'CUOTA ARTESANAL'!S429</f>
        <v>0.66631996974281393</v>
      </c>
      <c r="N601" s="240" t="s">
        <v>218</v>
      </c>
      <c r="O601" s="241">
        <f>RESUMEN!$C$4</f>
        <v>44561</v>
      </c>
      <c r="P601" s="233">
        <v>2021</v>
      </c>
      <c r="Q601" s="233"/>
    </row>
    <row r="602" spans="1:17" ht="15.75" customHeight="1">
      <c r="A602" s="238" t="s">
        <v>51</v>
      </c>
      <c r="B602" s="238" t="s">
        <v>52</v>
      </c>
      <c r="C602" s="238" t="s">
        <v>72</v>
      </c>
      <c r="D602" s="243" t="s">
        <v>337</v>
      </c>
      <c r="E602" s="243" t="str">
        <f>+'CUOTA ARTESANAL'!E431</f>
        <v>LAITO III (968664)</v>
      </c>
      <c r="F602" s="238" t="s">
        <v>54</v>
      </c>
      <c r="G602" s="238" t="s">
        <v>56</v>
      </c>
      <c r="H602" s="253">
        <f>'CUOTA ARTESANAL'!G431</f>
        <v>5.2919999999999998</v>
      </c>
      <c r="I602" s="253">
        <f>'CUOTA ARTESANAL'!H431</f>
        <v>0</v>
      </c>
      <c r="J602" s="253">
        <f>'CUOTA ARTESANAL'!I431</f>
        <v>5.2919999999999998</v>
      </c>
      <c r="K602" s="253">
        <f>'CUOTA ARTESANAL'!J431</f>
        <v>4.0430000000000001</v>
      </c>
      <c r="L602" s="253">
        <f>'CUOTA ARTESANAL'!K431</f>
        <v>1.2489999999999997</v>
      </c>
      <c r="M602" s="254">
        <f>'CUOTA ARTESANAL'!L431</f>
        <v>0.76398337112622827</v>
      </c>
      <c r="N602" s="240" t="str">
        <f>'CUOTA ARTESANAL'!M431</f>
        <v>-</v>
      </c>
      <c r="O602" s="241">
        <f>RESUMEN!$C$4</f>
        <v>44561</v>
      </c>
      <c r="P602" s="233">
        <v>2021</v>
      </c>
      <c r="Q602" s="233"/>
    </row>
    <row r="603" spans="1:17" ht="15.75" customHeight="1">
      <c r="A603" s="238" t="s">
        <v>51</v>
      </c>
      <c r="B603" s="238" t="s">
        <v>52</v>
      </c>
      <c r="C603" s="238" t="s">
        <v>72</v>
      </c>
      <c r="D603" s="243" t="s">
        <v>337</v>
      </c>
      <c r="E603" s="243" t="str">
        <f>+'CUOTA ARTESANAL'!E431</f>
        <v>LAITO III (968664)</v>
      </c>
      <c r="F603" s="238" t="s">
        <v>57</v>
      </c>
      <c r="G603" s="238" t="s">
        <v>58</v>
      </c>
      <c r="H603" s="253">
        <f>'CUOTA ARTESANAL'!G432</f>
        <v>5.2919999999999998</v>
      </c>
      <c r="I603" s="253">
        <f>'CUOTA ARTESANAL'!H432</f>
        <v>0</v>
      </c>
      <c r="J603" s="253">
        <f>'CUOTA ARTESANAL'!I432</f>
        <v>6.5409999999999995</v>
      </c>
      <c r="K603" s="253">
        <f>'CUOTA ARTESANAL'!J432</f>
        <v>2.9969999999999999</v>
      </c>
      <c r="L603" s="253">
        <f>'CUOTA ARTESANAL'!K432</f>
        <v>3.5439999999999996</v>
      </c>
      <c r="M603" s="254">
        <f>'CUOTA ARTESANAL'!L432</f>
        <v>0.45818682158691332</v>
      </c>
      <c r="N603" s="240" t="str">
        <f>'CUOTA ARTESANAL'!M432</f>
        <v>-</v>
      </c>
      <c r="O603" s="241">
        <f>RESUMEN!$C$4</f>
        <v>44561</v>
      </c>
      <c r="P603" s="233">
        <v>2021</v>
      </c>
      <c r="Q603" s="233"/>
    </row>
    <row r="604" spans="1:17" ht="15.75" customHeight="1">
      <c r="A604" s="238" t="s">
        <v>51</v>
      </c>
      <c r="B604" s="238" t="s">
        <v>52</v>
      </c>
      <c r="C604" s="238" t="s">
        <v>72</v>
      </c>
      <c r="D604" s="243" t="s">
        <v>337</v>
      </c>
      <c r="E604" s="243" t="str">
        <f>+'CUOTA ARTESANAL'!E431</f>
        <v>LAITO III (968664)</v>
      </c>
      <c r="F604" s="238" t="s">
        <v>54</v>
      </c>
      <c r="G604" s="238" t="s">
        <v>58</v>
      </c>
      <c r="H604" s="253">
        <f>'CUOTA ARTESANAL'!N431</f>
        <v>10.584</v>
      </c>
      <c r="I604" s="253">
        <f>'CUOTA ARTESANAL'!O431</f>
        <v>0</v>
      </c>
      <c r="J604" s="253">
        <f>'CUOTA ARTESANAL'!P431</f>
        <v>10.584</v>
      </c>
      <c r="K604" s="253">
        <f>'CUOTA ARTESANAL'!Q431</f>
        <v>7.04</v>
      </c>
      <c r="L604" s="253">
        <f>'CUOTA ARTESANAL'!R431</f>
        <v>3.5439999999999996</v>
      </c>
      <c r="M604" s="254">
        <f>'CUOTA ARTESANAL'!S431</f>
        <v>0.66515495086923659</v>
      </c>
      <c r="N604" s="240" t="s">
        <v>218</v>
      </c>
      <c r="O604" s="241">
        <f>RESUMEN!$C$4</f>
        <v>44561</v>
      </c>
      <c r="P604" s="233">
        <v>2021</v>
      </c>
      <c r="Q604" s="233"/>
    </row>
    <row r="605" spans="1:17" ht="15.75" customHeight="1">
      <c r="A605" s="238" t="s">
        <v>51</v>
      </c>
      <c r="B605" s="238" t="s">
        <v>52</v>
      </c>
      <c r="C605" s="238" t="s">
        <v>72</v>
      </c>
      <c r="D605" s="243" t="s">
        <v>337</v>
      </c>
      <c r="E605" s="243" t="str">
        <f>+'CUOTA ARTESANAL'!E433</f>
        <v>MAMA ROSA V (966897)</v>
      </c>
      <c r="F605" s="238" t="s">
        <v>54</v>
      </c>
      <c r="G605" s="238" t="s">
        <v>56</v>
      </c>
      <c r="H605" s="253">
        <f>'CUOTA ARTESANAL'!G433</f>
        <v>5.2869999999999999</v>
      </c>
      <c r="I605" s="253">
        <f>'CUOTA ARTESANAL'!H433</f>
        <v>36.369999999999997</v>
      </c>
      <c r="J605" s="253">
        <f>'CUOTA ARTESANAL'!I433</f>
        <v>41.656999999999996</v>
      </c>
      <c r="K605" s="253">
        <f>'CUOTA ARTESANAL'!J433</f>
        <v>3.294</v>
      </c>
      <c r="L605" s="253">
        <f>'CUOTA ARTESANAL'!K433</f>
        <v>38.363</v>
      </c>
      <c r="M605" s="254">
        <f>'CUOTA ARTESANAL'!L433</f>
        <v>7.9074345248097561E-2</v>
      </c>
      <c r="N605" s="240" t="str">
        <f>'CUOTA ARTESANAL'!M433</f>
        <v>-</v>
      </c>
      <c r="O605" s="241">
        <f>RESUMEN!$C$4</f>
        <v>44561</v>
      </c>
      <c r="P605" s="233">
        <v>2021</v>
      </c>
      <c r="Q605" s="233"/>
    </row>
    <row r="606" spans="1:17" ht="15.75" customHeight="1">
      <c r="A606" s="238" t="s">
        <v>51</v>
      </c>
      <c r="B606" s="238" t="s">
        <v>52</v>
      </c>
      <c r="C606" s="238" t="s">
        <v>72</v>
      </c>
      <c r="D606" s="243" t="s">
        <v>337</v>
      </c>
      <c r="E606" s="243" t="str">
        <f>+'CUOTA ARTESANAL'!E433</f>
        <v>MAMA ROSA V (966897)</v>
      </c>
      <c r="F606" s="238" t="s">
        <v>57</v>
      </c>
      <c r="G606" s="238" t="s">
        <v>58</v>
      </c>
      <c r="H606" s="253">
        <f>'CUOTA ARTESANAL'!G434</f>
        <v>5.2869999999999999</v>
      </c>
      <c r="I606" s="253">
        <f>'CUOTA ARTESANAL'!H434</f>
        <v>0</v>
      </c>
      <c r="J606" s="253">
        <f>'CUOTA ARTESANAL'!I434</f>
        <v>43.65</v>
      </c>
      <c r="K606" s="253">
        <f>'CUOTA ARTESANAL'!J434</f>
        <v>10.449</v>
      </c>
      <c r="L606" s="253">
        <f>'CUOTA ARTESANAL'!K434</f>
        <v>33.201000000000001</v>
      </c>
      <c r="M606" s="254">
        <f>'CUOTA ARTESANAL'!L434</f>
        <v>0.23938144329896907</v>
      </c>
      <c r="N606" s="240" t="str">
        <f>'CUOTA ARTESANAL'!M434</f>
        <v>-</v>
      </c>
      <c r="O606" s="241">
        <f>RESUMEN!$C$4</f>
        <v>44561</v>
      </c>
      <c r="P606" s="233">
        <v>2021</v>
      </c>
      <c r="Q606" s="233"/>
    </row>
    <row r="607" spans="1:17" ht="15.75" customHeight="1">
      <c r="A607" s="238" t="s">
        <v>51</v>
      </c>
      <c r="B607" s="238" t="s">
        <v>52</v>
      </c>
      <c r="C607" s="238" t="s">
        <v>72</v>
      </c>
      <c r="D607" s="243" t="s">
        <v>337</v>
      </c>
      <c r="E607" s="243" t="str">
        <f>+'CUOTA ARTESANAL'!E433</f>
        <v>MAMA ROSA V (966897)</v>
      </c>
      <c r="F607" s="238" t="s">
        <v>54</v>
      </c>
      <c r="G607" s="238" t="s">
        <v>58</v>
      </c>
      <c r="H607" s="253">
        <f>'CUOTA ARTESANAL'!N433</f>
        <v>10.574</v>
      </c>
      <c r="I607" s="253">
        <f>'CUOTA ARTESANAL'!O433</f>
        <v>36.369999999999997</v>
      </c>
      <c r="J607" s="253">
        <f>'CUOTA ARTESANAL'!P433</f>
        <v>46.943999999999996</v>
      </c>
      <c r="K607" s="253">
        <f>'CUOTA ARTESANAL'!Q433</f>
        <v>13.743</v>
      </c>
      <c r="L607" s="253">
        <f>'CUOTA ARTESANAL'!R433</f>
        <v>33.200999999999993</v>
      </c>
      <c r="M607" s="254">
        <f>'CUOTA ARTESANAL'!S433</f>
        <v>0.29275306748466262</v>
      </c>
      <c r="N607" s="240" t="s">
        <v>218</v>
      </c>
      <c r="O607" s="241">
        <f>RESUMEN!$C$4</f>
        <v>44561</v>
      </c>
      <c r="P607" s="233">
        <v>2021</v>
      </c>
      <c r="Q607" s="233"/>
    </row>
    <row r="608" spans="1:17" ht="15.75" customHeight="1">
      <c r="A608" s="238" t="s">
        <v>51</v>
      </c>
      <c r="B608" s="238" t="s">
        <v>52</v>
      </c>
      <c r="C608" s="238" t="s">
        <v>72</v>
      </c>
      <c r="D608" s="243" t="s">
        <v>337</v>
      </c>
      <c r="E608" s="243" t="str">
        <f>+'CUOTA ARTESANAL'!E435</f>
        <v>MARANATHA II (966725)</v>
      </c>
      <c r="F608" s="238" t="s">
        <v>54</v>
      </c>
      <c r="G608" s="238" t="s">
        <v>56</v>
      </c>
      <c r="H608" s="253">
        <f>'CUOTA ARTESANAL'!G435</f>
        <v>5.2919999999999998</v>
      </c>
      <c r="I608" s="253">
        <f>'CUOTA ARTESANAL'!H435</f>
        <v>0</v>
      </c>
      <c r="J608" s="253">
        <f>'CUOTA ARTESANAL'!I435</f>
        <v>5.2919999999999998</v>
      </c>
      <c r="K608" s="253">
        <f>'CUOTA ARTESANAL'!J435</f>
        <v>3.8879999999999995</v>
      </c>
      <c r="L608" s="253">
        <f>'CUOTA ARTESANAL'!K435</f>
        <v>1.4040000000000004</v>
      </c>
      <c r="M608" s="254">
        <f>'CUOTA ARTESANAL'!L435</f>
        <v>0.73469387755102034</v>
      </c>
      <c r="N608" s="240" t="str">
        <f>'CUOTA ARTESANAL'!M435</f>
        <v>-</v>
      </c>
      <c r="O608" s="241">
        <f>RESUMEN!$C$4</f>
        <v>44561</v>
      </c>
      <c r="P608" s="233">
        <v>2021</v>
      </c>
      <c r="Q608" s="233"/>
    </row>
    <row r="609" spans="1:17" ht="15.75" customHeight="1">
      <c r="A609" s="238" t="s">
        <v>51</v>
      </c>
      <c r="B609" s="238" t="s">
        <v>52</v>
      </c>
      <c r="C609" s="238" t="s">
        <v>72</v>
      </c>
      <c r="D609" s="243" t="s">
        <v>337</v>
      </c>
      <c r="E609" s="243" t="str">
        <f>+'CUOTA ARTESANAL'!E435</f>
        <v>MARANATHA II (966725)</v>
      </c>
      <c r="F609" s="238" t="s">
        <v>57</v>
      </c>
      <c r="G609" s="238" t="s">
        <v>58</v>
      </c>
      <c r="H609" s="253">
        <f>'CUOTA ARTESANAL'!G436</f>
        <v>5.2919999999999998</v>
      </c>
      <c r="I609" s="253">
        <f>'CUOTA ARTESANAL'!H436</f>
        <v>0</v>
      </c>
      <c r="J609" s="253">
        <f>'CUOTA ARTESANAL'!I436</f>
        <v>6.6959999999999997</v>
      </c>
      <c r="K609" s="253">
        <f>'CUOTA ARTESANAL'!J436</f>
        <v>4.0229999999999997</v>
      </c>
      <c r="L609" s="253">
        <f>'CUOTA ARTESANAL'!K436</f>
        <v>2.673</v>
      </c>
      <c r="M609" s="254">
        <f>'CUOTA ARTESANAL'!L436</f>
        <v>0.60080645161290325</v>
      </c>
      <c r="N609" s="240" t="str">
        <f>'CUOTA ARTESANAL'!M436</f>
        <v>-</v>
      </c>
      <c r="O609" s="241">
        <f>RESUMEN!$C$4</f>
        <v>44561</v>
      </c>
      <c r="P609" s="233">
        <v>2021</v>
      </c>
      <c r="Q609" s="233"/>
    </row>
    <row r="610" spans="1:17" ht="15.75" customHeight="1">
      <c r="A610" s="238" t="s">
        <v>51</v>
      </c>
      <c r="B610" s="238" t="s">
        <v>52</v>
      </c>
      <c r="C610" s="238" t="s">
        <v>72</v>
      </c>
      <c r="D610" s="243" t="s">
        <v>337</v>
      </c>
      <c r="E610" s="243" t="str">
        <f>+'CUOTA ARTESANAL'!E435</f>
        <v>MARANATHA II (966725)</v>
      </c>
      <c r="F610" s="238" t="s">
        <v>54</v>
      </c>
      <c r="G610" s="238" t="s">
        <v>58</v>
      </c>
      <c r="H610" s="253">
        <f>'CUOTA ARTESANAL'!N435</f>
        <v>10.584</v>
      </c>
      <c r="I610" s="253">
        <f>'CUOTA ARTESANAL'!O435</f>
        <v>0</v>
      </c>
      <c r="J610" s="253">
        <f>'CUOTA ARTESANAL'!P435</f>
        <v>10.584</v>
      </c>
      <c r="K610" s="253">
        <f>'CUOTA ARTESANAL'!Q435</f>
        <v>7.9109999999999996</v>
      </c>
      <c r="L610" s="253">
        <f>'CUOTA ARTESANAL'!R435</f>
        <v>2.673</v>
      </c>
      <c r="M610" s="254">
        <f>'CUOTA ARTESANAL'!S435</f>
        <v>0.74744897959183676</v>
      </c>
      <c r="N610" s="240" t="s">
        <v>218</v>
      </c>
      <c r="O610" s="241">
        <f>RESUMEN!$C$4</f>
        <v>44561</v>
      </c>
      <c r="P610" s="233">
        <v>2021</v>
      </c>
      <c r="Q610" s="233"/>
    </row>
    <row r="611" spans="1:17" ht="15.75" customHeight="1">
      <c r="A611" s="238" t="s">
        <v>51</v>
      </c>
      <c r="B611" s="238" t="s">
        <v>52</v>
      </c>
      <c r="C611" s="238" t="s">
        <v>72</v>
      </c>
      <c r="D611" s="243" t="s">
        <v>337</v>
      </c>
      <c r="E611" s="243" t="str">
        <f>+'CUOTA ARTESANAL'!E437</f>
        <v>ANTONIOS IRENE (967597)</v>
      </c>
      <c r="F611" s="238" t="s">
        <v>54</v>
      </c>
      <c r="G611" s="238" t="s">
        <v>56</v>
      </c>
      <c r="H611" s="253">
        <f>'CUOTA ARTESANAL'!G437</f>
        <v>5.2910000000000004</v>
      </c>
      <c r="I611" s="253">
        <f>'CUOTA ARTESANAL'!H437</f>
        <v>0</v>
      </c>
      <c r="J611" s="253">
        <f>'CUOTA ARTESANAL'!I437</f>
        <v>5.2910000000000004</v>
      </c>
      <c r="K611" s="253">
        <f>'CUOTA ARTESANAL'!J437</f>
        <v>2.673</v>
      </c>
      <c r="L611" s="253">
        <f>'CUOTA ARTESANAL'!K437</f>
        <v>2.6180000000000003</v>
      </c>
      <c r="M611" s="254">
        <f>'CUOTA ARTESANAL'!L437</f>
        <v>0.50519750519750517</v>
      </c>
      <c r="N611" s="240" t="str">
        <f>'CUOTA ARTESANAL'!M437</f>
        <v>-</v>
      </c>
      <c r="O611" s="241">
        <f>RESUMEN!$C$4</f>
        <v>44561</v>
      </c>
      <c r="P611" s="233">
        <v>2021</v>
      </c>
      <c r="Q611" s="233"/>
    </row>
    <row r="612" spans="1:17" ht="15.75" customHeight="1">
      <c r="A612" s="238" t="s">
        <v>51</v>
      </c>
      <c r="B612" s="238" t="s">
        <v>52</v>
      </c>
      <c r="C612" s="238" t="s">
        <v>72</v>
      </c>
      <c r="D612" s="243" t="s">
        <v>337</v>
      </c>
      <c r="E612" s="243" t="str">
        <f>+'CUOTA ARTESANAL'!E437</f>
        <v>ANTONIOS IRENE (967597)</v>
      </c>
      <c r="F612" s="238" t="s">
        <v>57</v>
      </c>
      <c r="G612" s="238" t="s">
        <v>58</v>
      </c>
      <c r="H612" s="253">
        <f>'CUOTA ARTESANAL'!G438</f>
        <v>5.2910000000000004</v>
      </c>
      <c r="I612" s="253">
        <f>'CUOTA ARTESANAL'!H438</f>
        <v>0</v>
      </c>
      <c r="J612" s="253">
        <f>'CUOTA ARTESANAL'!I438</f>
        <v>7.9090000000000007</v>
      </c>
      <c r="K612" s="253">
        <f>'CUOTA ARTESANAL'!J438</f>
        <v>5.4810000000000008</v>
      </c>
      <c r="L612" s="253">
        <f>'CUOTA ARTESANAL'!K438</f>
        <v>2.4279999999999999</v>
      </c>
      <c r="M612" s="254">
        <f>'CUOTA ARTESANAL'!L438</f>
        <v>0.69300796560880018</v>
      </c>
      <c r="N612" s="240" t="str">
        <f>'CUOTA ARTESANAL'!M438</f>
        <v>-</v>
      </c>
      <c r="O612" s="241">
        <f>RESUMEN!$C$4</f>
        <v>44561</v>
      </c>
      <c r="P612" s="233">
        <v>2021</v>
      </c>
      <c r="Q612" s="233"/>
    </row>
    <row r="613" spans="1:17" ht="15.75" customHeight="1">
      <c r="A613" s="238" t="s">
        <v>51</v>
      </c>
      <c r="B613" s="238" t="s">
        <v>52</v>
      </c>
      <c r="C613" s="238" t="s">
        <v>72</v>
      </c>
      <c r="D613" s="243" t="s">
        <v>337</v>
      </c>
      <c r="E613" s="243" t="str">
        <f>+'CUOTA ARTESANAL'!E437</f>
        <v>ANTONIOS IRENE (967597)</v>
      </c>
      <c r="F613" s="238" t="s">
        <v>54</v>
      </c>
      <c r="G613" s="238" t="s">
        <v>58</v>
      </c>
      <c r="H613" s="253">
        <f>'CUOTA ARTESANAL'!N437</f>
        <v>10.582000000000001</v>
      </c>
      <c r="I613" s="253">
        <f>'CUOTA ARTESANAL'!O437</f>
        <v>0</v>
      </c>
      <c r="J613" s="253">
        <f>'CUOTA ARTESANAL'!P437</f>
        <v>10.582000000000001</v>
      </c>
      <c r="K613" s="253">
        <f>'CUOTA ARTESANAL'!Q437</f>
        <v>8.1539999999999999</v>
      </c>
      <c r="L613" s="253">
        <f>'CUOTA ARTESANAL'!R437</f>
        <v>2.4280000000000008</v>
      </c>
      <c r="M613" s="254">
        <f>'CUOTA ARTESANAL'!S437</f>
        <v>0.7705537705537705</v>
      </c>
      <c r="N613" s="240" t="s">
        <v>218</v>
      </c>
      <c r="O613" s="241">
        <f>RESUMEN!$C$4</f>
        <v>44561</v>
      </c>
      <c r="P613" s="233">
        <v>2021</v>
      </c>
      <c r="Q613" s="233"/>
    </row>
    <row r="614" spans="1:17" ht="15.75" customHeight="1">
      <c r="A614" s="238" t="s">
        <v>51</v>
      </c>
      <c r="B614" s="238" t="s">
        <v>52</v>
      </c>
      <c r="C614" s="238" t="s">
        <v>72</v>
      </c>
      <c r="D614" s="243" t="s">
        <v>337</v>
      </c>
      <c r="E614" s="243" t="str">
        <f>+'CUOTA ARTESANAL'!E439</f>
        <v>MARINER III (966280)</v>
      </c>
      <c r="F614" s="238" t="s">
        <v>54</v>
      </c>
      <c r="G614" s="238" t="s">
        <v>56</v>
      </c>
      <c r="H614" s="253">
        <f>'CUOTA ARTESANAL'!G439</f>
        <v>5.2910000000000004</v>
      </c>
      <c r="I614" s="253">
        <f>'CUOTA ARTESANAL'!H439</f>
        <v>0</v>
      </c>
      <c r="J614" s="253">
        <f>'CUOTA ARTESANAL'!I439</f>
        <v>5.2910000000000004</v>
      </c>
      <c r="K614" s="253">
        <f>'CUOTA ARTESANAL'!J439</f>
        <v>2.5920000000000001</v>
      </c>
      <c r="L614" s="253">
        <f>'CUOTA ARTESANAL'!K439</f>
        <v>2.6990000000000003</v>
      </c>
      <c r="M614" s="254">
        <f>'CUOTA ARTESANAL'!L439</f>
        <v>0.48988848988848988</v>
      </c>
      <c r="N614" s="240" t="str">
        <f>'CUOTA ARTESANAL'!M439</f>
        <v>-</v>
      </c>
      <c r="O614" s="241">
        <f>RESUMEN!$C$4</f>
        <v>44561</v>
      </c>
      <c r="P614" s="233">
        <v>2021</v>
      </c>
      <c r="Q614" s="233"/>
    </row>
    <row r="615" spans="1:17" ht="15.75" customHeight="1">
      <c r="A615" s="238" t="s">
        <v>51</v>
      </c>
      <c r="B615" s="238" t="s">
        <v>52</v>
      </c>
      <c r="C615" s="238" t="s">
        <v>72</v>
      </c>
      <c r="D615" s="243" t="s">
        <v>337</v>
      </c>
      <c r="E615" s="243" t="str">
        <f>+'CUOTA ARTESANAL'!E439</f>
        <v>MARINER III (966280)</v>
      </c>
      <c r="F615" s="238" t="s">
        <v>57</v>
      </c>
      <c r="G615" s="238" t="s">
        <v>58</v>
      </c>
      <c r="H615" s="253">
        <f>'CUOTA ARTESANAL'!G440</f>
        <v>5.2910000000000004</v>
      </c>
      <c r="I615" s="253">
        <f>'CUOTA ARTESANAL'!H440</f>
        <v>0</v>
      </c>
      <c r="J615" s="253">
        <f>'CUOTA ARTESANAL'!I440</f>
        <v>7.99</v>
      </c>
      <c r="K615" s="253">
        <f>'CUOTA ARTESANAL'!J440</f>
        <v>3.6719999999999997</v>
      </c>
      <c r="L615" s="253">
        <f>'CUOTA ARTESANAL'!K440</f>
        <v>4.3180000000000005</v>
      </c>
      <c r="M615" s="254">
        <f>'CUOTA ARTESANAL'!L440</f>
        <v>0.45957446808510632</v>
      </c>
      <c r="N615" s="240" t="str">
        <f>'CUOTA ARTESANAL'!M440</f>
        <v>-</v>
      </c>
      <c r="O615" s="241">
        <f>RESUMEN!$C$4</f>
        <v>44561</v>
      </c>
      <c r="P615" s="233">
        <v>2021</v>
      </c>
      <c r="Q615" s="233"/>
    </row>
    <row r="616" spans="1:17" ht="15.75" customHeight="1">
      <c r="A616" s="238" t="s">
        <v>51</v>
      </c>
      <c r="B616" s="238" t="s">
        <v>52</v>
      </c>
      <c r="C616" s="238" t="s">
        <v>72</v>
      </c>
      <c r="D616" s="243" t="s">
        <v>337</v>
      </c>
      <c r="E616" s="243" t="str">
        <f>+'CUOTA ARTESANAL'!E439</f>
        <v>MARINER III (966280)</v>
      </c>
      <c r="F616" s="238" t="s">
        <v>54</v>
      </c>
      <c r="G616" s="238" t="s">
        <v>58</v>
      </c>
      <c r="H616" s="253">
        <f>'CUOTA ARTESANAL'!N439</f>
        <v>10.582000000000001</v>
      </c>
      <c r="I616" s="253">
        <f>'CUOTA ARTESANAL'!O439</f>
        <v>0</v>
      </c>
      <c r="J616" s="253">
        <f>'CUOTA ARTESANAL'!P439</f>
        <v>10.582000000000001</v>
      </c>
      <c r="K616" s="253">
        <f>'CUOTA ARTESANAL'!Q439</f>
        <v>6.2639999999999993</v>
      </c>
      <c r="L616" s="253">
        <f>'CUOTA ARTESANAL'!R439</f>
        <v>4.3180000000000014</v>
      </c>
      <c r="M616" s="254">
        <f>'CUOTA ARTESANAL'!S439</f>
        <v>0.59194859194859184</v>
      </c>
      <c r="N616" s="240" t="s">
        <v>218</v>
      </c>
      <c r="O616" s="241">
        <f>RESUMEN!$C$4</f>
        <v>44561</v>
      </c>
      <c r="P616" s="233">
        <v>2021</v>
      </c>
      <c r="Q616" s="233"/>
    </row>
    <row r="617" spans="1:17" ht="15.75" customHeight="1">
      <c r="A617" s="238" t="s">
        <v>51</v>
      </c>
      <c r="B617" s="238" t="s">
        <v>52</v>
      </c>
      <c r="C617" s="238" t="s">
        <v>72</v>
      </c>
      <c r="D617" s="243" t="s">
        <v>337</v>
      </c>
      <c r="E617" s="243" t="str">
        <f>+'CUOTA ARTESANAL'!E441</f>
        <v>MEJILLONES V (967779)</v>
      </c>
      <c r="F617" s="238" t="s">
        <v>54</v>
      </c>
      <c r="G617" s="238" t="s">
        <v>56</v>
      </c>
      <c r="H617" s="253">
        <f>'CUOTA ARTESANAL'!G441</f>
        <v>5.2919999999999998</v>
      </c>
      <c r="I617" s="253">
        <f>'CUOTA ARTESANAL'!H441</f>
        <v>0</v>
      </c>
      <c r="J617" s="253">
        <f>'CUOTA ARTESANAL'!I441</f>
        <v>5.2919999999999998</v>
      </c>
      <c r="K617" s="253">
        <f>'CUOTA ARTESANAL'!J441</f>
        <v>4.8059999999999992</v>
      </c>
      <c r="L617" s="253">
        <f>'CUOTA ARTESANAL'!K441</f>
        <v>0.48600000000000065</v>
      </c>
      <c r="M617" s="254">
        <f>'CUOTA ARTESANAL'!L441</f>
        <v>0.90816326530612235</v>
      </c>
      <c r="N617" s="240" t="str">
        <f>'CUOTA ARTESANAL'!M441</f>
        <v>-</v>
      </c>
      <c r="O617" s="241">
        <f>RESUMEN!$C$4</f>
        <v>44561</v>
      </c>
      <c r="P617" s="233">
        <v>2021</v>
      </c>
      <c r="Q617" s="233"/>
    </row>
    <row r="618" spans="1:17" ht="15.75" customHeight="1">
      <c r="A618" s="238" t="s">
        <v>51</v>
      </c>
      <c r="B618" s="238" t="s">
        <v>52</v>
      </c>
      <c r="C618" s="238" t="s">
        <v>72</v>
      </c>
      <c r="D618" s="243" t="s">
        <v>337</v>
      </c>
      <c r="E618" s="243" t="str">
        <f>+'CUOTA ARTESANAL'!E441</f>
        <v>MEJILLONES V (967779)</v>
      </c>
      <c r="F618" s="238" t="s">
        <v>57</v>
      </c>
      <c r="G618" s="238" t="s">
        <v>58</v>
      </c>
      <c r="H618" s="253">
        <f>'CUOTA ARTESANAL'!G442</f>
        <v>5.2919999999999998</v>
      </c>
      <c r="I618" s="253">
        <f>'CUOTA ARTESANAL'!H442</f>
        <v>0</v>
      </c>
      <c r="J618" s="253">
        <f>'CUOTA ARTESANAL'!I442</f>
        <v>5.7780000000000005</v>
      </c>
      <c r="K618" s="253">
        <f>'CUOTA ARTESANAL'!J442</f>
        <v>4.1580000000000004</v>
      </c>
      <c r="L618" s="253">
        <f>'CUOTA ARTESANAL'!K442</f>
        <v>1.62</v>
      </c>
      <c r="M618" s="254">
        <f>'CUOTA ARTESANAL'!L442</f>
        <v>0.71962616822429903</v>
      </c>
      <c r="N618" s="240" t="str">
        <f>'CUOTA ARTESANAL'!M442</f>
        <v>-</v>
      </c>
      <c r="O618" s="241">
        <f>RESUMEN!$C$4</f>
        <v>44561</v>
      </c>
      <c r="P618" s="233">
        <v>2021</v>
      </c>
      <c r="Q618" s="233"/>
    </row>
    <row r="619" spans="1:17" ht="15.75" customHeight="1">
      <c r="A619" s="238" t="s">
        <v>51</v>
      </c>
      <c r="B619" s="238" t="s">
        <v>52</v>
      </c>
      <c r="C619" s="238" t="s">
        <v>72</v>
      </c>
      <c r="D619" s="243" t="s">
        <v>337</v>
      </c>
      <c r="E619" s="243" t="str">
        <f>+'CUOTA ARTESANAL'!E441</f>
        <v>MEJILLONES V (967779)</v>
      </c>
      <c r="F619" s="238" t="s">
        <v>54</v>
      </c>
      <c r="G619" s="238" t="s">
        <v>58</v>
      </c>
      <c r="H619" s="253">
        <f>'CUOTA ARTESANAL'!N441</f>
        <v>10.584</v>
      </c>
      <c r="I619" s="253">
        <f>'CUOTA ARTESANAL'!O441</f>
        <v>0</v>
      </c>
      <c r="J619" s="253">
        <f>'CUOTA ARTESANAL'!P441</f>
        <v>10.584</v>
      </c>
      <c r="K619" s="253">
        <f>'CUOTA ARTESANAL'!Q441</f>
        <v>8.9639999999999986</v>
      </c>
      <c r="L619" s="253">
        <f>'CUOTA ARTESANAL'!R441</f>
        <v>1.620000000000001</v>
      </c>
      <c r="M619" s="254">
        <f>'CUOTA ARTESANAL'!S441</f>
        <v>0.84693877551020402</v>
      </c>
      <c r="N619" s="240" t="s">
        <v>218</v>
      </c>
      <c r="O619" s="241">
        <f>RESUMEN!$C$4</f>
        <v>44561</v>
      </c>
      <c r="P619" s="233">
        <v>2021</v>
      </c>
      <c r="Q619" s="233"/>
    </row>
    <row r="620" spans="1:17" ht="15.75" customHeight="1">
      <c r="A620" s="238" t="s">
        <v>51</v>
      </c>
      <c r="B620" s="238" t="s">
        <v>52</v>
      </c>
      <c r="C620" s="238" t="s">
        <v>72</v>
      </c>
      <c r="D620" s="243" t="s">
        <v>337</v>
      </c>
      <c r="E620" s="243" t="str">
        <f>+'CUOTA ARTESANAL'!E443</f>
        <v>NICOL III (697790)</v>
      </c>
      <c r="F620" s="238" t="s">
        <v>54</v>
      </c>
      <c r="G620" s="238" t="s">
        <v>56</v>
      </c>
      <c r="H620" s="253">
        <f>'CUOTA ARTESANAL'!G443</f>
        <v>5.2919999999999998</v>
      </c>
      <c r="I620" s="253">
        <f>'CUOTA ARTESANAL'!H443</f>
        <v>0</v>
      </c>
      <c r="J620" s="253">
        <f>'CUOTA ARTESANAL'!I443</f>
        <v>5.2919999999999998</v>
      </c>
      <c r="K620" s="253">
        <f>'CUOTA ARTESANAL'!J443</f>
        <v>4.1850000000000005</v>
      </c>
      <c r="L620" s="253">
        <f>'CUOTA ARTESANAL'!K443</f>
        <v>1.1069999999999993</v>
      </c>
      <c r="M620" s="254">
        <f>'CUOTA ARTESANAL'!L443</f>
        <v>0.7908163265306124</v>
      </c>
      <c r="N620" s="240" t="str">
        <f>'CUOTA ARTESANAL'!M443</f>
        <v>-</v>
      </c>
      <c r="O620" s="241">
        <f>RESUMEN!$C$4</f>
        <v>44561</v>
      </c>
      <c r="P620" s="233">
        <v>2021</v>
      </c>
      <c r="Q620" s="233"/>
    </row>
    <row r="621" spans="1:17" ht="15.75" customHeight="1">
      <c r="A621" s="238" t="s">
        <v>51</v>
      </c>
      <c r="B621" s="238" t="s">
        <v>52</v>
      </c>
      <c r="C621" s="238" t="s">
        <v>72</v>
      </c>
      <c r="D621" s="243" t="s">
        <v>337</v>
      </c>
      <c r="E621" s="243" t="str">
        <f>+'CUOTA ARTESANAL'!E443</f>
        <v>NICOL III (697790)</v>
      </c>
      <c r="F621" s="238" t="s">
        <v>57</v>
      </c>
      <c r="G621" s="238" t="s">
        <v>58</v>
      </c>
      <c r="H621" s="253">
        <f>'CUOTA ARTESANAL'!G444</f>
        <v>5.2919999999999998</v>
      </c>
      <c r="I621" s="253">
        <f>'CUOTA ARTESANAL'!H444</f>
        <v>0</v>
      </c>
      <c r="J621" s="253">
        <f>'CUOTA ARTESANAL'!I444</f>
        <v>6.3989999999999991</v>
      </c>
      <c r="K621" s="253">
        <f>'CUOTA ARTESANAL'!J444</f>
        <v>4.1139999999999999</v>
      </c>
      <c r="L621" s="253">
        <f>'CUOTA ARTESANAL'!K444</f>
        <v>2.2849999999999993</v>
      </c>
      <c r="M621" s="254">
        <f>'CUOTA ARTESANAL'!L444</f>
        <v>0.64291295514924218</v>
      </c>
      <c r="N621" s="240" t="str">
        <f>'CUOTA ARTESANAL'!M444</f>
        <v>-</v>
      </c>
      <c r="O621" s="241">
        <f>RESUMEN!$C$4</f>
        <v>44561</v>
      </c>
      <c r="P621" s="233">
        <v>2021</v>
      </c>
      <c r="Q621" s="233"/>
    </row>
    <row r="622" spans="1:17" ht="15.75" customHeight="1">
      <c r="A622" s="238" t="s">
        <v>51</v>
      </c>
      <c r="B622" s="238" t="s">
        <v>52</v>
      </c>
      <c r="C622" s="238" t="s">
        <v>72</v>
      </c>
      <c r="D622" s="243" t="s">
        <v>337</v>
      </c>
      <c r="E622" s="243" t="str">
        <f>+'CUOTA ARTESANAL'!E443</f>
        <v>NICOL III (697790)</v>
      </c>
      <c r="F622" s="238" t="s">
        <v>54</v>
      </c>
      <c r="G622" s="238" t="s">
        <v>58</v>
      </c>
      <c r="H622" s="253">
        <f>'CUOTA ARTESANAL'!N443</f>
        <v>10.584</v>
      </c>
      <c r="I622" s="253">
        <f>'CUOTA ARTESANAL'!O443</f>
        <v>0</v>
      </c>
      <c r="J622" s="253">
        <f>'CUOTA ARTESANAL'!P443</f>
        <v>10.584</v>
      </c>
      <c r="K622" s="253">
        <f>'CUOTA ARTESANAL'!Q443</f>
        <v>8.2989999999999995</v>
      </c>
      <c r="L622" s="253">
        <f>'CUOTA ARTESANAL'!R443</f>
        <v>2.2850000000000001</v>
      </c>
      <c r="M622" s="254">
        <f>'CUOTA ARTESANAL'!S443</f>
        <v>0.78410808767951623</v>
      </c>
      <c r="N622" s="240" t="s">
        <v>218</v>
      </c>
      <c r="O622" s="241">
        <f>RESUMEN!$C$4</f>
        <v>44561</v>
      </c>
      <c r="P622" s="233">
        <v>2021</v>
      </c>
      <c r="Q622" s="233"/>
    </row>
    <row r="623" spans="1:17" ht="15.75" customHeight="1">
      <c r="A623" s="238" t="s">
        <v>51</v>
      </c>
      <c r="B623" s="238" t="s">
        <v>52</v>
      </c>
      <c r="C623" s="238" t="s">
        <v>72</v>
      </c>
      <c r="D623" s="243" t="s">
        <v>337</v>
      </c>
      <c r="E623" s="243" t="str">
        <f>+'CUOTA ARTESANAL'!E445</f>
        <v>OLIMPO V (966766)</v>
      </c>
      <c r="F623" s="238" t="s">
        <v>54</v>
      </c>
      <c r="G623" s="238" t="s">
        <v>56</v>
      </c>
      <c r="H623" s="253">
        <f>'CUOTA ARTESANAL'!G445</f>
        <v>5.2919999999999998</v>
      </c>
      <c r="I623" s="253">
        <f>'CUOTA ARTESANAL'!H445</f>
        <v>0</v>
      </c>
      <c r="J623" s="253">
        <f>'CUOTA ARTESANAL'!I445</f>
        <v>5.2919999999999998</v>
      </c>
      <c r="K623" s="253">
        <f>'CUOTA ARTESANAL'!J445</f>
        <v>5.2649999999999997</v>
      </c>
      <c r="L623" s="253">
        <f>'CUOTA ARTESANAL'!K445</f>
        <v>2.7000000000000135E-2</v>
      </c>
      <c r="M623" s="254">
        <f>'CUOTA ARTESANAL'!L445</f>
        <v>0.99489795918367341</v>
      </c>
      <c r="N623" s="240">
        <f>'CUOTA ARTESANAL'!M445</f>
        <v>44357</v>
      </c>
      <c r="O623" s="241">
        <f>RESUMEN!$C$4</f>
        <v>44561</v>
      </c>
      <c r="P623" s="233">
        <v>2021</v>
      </c>
      <c r="Q623" s="233"/>
    </row>
    <row r="624" spans="1:17" ht="15.75" customHeight="1">
      <c r="A624" s="238" t="s">
        <v>51</v>
      </c>
      <c r="B624" s="238" t="s">
        <v>52</v>
      </c>
      <c r="C624" s="238" t="s">
        <v>72</v>
      </c>
      <c r="D624" s="243" t="s">
        <v>337</v>
      </c>
      <c r="E624" s="243" t="str">
        <f>+'CUOTA ARTESANAL'!E445</f>
        <v>OLIMPO V (966766)</v>
      </c>
      <c r="F624" s="238" t="s">
        <v>57</v>
      </c>
      <c r="G624" s="238" t="s">
        <v>58</v>
      </c>
      <c r="H624" s="253">
        <f>'CUOTA ARTESANAL'!G446</f>
        <v>5.2919999999999998</v>
      </c>
      <c r="I624" s="253">
        <f>'CUOTA ARTESANAL'!H446</f>
        <v>0</v>
      </c>
      <c r="J624" s="253">
        <f>'CUOTA ARTESANAL'!I446</f>
        <v>5.319</v>
      </c>
      <c r="K624" s="253">
        <f>'CUOTA ARTESANAL'!J446</f>
        <v>3.51</v>
      </c>
      <c r="L624" s="253">
        <f>'CUOTA ARTESANAL'!K446</f>
        <v>1.8090000000000002</v>
      </c>
      <c r="M624" s="254">
        <f>'CUOTA ARTESANAL'!L446</f>
        <v>0.65989847715736039</v>
      </c>
      <c r="N624" s="240" t="str">
        <f>'CUOTA ARTESANAL'!M446</f>
        <v>-</v>
      </c>
      <c r="O624" s="241">
        <f>RESUMEN!$C$4</f>
        <v>44561</v>
      </c>
      <c r="P624" s="233">
        <v>2021</v>
      </c>
      <c r="Q624" s="233"/>
    </row>
    <row r="625" spans="1:17" ht="15.75" customHeight="1">
      <c r="A625" s="238" t="s">
        <v>51</v>
      </c>
      <c r="B625" s="238" t="s">
        <v>52</v>
      </c>
      <c r="C625" s="238" t="s">
        <v>72</v>
      </c>
      <c r="D625" s="243" t="s">
        <v>337</v>
      </c>
      <c r="E625" s="243" t="str">
        <f>+'CUOTA ARTESANAL'!E445</f>
        <v>OLIMPO V (966766)</v>
      </c>
      <c r="F625" s="238" t="s">
        <v>54</v>
      </c>
      <c r="G625" s="238" t="s">
        <v>58</v>
      </c>
      <c r="H625" s="253">
        <f>'CUOTA ARTESANAL'!N445</f>
        <v>10.584</v>
      </c>
      <c r="I625" s="253">
        <f>'CUOTA ARTESANAL'!O445</f>
        <v>0</v>
      </c>
      <c r="J625" s="253">
        <f>'CUOTA ARTESANAL'!P445</f>
        <v>10.584</v>
      </c>
      <c r="K625" s="253">
        <f>'CUOTA ARTESANAL'!Q445</f>
        <v>8.7749999999999986</v>
      </c>
      <c r="L625" s="253">
        <f>'CUOTA ARTESANAL'!R445</f>
        <v>1.8090000000000011</v>
      </c>
      <c r="M625" s="254">
        <f>'CUOTA ARTESANAL'!S445</f>
        <v>0.82908163265306112</v>
      </c>
      <c r="N625" s="240" t="s">
        <v>218</v>
      </c>
      <c r="O625" s="241">
        <f>RESUMEN!$C$4</f>
        <v>44561</v>
      </c>
      <c r="P625" s="233">
        <v>2021</v>
      </c>
      <c r="Q625" s="233"/>
    </row>
    <row r="626" spans="1:17" ht="15.75" customHeight="1">
      <c r="A626" s="238" t="s">
        <v>51</v>
      </c>
      <c r="B626" s="238" t="s">
        <v>52</v>
      </c>
      <c r="C626" s="238" t="s">
        <v>72</v>
      </c>
      <c r="D626" s="243" t="s">
        <v>337</v>
      </c>
      <c r="E626" s="243" t="str">
        <f>+'CUOTA ARTESANAL'!E447</f>
        <v>PADRE PIO (957203)</v>
      </c>
      <c r="F626" s="238" t="s">
        <v>54</v>
      </c>
      <c r="G626" s="238" t="s">
        <v>56</v>
      </c>
      <c r="H626" s="253">
        <f>'CUOTA ARTESANAL'!G447</f>
        <v>5.2919999999999998</v>
      </c>
      <c r="I626" s="253">
        <f>'CUOTA ARTESANAL'!H447</f>
        <v>0</v>
      </c>
      <c r="J626" s="253">
        <f>'CUOTA ARTESANAL'!I447</f>
        <v>5.2919999999999998</v>
      </c>
      <c r="K626" s="253">
        <f>'CUOTA ARTESANAL'!J447</f>
        <v>3.6450000000000005</v>
      </c>
      <c r="L626" s="253">
        <f>'CUOTA ARTESANAL'!K447</f>
        <v>1.6469999999999994</v>
      </c>
      <c r="M626" s="254">
        <f>'CUOTA ARTESANAL'!L447</f>
        <v>0.68877551020408179</v>
      </c>
      <c r="N626" s="240" t="str">
        <f>'CUOTA ARTESANAL'!M447</f>
        <v>-</v>
      </c>
      <c r="O626" s="241">
        <f>RESUMEN!$C$4</f>
        <v>44561</v>
      </c>
      <c r="P626" s="233">
        <v>2021</v>
      </c>
      <c r="Q626" s="233"/>
    </row>
    <row r="627" spans="1:17" ht="15.75" customHeight="1">
      <c r="A627" s="238" t="s">
        <v>51</v>
      </c>
      <c r="B627" s="238" t="s">
        <v>52</v>
      </c>
      <c r="C627" s="238" t="s">
        <v>72</v>
      </c>
      <c r="D627" s="243" t="s">
        <v>337</v>
      </c>
      <c r="E627" s="243" t="str">
        <f>+'CUOTA ARTESANAL'!E447</f>
        <v>PADRE PIO (957203)</v>
      </c>
      <c r="F627" s="238" t="s">
        <v>57</v>
      </c>
      <c r="G627" s="238" t="s">
        <v>58</v>
      </c>
      <c r="H627" s="253">
        <f>'CUOTA ARTESANAL'!G448</f>
        <v>5.2919999999999998</v>
      </c>
      <c r="I627" s="253">
        <f>'CUOTA ARTESANAL'!H448</f>
        <v>0</v>
      </c>
      <c r="J627" s="253">
        <f>'CUOTA ARTESANAL'!I448</f>
        <v>6.9389999999999992</v>
      </c>
      <c r="K627" s="253">
        <f>'CUOTA ARTESANAL'!J448</f>
        <v>2.2949999999999999</v>
      </c>
      <c r="L627" s="253">
        <f>'CUOTA ARTESANAL'!K448</f>
        <v>4.6439999999999992</v>
      </c>
      <c r="M627" s="254">
        <f>'CUOTA ARTESANAL'!L448</f>
        <v>0.33073929961089499</v>
      </c>
      <c r="N627" s="240" t="str">
        <f>'CUOTA ARTESANAL'!M448</f>
        <v>-</v>
      </c>
      <c r="O627" s="241">
        <f>RESUMEN!$C$4</f>
        <v>44561</v>
      </c>
      <c r="P627" s="233">
        <v>2021</v>
      </c>
      <c r="Q627" s="233"/>
    </row>
    <row r="628" spans="1:17" ht="15.75" customHeight="1">
      <c r="A628" s="238" t="s">
        <v>51</v>
      </c>
      <c r="B628" s="238" t="s">
        <v>52</v>
      </c>
      <c r="C628" s="238" t="s">
        <v>72</v>
      </c>
      <c r="D628" s="243" t="s">
        <v>337</v>
      </c>
      <c r="E628" s="243" t="str">
        <f>+'CUOTA ARTESANAL'!E447</f>
        <v>PADRE PIO (957203)</v>
      </c>
      <c r="F628" s="238" t="s">
        <v>54</v>
      </c>
      <c r="G628" s="238" t="s">
        <v>58</v>
      </c>
      <c r="H628" s="253">
        <f>'CUOTA ARTESANAL'!N447</f>
        <v>10.584</v>
      </c>
      <c r="I628" s="253">
        <f>'CUOTA ARTESANAL'!O447</f>
        <v>0</v>
      </c>
      <c r="J628" s="253">
        <f>'CUOTA ARTESANAL'!P447</f>
        <v>10.584</v>
      </c>
      <c r="K628" s="253">
        <f>'CUOTA ARTESANAL'!Q447</f>
        <v>5.94</v>
      </c>
      <c r="L628" s="253">
        <f>'CUOTA ARTESANAL'!R447</f>
        <v>4.6439999999999992</v>
      </c>
      <c r="M628" s="254">
        <f>'CUOTA ARTESANAL'!S447</f>
        <v>0.56122448979591844</v>
      </c>
      <c r="N628" s="240" t="s">
        <v>218</v>
      </c>
      <c r="O628" s="241">
        <f>RESUMEN!$C$4</f>
        <v>44561</v>
      </c>
      <c r="P628" s="233">
        <v>2021</v>
      </c>
      <c r="Q628" s="233"/>
    </row>
    <row r="629" spans="1:17" ht="15.75" customHeight="1">
      <c r="A629" s="238" t="s">
        <v>51</v>
      </c>
      <c r="B629" s="238" t="s">
        <v>52</v>
      </c>
      <c r="C629" s="238" t="s">
        <v>72</v>
      </c>
      <c r="D629" s="243" t="s">
        <v>337</v>
      </c>
      <c r="E629" s="243" t="str">
        <f>+'CUOTA ARTESANAL'!E449</f>
        <v>PERSEVERANCIA III (967345)</v>
      </c>
      <c r="F629" s="238" t="s">
        <v>54</v>
      </c>
      <c r="G629" s="238" t="s">
        <v>56</v>
      </c>
      <c r="H629" s="253">
        <f>'CUOTA ARTESANAL'!G449</f>
        <v>5.2910000000000004</v>
      </c>
      <c r="I629" s="253">
        <f>'CUOTA ARTESANAL'!H449</f>
        <v>0</v>
      </c>
      <c r="J629" s="253">
        <f>'CUOTA ARTESANAL'!I449</f>
        <v>5.2910000000000004</v>
      </c>
      <c r="K629" s="253">
        <f>'CUOTA ARTESANAL'!J449</f>
        <v>2.8350000000000004</v>
      </c>
      <c r="L629" s="253">
        <f>'CUOTA ARTESANAL'!K449</f>
        <v>2.456</v>
      </c>
      <c r="M629" s="254">
        <f>'CUOTA ARTESANAL'!L449</f>
        <v>0.53581553581553587</v>
      </c>
      <c r="N629" s="240" t="str">
        <f>'CUOTA ARTESANAL'!M449</f>
        <v>-</v>
      </c>
      <c r="O629" s="241">
        <f>RESUMEN!$C$4</f>
        <v>44561</v>
      </c>
      <c r="P629" s="233">
        <v>2021</v>
      </c>
      <c r="Q629" s="233"/>
    </row>
    <row r="630" spans="1:17" ht="15.75" customHeight="1">
      <c r="A630" s="238" t="s">
        <v>51</v>
      </c>
      <c r="B630" s="238" t="s">
        <v>52</v>
      </c>
      <c r="C630" s="238" t="s">
        <v>72</v>
      </c>
      <c r="D630" s="243" t="s">
        <v>337</v>
      </c>
      <c r="E630" s="243" t="str">
        <f>+'CUOTA ARTESANAL'!E449</f>
        <v>PERSEVERANCIA III (967345)</v>
      </c>
      <c r="F630" s="238" t="s">
        <v>57</v>
      </c>
      <c r="G630" s="238" t="s">
        <v>58</v>
      </c>
      <c r="H630" s="253">
        <f>'CUOTA ARTESANAL'!G450</f>
        <v>5.2910000000000004</v>
      </c>
      <c r="I630" s="253">
        <f>'CUOTA ARTESANAL'!H450</f>
        <v>0</v>
      </c>
      <c r="J630" s="253">
        <f>'CUOTA ARTESANAL'!I450</f>
        <v>7.7469999999999999</v>
      </c>
      <c r="K630" s="253">
        <f>'CUOTA ARTESANAL'!J450</f>
        <v>1.5659999999999998</v>
      </c>
      <c r="L630" s="253">
        <f>'CUOTA ARTESANAL'!K450</f>
        <v>6.181</v>
      </c>
      <c r="M630" s="254">
        <f>'CUOTA ARTESANAL'!L450</f>
        <v>0.20214276494126757</v>
      </c>
      <c r="N630" s="240" t="str">
        <f>'CUOTA ARTESANAL'!M450</f>
        <v>-</v>
      </c>
      <c r="O630" s="241">
        <f>RESUMEN!$C$4</f>
        <v>44561</v>
      </c>
      <c r="P630" s="233">
        <v>2021</v>
      </c>
      <c r="Q630" s="233"/>
    </row>
    <row r="631" spans="1:17" ht="15.75" customHeight="1">
      <c r="A631" s="238" t="s">
        <v>51</v>
      </c>
      <c r="B631" s="238" t="s">
        <v>52</v>
      </c>
      <c r="C631" s="238" t="s">
        <v>72</v>
      </c>
      <c r="D631" s="243" t="s">
        <v>337</v>
      </c>
      <c r="E631" s="243" t="str">
        <f>+'CUOTA ARTESANAL'!E449</f>
        <v>PERSEVERANCIA III (967345)</v>
      </c>
      <c r="F631" s="238" t="s">
        <v>54</v>
      </c>
      <c r="G631" s="238" t="s">
        <v>58</v>
      </c>
      <c r="H631" s="253">
        <f>'CUOTA ARTESANAL'!N449</f>
        <v>10.582000000000001</v>
      </c>
      <c r="I631" s="253">
        <f>'CUOTA ARTESANAL'!O449</f>
        <v>0</v>
      </c>
      <c r="J631" s="253">
        <f>'CUOTA ARTESANAL'!P449</f>
        <v>10.582000000000001</v>
      </c>
      <c r="K631" s="253">
        <f>'CUOTA ARTESANAL'!Q449</f>
        <v>4.4009999999999998</v>
      </c>
      <c r="L631" s="253">
        <f>'CUOTA ARTESANAL'!R449</f>
        <v>6.1810000000000009</v>
      </c>
      <c r="M631" s="254">
        <f>'CUOTA ARTESANAL'!S449</f>
        <v>0.41589491589491584</v>
      </c>
      <c r="N631" s="240" t="s">
        <v>218</v>
      </c>
      <c r="O631" s="241">
        <f>RESUMEN!$C$4</f>
        <v>44561</v>
      </c>
      <c r="P631" s="233">
        <v>2021</v>
      </c>
      <c r="Q631" s="233"/>
    </row>
    <row r="632" spans="1:17" ht="15.75" customHeight="1">
      <c r="A632" s="238" t="s">
        <v>51</v>
      </c>
      <c r="B632" s="238" t="s">
        <v>52</v>
      </c>
      <c r="C632" s="238" t="s">
        <v>72</v>
      </c>
      <c r="D632" s="243" t="s">
        <v>337</v>
      </c>
      <c r="E632" s="243" t="str">
        <f>+'CUOTA ARTESANAL'!E451</f>
        <v>POMPEYA II (967128)</v>
      </c>
      <c r="F632" s="238" t="s">
        <v>54</v>
      </c>
      <c r="G632" s="238" t="s">
        <v>56</v>
      </c>
      <c r="H632" s="253">
        <f>'CUOTA ARTESANAL'!G451</f>
        <v>5.29</v>
      </c>
      <c r="I632" s="253">
        <f>'CUOTA ARTESANAL'!H451</f>
        <v>0</v>
      </c>
      <c r="J632" s="253">
        <f>'CUOTA ARTESANAL'!I451</f>
        <v>5.29</v>
      </c>
      <c r="K632" s="253">
        <f>'CUOTA ARTESANAL'!J451</f>
        <v>5.2919999999999998</v>
      </c>
      <c r="L632" s="253">
        <f>'CUOTA ARTESANAL'!K451</f>
        <v>-1.9999999999997797E-3</v>
      </c>
      <c r="M632" s="254">
        <f>'CUOTA ARTESANAL'!L451</f>
        <v>1.0003780718336484</v>
      </c>
      <c r="N632" s="240">
        <f>'CUOTA ARTESANAL'!M451</f>
        <v>44357</v>
      </c>
      <c r="O632" s="241">
        <f>RESUMEN!$C$4</f>
        <v>44561</v>
      </c>
      <c r="P632" s="233">
        <v>2021</v>
      </c>
      <c r="Q632" s="233"/>
    </row>
    <row r="633" spans="1:17" ht="15.75" customHeight="1">
      <c r="A633" s="238" t="s">
        <v>51</v>
      </c>
      <c r="B633" s="238" t="s">
        <v>52</v>
      </c>
      <c r="C633" s="238" t="s">
        <v>72</v>
      </c>
      <c r="D633" s="243" t="s">
        <v>337</v>
      </c>
      <c r="E633" s="243" t="str">
        <f>+'CUOTA ARTESANAL'!E451</f>
        <v>POMPEYA II (967128)</v>
      </c>
      <c r="F633" s="238" t="s">
        <v>57</v>
      </c>
      <c r="G633" s="238" t="s">
        <v>58</v>
      </c>
      <c r="H633" s="253">
        <f>'CUOTA ARTESANAL'!G452</f>
        <v>5.29</v>
      </c>
      <c r="I633" s="253">
        <f>'CUOTA ARTESANAL'!H452</f>
        <v>0</v>
      </c>
      <c r="J633" s="253">
        <f>'CUOTA ARTESANAL'!I452</f>
        <v>5.2880000000000003</v>
      </c>
      <c r="K633" s="253">
        <f>'CUOTA ARTESANAL'!J452</f>
        <v>2.7E-2</v>
      </c>
      <c r="L633" s="253">
        <f>'CUOTA ARTESANAL'!K452</f>
        <v>5.2610000000000001</v>
      </c>
      <c r="M633" s="254">
        <f>'CUOTA ARTESANAL'!L452</f>
        <v>5.10590015128593E-3</v>
      </c>
      <c r="N633" s="240" t="str">
        <f>'CUOTA ARTESANAL'!M452</f>
        <v>-</v>
      </c>
      <c r="O633" s="241">
        <f>RESUMEN!$C$4</f>
        <v>44561</v>
      </c>
      <c r="P633" s="233">
        <v>2021</v>
      </c>
      <c r="Q633" s="233"/>
    </row>
    <row r="634" spans="1:17" ht="15.75" customHeight="1">
      <c r="A634" s="238" t="s">
        <v>51</v>
      </c>
      <c r="B634" s="238" t="s">
        <v>52</v>
      </c>
      <c r="C634" s="238" t="s">
        <v>72</v>
      </c>
      <c r="D634" s="243" t="s">
        <v>337</v>
      </c>
      <c r="E634" s="243" t="str">
        <f>+'CUOTA ARTESANAL'!E451</f>
        <v>POMPEYA II (967128)</v>
      </c>
      <c r="F634" s="238" t="s">
        <v>54</v>
      </c>
      <c r="G634" s="238" t="s">
        <v>58</v>
      </c>
      <c r="H634" s="253">
        <f>'CUOTA ARTESANAL'!N451</f>
        <v>10.58</v>
      </c>
      <c r="I634" s="253">
        <f>'CUOTA ARTESANAL'!O451</f>
        <v>0</v>
      </c>
      <c r="J634" s="253">
        <f>'CUOTA ARTESANAL'!P451</f>
        <v>10.58</v>
      </c>
      <c r="K634" s="253">
        <f>'CUOTA ARTESANAL'!Q451</f>
        <v>5.319</v>
      </c>
      <c r="L634" s="253">
        <f>'CUOTA ARTESANAL'!R451</f>
        <v>5.2610000000000001</v>
      </c>
      <c r="M634" s="254">
        <f>'CUOTA ARTESANAL'!S451</f>
        <v>0.50274102079395089</v>
      </c>
      <c r="N634" s="240" t="s">
        <v>218</v>
      </c>
      <c r="O634" s="241">
        <f>RESUMEN!$C$4</f>
        <v>44561</v>
      </c>
      <c r="P634" s="233">
        <v>2021</v>
      </c>
      <c r="Q634" s="233"/>
    </row>
    <row r="635" spans="1:17" ht="15.75" customHeight="1">
      <c r="A635" s="238" t="s">
        <v>51</v>
      </c>
      <c r="B635" s="238" t="s">
        <v>52</v>
      </c>
      <c r="C635" s="238" t="s">
        <v>72</v>
      </c>
      <c r="D635" s="243" t="s">
        <v>337</v>
      </c>
      <c r="E635" s="243" t="str">
        <f>+'CUOTA ARTESANAL'!E453</f>
        <v>RODRIGO ANDRES II (964703)</v>
      </c>
      <c r="F635" s="238" t="s">
        <v>54</v>
      </c>
      <c r="G635" s="238" t="s">
        <v>56</v>
      </c>
      <c r="H635" s="253">
        <f>'CUOTA ARTESANAL'!G453</f>
        <v>5.29</v>
      </c>
      <c r="I635" s="253">
        <f>'CUOTA ARTESANAL'!H453</f>
        <v>0</v>
      </c>
      <c r="J635" s="253">
        <f>'CUOTA ARTESANAL'!I453</f>
        <v>5.29</v>
      </c>
      <c r="K635" s="253">
        <f>'CUOTA ARTESANAL'!J453</f>
        <v>3.1859999999999999</v>
      </c>
      <c r="L635" s="253">
        <f>'CUOTA ARTESANAL'!K453</f>
        <v>2.1040000000000001</v>
      </c>
      <c r="M635" s="254">
        <f>'CUOTA ARTESANAL'!L453</f>
        <v>0.60226843100189031</v>
      </c>
      <c r="N635" s="240" t="str">
        <f>'CUOTA ARTESANAL'!M453</f>
        <v>-</v>
      </c>
      <c r="O635" s="241">
        <f>RESUMEN!$C$4</f>
        <v>44561</v>
      </c>
      <c r="P635" s="233">
        <v>2021</v>
      </c>
      <c r="Q635" s="233"/>
    </row>
    <row r="636" spans="1:17" ht="15.75" customHeight="1">
      <c r="A636" s="238" t="s">
        <v>51</v>
      </c>
      <c r="B636" s="238" t="s">
        <v>52</v>
      </c>
      <c r="C636" s="238" t="s">
        <v>72</v>
      </c>
      <c r="D636" s="243" t="s">
        <v>337</v>
      </c>
      <c r="E636" s="243" t="str">
        <f>+'CUOTA ARTESANAL'!E453</f>
        <v>RODRIGO ANDRES II (964703)</v>
      </c>
      <c r="F636" s="238" t="s">
        <v>57</v>
      </c>
      <c r="G636" s="238" t="s">
        <v>58</v>
      </c>
      <c r="H636" s="253">
        <f>'CUOTA ARTESANAL'!G454</f>
        <v>5.29</v>
      </c>
      <c r="I636" s="253">
        <f>'CUOTA ARTESANAL'!H454</f>
        <v>0</v>
      </c>
      <c r="J636" s="253">
        <f>'CUOTA ARTESANAL'!I454</f>
        <v>7.3940000000000001</v>
      </c>
      <c r="K636" s="253">
        <f>'CUOTA ARTESANAL'!J454</f>
        <v>4.8599999999999994</v>
      </c>
      <c r="L636" s="253">
        <f>'CUOTA ARTESANAL'!K454</f>
        <v>2.5340000000000007</v>
      </c>
      <c r="M636" s="254">
        <f>'CUOTA ARTESANAL'!L454</f>
        <v>0.65728969434676754</v>
      </c>
      <c r="N636" s="240" t="str">
        <f>'CUOTA ARTESANAL'!M454</f>
        <v>-</v>
      </c>
      <c r="O636" s="241">
        <f>RESUMEN!$C$4</f>
        <v>44561</v>
      </c>
      <c r="P636" s="233">
        <v>2021</v>
      </c>
      <c r="Q636" s="233"/>
    </row>
    <row r="637" spans="1:17" ht="15.75" customHeight="1">
      <c r="A637" s="238" t="s">
        <v>51</v>
      </c>
      <c r="B637" s="238" t="s">
        <v>52</v>
      </c>
      <c r="C637" s="238" t="s">
        <v>72</v>
      </c>
      <c r="D637" s="243" t="s">
        <v>337</v>
      </c>
      <c r="E637" s="243" t="str">
        <f>+'CUOTA ARTESANAL'!E453</f>
        <v>RODRIGO ANDRES II (964703)</v>
      </c>
      <c r="F637" s="238" t="s">
        <v>54</v>
      </c>
      <c r="G637" s="238" t="s">
        <v>58</v>
      </c>
      <c r="H637" s="253">
        <f>'CUOTA ARTESANAL'!N453</f>
        <v>10.58</v>
      </c>
      <c r="I637" s="253">
        <f>'CUOTA ARTESANAL'!O453</f>
        <v>0</v>
      </c>
      <c r="J637" s="253">
        <f>'CUOTA ARTESANAL'!P453</f>
        <v>10.58</v>
      </c>
      <c r="K637" s="253">
        <f>'CUOTA ARTESANAL'!Q453</f>
        <v>8.0459999999999994</v>
      </c>
      <c r="L637" s="253">
        <f>'CUOTA ARTESANAL'!R453</f>
        <v>2.5340000000000007</v>
      </c>
      <c r="M637" s="254">
        <f>'CUOTA ARTESANAL'!S453</f>
        <v>0.76049149338374289</v>
      </c>
      <c r="N637" s="240" t="s">
        <v>218</v>
      </c>
      <c r="O637" s="241">
        <f>RESUMEN!$C$4</f>
        <v>44561</v>
      </c>
      <c r="P637" s="233">
        <v>2021</v>
      </c>
      <c r="Q637" s="233"/>
    </row>
    <row r="638" spans="1:17" ht="15.75" customHeight="1">
      <c r="A638" s="238" t="s">
        <v>51</v>
      </c>
      <c r="B638" s="238" t="s">
        <v>52</v>
      </c>
      <c r="C638" s="238" t="s">
        <v>72</v>
      </c>
      <c r="D638" s="243" t="s">
        <v>337</v>
      </c>
      <c r="E638" s="243" t="str">
        <f>+'CUOTA ARTESANAL'!E455</f>
        <v>SALVADOR GAVIOTA VI (967520)</v>
      </c>
      <c r="F638" s="238" t="s">
        <v>54</v>
      </c>
      <c r="G638" s="238" t="s">
        <v>56</v>
      </c>
      <c r="H638" s="253">
        <f>'CUOTA ARTESANAL'!G455</f>
        <v>5.2910000000000004</v>
      </c>
      <c r="I638" s="253">
        <f>'CUOTA ARTESANAL'!H455</f>
        <v>0</v>
      </c>
      <c r="J638" s="253">
        <f>'CUOTA ARTESANAL'!I455</f>
        <v>5.2910000000000004</v>
      </c>
      <c r="K638" s="253">
        <f>'CUOTA ARTESANAL'!J455</f>
        <v>4.7790000000000008</v>
      </c>
      <c r="L638" s="253">
        <f>'CUOTA ARTESANAL'!K455</f>
        <v>0.51199999999999957</v>
      </c>
      <c r="M638" s="254">
        <f>'CUOTA ARTESANAL'!L455</f>
        <v>0.90323190323190328</v>
      </c>
      <c r="N638" s="240" t="str">
        <f>'CUOTA ARTESANAL'!M455</f>
        <v>-</v>
      </c>
      <c r="O638" s="241">
        <f>RESUMEN!$C$4</f>
        <v>44561</v>
      </c>
      <c r="P638" s="233">
        <v>2021</v>
      </c>
      <c r="Q638" s="233"/>
    </row>
    <row r="639" spans="1:17" ht="15.75" customHeight="1">
      <c r="A639" s="238" t="s">
        <v>51</v>
      </c>
      <c r="B639" s="238" t="s">
        <v>52</v>
      </c>
      <c r="C639" s="238" t="s">
        <v>72</v>
      </c>
      <c r="D639" s="243" t="s">
        <v>337</v>
      </c>
      <c r="E639" s="243" t="str">
        <f>+'CUOTA ARTESANAL'!E455</f>
        <v>SALVADOR GAVIOTA VI (967520)</v>
      </c>
      <c r="F639" s="238" t="s">
        <v>57</v>
      </c>
      <c r="G639" s="238" t="s">
        <v>58</v>
      </c>
      <c r="H639" s="253">
        <f>'CUOTA ARTESANAL'!G456</f>
        <v>5.2910000000000004</v>
      </c>
      <c r="I639" s="253">
        <f>'CUOTA ARTESANAL'!H456</f>
        <v>0</v>
      </c>
      <c r="J639" s="253">
        <f>'CUOTA ARTESANAL'!I456</f>
        <v>5.8029999999999999</v>
      </c>
      <c r="K639" s="253">
        <f>'CUOTA ARTESANAL'!J456</f>
        <v>4.3470000000000013</v>
      </c>
      <c r="L639" s="253">
        <f>'CUOTA ARTESANAL'!K456</f>
        <v>1.4559999999999986</v>
      </c>
      <c r="M639" s="254">
        <f>'CUOTA ARTESANAL'!L456</f>
        <v>0.74909529553679155</v>
      </c>
      <c r="N639" s="240" t="str">
        <f>'CUOTA ARTESANAL'!M456</f>
        <v>-</v>
      </c>
      <c r="O639" s="241">
        <f>RESUMEN!$C$4</f>
        <v>44561</v>
      </c>
      <c r="P639" s="233">
        <v>2021</v>
      </c>
      <c r="Q639" s="233"/>
    </row>
    <row r="640" spans="1:17" ht="15.75" customHeight="1">
      <c r="A640" s="238" t="s">
        <v>51</v>
      </c>
      <c r="B640" s="238" t="s">
        <v>52</v>
      </c>
      <c r="C640" s="238" t="s">
        <v>72</v>
      </c>
      <c r="D640" s="243" t="s">
        <v>337</v>
      </c>
      <c r="E640" s="243" t="str">
        <f>+'CUOTA ARTESANAL'!E455</f>
        <v>SALVADOR GAVIOTA VI (967520)</v>
      </c>
      <c r="F640" s="238" t="s">
        <v>54</v>
      </c>
      <c r="G640" s="238" t="s">
        <v>58</v>
      </c>
      <c r="H640" s="253">
        <f>'CUOTA ARTESANAL'!N455</f>
        <v>10.582000000000001</v>
      </c>
      <c r="I640" s="253">
        <f>'CUOTA ARTESANAL'!O455</f>
        <v>0</v>
      </c>
      <c r="J640" s="253">
        <f>'CUOTA ARTESANAL'!P455</f>
        <v>10.582000000000001</v>
      </c>
      <c r="K640" s="253">
        <f>'CUOTA ARTESANAL'!Q455</f>
        <v>9.1260000000000012</v>
      </c>
      <c r="L640" s="253">
        <f>'CUOTA ARTESANAL'!R455</f>
        <v>1.4559999999999995</v>
      </c>
      <c r="M640" s="254">
        <f>'CUOTA ARTESANAL'!S455</f>
        <v>0.86240786240786249</v>
      </c>
      <c r="N640" s="240" t="s">
        <v>218</v>
      </c>
      <c r="O640" s="241">
        <f>RESUMEN!$C$4</f>
        <v>44561</v>
      </c>
      <c r="P640" s="233">
        <v>2021</v>
      </c>
      <c r="Q640" s="233"/>
    </row>
    <row r="641" spans="1:17" ht="15.75" customHeight="1">
      <c r="A641" s="238" t="s">
        <v>51</v>
      </c>
      <c r="B641" s="238" t="s">
        <v>52</v>
      </c>
      <c r="C641" s="238" t="s">
        <v>72</v>
      </c>
      <c r="D641" s="243" t="s">
        <v>337</v>
      </c>
      <c r="E641" s="243" t="str">
        <f>+'CUOTA ARTESANAL'!E457</f>
        <v>SAN CARLOS III (966007)</v>
      </c>
      <c r="F641" s="238" t="s">
        <v>54</v>
      </c>
      <c r="G641" s="238" t="s">
        <v>56</v>
      </c>
      <c r="H641" s="253">
        <f>'CUOTA ARTESANAL'!G457</f>
        <v>5.2919999999999998</v>
      </c>
      <c r="I641" s="253">
        <f>'CUOTA ARTESANAL'!H457</f>
        <v>0</v>
      </c>
      <c r="J641" s="253">
        <f>'CUOTA ARTESANAL'!I457</f>
        <v>5.2919999999999998</v>
      </c>
      <c r="K641" s="253">
        <f>'CUOTA ARTESANAL'!J457</f>
        <v>4.6439999999999992</v>
      </c>
      <c r="L641" s="253">
        <f>'CUOTA ARTESANAL'!K457</f>
        <v>0.64800000000000058</v>
      </c>
      <c r="M641" s="254">
        <f>'CUOTA ARTESANAL'!L457</f>
        <v>0.87755102040816313</v>
      </c>
      <c r="N641" s="240" t="str">
        <f>'CUOTA ARTESANAL'!M457</f>
        <v>-</v>
      </c>
      <c r="O641" s="241">
        <f>RESUMEN!$C$4</f>
        <v>44561</v>
      </c>
      <c r="P641" s="233">
        <v>2021</v>
      </c>
      <c r="Q641" s="233"/>
    </row>
    <row r="642" spans="1:17" ht="15.75" customHeight="1">
      <c r="A642" s="238" t="s">
        <v>51</v>
      </c>
      <c r="B642" s="238" t="s">
        <v>52</v>
      </c>
      <c r="C642" s="238" t="s">
        <v>72</v>
      </c>
      <c r="D642" s="243" t="s">
        <v>337</v>
      </c>
      <c r="E642" s="243" t="str">
        <f>+'CUOTA ARTESANAL'!E457</f>
        <v>SAN CARLOS III (966007)</v>
      </c>
      <c r="F642" s="238" t="s">
        <v>57</v>
      </c>
      <c r="G642" s="238" t="s">
        <v>58</v>
      </c>
      <c r="H642" s="253">
        <f>'CUOTA ARTESANAL'!G458</f>
        <v>5.2919999999999998</v>
      </c>
      <c r="I642" s="253">
        <f>'CUOTA ARTESANAL'!H458</f>
        <v>0</v>
      </c>
      <c r="J642" s="253">
        <f>'CUOTA ARTESANAL'!I458</f>
        <v>5.94</v>
      </c>
      <c r="K642" s="253">
        <f>'CUOTA ARTESANAL'!J458</f>
        <v>4.8869999999999996</v>
      </c>
      <c r="L642" s="253">
        <f>'CUOTA ARTESANAL'!K458</f>
        <v>1.0530000000000008</v>
      </c>
      <c r="M642" s="254">
        <f>'CUOTA ARTESANAL'!L458</f>
        <v>0.82272727272727264</v>
      </c>
      <c r="N642" s="240" t="str">
        <f>'CUOTA ARTESANAL'!M458</f>
        <v>-</v>
      </c>
      <c r="O642" s="241">
        <f>RESUMEN!$C$4</f>
        <v>44561</v>
      </c>
      <c r="P642" s="233">
        <v>2021</v>
      </c>
      <c r="Q642" s="233"/>
    </row>
    <row r="643" spans="1:17" ht="15.75" customHeight="1">
      <c r="A643" s="238" t="s">
        <v>51</v>
      </c>
      <c r="B643" s="238" t="s">
        <v>52</v>
      </c>
      <c r="C643" s="238" t="s">
        <v>72</v>
      </c>
      <c r="D643" s="243" t="s">
        <v>337</v>
      </c>
      <c r="E643" s="243" t="str">
        <f>+'CUOTA ARTESANAL'!E457</f>
        <v>SAN CARLOS III (966007)</v>
      </c>
      <c r="F643" s="238" t="s">
        <v>54</v>
      </c>
      <c r="G643" s="238" t="s">
        <v>58</v>
      </c>
      <c r="H643" s="253">
        <f>'CUOTA ARTESANAL'!N457</f>
        <v>10.584</v>
      </c>
      <c r="I643" s="253">
        <f>'CUOTA ARTESANAL'!O457</f>
        <v>0</v>
      </c>
      <c r="J643" s="253">
        <f>'CUOTA ARTESANAL'!P457</f>
        <v>10.584</v>
      </c>
      <c r="K643" s="253">
        <f>'CUOTA ARTESANAL'!Q457</f>
        <v>9.5309999999999988</v>
      </c>
      <c r="L643" s="253">
        <f>'CUOTA ARTESANAL'!R457</f>
        <v>1.0530000000000008</v>
      </c>
      <c r="M643" s="254">
        <f>'CUOTA ARTESANAL'!S457</f>
        <v>0.90051020408163263</v>
      </c>
      <c r="N643" s="240" t="s">
        <v>218</v>
      </c>
      <c r="O643" s="241">
        <f>RESUMEN!$C$4</f>
        <v>44561</v>
      </c>
      <c r="P643" s="233">
        <v>2021</v>
      </c>
      <c r="Q643" s="233"/>
    </row>
    <row r="644" spans="1:17" ht="15.75" customHeight="1">
      <c r="A644" s="238" t="s">
        <v>51</v>
      </c>
      <c r="B644" s="238" t="s">
        <v>52</v>
      </c>
      <c r="C644" s="238" t="s">
        <v>72</v>
      </c>
      <c r="D644" s="243" t="s">
        <v>337</v>
      </c>
      <c r="E644" s="243" t="str">
        <f>+'CUOTA ARTESANAL'!E459</f>
        <v>SAN PITER I (960855)</v>
      </c>
      <c r="F644" s="238" t="s">
        <v>54</v>
      </c>
      <c r="G644" s="238" t="s">
        <v>56</v>
      </c>
      <c r="H644" s="253">
        <f>'CUOTA ARTESANAL'!G459</f>
        <v>5.2910000000000004</v>
      </c>
      <c r="I644" s="253">
        <f>'CUOTA ARTESANAL'!H459</f>
        <v>0</v>
      </c>
      <c r="J644" s="253">
        <f>'CUOTA ARTESANAL'!I459</f>
        <v>5.2910000000000004</v>
      </c>
      <c r="K644" s="253">
        <f>'CUOTA ARTESANAL'!J459</f>
        <v>4.4820000000000002</v>
      </c>
      <c r="L644" s="253">
        <f>'CUOTA ARTESANAL'!K459</f>
        <v>0.80900000000000016</v>
      </c>
      <c r="M644" s="254">
        <f>'CUOTA ARTESANAL'!L459</f>
        <v>0.84709884709884709</v>
      </c>
      <c r="N644" s="240" t="str">
        <f>'CUOTA ARTESANAL'!M459</f>
        <v>-</v>
      </c>
      <c r="O644" s="241">
        <f>RESUMEN!$C$4</f>
        <v>44561</v>
      </c>
      <c r="P644" s="233">
        <v>2021</v>
      </c>
      <c r="Q644" s="233"/>
    </row>
    <row r="645" spans="1:17" ht="15.75" customHeight="1">
      <c r="A645" s="238" t="s">
        <v>51</v>
      </c>
      <c r="B645" s="238" t="s">
        <v>52</v>
      </c>
      <c r="C645" s="238" t="s">
        <v>72</v>
      </c>
      <c r="D645" s="243" t="s">
        <v>337</v>
      </c>
      <c r="E645" s="243" t="str">
        <f>+'CUOTA ARTESANAL'!E459</f>
        <v>SAN PITER I (960855)</v>
      </c>
      <c r="F645" s="238" t="s">
        <v>57</v>
      </c>
      <c r="G645" s="238" t="s">
        <v>58</v>
      </c>
      <c r="H645" s="253">
        <f>'CUOTA ARTESANAL'!G460</f>
        <v>5.2910000000000004</v>
      </c>
      <c r="I645" s="253">
        <f>'CUOTA ARTESANAL'!H460</f>
        <v>0</v>
      </c>
      <c r="J645" s="253">
        <f>'CUOTA ARTESANAL'!I460</f>
        <v>6.1000000000000005</v>
      </c>
      <c r="K645" s="253">
        <f>'CUOTA ARTESANAL'!J460</f>
        <v>5.4000000000000012</v>
      </c>
      <c r="L645" s="253">
        <f>'CUOTA ARTESANAL'!K460</f>
        <v>0.69999999999999929</v>
      </c>
      <c r="M645" s="254">
        <f>'CUOTA ARTESANAL'!L460</f>
        <v>0.88524590163934436</v>
      </c>
      <c r="N645" s="240" t="str">
        <f>'CUOTA ARTESANAL'!M460</f>
        <v>-</v>
      </c>
      <c r="O645" s="241">
        <f>RESUMEN!$C$4</f>
        <v>44561</v>
      </c>
      <c r="P645" s="233">
        <v>2021</v>
      </c>
      <c r="Q645" s="233"/>
    </row>
    <row r="646" spans="1:17" ht="15.75" customHeight="1">
      <c r="A646" s="238" t="s">
        <v>51</v>
      </c>
      <c r="B646" s="238" t="s">
        <v>52</v>
      </c>
      <c r="C646" s="238" t="s">
        <v>72</v>
      </c>
      <c r="D646" s="243" t="s">
        <v>337</v>
      </c>
      <c r="E646" s="243" t="str">
        <f>+'CUOTA ARTESANAL'!E459</f>
        <v>SAN PITER I (960855)</v>
      </c>
      <c r="F646" s="238" t="s">
        <v>54</v>
      </c>
      <c r="G646" s="238" t="s">
        <v>58</v>
      </c>
      <c r="H646" s="253">
        <f>'CUOTA ARTESANAL'!N459</f>
        <v>10.582000000000001</v>
      </c>
      <c r="I646" s="253">
        <f>'CUOTA ARTESANAL'!O459</f>
        <v>0</v>
      </c>
      <c r="J646" s="253">
        <f>'CUOTA ARTESANAL'!P459</f>
        <v>10.582000000000001</v>
      </c>
      <c r="K646" s="253">
        <f>'CUOTA ARTESANAL'!Q459</f>
        <v>9.8820000000000014</v>
      </c>
      <c r="L646" s="253">
        <f>'CUOTA ARTESANAL'!R459</f>
        <v>0.69999999999999929</v>
      </c>
      <c r="M646" s="254">
        <f>'CUOTA ARTESANAL'!S459</f>
        <v>0.93384993384993387</v>
      </c>
      <c r="N646" s="240" t="s">
        <v>218</v>
      </c>
      <c r="O646" s="241">
        <f>RESUMEN!$C$4</f>
        <v>44561</v>
      </c>
      <c r="P646" s="233">
        <v>2021</v>
      </c>
      <c r="Q646" s="233"/>
    </row>
    <row r="647" spans="1:17" ht="15.75" customHeight="1">
      <c r="A647" s="238" t="s">
        <v>51</v>
      </c>
      <c r="B647" s="238" t="s">
        <v>52</v>
      </c>
      <c r="C647" s="238" t="s">
        <v>72</v>
      </c>
      <c r="D647" s="243" t="s">
        <v>337</v>
      </c>
      <c r="E647" s="243" t="str">
        <f>+'CUOTA ARTESANAL'!E461</f>
        <v>TATA FILA I  (967210)</v>
      </c>
      <c r="F647" s="238" t="s">
        <v>54</v>
      </c>
      <c r="G647" s="238" t="s">
        <v>56</v>
      </c>
      <c r="H647" s="253">
        <f>'CUOTA ARTESANAL'!G461</f>
        <v>5.2919999999999998</v>
      </c>
      <c r="I647" s="253">
        <f>'CUOTA ARTESANAL'!H461</f>
        <v>0</v>
      </c>
      <c r="J647" s="253">
        <f>'CUOTA ARTESANAL'!I461</f>
        <v>5.2919999999999998</v>
      </c>
      <c r="K647" s="253">
        <f>'CUOTA ARTESANAL'!J461</f>
        <v>5.1569999999999974</v>
      </c>
      <c r="L647" s="253">
        <f>'CUOTA ARTESANAL'!K461</f>
        <v>0.13500000000000245</v>
      </c>
      <c r="M647" s="254">
        <f>'CUOTA ARTESANAL'!L461</f>
        <v>0.97448979591836693</v>
      </c>
      <c r="N647" s="240" t="str">
        <f>'CUOTA ARTESANAL'!M461</f>
        <v>-</v>
      </c>
      <c r="O647" s="241">
        <f>RESUMEN!$C$4</f>
        <v>44561</v>
      </c>
      <c r="P647" s="233">
        <v>2021</v>
      </c>
      <c r="Q647" s="233"/>
    </row>
    <row r="648" spans="1:17" ht="15.75" customHeight="1">
      <c r="A648" s="238" t="s">
        <v>51</v>
      </c>
      <c r="B648" s="238" t="s">
        <v>52</v>
      </c>
      <c r="C648" s="238" t="s">
        <v>72</v>
      </c>
      <c r="D648" s="243" t="s">
        <v>337</v>
      </c>
      <c r="E648" s="243" t="str">
        <f>+'CUOTA ARTESANAL'!E461</f>
        <v>TATA FILA I  (967210)</v>
      </c>
      <c r="F648" s="238" t="s">
        <v>57</v>
      </c>
      <c r="G648" s="238" t="s">
        <v>58</v>
      </c>
      <c r="H648" s="253">
        <f>'CUOTA ARTESANAL'!G462</f>
        <v>5.2919999999999998</v>
      </c>
      <c r="I648" s="253">
        <f>'CUOTA ARTESANAL'!H462</f>
        <v>0</v>
      </c>
      <c r="J648" s="253">
        <f>'CUOTA ARTESANAL'!I462</f>
        <v>5.4270000000000023</v>
      </c>
      <c r="K648" s="253">
        <f>'CUOTA ARTESANAL'!J462</f>
        <v>3.9150000000000005</v>
      </c>
      <c r="L648" s="253">
        <f>'CUOTA ARTESANAL'!K462</f>
        <v>1.5120000000000018</v>
      </c>
      <c r="M648" s="254">
        <f>'CUOTA ARTESANAL'!L462</f>
        <v>0.72139303482587047</v>
      </c>
      <c r="N648" s="240" t="str">
        <f>'CUOTA ARTESANAL'!M462</f>
        <v>-</v>
      </c>
      <c r="O648" s="241">
        <f>RESUMEN!$C$4</f>
        <v>44561</v>
      </c>
      <c r="P648" s="233">
        <v>2021</v>
      </c>
      <c r="Q648" s="233"/>
    </row>
    <row r="649" spans="1:17" ht="15.75" customHeight="1">
      <c r="A649" s="238" t="s">
        <v>51</v>
      </c>
      <c r="B649" s="238" t="s">
        <v>52</v>
      </c>
      <c r="C649" s="238" t="s">
        <v>72</v>
      </c>
      <c r="D649" s="243" t="s">
        <v>337</v>
      </c>
      <c r="E649" s="243" t="str">
        <f>+'CUOTA ARTESANAL'!E461</f>
        <v>TATA FILA I  (967210)</v>
      </c>
      <c r="F649" s="238" t="s">
        <v>54</v>
      </c>
      <c r="G649" s="238" t="s">
        <v>58</v>
      </c>
      <c r="H649" s="253">
        <f>'CUOTA ARTESANAL'!N461</f>
        <v>10.584</v>
      </c>
      <c r="I649" s="253">
        <f>'CUOTA ARTESANAL'!O461</f>
        <v>0</v>
      </c>
      <c r="J649" s="253">
        <f>'CUOTA ARTESANAL'!P461</f>
        <v>10.584</v>
      </c>
      <c r="K649" s="253">
        <f>'CUOTA ARTESANAL'!Q461</f>
        <v>9.0719999999999974</v>
      </c>
      <c r="L649" s="253">
        <f>'CUOTA ARTESANAL'!R461</f>
        <v>1.5120000000000022</v>
      </c>
      <c r="M649" s="254">
        <f>'CUOTA ARTESANAL'!S461</f>
        <v>0.85714285714285687</v>
      </c>
      <c r="N649" s="240" t="s">
        <v>218</v>
      </c>
      <c r="O649" s="241">
        <f>RESUMEN!$C$4</f>
        <v>44561</v>
      </c>
      <c r="P649" s="233">
        <v>2021</v>
      </c>
      <c r="Q649" s="233"/>
    </row>
    <row r="650" spans="1:17" ht="15.75" customHeight="1">
      <c r="A650" s="238" t="s">
        <v>51</v>
      </c>
      <c r="B650" s="238" t="s">
        <v>52</v>
      </c>
      <c r="C650" s="238" t="s">
        <v>72</v>
      </c>
      <c r="D650" s="243" t="s">
        <v>337</v>
      </c>
      <c r="E650" s="243" t="str">
        <f>+'CUOTA ARTESANAL'!E463</f>
        <v>TATA RENE II (965577)</v>
      </c>
      <c r="F650" s="238" t="s">
        <v>54</v>
      </c>
      <c r="G650" s="238" t="s">
        <v>56</v>
      </c>
      <c r="H650" s="253">
        <f>'CUOTA ARTESANAL'!G463</f>
        <v>7.9349999999999996</v>
      </c>
      <c r="I650" s="253">
        <f>'CUOTA ARTESANAL'!H463</f>
        <v>0</v>
      </c>
      <c r="J650" s="253">
        <f>'CUOTA ARTESANAL'!I463</f>
        <v>7.9349999999999996</v>
      </c>
      <c r="K650" s="253">
        <f>'CUOTA ARTESANAL'!J463</f>
        <v>5.319</v>
      </c>
      <c r="L650" s="253">
        <f>'CUOTA ARTESANAL'!K463</f>
        <v>2.6159999999999997</v>
      </c>
      <c r="M650" s="254">
        <f>'CUOTA ARTESANAL'!L463</f>
        <v>0.67032136105860118</v>
      </c>
      <c r="N650" s="240" t="str">
        <f>'CUOTA ARTESANAL'!M463</f>
        <v>-</v>
      </c>
      <c r="O650" s="241">
        <f>RESUMEN!$C$4</f>
        <v>44561</v>
      </c>
      <c r="P650" s="233">
        <v>2021</v>
      </c>
      <c r="Q650" s="233"/>
    </row>
    <row r="651" spans="1:17" ht="15.75" customHeight="1">
      <c r="A651" s="238" t="s">
        <v>51</v>
      </c>
      <c r="B651" s="238" t="s">
        <v>52</v>
      </c>
      <c r="C651" s="238" t="s">
        <v>72</v>
      </c>
      <c r="D651" s="243" t="s">
        <v>337</v>
      </c>
      <c r="E651" s="243" t="str">
        <f>+'CUOTA ARTESANAL'!E463</f>
        <v>TATA RENE II (965577)</v>
      </c>
      <c r="F651" s="238" t="s">
        <v>57</v>
      </c>
      <c r="G651" s="238" t="s">
        <v>58</v>
      </c>
      <c r="H651" s="253">
        <f>'CUOTA ARTESANAL'!G464</f>
        <v>2.645</v>
      </c>
      <c r="I651" s="253">
        <f>'CUOTA ARTESANAL'!H464</f>
        <v>0</v>
      </c>
      <c r="J651" s="253">
        <f>'CUOTA ARTESANAL'!I464</f>
        <v>5.2609999999999992</v>
      </c>
      <c r="K651" s="253">
        <f>'CUOTA ARTESANAL'!J464</f>
        <v>3.3210000000000002</v>
      </c>
      <c r="L651" s="253">
        <f>'CUOTA ARTESANAL'!K464</f>
        <v>1.9399999999999991</v>
      </c>
      <c r="M651" s="254">
        <f>'CUOTA ARTESANAL'!L464</f>
        <v>0.63124881201292538</v>
      </c>
      <c r="N651" s="240" t="str">
        <f>'CUOTA ARTESANAL'!M464</f>
        <v>-</v>
      </c>
      <c r="O651" s="241">
        <f>RESUMEN!$C$4</f>
        <v>44561</v>
      </c>
      <c r="P651" s="233">
        <v>2021</v>
      </c>
      <c r="Q651" s="233"/>
    </row>
    <row r="652" spans="1:17" ht="15.75" customHeight="1">
      <c r="A652" s="238" t="s">
        <v>51</v>
      </c>
      <c r="B652" s="238" t="s">
        <v>52</v>
      </c>
      <c r="C652" s="238" t="s">
        <v>72</v>
      </c>
      <c r="D652" s="243" t="s">
        <v>337</v>
      </c>
      <c r="E652" s="243" t="str">
        <f>+'CUOTA ARTESANAL'!E463</f>
        <v>TATA RENE II (965577)</v>
      </c>
      <c r="F652" s="238" t="s">
        <v>54</v>
      </c>
      <c r="G652" s="238" t="s">
        <v>58</v>
      </c>
      <c r="H652" s="253">
        <f>'CUOTA ARTESANAL'!N463</f>
        <v>10.58</v>
      </c>
      <c r="I652" s="253">
        <f>'CUOTA ARTESANAL'!O463</f>
        <v>0</v>
      </c>
      <c r="J652" s="253">
        <f>'CUOTA ARTESANAL'!P463</f>
        <v>10.58</v>
      </c>
      <c r="K652" s="253">
        <f>'CUOTA ARTESANAL'!Q463</f>
        <v>8.64</v>
      </c>
      <c r="L652" s="253">
        <f>'CUOTA ARTESANAL'!R463</f>
        <v>1.9399999999999995</v>
      </c>
      <c r="M652" s="254">
        <f>'CUOTA ARTESANAL'!S463</f>
        <v>0.81663516068052933</v>
      </c>
      <c r="N652" s="240" t="s">
        <v>218</v>
      </c>
      <c r="O652" s="241">
        <f>RESUMEN!$C$4</f>
        <v>44561</v>
      </c>
      <c r="P652" s="233">
        <v>2021</v>
      </c>
      <c r="Q652" s="233"/>
    </row>
    <row r="653" spans="1:17" ht="15.75" customHeight="1">
      <c r="A653" s="238" t="s">
        <v>51</v>
      </c>
      <c r="B653" s="238" t="s">
        <v>52</v>
      </c>
      <c r="C653" s="238" t="s">
        <v>72</v>
      </c>
      <c r="D653" s="243" t="s">
        <v>337</v>
      </c>
      <c r="E653" s="243" t="str">
        <f>+'CUOTA ARTESANAL'!E465</f>
        <v>TIARE CAROLINA I (966652)</v>
      </c>
      <c r="F653" s="238" t="s">
        <v>54</v>
      </c>
      <c r="G653" s="238" t="s">
        <v>56</v>
      </c>
      <c r="H653" s="253">
        <f>'CUOTA ARTESANAL'!G465</f>
        <v>5.2919999999999998</v>
      </c>
      <c r="I653" s="253">
        <f>'CUOTA ARTESANAL'!H465</f>
        <v>0</v>
      </c>
      <c r="J653" s="253">
        <f>'CUOTA ARTESANAL'!I465</f>
        <v>5.2919999999999998</v>
      </c>
      <c r="K653" s="253">
        <f>'CUOTA ARTESANAL'!J465</f>
        <v>3.8880000000000003</v>
      </c>
      <c r="L653" s="253">
        <f>'CUOTA ARTESANAL'!K465</f>
        <v>1.4039999999999995</v>
      </c>
      <c r="M653" s="254">
        <f>'CUOTA ARTESANAL'!L465</f>
        <v>0.73469387755102045</v>
      </c>
      <c r="N653" s="240" t="s">
        <v>218</v>
      </c>
      <c r="O653" s="241">
        <f>RESUMEN!$C$4</f>
        <v>44561</v>
      </c>
      <c r="P653" s="233">
        <v>2021</v>
      </c>
      <c r="Q653" s="233"/>
    </row>
    <row r="654" spans="1:17" ht="15.75" customHeight="1">
      <c r="A654" s="238" t="s">
        <v>51</v>
      </c>
      <c r="B654" s="238" t="s">
        <v>52</v>
      </c>
      <c r="C654" s="238" t="s">
        <v>72</v>
      </c>
      <c r="D654" s="243" t="s">
        <v>337</v>
      </c>
      <c r="E654" s="243" t="str">
        <f>+'CUOTA ARTESANAL'!E465</f>
        <v>TIARE CAROLINA I (966652)</v>
      </c>
      <c r="F654" s="238" t="s">
        <v>57</v>
      </c>
      <c r="G654" s="238" t="s">
        <v>58</v>
      </c>
      <c r="H654" s="253">
        <f>'CUOTA ARTESANAL'!G466</f>
        <v>5.2919999999999998</v>
      </c>
      <c r="I654" s="253">
        <f>'CUOTA ARTESANAL'!H466</f>
        <v>0</v>
      </c>
      <c r="J654" s="253">
        <f>'CUOTA ARTESANAL'!I466</f>
        <v>6.6959999999999997</v>
      </c>
      <c r="K654" s="253">
        <f>'CUOTA ARTESANAL'!J466</f>
        <v>2.673</v>
      </c>
      <c r="L654" s="253">
        <f>'CUOTA ARTESANAL'!K466</f>
        <v>4.0229999999999997</v>
      </c>
      <c r="M654" s="254">
        <f>'CUOTA ARTESANAL'!L466</f>
        <v>0.39919354838709681</v>
      </c>
      <c r="N654" s="240" t="str">
        <f>'CUOTA ARTESANAL'!M466</f>
        <v>-</v>
      </c>
      <c r="O654" s="241">
        <f>RESUMEN!$C$4</f>
        <v>44561</v>
      </c>
      <c r="P654" s="233">
        <v>2021</v>
      </c>
      <c r="Q654" s="233"/>
    </row>
    <row r="655" spans="1:17" ht="15.75" customHeight="1">
      <c r="A655" s="238" t="s">
        <v>51</v>
      </c>
      <c r="B655" s="238" t="s">
        <v>52</v>
      </c>
      <c r="C655" s="238" t="s">
        <v>72</v>
      </c>
      <c r="D655" s="243" t="s">
        <v>337</v>
      </c>
      <c r="E655" s="243" t="str">
        <f>+'CUOTA ARTESANAL'!E465</f>
        <v>TIARE CAROLINA I (966652)</v>
      </c>
      <c r="F655" s="238" t="s">
        <v>54</v>
      </c>
      <c r="G655" s="238" t="s">
        <v>58</v>
      </c>
      <c r="H655" s="253">
        <f>'CUOTA ARTESANAL'!N465</f>
        <v>10.584</v>
      </c>
      <c r="I655" s="253">
        <f>'CUOTA ARTESANAL'!O465</f>
        <v>0</v>
      </c>
      <c r="J655" s="253">
        <f>'CUOTA ARTESANAL'!P465</f>
        <v>10.584</v>
      </c>
      <c r="K655" s="253">
        <f>'CUOTA ARTESANAL'!Q465</f>
        <v>6.5609999999999999</v>
      </c>
      <c r="L655" s="253">
        <f>'CUOTA ARTESANAL'!R465</f>
        <v>4.0229999999999997</v>
      </c>
      <c r="M655" s="254">
        <f>'CUOTA ARTESANAL'!S465</f>
        <v>0.61989795918367352</v>
      </c>
      <c r="N655" s="240" t="s">
        <v>218</v>
      </c>
      <c r="O655" s="241">
        <f>RESUMEN!$C$4</f>
        <v>44561</v>
      </c>
      <c r="P655" s="233">
        <v>2021</v>
      </c>
      <c r="Q655" s="233"/>
    </row>
    <row r="656" spans="1:17" ht="15.75" customHeight="1">
      <c r="A656" s="238" t="s">
        <v>51</v>
      </c>
      <c r="B656" s="238" t="s">
        <v>52</v>
      </c>
      <c r="C656" s="238" t="s">
        <v>72</v>
      </c>
      <c r="D656" s="243" t="s">
        <v>337</v>
      </c>
      <c r="E656" s="243" t="str">
        <f>+'CUOTA ARTESANAL'!E467</f>
        <v>WAL-PA V (963900)</v>
      </c>
      <c r="F656" s="238" t="s">
        <v>54</v>
      </c>
      <c r="G656" s="238" t="s">
        <v>56</v>
      </c>
      <c r="H656" s="253">
        <f>'CUOTA ARTESANAL'!G467</f>
        <v>5.2919999999999998</v>
      </c>
      <c r="I656" s="253">
        <f>'CUOTA ARTESANAL'!H467</f>
        <v>0</v>
      </c>
      <c r="J656" s="253">
        <f>'CUOTA ARTESANAL'!I467</f>
        <v>5.2919999999999998</v>
      </c>
      <c r="K656" s="253">
        <f>'CUOTA ARTESANAL'!J467</f>
        <v>5.8739999999999997</v>
      </c>
      <c r="L656" s="253">
        <f>'CUOTA ARTESANAL'!K467</f>
        <v>-0.58199999999999985</v>
      </c>
      <c r="M656" s="254">
        <f>'CUOTA ARTESANAL'!L467</f>
        <v>1.1099773242630386</v>
      </c>
      <c r="N656" s="240">
        <f>'CUOTA ARTESANAL'!M467</f>
        <v>44357</v>
      </c>
      <c r="O656" s="241">
        <f>RESUMEN!$C$4</f>
        <v>44561</v>
      </c>
      <c r="P656" s="233">
        <v>2021</v>
      </c>
      <c r="Q656" s="233"/>
    </row>
    <row r="657" spans="1:17" ht="15.75" customHeight="1">
      <c r="A657" s="238" t="s">
        <v>51</v>
      </c>
      <c r="B657" s="238" t="s">
        <v>52</v>
      </c>
      <c r="C657" s="238" t="s">
        <v>72</v>
      </c>
      <c r="D657" s="243" t="s">
        <v>337</v>
      </c>
      <c r="E657" s="243" t="str">
        <f>+'CUOTA ARTESANAL'!E467</f>
        <v>WAL-PA V (963900)</v>
      </c>
      <c r="F657" s="238" t="s">
        <v>57</v>
      </c>
      <c r="G657" s="238" t="s">
        <v>58</v>
      </c>
      <c r="H657" s="253">
        <f>'CUOTA ARTESANAL'!G468</f>
        <v>5.2919999999999998</v>
      </c>
      <c r="I657" s="253">
        <f>'CUOTA ARTESANAL'!H468</f>
        <v>0</v>
      </c>
      <c r="J657" s="253">
        <f>'CUOTA ARTESANAL'!I468</f>
        <v>4.71</v>
      </c>
      <c r="K657" s="253">
        <f>'CUOTA ARTESANAL'!J468</f>
        <v>4.0750000000000002</v>
      </c>
      <c r="L657" s="253">
        <f>'CUOTA ARTESANAL'!K468</f>
        <v>0.63499999999999979</v>
      </c>
      <c r="M657" s="254">
        <f>'CUOTA ARTESANAL'!L468</f>
        <v>0.86518046709129515</v>
      </c>
      <c r="N657" s="240" t="str">
        <f>'CUOTA ARTESANAL'!M468</f>
        <v>-</v>
      </c>
      <c r="O657" s="241">
        <f>RESUMEN!$C$4</f>
        <v>44561</v>
      </c>
      <c r="P657" s="233">
        <v>2021</v>
      </c>
      <c r="Q657" s="233"/>
    </row>
    <row r="658" spans="1:17" ht="15.75" customHeight="1">
      <c r="A658" s="238" t="s">
        <v>51</v>
      </c>
      <c r="B658" s="238" t="s">
        <v>52</v>
      </c>
      <c r="C658" s="238" t="s">
        <v>72</v>
      </c>
      <c r="D658" s="243" t="s">
        <v>337</v>
      </c>
      <c r="E658" s="243" t="str">
        <f>+'CUOTA ARTESANAL'!E467</f>
        <v>WAL-PA V (963900)</v>
      </c>
      <c r="F658" s="238" t="s">
        <v>54</v>
      </c>
      <c r="G658" s="238" t="s">
        <v>58</v>
      </c>
      <c r="H658" s="253">
        <f>'CUOTA ARTESANAL'!N467</f>
        <v>10.584</v>
      </c>
      <c r="I658" s="253">
        <f>'CUOTA ARTESANAL'!O467</f>
        <v>0</v>
      </c>
      <c r="J658" s="253">
        <f>'CUOTA ARTESANAL'!P467</f>
        <v>10.584</v>
      </c>
      <c r="K658" s="253">
        <f>'CUOTA ARTESANAL'!Q467</f>
        <v>9.9489999999999998</v>
      </c>
      <c r="L658" s="253">
        <f>'CUOTA ARTESANAL'!R467</f>
        <v>0.63499999999999979</v>
      </c>
      <c r="M658" s="254">
        <f>'CUOTA ARTESANAL'!S467</f>
        <v>0.94000377928949364</v>
      </c>
      <c r="N658" s="240" t="s">
        <v>218</v>
      </c>
      <c r="O658" s="241">
        <f>RESUMEN!$C$4</f>
        <v>44561</v>
      </c>
      <c r="P658" s="233">
        <v>2021</v>
      </c>
      <c r="Q658" s="233"/>
    </row>
    <row r="659" spans="1:17" ht="15.75" customHeight="1">
      <c r="A659" s="238" t="s">
        <v>51</v>
      </c>
      <c r="B659" s="238" t="s">
        <v>52</v>
      </c>
      <c r="C659" s="238" t="s">
        <v>72</v>
      </c>
      <c r="D659" s="243" t="s">
        <v>337</v>
      </c>
      <c r="E659" s="243" t="str">
        <f>+'CUOTA ARTESANAL'!E469</f>
        <v>WAL-PA VI (964547)</v>
      </c>
      <c r="F659" s="238" t="s">
        <v>54</v>
      </c>
      <c r="G659" s="238" t="s">
        <v>56</v>
      </c>
      <c r="H659" s="253">
        <f>'CUOTA ARTESANAL'!G469</f>
        <v>5.2919999999999998</v>
      </c>
      <c r="I659" s="253">
        <f>'CUOTA ARTESANAL'!H469</f>
        <v>0</v>
      </c>
      <c r="J659" s="253">
        <f>'CUOTA ARTESANAL'!I469</f>
        <v>5.2919999999999998</v>
      </c>
      <c r="K659" s="253">
        <f>'CUOTA ARTESANAL'!J469</f>
        <v>4.9140000000000006</v>
      </c>
      <c r="L659" s="253">
        <f>'CUOTA ARTESANAL'!K469</f>
        <v>0.37799999999999923</v>
      </c>
      <c r="M659" s="254">
        <f>'CUOTA ARTESANAL'!L469</f>
        <v>0.92857142857142871</v>
      </c>
      <c r="N659" s="240" t="str">
        <f>'CUOTA ARTESANAL'!M469</f>
        <v>-</v>
      </c>
      <c r="O659" s="241">
        <f>RESUMEN!$C$4</f>
        <v>44561</v>
      </c>
      <c r="P659" s="233">
        <v>2021</v>
      </c>
      <c r="Q659" s="233"/>
    </row>
    <row r="660" spans="1:17" ht="15.75" customHeight="1">
      <c r="A660" s="238" t="s">
        <v>51</v>
      </c>
      <c r="B660" s="238" t="s">
        <v>52</v>
      </c>
      <c r="C660" s="238" t="s">
        <v>72</v>
      </c>
      <c r="D660" s="243" t="s">
        <v>337</v>
      </c>
      <c r="E660" s="243" t="str">
        <f>+'CUOTA ARTESANAL'!E469</f>
        <v>WAL-PA VI (964547)</v>
      </c>
      <c r="F660" s="238" t="s">
        <v>57</v>
      </c>
      <c r="G660" s="238" t="s">
        <v>58</v>
      </c>
      <c r="H660" s="253">
        <f>'CUOTA ARTESANAL'!G470</f>
        <v>5.2919999999999998</v>
      </c>
      <c r="I660" s="253">
        <f>'CUOTA ARTESANAL'!H470</f>
        <v>0</v>
      </c>
      <c r="J660" s="253">
        <f>'CUOTA ARTESANAL'!I470</f>
        <v>5.669999999999999</v>
      </c>
      <c r="K660" s="253">
        <f>'CUOTA ARTESANAL'!J470</f>
        <v>3.1050000000000004</v>
      </c>
      <c r="L660" s="253">
        <f>'CUOTA ARTESANAL'!K470</f>
        <v>2.5649999999999986</v>
      </c>
      <c r="M660" s="254">
        <f>'CUOTA ARTESANAL'!L470</f>
        <v>0.54761904761904778</v>
      </c>
      <c r="N660" s="240" t="str">
        <f>'CUOTA ARTESANAL'!M470</f>
        <v>-</v>
      </c>
      <c r="O660" s="241">
        <f>RESUMEN!$C$4</f>
        <v>44561</v>
      </c>
      <c r="P660" s="233">
        <v>2021</v>
      </c>
      <c r="Q660" s="233"/>
    </row>
    <row r="661" spans="1:17" ht="15.75" customHeight="1">
      <c r="A661" s="238" t="s">
        <v>51</v>
      </c>
      <c r="B661" s="238" t="s">
        <v>52</v>
      </c>
      <c r="C661" s="238" t="s">
        <v>72</v>
      </c>
      <c r="D661" s="243" t="s">
        <v>337</v>
      </c>
      <c r="E661" s="243" t="str">
        <f>+'CUOTA ARTESANAL'!E469</f>
        <v>WAL-PA VI (964547)</v>
      </c>
      <c r="F661" s="238" t="s">
        <v>54</v>
      </c>
      <c r="G661" s="238" t="s">
        <v>58</v>
      </c>
      <c r="H661" s="253">
        <f>'CUOTA ARTESANAL'!N469</f>
        <v>10.584</v>
      </c>
      <c r="I661" s="253">
        <f>'CUOTA ARTESANAL'!O469</f>
        <v>0</v>
      </c>
      <c r="J661" s="253">
        <f>'CUOTA ARTESANAL'!P469</f>
        <v>10.584</v>
      </c>
      <c r="K661" s="253">
        <f>'CUOTA ARTESANAL'!Q469</f>
        <v>8.0190000000000019</v>
      </c>
      <c r="L661" s="253">
        <f>'CUOTA ARTESANAL'!R469</f>
        <v>2.5649999999999977</v>
      </c>
      <c r="M661" s="254">
        <f>'CUOTA ARTESANAL'!S469</f>
        <v>0.75765306122449005</v>
      </c>
      <c r="N661" s="240" t="s">
        <v>218</v>
      </c>
      <c r="O661" s="241">
        <f>RESUMEN!$C$4</f>
        <v>44561</v>
      </c>
      <c r="P661" s="233">
        <v>2021</v>
      </c>
      <c r="Q661" s="233"/>
    </row>
    <row r="662" spans="1:17" ht="15.75" customHeight="1">
      <c r="A662" s="238" t="s">
        <v>51</v>
      </c>
      <c r="B662" s="238" t="s">
        <v>52</v>
      </c>
      <c r="C662" s="238" t="s">
        <v>72</v>
      </c>
      <c r="D662" s="243" t="s">
        <v>337</v>
      </c>
      <c r="E662" s="243" t="str">
        <f>+'CUOTA ARTESANAL'!E471</f>
        <v>YO SERGIO IV (967419)</v>
      </c>
      <c r="F662" s="238" t="s">
        <v>54</v>
      </c>
      <c r="G662" s="238" t="s">
        <v>56</v>
      </c>
      <c r="H662" s="253">
        <f>'CUOTA ARTESANAL'!G471</f>
        <v>5.2880000000000003</v>
      </c>
      <c r="I662" s="253">
        <f>'CUOTA ARTESANAL'!H471</f>
        <v>0</v>
      </c>
      <c r="J662" s="253">
        <f>'CUOTA ARTESANAL'!I471</f>
        <v>5.2880000000000003</v>
      </c>
      <c r="K662" s="253">
        <f>'CUOTA ARTESANAL'!J471</f>
        <v>5.1840000000000011</v>
      </c>
      <c r="L662" s="253">
        <f>'CUOTA ARTESANAL'!K471</f>
        <v>0.1039999999999992</v>
      </c>
      <c r="M662" s="254">
        <f>'CUOTA ARTESANAL'!L471</f>
        <v>0.98033282904689878</v>
      </c>
      <c r="N662" s="240" t="str">
        <f>'CUOTA ARTESANAL'!M471</f>
        <v>-</v>
      </c>
      <c r="O662" s="241">
        <f>RESUMEN!$C$4</f>
        <v>44561</v>
      </c>
      <c r="P662" s="233">
        <v>2021</v>
      </c>
      <c r="Q662" s="233"/>
    </row>
    <row r="663" spans="1:17" ht="15.75" customHeight="1">
      <c r="A663" s="238" t="s">
        <v>51</v>
      </c>
      <c r="B663" s="238" t="s">
        <v>52</v>
      </c>
      <c r="C663" s="238" t="s">
        <v>72</v>
      </c>
      <c r="D663" s="243" t="s">
        <v>337</v>
      </c>
      <c r="E663" s="243" t="str">
        <f>+'CUOTA ARTESANAL'!E471</f>
        <v>YO SERGIO IV (967419)</v>
      </c>
      <c r="F663" s="238" t="s">
        <v>57</v>
      </c>
      <c r="G663" s="238" t="s">
        <v>58</v>
      </c>
      <c r="H663" s="253">
        <f>'CUOTA ARTESANAL'!G472</f>
        <v>5.2880000000000003</v>
      </c>
      <c r="I663" s="253">
        <f>'CUOTA ARTESANAL'!H472</f>
        <v>0</v>
      </c>
      <c r="J663" s="253">
        <f>'CUOTA ARTESANAL'!I472</f>
        <v>5.3919999999999995</v>
      </c>
      <c r="K663" s="253">
        <f>'CUOTA ARTESANAL'!J472</f>
        <v>4.4279999999999999</v>
      </c>
      <c r="L663" s="253">
        <f>'CUOTA ARTESANAL'!K472</f>
        <v>0.96399999999999952</v>
      </c>
      <c r="M663" s="254">
        <f>'CUOTA ARTESANAL'!L472</f>
        <v>0.82121661721068251</v>
      </c>
      <c r="N663" s="240" t="str">
        <f>'CUOTA ARTESANAL'!M472</f>
        <v>-</v>
      </c>
      <c r="O663" s="241">
        <f>RESUMEN!$C$4</f>
        <v>44561</v>
      </c>
      <c r="P663" s="233">
        <v>2021</v>
      </c>
      <c r="Q663" s="233"/>
    </row>
    <row r="664" spans="1:17" ht="15.75" customHeight="1">
      <c r="A664" s="238" t="s">
        <v>51</v>
      </c>
      <c r="B664" s="238" t="s">
        <v>52</v>
      </c>
      <c r="C664" s="238" t="s">
        <v>72</v>
      </c>
      <c r="D664" s="243" t="s">
        <v>337</v>
      </c>
      <c r="E664" s="243" t="str">
        <f>+'CUOTA ARTESANAL'!E471</f>
        <v>YO SERGIO IV (967419)</v>
      </c>
      <c r="F664" s="238" t="s">
        <v>54</v>
      </c>
      <c r="G664" s="238" t="s">
        <v>58</v>
      </c>
      <c r="H664" s="253">
        <f>'CUOTA ARTESANAL'!N471</f>
        <v>10.576000000000001</v>
      </c>
      <c r="I664" s="253">
        <f>'CUOTA ARTESANAL'!O471</f>
        <v>0</v>
      </c>
      <c r="J664" s="253">
        <f>'CUOTA ARTESANAL'!P471</f>
        <v>10.576000000000001</v>
      </c>
      <c r="K664" s="253">
        <f>'CUOTA ARTESANAL'!Q471</f>
        <v>9.6120000000000019</v>
      </c>
      <c r="L664" s="253">
        <f>'CUOTA ARTESANAL'!R471</f>
        <v>0.96399999999999864</v>
      </c>
      <c r="M664" s="254">
        <f>'CUOTA ARTESANAL'!S471</f>
        <v>0.90885022692889572</v>
      </c>
      <c r="N664" s="240" t="s">
        <v>218</v>
      </c>
      <c r="O664" s="241">
        <f>RESUMEN!$C$4</f>
        <v>44561</v>
      </c>
      <c r="P664" s="233">
        <v>2021</v>
      </c>
      <c r="Q664" s="233"/>
    </row>
    <row r="665" spans="1:17" ht="15.75" customHeight="1">
      <c r="A665" s="238" t="s">
        <v>51</v>
      </c>
      <c r="B665" s="238" t="s">
        <v>52</v>
      </c>
      <c r="C665" s="238" t="s">
        <v>72</v>
      </c>
      <c r="D665" s="243" t="s">
        <v>337</v>
      </c>
      <c r="E665" s="243" t="str">
        <f>+'CUOTA ARTESANAL'!E473</f>
        <v>GERSON CHINO IV (967400)</v>
      </c>
      <c r="F665" s="238" t="s">
        <v>54</v>
      </c>
      <c r="G665" s="238" t="s">
        <v>56</v>
      </c>
      <c r="H665" s="253">
        <f>'CUOTA ARTESANAL'!G473</f>
        <v>7.9320000000000004</v>
      </c>
      <c r="I665" s="253">
        <f>'CUOTA ARTESANAL'!H473</f>
        <v>0</v>
      </c>
      <c r="J665" s="253">
        <f>'CUOTA ARTESANAL'!I473</f>
        <v>7.9320000000000004</v>
      </c>
      <c r="K665" s="253">
        <f>'CUOTA ARTESANAL'!J473</f>
        <v>5.7100000000000009</v>
      </c>
      <c r="L665" s="253">
        <f>'CUOTA ARTESANAL'!K473</f>
        <v>2.2219999999999995</v>
      </c>
      <c r="M665" s="254">
        <f>'CUOTA ARTESANAL'!L473</f>
        <v>0.71986888552697936</v>
      </c>
      <c r="N665" s="240" t="str">
        <f>'CUOTA ARTESANAL'!M473</f>
        <v>-</v>
      </c>
      <c r="O665" s="241">
        <f>RESUMEN!$C$4</f>
        <v>44561</v>
      </c>
      <c r="P665" s="233">
        <v>2021</v>
      </c>
      <c r="Q665" s="233"/>
    </row>
    <row r="666" spans="1:17" ht="15.75" customHeight="1">
      <c r="A666" s="238" t="s">
        <v>51</v>
      </c>
      <c r="B666" s="238" t="s">
        <v>52</v>
      </c>
      <c r="C666" s="238" t="s">
        <v>72</v>
      </c>
      <c r="D666" s="243" t="s">
        <v>337</v>
      </c>
      <c r="E666" s="243" t="str">
        <f>+'CUOTA ARTESANAL'!E473</f>
        <v>GERSON CHINO IV (967400)</v>
      </c>
      <c r="F666" s="238" t="s">
        <v>57</v>
      </c>
      <c r="G666" s="238" t="s">
        <v>58</v>
      </c>
      <c r="H666" s="253">
        <f>'CUOTA ARTESANAL'!G492</f>
        <v>21.155999999999999</v>
      </c>
      <c r="I666" s="253">
        <f>'CUOTA ARTESANAL'!H492</f>
        <v>0</v>
      </c>
      <c r="J666" s="253">
        <f>'CUOTA ARTESANAL'!I492</f>
        <v>22.948</v>
      </c>
      <c r="K666" s="253">
        <f>'CUOTA ARTESANAL'!J492</f>
        <v>8.7530000000000001</v>
      </c>
      <c r="L666" s="253">
        <f>'CUOTA ARTESANAL'!K492</f>
        <v>14.195</v>
      </c>
      <c r="M666" s="254">
        <f>'CUOTA ARTESANAL'!L492</f>
        <v>0.38142757538783334</v>
      </c>
      <c r="N666" s="240" t="str">
        <f>'CUOTA ARTESANAL'!M492</f>
        <v>-</v>
      </c>
      <c r="O666" s="241">
        <f>RESUMEN!$C$4</f>
        <v>44561</v>
      </c>
      <c r="P666" s="233">
        <v>2021</v>
      </c>
      <c r="Q666" s="233"/>
    </row>
    <row r="667" spans="1:17" ht="15.75" customHeight="1">
      <c r="A667" s="238" t="s">
        <v>51</v>
      </c>
      <c r="B667" s="238" t="s">
        <v>52</v>
      </c>
      <c r="C667" s="238" t="s">
        <v>72</v>
      </c>
      <c r="D667" s="243" t="s">
        <v>337</v>
      </c>
      <c r="E667" s="243" t="str">
        <f>+'CUOTA ARTESANAL'!E473</f>
        <v>GERSON CHINO IV (967400)</v>
      </c>
      <c r="F667" s="238" t="s">
        <v>54</v>
      </c>
      <c r="G667" s="238" t="s">
        <v>58</v>
      </c>
      <c r="H667" s="253">
        <f>'CUOTA ARTESANAL'!N473</f>
        <v>10.576000000000001</v>
      </c>
      <c r="I667" s="253">
        <f>'CUOTA ARTESANAL'!O473</f>
        <v>0</v>
      </c>
      <c r="J667" s="253">
        <f>'CUOTA ARTESANAL'!P473</f>
        <v>10.576000000000001</v>
      </c>
      <c r="K667" s="253">
        <f>'CUOTA ARTESANAL'!Q473</f>
        <v>9.6670000000000016</v>
      </c>
      <c r="L667" s="253">
        <f>'CUOTA ARTESANAL'!R473</f>
        <v>0.90899999999999892</v>
      </c>
      <c r="M667" s="254">
        <f>'CUOTA ARTESANAL'!S473</f>
        <v>0.91405068078668694</v>
      </c>
      <c r="N667" s="240" t="s">
        <v>218</v>
      </c>
      <c r="O667" s="241">
        <f>RESUMEN!$C$4</f>
        <v>44561</v>
      </c>
      <c r="P667" s="233">
        <v>2021</v>
      </c>
      <c r="Q667" s="233"/>
    </row>
    <row r="668" spans="1:17" s="280" customFormat="1" ht="15.75" customHeight="1">
      <c r="A668" s="230" t="s">
        <v>51</v>
      </c>
      <c r="B668" s="230" t="s">
        <v>52</v>
      </c>
      <c r="C668" s="230" t="s">
        <v>39</v>
      </c>
      <c r="D668" s="269" t="s">
        <v>83</v>
      </c>
      <c r="E668" s="269" t="s">
        <v>82</v>
      </c>
      <c r="F668" s="230" t="s">
        <v>54</v>
      </c>
      <c r="G668" s="230" t="s">
        <v>58</v>
      </c>
      <c r="H668" s="272">
        <f>RESUMEN!F12</f>
        <v>4014.5169999999871</v>
      </c>
      <c r="I668" s="272">
        <f>RESUMEN!G12</f>
        <v>427.57770000000005</v>
      </c>
      <c r="J668" s="272">
        <f>RESUMEN!H12</f>
        <v>4442.0946999999869</v>
      </c>
      <c r="K668" s="272">
        <f>RESUMEN!I12</f>
        <v>3453.567</v>
      </c>
      <c r="L668" s="272">
        <f>RESUMEN!J12</f>
        <v>988.52769999998691</v>
      </c>
      <c r="M668" s="273">
        <f>RESUMEN!K12</f>
        <v>0.77746361418184318</v>
      </c>
      <c r="N668" s="279" t="s">
        <v>218</v>
      </c>
      <c r="O668" s="232">
        <f>RESUMEN!$C$4</f>
        <v>44561</v>
      </c>
      <c r="P668" s="269">
        <v>2021</v>
      </c>
      <c r="Q668" s="269"/>
    </row>
    <row r="669" spans="1:17" ht="15.75" customHeight="1">
      <c r="A669" s="238" t="s">
        <v>51</v>
      </c>
      <c r="B669" s="238" t="s">
        <v>52</v>
      </c>
      <c r="C669" s="238" t="s">
        <v>73</v>
      </c>
      <c r="D669" s="238" t="s">
        <v>66</v>
      </c>
      <c r="E669" s="233" t="str">
        <f>+'CUOTA ARTESANAL'!E498</f>
        <v>STI PESCADORES ARTESANALES, ARMADORES, PATRONES Y TRIPULANTES DE LA PESCA ARTESANAL Y ACTIVIDADES CONEXAS DE LA CALETA COCHOLGÜE DE TOMÉ RSU 08.06.0106 (ROA 5128)</v>
      </c>
      <c r="F669" s="238" t="s">
        <v>54</v>
      </c>
      <c r="G669" s="238" t="s">
        <v>56</v>
      </c>
      <c r="H669" s="253">
        <f>'CUOTA ARTESANAL'!G498</f>
        <v>1072.1500000000001</v>
      </c>
      <c r="I669" s="253">
        <f>'CUOTA ARTESANAL'!H498</f>
        <v>0</v>
      </c>
      <c r="J669" s="253">
        <f>'CUOTA ARTESANAL'!I498</f>
        <v>1072.1500000000001</v>
      </c>
      <c r="K669" s="253">
        <f>'CUOTA ARTESANAL'!J498</f>
        <v>685.89</v>
      </c>
      <c r="L669" s="253">
        <f>'CUOTA ARTESANAL'!K498</f>
        <v>386.2600000000001</v>
      </c>
      <c r="M669" s="254">
        <f>'CUOTA ARTESANAL'!L498</f>
        <v>0.6397332462808375</v>
      </c>
      <c r="N669" s="240" t="str">
        <f>'CUOTA ARTESANAL'!M498</f>
        <v>-</v>
      </c>
      <c r="O669" s="241">
        <f>RESUMEN!$C$4</f>
        <v>44561</v>
      </c>
      <c r="P669" s="233">
        <v>2021</v>
      </c>
      <c r="Q669" s="233"/>
    </row>
    <row r="670" spans="1:17" ht="15.75" customHeight="1">
      <c r="A670" s="238" t="s">
        <v>51</v>
      </c>
      <c r="B670" s="238" t="s">
        <v>52</v>
      </c>
      <c r="C670" s="238" t="s">
        <v>73</v>
      </c>
      <c r="D670" s="238" t="s">
        <v>66</v>
      </c>
      <c r="E670" s="233" t="str">
        <f>+'CUOTA ARTESANAL'!E498</f>
        <v>STI PESCADORES ARTESANALES, ARMADORES, PATRONES Y TRIPULANTES DE LA PESCA ARTESANAL Y ACTIVIDADES CONEXAS DE LA CALETA COCHOLGÜE DE TOMÉ RSU 08.06.0106 (ROA 5128)</v>
      </c>
      <c r="F670" s="238" t="s">
        <v>57</v>
      </c>
      <c r="G670" s="238" t="s">
        <v>58</v>
      </c>
      <c r="H670" s="253">
        <f>'CUOTA ARTESANAL'!G499</f>
        <v>72.149999999999977</v>
      </c>
      <c r="I670" s="253">
        <f>'CUOTA ARTESANAL'!H499</f>
        <v>0</v>
      </c>
      <c r="J670" s="253">
        <f>'CUOTA ARTESANAL'!I499</f>
        <v>458.41000000000008</v>
      </c>
      <c r="K670" s="253">
        <f>'CUOTA ARTESANAL'!J499</f>
        <v>182.196</v>
      </c>
      <c r="L670" s="253">
        <f>'CUOTA ARTESANAL'!K499</f>
        <v>276.21400000000006</v>
      </c>
      <c r="M670" s="254">
        <f>'CUOTA ARTESANAL'!L499</f>
        <v>0.39745206256408011</v>
      </c>
      <c r="N670" s="240" t="str">
        <f>'CUOTA ARTESANAL'!M499</f>
        <v>-</v>
      </c>
      <c r="O670" s="241">
        <f>RESUMEN!$C$4</f>
        <v>44561</v>
      </c>
      <c r="P670" s="233">
        <v>2021</v>
      </c>
      <c r="Q670" s="233"/>
    </row>
    <row r="671" spans="1:17" ht="15.75" customHeight="1">
      <c r="A671" s="238" t="s">
        <v>51</v>
      </c>
      <c r="B671" s="238" t="s">
        <v>52</v>
      </c>
      <c r="C671" s="238" t="s">
        <v>73</v>
      </c>
      <c r="D671" s="238" t="s">
        <v>66</v>
      </c>
      <c r="E671" s="233" t="str">
        <f>+'CUOTA ARTESANAL'!E498</f>
        <v>STI PESCADORES ARTESANALES, ARMADORES, PATRONES Y TRIPULANTES DE LA PESCA ARTESANAL Y ACTIVIDADES CONEXAS DE LA CALETA COCHOLGÜE DE TOMÉ RSU 08.06.0106 (ROA 5128)</v>
      </c>
      <c r="F671" s="238" t="s">
        <v>54</v>
      </c>
      <c r="G671" s="238" t="s">
        <v>58</v>
      </c>
      <c r="H671" s="253">
        <f>'CUOTA ARTESANAL'!N498</f>
        <v>1144.3000000000002</v>
      </c>
      <c r="I671" s="253">
        <f>'CUOTA ARTESANAL'!O498</f>
        <v>0</v>
      </c>
      <c r="J671" s="253">
        <f>'CUOTA ARTESANAL'!P498</f>
        <v>1144.3000000000002</v>
      </c>
      <c r="K671" s="253">
        <f>'CUOTA ARTESANAL'!Q498</f>
        <v>868.08600000000001</v>
      </c>
      <c r="L671" s="253">
        <f>'CUOTA ARTESANAL'!R498</f>
        <v>276.21400000000017</v>
      </c>
      <c r="M671" s="254">
        <f>'CUOTA ARTESANAL'!S498</f>
        <v>0.75861749541204215</v>
      </c>
      <c r="N671" s="245" t="s">
        <v>218</v>
      </c>
      <c r="O671" s="241">
        <f>RESUMEN!$C$4</f>
        <v>44561</v>
      </c>
      <c r="P671" s="233">
        <v>2021</v>
      </c>
      <c r="Q671" s="233"/>
    </row>
    <row r="672" spans="1:17" ht="15.75" customHeight="1">
      <c r="A672" s="238" t="s">
        <v>51</v>
      </c>
      <c r="B672" s="238" t="s">
        <v>52</v>
      </c>
      <c r="C672" s="238" t="s">
        <v>73</v>
      </c>
      <c r="D672" s="238" t="s">
        <v>66</v>
      </c>
      <c r="E672" s="233" t="str">
        <f>+'CUOTA ARTESANAL'!E500</f>
        <v>STI PESCADORES ARTESANALES DE LA CALETA COCHOLGÜE RSU 08.06.0023 (ROA 5125)</v>
      </c>
      <c r="F672" s="238" t="s">
        <v>54</v>
      </c>
      <c r="G672" s="238" t="s">
        <v>56</v>
      </c>
      <c r="H672" s="253">
        <f>'CUOTA ARTESANAL'!G500</f>
        <v>34.264000000000003</v>
      </c>
      <c r="I672" s="253">
        <f>'CUOTA ARTESANAL'!H500</f>
        <v>0</v>
      </c>
      <c r="J672" s="253">
        <f>'CUOTA ARTESANAL'!I500</f>
        <v>34.264000000000003</v>
      </c>
      <c r="K672" s="253">
        <f>'CUOTA ARTESANAL'!J500</f>
        <v>12.734</v>
      </c>
      <c r="L672" s="253">
        <f>'CUOTA ARTESANAL'!K500</f>
        <v>21.53</v>
      </c>
      <c r="M672" s="254">
        <f>'CUOTA ARTESANAL'!L500</f>
        <v>0.3716437076815316</v>
      </c>
      <c r="N672" s="240" t="str">
        <f>'CUOTA ARTESANAL'!M500</f>
        <v>-</v>
      </c>
      <c r="O672" s="241">
        <f>RESUMEN!$C$4</f>
        <v>44561</v>
      </c>
      <c r="P672" s="233">
        <v>2021</v>
      </c>
      <c r="Q672" s="233"/>
    </row>
    <row r="673" spans="1:17" ht="15.75" customHeight="1">
      <c r="A673" s="238" t="s">
        <v>51</v>
      </c>
      <c r="B673" s="238" t="s">
        <v>52</v>
      </c>
      <c r="C673" s="238" t="s">
        <v>73</v>
      </c>
      <c r="D673" s="238" t="s">
        <v>66</v>
      </c>
      <c r="E673" s="233" t="str">
        <f>+'CUOTA ARTESANAL'!E500</f>
        <v>STI PESCADORES ARTESANALES DE LA CALETA COCHOLGÜE RSU 08.06.0023 (ROA 5125)</v>
      </c>
      <c r="F673" s="238" t="s">
        <v>57</v>
      </c>
      <c r="G673" s="238" t="s">
        <v>58</v>
      </c>
      <c r="H673" s="253">
        <f>'CUOTA ARTESANAL'!G501</f>
        <v>34.264000000000003</v>
      </c>
      <c r="I673" s="253">
        <f>'CUOTA ARTESANAL'!H501</f>
        <v>0</v>
      </c>
      <c r="J673" s="253">
        <f>'CUOTA ARTESANAL'!I501</f>
        <v>55.794000000000004</v>
      </c>
      <c r="K673" s="253">
        <f>'CUOTA ARTESANAL'!J501</f>
        <v>6.4349999999999996</v>
      </c>
      <c r="L673" s="253">
        <f>'CUOTA ARTESANAL'!K501</f>
        <v>49.359000000000002</v>
      </c>
      <c r="M673" s="254">
        <f>'CUOTA ARTESANAL'!L501</f>
        <v>0.11533498225615656</v>
      </c>
      <c r="N673" s="240" t="str">
        <f>'CUOTA ARTESANAL'!M501</f>
        <v>-</v>
      </c>
      <c r="O673" s="241">
        <f>RESUMEN!$C$4</f>
        <v>44561</v>
      </c>
      <c r="P673" s="233">
        <v>2021</v>
      </c>
      <c r="Q673" s="233"/>
    </row>
    <row r="674" spans="1:17" ht="15.75" customHeight="1">
      <c r="A674" s="238" t="s">
        <v>51</v>
      </c>
      <c r="B674" s="238" t="s">
        <v>52</v>
      </c>
      <c r="C674" s="238" t="s">
        <v>73</v>
      </c>
      <c r="D674" s="238" t="s">
        <v>66</v>
      </c>
      <c r="E674" s="233" t="str">
        <f>+'CUOTA ARTESANAL'!E500</f>
        <v>STI PESCADORES ARTESANALES DE LA CALETA COCHOLGÜE RSU 08.06.0023 (ROA 5125)</v>
      </c>
      <c r="F674" s="238" t="s">
        <v>54</v>
      </c>
      <c r="G674" s="238" t="s">
        <v>58</v>
      </c>
      <c r="H674" s="253">
        <f>'CUOTA ARTESANAL'!N500</f>
        <v>68.528000000000006</v>
      </c>
      <c r="I674" s="253">
        <f>'CUOTA ARTESANAL'!O500</f>
        <v>0</v>
      </c>
      <c r="J674" s="253">
        <f>'CUOTA ARTESANAL'!P500</f>
        <v>68.528000000000006</v>
      </c>
      <c r="K674" s="253">
        <f>'CUOTA ARTESANAL'!Q500</f>
        <v>19.169</v>
      </c>
      <c r="L674" s="253">
        <f>'CUOTA ARTESANAL'!R500</f>
        <v>49.359000000000009</v>
      </c>
      <c r="M674" s="254">
        <f>'CUOTA ARTESANAL'!S500</f>
        <v>0.27972507588139151</v>
      </c>
      <c r="N674" s="245" t="s">
        <v>218</v>
      </c>
      <c r="O674" s="241">
        <f>RESUMEN!$C$4</f>
        <v>44561</v>
      </c>
      <c r="P674" s="233">
        <v>2021</v>
      </c>
      <c r="Q674" s="233"/>
    </row>
    <row r="675" spans="1:17" ht="15.75" customHeight="1">
      <c r="A675" s="238" t="s">
        <v>51</v>
      </c>
      <c r="B675" s="238" t="s">
        <v>52</v>
      </c>
      <c r="C675" s="238" t="s">
        <v>73</v>
      </c>
      <c r="D675" s="238" t="s">
        <v>66</v>
      </c>
      <c r="E675" s="233" t="str">
        <f>+'CUOTA ARTESANAL'!E502</f>
        <v>STI PESCADORES ARTESANALES DE CALETA COLIUMO RSU 08.06.0027 (ROA 1037)</v>
      </c>
      <c r="F675" s="238" t="s">
        <v>54</v>
      </c>
      <c r="G675" s="238" t="s">
        <v>56</v>
      </c>
      <c r="H675" s="253">
        <f>'CUOTA ARTESANAL'!G502</f>
        <v>81.049000000000007</v>
      </c>
      <c r="I675" s="253">
        <f>'CUOTA ARTESANAL'!H502</f>
        <v>0</v>
      </c>
      <c r="J675" s="253">
        <f>'CUOTA ARTESANAL'!I502</f>
        <v>81.049000000000007</v>
      </c>
      <c r="K675" s="253">
        <f>'CUOTA ARTESANAL'!J502</f>
        <v>61.656999999999996</v>
      </c>
      <c r="L675" s="253">
        <f>'CUOTA ARTESANAL'!K502</f>
        <v>19.39200000000001</v>
      </c>
      <c r="M675" s="254">
        <f>'CUOTA ARTESANAL'!L502</f>
        <v>0.76073733173759073</v>
      </c>
      <c r="N675" s="245" t="str">
        <f>'CUOTA ARTESANAL'!M502</f>
        <v>-</v>
      </c>
      <c r="O675" s="241">
        <f>RESUMEN!$C$4</f>
        <v>44561</v>
      </c>
      <c r="P675" s="233">
        <v>2021</v>
      </c>
      <c r="Q675" s="233"/>
    </row>
    <row r="676" spans="1:17" ht="15.75" customHeight="1">
      <c r="A676" s="238" t="s">
        <v>51</v>
      </c>
      <c r="B676" s="238" t="s">
        <v>52</v>
      </c>
      <c r="C676" s="238" t="s">
        <v>73</v>
      </c>
      <c r="D676" s="238" t="s">
        <v>66</v>
      </c>
      <c r="E676" s="233" t="str">
        <f>+'CUOTA ARTESANAL'!E502</f>
        <v>STI PESCADORES ARTESANALES DE CALETA COLIUMO RSU 08.06.0027 (ROA 1037)</v>
      </c>
      <c r="F676" s="238" t="s">
        <v>57</v>
      </c>
      <c r="G676" s="238" t="s">
        <v>58</v>
      </c>
      <c r="H676" s="253">
        <f>'CUOTA ARTESANAL'!G503</f>
        <v>81.049000000000007</v>
      </c>
      <c r="I676" s="253">
        <f>'CUOTA ARTESANAL'!H503</f>
        <v>0</v>
      </c>
      <c r="J676" s="253">
        <f>'CUOTA ARTESANAL'!I503</f>
        <v>100.44100000000002</v>
      </c>
      <c r="K676" s="253">
        <f>'CUOTA ARTESANAL'!J503</f>
        <v>7.5880000000000001</v>
      </c>
      <c r="L676" s="253">
        <f>'CUOTA ARTESANAL'!K503</f>
        <v>92.853000000000023</v>
      </c>
      <c r="M676" s="254">
        <f>'CUOTA ARTESANAL'!L503</f>
        <v>7.5546838442468706E-2</v>
      </c>
      <c r="N676" s="245" t="str">
        <f>'CUOTA ARTESANAL'!M503</f>
        <v>-</v>
      </c>
      <c r="O676" s="241">
        <f>RESUMEN!$C$4</f>
        <v>44561</v>
      </c>
      <c r="P676" s="233">
        <v>2021</v>
      </c>
      <c r="Q676" s="233"/>
    </row>
    <row r="677" spans="1:17" ht="15.75" customHeight="1">
      <c r="A677" s="238" t="s">
        <v>51</v>
      </c>
      <c r="B677" s="238" t="s">
        <v>52</v>
      </c>
      <c r="C677" s="238" t="s">
        <v>73</v>
      </c>
      <c r="D677" s="238" t="s">
        <v>66</v>
      </c>
      <c r="E677" s="233" t="str">
        <f>+'CUOTA ARTESANAL'!E502</f>
        <v>STI PESCADORES ARTESANALES DE CALETA COLIUMO RSU 08.06.0027 (ROA 1037)</v>
      </c>
      <c r="F677" s="238" t="s">
        <v>54</v>
      </c>
      <c r="G677" s="238" t="s">
        <v>58</v>
      </c>
      <c r="H677" s="253">
        <f>'CUOTA ARTESANAL'!N502</f>
        <v>162.09800000000001</v>
      </c>
      <c r="I677" s="253">
        <f>'CUOTA ARTESANAL'!O502</f>
        <v>0</v>
      </c>
      <c r="J677" s="253">
        <f>'CUOTA ARTESANAL'!P502</f>
        <v>162.09800000000001</v>
      </c>
      <c r="K677" s="253">
        <f>'CUOTA ARTESANAL'!Q502</f>
        <v>69.24499999999999</v>
      </c>
      <c r="L677" s="253">
        <f>'CUOTA ARTESANAL'!R502</f>
        <v>92.853000000000023</v>
      </c>
      <c r="M677" s="254">
        <f>'CUOTA ARTESANAL'!S502</f>
        <v>0.42717985416229681</v>
      </c>
      <c r="N677" s="245" t="s">
        <v>218</v>
      </c>
      <c r="O677" s="241">
        <f>RESUMEN!$C$4</f>
        <v>44561</v>
      </c>
      <c r="P677" s="233">
        <v>2021</v>
      </c>
      <c r="Q677" s="233"/>
    </row>
    <row r="678" spans="1:17" ht="15.75" customHeight="1">
      <c r="A678" s="238" t="s">
        <v>51</v>
      </c>
      <c r="B678" s="238" t="s">
        <v>52</v>
      </c>
      <c r="C678" s="238" t="s">
        <v>73</v>
      </c>
      <c r="D678" s="238" t="s">
        <v>66</v>
      </c>
      <c r="E678" s="233" t="str">
        <f>+'CUOTA ARTESANAL'!E504</f>
        <v>STI DEL MAR Y ACUICULTORES DE LA PESCA ARTESANAL CALETA DICHATO RSU 08.06.0030 (ROA 1001)</v>
      </c>
      <c r="F678" s="238" t="s">
        <v>54</v>
      </c>
      <c r="G678" s="238" t="s">
        <v>56</v>
      </c>
      <c r="H678" s="253">
        <f>'CUOTA ARTESANAL'!G504</f>
        <v>16.288</v>
      </c>
      <c r="I678" s="253">
        <f>'CUOTA ARTESANAL'!H504</f>
        <v>0</v>
      </c>
      <c r="J678" s="253">
        <f>'CUOTA ARTESANAL'!I504</f>
        <v>16.288</v>
      </c>
      <c r="K678" s="253">
        <f>'CUOTA ARTESANAL'!J504</f>
        <v>14.294</v>
      </c>
      <c r="L678" s="253">
        <f>'CUOTA ARTESANAL'!K504</f>
        <v>1.9939999999999998</v>
      </c>
      <c r="M678" s="254">
        <f>'CUOTA ARTESANAL'!L504</f>
        <v>0.87757858546168965</v>
      </c>
      <c r="N678" s="245" t="str">
        <f>'CUOTA ARTESANAL'!M504</f>
        <v>-</v>
      </c>
      <c r="O678" s="241">
        <f>RESUMEN!$C$4</f>
        <v>44561</v>
      </c>
      <c r="P678" s="233">
        <v>2021</v>
      </c>
      <c r="Q678" s="233"/>
    </row>
    <row r="679" spans="1:17" ht="15.75" customHeight="1">
      <c r="A679" s="238" t="s">
        <v>51</v>
      </c>
      <c r="B679" s="238" t="s">
        <v>52</v>
      </c>
      <c r="C679" s="238" t="s">
        <v>73</v>
      </c>
      <c r="D679" s="238" t="s">
        <v>66</v>
      </c>
      <c r="E679" s="233" t="str">
        <f>+'CUOTA ARTESANAL'!E504</f>
        <v>STI DEL MAR Y ACUICULTORES DE LA PESCA ARTESANAL CALETA DICHATO RSU 08.06.0030 (ROA 1001)</v>
      </c>
      <c r="F679" s="238" t="s">
        <v>57</v>
      </c>
      <c r="G679" s="238" t="s">
        <v>58</v>
      </c>
      <c r="H679" s="253">
        <f>'CUOTA ARTESANAL'!G505</f>
        <v>16.288</v>
      </c>
      <c r="I679" s="253">
        <f>'CUOTA ARTESANAL'!H505</f>
        <v>0</v>
      </c>
      <c r="J679" s="253">
        <f>'CUOTA ARTESANAL'!I505</f>
        <v>18.282</v>
      </c>
      <c r="K679" s="253">
        <f>'CUOTA ARTESANAL'!J505</f>
        <v>0.8</v>
      </c>
      <c r="L679" s="253">
        <f>'CUOTA ARTESANAL'!K505</f>
        <v>17.481999999999999</v>
      </c>
      <c r="M679" s="254">
        <f>'CUOTA ARTESANAL'!L505</f>
        <v>4.3758888524231487E-2</v>
      </c>
      <c r="N679" s="245" t="str">
        <f>'CUOTA ARTESANAL'!M505</f>
        <v>-</v>
      </c>
      <c r="O679" s="241">
        <f>RESUMEN!$C$4</f>
        <v>44561</v>
      </c>
      <c r="P679" s="233">
        <v>2021</v>
      </c>
      <c r="Q679" s="233"/>
    </row>
    <row r="680" spans="1:17" ht="15.75" customHeight="1">
      <c r="A680" s="238" t="s">
        <v>51</v>
      </c>
      <c r="B680" s="238" t="s">
        <v>52</v>
      </c>
      <c r="C680" s="238" t="s">
        <v>73</v>
      </c>
      <c r="D680" s="238" t="s">
        <v>66</v>
      </c>
      <c r="E680" s="233" t="str">
        <f>+'CUOTA ARTESANAL'!E504</f>
        <v>STI DEL MAR Y ACUICULTORES DE LA PESCA ARTESANAL CALETA DICHATO RSU 08.06.0030 (ROA 1001)</v>
      </c>
      <c r="F680" s="238" t="s">
        <v>54</v>
      </c>
      <c r="G680" s="238" t="s">
        <v>58</v>
      </c>
      <c r="H680" s="253">
        <f>'CUOTA ARTESANAL'!N504</f>
        <v>32.576000000000001</v>
      </c>
      <c r="I680" s="253">
        <f>'CUOTA ARTESANAL'!O504</f>
        <v>0</v>
      </c>
      <c r="J680" s="253">
        <f>'CUOTA ARTESANAL'!P504</f>
        <v>32.576000000000001</v>
      </c>
      <c r="K680" s="253">
        <f>'CUOTA ARTESANAL'!Q504</f>
        <v>15.094000000000001</v>
      </c>
      <c r="L680" s="253">
        <f>'CUOTA ARTESANAL'!R504</f>
        <v>17.481999999999999</v>
      </c>
      <c r="M680" s="254">
        <f>'CUOTA ARTESANAL'!S504</f>
        <v>0.46334724950884087</v>
      </c>
      <c r="N680" s="245" t="s">
        <v>218</v>
      </c>
      <c r="O680" s="241">
        <f>RESUMEN!$C$4</f>
        <v>44561</v>
      </c>
      <c r="P680" s="233">
        <v>2021</v>
      </c>
      <c r="Q680" s="233"/>
    </row>
    <row r="681" spans="1:17" ht="15.75" customHeight="1">
      <c r="A681" s="238" t="s">
        <v>51</v>
      </c>
      <c r="B681" s="238" t="s">
        <v>52</v>
      </c>
      <c r="C681" s="238" t="s">
        <v>73</v>
      </c>
      <c r="D681" s="238" t="s">
        <v>66</v>
      </c>
      <c r="E681" s="233" t="str">
        <f>+'CUOTA ARTESANAL'!E506</f>
        <v>STI PESCADORES ARTESANALES, ARMADORES Y ACTIVIDADES CONEXAS DE TOMÉ LOS BAGRES RSU 08.06.0024 (ROA 5141)</v>
      </c>
      <c r="F681" s="238" t="s">
        <v>54</v>
      </c>
      <c r="G681" s="238" t="s">
        <v>56</v>
      </c>
      <c r="H681" s="253">
        <f>'CUOTA ARTESANAL'!G506</f>
        <v>75.966999999999999</v>
      </c>
      <c r="I681" s="253">
        <f>'CUOTA ARTESANAL'!H506</f>
        <v>0</v>
      </c>
      <c r="J681" s="253">
        <f>'CUOTA ARTESANAL'!I506</f>
        <v>75.966999999999999</v>
      </c>
      <c r="K681" s="253">
        <f>'CUOTA ARTESANAL'!J506</f>
        <v>45.844000000000001</v>
      </c>
      <c r="L681" s="253">
        <f>'CUOTA ARTESANAL'!K506</f>
        <v>30.122999999999998</v>
      </c>
      <c r="M681" s="254">
        <f>'CUOTA ARTESANAL'!L506</f>
        <v>0.60347256045388131</v>
      </c>
      <c r="N681" s="245" t="str">
        <f>'CUOTA ARTESANAL'!M506</f>
        <v>-</v>
      </c>
      <c r="O681" s="241">
        <f>RESUMEN!$C$4</f>
        <v>44561</v>
      </c>
      <c r="P681" s="233">
        <v>2021</v>
      </c>
      <c r="Q681" s="233"/>
    </row>
    <row r="682" spans="1:17" ht="15.75" customHeight="1">
      <c r="A682" s="238" t="s">
        <v>51</v>
      </c>
      <c r="B682" s="238" t="s">
        <v>52</v>
      </c>
      <c r="C682" s="238" t="s">
        <v>73</v>
      </c>
      <c r="D682" s="238" t="s">
        <v>66</v>
      </c>
      <c r="E682" s="233" t="str">
        <f>+'CUOTA ARTESANAL'!E506</f>
        <v>STI PESCADORES ARTESANALES, ARMADORES Y ACTIVIDADES CONEXAS DE TOMÉ LOS BAGRES RSU 08.06.0024 (ROA 5141)</v>
      </c>
      <c r="F682" s="238" t="s">
        <v>57</v>
      </c>
      <c r="G682" s="238" t="s">
        <v>58</v>
      </c>
      <c r="H682" s="253">
        <f>'CUOTA ARTESANAL'!G507</f>
        <v>15.966999999999999</v>
      </c>
      <c r="I682" s="253">
        <f>'CUOTA ARTESANAL'!H507</f>
        <v>0</v>
      </c>
      <c r="J682" s="253">
        <f>'CUOTA ARTESANAL'!I507</f>
        <v>46.089999999999996</v>
      </c>
      <c r="K682" s="253">
        <f>'CUOTA ARTESANAL'!J507</f>
        <v>13.571999999999999</v>
      </c>
      <c r="L682" s="253">
        <f>'CUOTA ARTESANAL'!K507</f>
        <v>32.518000000000001</v>
      </c>
      <c r="M682" s="254">
        <f>'CUOTA ARTESANAL'!L507</f>
        <v>0.2944673464959861</v>
      </c>
      <c r="N682" s="245" t="str">
        <f>'CUOTA ARTESANAL'!M507</f>
        <v>-</v>
      </c>
      <c r="O682" s="241">
        <f>RESUMEN!$C$4</f>
        <v>44561</v>
      </c>
      <c r="P682" s="233">
        <v>2021</v>
      </c>
      <c r="Q682" s="233"/>
    </row>
    <row r="683" spans="1:17" ht="15.75" customHeight="1">
      <c r="A683" s="238" t="s">
        <v>51</v>
      </c>
      <c r="B683" s="238" t="s">
        <v>52</v>
      </c>
      <c r="C683" s="238" t="s">
        <v>73</v>
      </c>
      <c r="D683" s="238" t="s">
        <v>66</v>
      </c>
      <c r="E683" s="233" t="str">
        <f>+'CUOTA ARTESANAL'!E506</f>
        <v>STI PESCADORES ARTESANALES, ARMADORES Y ACTIVIDADES CONEXAS DE TOMÉ LOS BAGRES RSU 08.06.0024 (ROA 5141)</v>
      </c>
      <c r="F683" s="238" t="s">
        <v>54</v>
      </c>
      <c r="G683" s="238" t="s">
        <v>58</v>
      </c>
      <c r="H683" s="253">
        <f>'CUOTA ARTESANAL'!N506</f>
        <v>91.933999999999997</v>
      </c>
      <c r="I683" s="253">
        <f>'CUOTA ARTESANAL'!O506</f>
        <v>0</v>
      </c>
      <c r="J683" s="253">
        <f>'CUOTA ARTESANAL'!P506</f>
        <v>91.933999999999997</v>
      </c>
      <c r="K683" s="253">
        <f>'CUOTA ARTESANAL'!Q506</f>
        <v>59.415999999999997</v>
      </c>
      <c r="L683" s="253">
        <f>'CUOTA ARTESANAL'!R506</f>
        <v>32.518000000000001</v>
      </c>
      <c r="M683" s="254">
        <f>'CUOTA ARTESANAL'!S506</f>
        <v>0.64628972958861786</v>
      </c>
      <c r="N683" s="245" t="s">
        <v>218</v>
      </c>
      <c r="O683" s="241">
        <f>RESUMEN!$C$4</f>
        <v>44561</v>
      </c>
      <c r="P683" s="233">
        <v>2021</v>
      </c>
      <c r="Q683" s="233"/>
    </row>
    <row r="684" spans="1:17" ht="15.75" customHeight="1">
      <c r="A684" s="238" t="s">
        <v>51</v>
      </c>
      <c r="B684" s="238" t="s">
        <v>52</v>
      </c>
      <c r="C684" s="238" t="s">
        <v>73</v>
      </c>
      <c r="D684" s="238" t="s">
        <v>66</v>
      </c>
      <c r="E684" s="243" t="str">
        <f>+'CUOTA ARTESANAL'!E508</f>
        <v>STI TRIPULANTES Y ARMADORES DE BOTES, PESCADORES ARTESANALES ALGUEROS, MARISCADORES Y ACTIVIDADES CONEXAS DE LA CALETA TUMBES DE LA COMUNA DE TALCACHUANO  RSU 08.05.0495 (ROA 5222)</v>
      </c>
      <c r="F684" s="238" t="s">
        <v>54</v>
      </c>
      <c r="G684" s="238" t="s">
        <v>56</v>
      </c>
      <c r="H684" s="253">
        <f>'CUOTA ARTESANAL'!G508</f>
        <v>30.893000000000001</v>
      </c>
      <c r="I684" s="253">
        <f>'CUOTA ARTESANAL'!H508</f>
        <v>-13</v>
      </c>
      <c r="J684" s="253">
        <f>'CUOTA ARTESANAL'!I508</f>
        <v>17.893000000000001</v>
      </c>
      <c r="K684" s="253">
        <f>'CUOTA ARTESANAL'!J508</f>
        <v>10.722</v>
      </c>
      <c r="L684" s="253">
        <f>'CUOTA ARTESANAL'!K508</f>
        <v>7.1710000000000012</v>
      </c>
      <c r="M684" s="254">
        <f>'CUOTA ARTESANAL'!L508</f>
        <v>0.59922874867266529</v>
      </c>
      <c r="N684" s="245" t="str">
        <f>'CUOTA ARTESANAL'!M508</f>
        <v>-</v>
      </c>
      <c r="O684" s="241">
        <f>RESUMEN!$C$4</f>
        <v>44561</v>
      </c>
      <c r="P684" s="233">
        <v>2021</v>
      </c>
      <c r="Q684" s="233"/>
    </row>
    <row r="685" spans="1:17" ht="15.75" customHeight="1">
      <c r="A685" s="238" t="s">
        <v>51</v>
      </c>
      <c r="B685" s="238" t="s">
        <v>52</v>
      </c>
      <c r="C685" s="238" t="s">
        <v>73</v>
      </c>
      <c r="D685" s="238" t="s">
        <v>66</v>
      </c>
      <c r="E685" s="243" t="str">
        <f>+'CUOTA ARTESANAL'!E508</f>
        <v>STI TRIPULANTES Y ARMADORES DE BOTES, PESCADORES ARTESANALES ALGUEROS, MARISCADORES Y ACTIVIDADES CONEXAS DE LA CALETA TUMBES DE LA COMUNA DE TALCACHUANO  RSU 08.05.0495 (ROA 5222)</v>
      </c>
      <c r="F685" s="238" t="s">
        <v>57</v>
      </c>
      <c r="G685" s="238" t="s">
        <v>58</v>
      </c>
      <c r="H685" s="253">
        <f>'CUOTA ARTESANAL'!G509</f>
        <v>30.893000000000001</v>
      </c>
      <c r="I685" s="253">
        <f>'CUOTA ARTESANAL'!H509</f>
        <v>-8.1199999999999992</v>
      </c>
      <c r="J685" s="253">
        <f>'CUOTA ARTESANAL'!I509</f>
        <v>29.944000000000003</v>
      </c>
      <c r="K685" s="253">
        <f>'CUOTA ARTESANAL'!J509</f>
        <v>7.3550000000000004</v>
      </c>
      <c r="L685" s="253">
        <f>'CUOTA ARTESANAL'!K509</f>
        <v>22.589000000000002</v>
      </c>
      <c r="M685" s="254">
        <f>'CUOTA ARTESANAL'!L509</f>
        <v>0.24562516697835959</v>
      </c>
      <c r="N685" s="245" t="str">
        <f>'CUOTA ARTESANAL'!M509</f>
        <v>-</v>
      </c>
      <c r="O685" s="241">
        <f>RESUMEN!$C$4</f>
        <v>44561</v>
      </c>
      <c r="P685" s="233">
        <v>2021</v>
      </c>
      <c r="Q685" s="233"/>
    </row>
    <row r="686" spans="1:17" ht="15.75" customHeight="1">
      <c r="A686" s="238" t="s">
        <v>51</v>
      </c>
      <c r="B686" s="238" t="s">
        <v>52</v>
      </c>
      <c r="C686" s="238" t="s">
        <v>73</v>
      </c>
      <c r="D686" s="238" t="s">
        <v>66</v>
      </c>
      <c r="E686" s="243" t="str">
        <f>+'CUOTA ARTESANAL'!E508</f>
        <v>STI TRIPULANTES Y ARMADORES DE BOTES, PESCADORES ARTESANALES ALGUEROS, MARISCADORES Y ACTIVIDADES CONEXAS DE LA CALETA TUMBES DE LA COMUNA DE TALCACHUANO  RSU 08.05.0495 (ROA 5222)</v>
      </c>
      <c r="F686" s="238" t="s">
        <v>54</v>
      </c>
      <c r="G686" s="238" t="s">
        <v>58</v>
      </c>
      <c r="H686" s="253">
        <f>'CUOTA ARTESANAL'!N508</f>
        <v>61.786000000000001</v>
      </c>
      <c r="I686" s="253">
        <f>'CUOTA ARTESANAL'!O508</f>
        <v>-21.119999999999997</v>
      </c>
      <c r="J686" s="253">
        <f>'CUOTA ARTESANAL'!P508</f>
        <v>40.666000000000004</v>
      </c>
      <c r="K686" s="253">
        <f>'CUOTA ARTESANAL'!Q508</f>
        <v>18.076999999999998</v>
      </c>
      <c r="L686" s="253">
        <f>'CUOTA ARTESANAL'!R508</f>
        <v>22.589000000000006</v>
      </c>
      <c r="M686" s="254">
        <f>'CUOTA ARTESANAL'!S508</f>
        <v>0.44452368071607723</v>
      </c>
      <c r="N686" s="245" t="s">
        <v>218</v>
      </c>
      <c r="O686" s="241">
        <f>RESUMEN!$C$4</f>
        <v>44561</v>
      </c>
      <c r="P686" s="233">
        <v>2021</v>
      </c>
      <c r="Q686" s="233"/>
    </row>
    <row r="687" spans="1:17" ht="15.75" customHeight="1">
      <c r="A687" s="238" t="s">
        <v>51</v>
      </c>
      <c r="B687" s="238" t="s">
        <v>52</v>
      </c>
      <c r="C687" s="238" t="s">
        <v>73</v>
      </c>
      <c r="D687" s="238" t="s">
        <v>66</v>
      </c>
      <c r="E687" s="233" t="str">
        <f>+'CUOTA ARTESANAL'!E510</f>
        <v>STI PESCADORES ARTESANALES HISTÓRICOS DE TALCAHUANO SPARHITAL  RSU 08.05.0382 (ROA 1633)</v>
      </c>
      <c r="F687" s="238" t="s">
        <v>54</v>
      </c>
      <c r="G687" s="238" t="s">
        <v>56</v>
      </c>
      <c r="H687" s="253">
        <f>'CUOTA ARTESANAL'!G510</f>
        <v>17.614999999999998</v>
      </c>
      <c r="I687" s="253">
        <f>'CUOTA ARTESANAL'!H510</f>
        <v>0</v>
      </c>
      <c r="J687" s="253">
        <f>'CUOTA ARTESANAL'!I510</f>
        <v>17.614999999999998</v>
      </c>
      <c r="K687" s="253">
        <f>'CUOTA ARTESANAL'!J510</f>
        <v>0</v>
      </c>
      <c r="L687" s="253">
        <f>'CUOTA ARTESANAL'!K510</f>
        <v>17.614999999999998</v>
      </c>
      <c r="M687" s="254">
        <f>'CUOTA ARTESANAL'!L510</f>
        <v>0</v>
      </c>
      <c r="N687" s="245" t="str">
        <f>'CUOTA ARTESANAL'!M510</f>
        <v>-</v>
      </c>
      <c r="O687" s="241">
        <f>RESUMEN!$C$4</f>
        <v>44561</v>
      </c>
      <c r="P687" s="233">
        <v>2021</v>
      </c>
      <c r="Q687" s="233"/>
    </row>
    <row r="688" spans="1:17" ht="15.75" customHeight="1">
      <c r="A688" s="238" t="s">
        <v>51</v>
      </c>
      <c r="B688" s="238" t="s">
        <v>52</v>
      </c>
      <c r="C688" s="238" t="s">
        <v>73</v>
      </c>
      <c r="D688" s="238" t="s">
        <v>66</v>
      </c>
      <c r="E688" s="233" t="str">
        <f>+'CUOTA ARTESANAL'!E510</f>
        <v>STI PESCADORES ARTESANALES HISTÓRICOS DE TALCAHUANO SPARHITAL  RSU 08.05.0382 (ROA 1633)</v>
      </c>
      <c r="F688" s="238" t="s">
        <v>57</v>
      </c>
      <c r="G688" s="238" t="s">
        <v>58</v>
      </c>
      <c r="H688" s="253">
        <f>'CUOTA ARTESANAL'!G511</f>
        <v>17.614999999999998</v>
      </c>
      <c r="I688" s="253">
        <f>'CUOTA ARTESANAL'!H511</f>
        <v>-35</v>
      </c>
      <c r="J688" s="253">
        <f>'CUOTA ARTESANAL'!I511</f>
        <v>0.22999999999999687</v>
      </c>
      <c r="K688" s="253">
        <f>'CUOTA ARTESANAL'!J511</f>
        <v>0</v>
      </c>
      <c r="L688" s="253">
        <f>'CUOTA ARTESANAL'!K511</f>
        <v>0.22999999999999687</v>
      </c>
      <c r="M688" s="254">
        <f>'CUOTA ARTESANAL'!L511</f>
        <v>0</v>
      </c>
      <c r="N688" s="245">
        <f>'CUOTA ARTESANAL'!M511</f>
        <v>44470</v>
      </c>
      <c r="O688" s="241">
        <f>RESUMEN!$C$4</f>
        <v>44561</v>
      </c>
      <c r="P688" s="233">
        <v>2021</v>
      </c>
      <c r="Q688" s="233"/>
    </row>
    <row r="689" spans="1:17" ht="15.75" customHeight="1">
      <c r="A689" s="238" t="s">
        <v>51</v>
      </c>
      <c r="B689" s="238" t="s">
        <v>52</v>
      </c>
      <c r="C689" s="238" t="s">
        <v>73</v>
      </c>
      <c r="D689" s="238" t="s">
        <v>66</v>
      </c>
      <c r="E689" s="233" t="str">
        <f>+'CUOTA ARTESANAL'!E510</f>
        <v>STI PESCADORES ARTESANALES HISTÓRICOS DE TALCAHUANO SPARHITAL  RSU 08.05.0382 (ROA 1633)</v>
      </c>
      <c r="F689" s="238" t="s">
        <v>54</v>
      </c>
      <c r="G689" s="238" t="s">
        <v>58</v>
      </c>
      <c r="H689" s="253">
        <f>'CUOTA ARTESANAL'!N510</f>
        <v>35.229999999999997</v>
      </c>
      <c r="I689" s="253">
        <f>'CUOTA ARTESANAL'!O510</f>
        <v>-35</v>
      </c>
      <c r="J689" s="253">
        <f>'CUOTA ARTESANAL'!P510</f>
        <v>0.22999999999999687</v>
      </c>
      <c r="K689" s="253">
        <f>'CUOTA ARTESANAL'!Q510</f>
        <v>0</v>
      </c>
      <c r="L689" s="253">
        <f>'CUOTA ARTESANAL'!R510</f>
        <v>0.22999999999999687</v>
      </c>
      <c r="M689" s="254">
        <f>'CUOTA ARTESANAL'!S510</f>
        <v>0</v>
      </c>
      <c r="N689" s="245" t="s">
        <v>218</v>
      </c>
      <c r="O689" s="241">
        <f>RESUMEN!$C$4</f>
        <v>44561</v>
      </c>
      <c r="P689" s="233">
        <v>2021</v>
      </c>
      <c r="Q689" s="233"/>
    </row>
    <row r="690" spans="1:17" ht="15.75" customHeight="1">
      <c r="A690" s="238" t="s">
        <v>51</v>
      </c>
      <c r="B690" s="238" t="s">
        <v>52</v>
      </c>
      <c r="C690" s="238" t="s">
        <v>73</v>
      </c>
      <c r="D690" s="238" t="s">
        <v>66</v>
      </c>
      <c r="E690" s="233" t="str">
        <f>+'CUOTA ARTESANAL'!E512</f>
        <v>ASOCIACIÓN GREMIAL DE PESCADORES ARTESANALES DE SAN VICENTE - TALCAHUANO RAG 18-8</v>
      </c>
      <c r="F690" s="238" t="s">
        <v>54</v>
      </c>
      <c r="G690" s="238" t="s">
        <v>56</v>
      </c>
      <c r="H690" s="253">
        <f>'CUOTA ARTESANAL'!G512</f>
        <v>36.588999999999999</v>
      </c>
      <c r="I690" s="253">
        <f>'CUOTA ARTESANAL'!H512</f>
        <v>-57.5</v>
      </c>
      <c r="J690" s="253">
        <f>'CUOTA ARTESANAL'!I512</f>
        <v>-20.911000000000001</v>
      </c>
      <c r="K690" s="253">
        <f>'CUOTA ARTESANAL'!J512</f>
        <v>0</v>
      </c>
      <c r="L690" s="253">
        <f>'CUOTA ARTESANAL'!K512</f>
        <v>-20.911000000000001</v>
      </c>
      <c r="M690" s="254">
        <f>'CUOTA ARTESANAL'!L512</f>
        <v>0</v>
      </c>
      <c r="N690" s="245" t="str">
        <f>'CUOTA ARTESANAL'!M512</f>
        <v>-</v>
      </c>
      <c r="O690" s="241">
        <f>RESUMEN!$C$4</f>
        <v>44561</v>
      </c>
      <c r="P690" s="233">
        <v>2021</v>
      </c>
      <c r="Q690" s="233"/>
    </row>
    <row r="691" spans="1:17" ht="15.75" customHeight="1">
      <c r="A691" s="238" t="s">
        <v>51</v>
      </c>
      <c r="B691" s="238" t="s">
        <v>52</v>
      </c>
      <c r="C691" s="238" t="s">
        <v>73</v>
      </c>
      <c r="D691" s="238" t="s">
        <v>66</v>
      </c>
      <c r="E691" s="233" t="str">
        <f>+'CUOTA ARTESANAL'!E512</f>
        <v>ASOCIACIÓN GREMIAL DE PESCADORES ARTESANALES DE SAN VICENTE - TALCAHUANO RAG 18-8</v>
      </c>
      <c r="F691" s="238" t="s">
        <v>57</v>
      </c>
      <c r="G691" s="238" t="s">
        <v>58</v>
      </c>
      <c r="H691" s="253">
        <f>'CUOTA ARTESANAL'!G513</f>
        <v>36.588999999999999</v>
      </c>
      <c r="I691" s="253">
        <f>'CUOTA ARTESANAL'!H513</f>
        <v>-9</v>
      </c>
      <c r="J691" s="253">
        <f>'CUOTA ARTESANAL'!I513</f>
        <v>6.6779999999999973</v>
      </c>
      <c r="K691" s="253">
        <f>'CUOTA ARTESANAL'!J513</f>
        <v>1.875</v>
      </c>
      <c r="L691" s="253">
        <f>'CUOTA ARTESANAL'!K513</f>
        <v>4.8029999999999973</v>
      </c>
      <c r="M691" s="254">
        <f>'CUOTA ARTESANAL'!L513</f>
        <v>0.28077268643306391</v>
      </c>
      <c r="N691" s="245" t="str">
        <f>'CUOTA ARTESANAL'!M513</f>
        <v>-</v>
      </c>
      <c r="O691" s="241">
        <f>RESUMEN!$C$4</f>
        <v>44561</v>
      </c>
      <c r="P691" s="233">
        <v>2021</v>
      </c>
      <c r="Q691" s="233"/>
    </row>
    <row r="692" spans="1:17" ht="15.75" customHeight="1">
      <c r="A692" s="238" t="s">
        <v>51</v>
      </c>
      <c r="B692" s="238" t="s">
        <v>52</v>
      </c>
      <c r="C692" s="238" t="s">
        <v>73</v>
      </c>
      <c r="D692" s="238" t="s">
        <v>66</v>
      </c>
      <c r="E692" s="233" t="str">
        <f>+'CUOTA ARTESANAL'!E512</f>
        <v>ASOCIACIÓN GREMIAL DE PESCADORES ARTESANALES DE SAN VICENTE - TALCAHUANO RAG 18-8</v>
      </c>
      <c r="F692" s="238" t="s">
        <v>54</v>
      </c>
      <c r="G692" s="238" t="s">
        <v>58</v>
      </c>
      <c r="H692" s="253">
        <f>'CUOTA ARTESANAL'!N512</f>
        <v>73.177999999999997</v>
      </c>
      <c r="I692" s="253">
        <f>'CUOTA ARTESANAL'!O512</f>
        <v>-66.5</v>
      </c>
      <c r="J692" s="253">
        <f>'CUOTA ARTESANAL'!P512</f>
        <v>6.6779999999999973</v>
      </c>
      <c r="K692" s="253">
        <f>'CUOTA ARTESANAL'!Q512</f>
        <v>1.875</v>
      </c>
      <c r="L692" s="253">
        <f>'CUOTA ARTESANAL'!R512</f>
        <v>4.8029999999999973</v>
      </c>
      <c r="M692" s="254">
        <f>'CUOTA ARTESANAL'!S512</f>
        <v>0.28077268643306391</v>
      </c>
      <c r="N692" s="245" t="s">
        <v>218</v>
      </c>
      <c r="O692" s="241">
        <f>RESUMEN!$C$4</f>
        <v>44561</v>
      </c>
      <c r="P692" s="233">
        <v>2021</v>
      </c>
      <c r="Q692" s="233"/>
    </row>
    <row r="693" spans="1:17" ht="15.75" customHeight="1">
      <c r="A693" s="238" t="s">
        <v>51</v>
      </c>
      <c r="B693" s="238" t="s">
        <v>52</v>
      </c>
      <c r="C693" s="238" t="s">
        <v>73</v>
      </c>
      <c r="D693" s="238" t="s">
        <v>66</v>
      </c>
      <c r="E693" s="233" t="str">
        <f>+'CUOTA ARTESANAL'!E514</f>
        <v>STI PESCADORES ARMADORES ARTESANALES DE EMBARCACIONES MENORES DE LA CALETA DE TUMBES SIPEAREM RSU 08.05.0569</v>
      </c>
      <c r="F693" s="238" t="s">
        <v>54</v>
      </c>
      <c r="G693" s="238" t="s">
        <v>56</v>
      </c>
      <c r="H693" s="253">
        <f>'CUOTA ARTESANAL'!G514</f>
        <v>102.649</v>
      </c>
      <c r="I693" s="253">
        <f>'CUOTA ARTESANAL'!H514</f>
        <v>-45</v>
      </c>
      <c r="J693" s="253">
        <f>'CUOTA ARTESANAL'!I514</f>
        <v>57.649000000000001</v>
      </c>
      <c r="K693" s="253">
        <f>'CUOTA ARTESANAL'!J514</f>
        <v>18.134</v>
      </c>
      <c r="L693" s="253">
        <f>'CUOTA ARTESANAL'!K514</f>
        <v>39.515000000000001</v>
      </c>
      <c r="M693" s="254">
        <f>'CUOTA ARTESANAL'!L514</f>
        <v>0.31455879546913218</v>
      </c>
      <c r="N693" s="245" t="str">
        <f>'CUOTA ARTESANAL'!M514</f>
        <v>-</v>
      </c>
      <c r="O693" s="241">
        <f>RESUMEN!$C$4</f>
        <v>44561</v>
      </c>
      <c r="P693" s="233">
        <v>2021</v>
      </c>
      <c r="Q693" s="233"/>
    </row>
    <row r="694" spans="1:17" ht="15.75" customHeight="1">
      <c r="A694" s="238" t="s">
        <v>51</v>
      </c>
      <c r="B694" s="238" t="s">
        <v>52</v>
      </c>
      <c r="C694" s="238" t="s">
        <v>73</v>
      </c>
      <c r="D694" s="238" t="s">
        <v>66</v>
      </c>
      <c r="E694" s="233" t="str">
        <f>+'CUOTA ARTESANAL'!E514</f>
        <v>STI PESCADORES ARMADORES ARTESANALES DE EMBARCACIONES MENORES DE LA CALETA DE TUMBES SIPEAREM RSU 08.05.0569</v>
      </c>
      <c r="F694" s="238" t="s">
        <v>57</v>
      </c>
      <c r="G694" s="238" t="s">
        <v>58</v>
      </c>
      <c r="H694" s="253">
        <f>'CUOTA ARTESANAL'!G515</f>
        <v>22.649000000000001</v>
      </c>
      <c r="I694" s="253">
        <f>'CUOTA ARTESANAL'!H515</f>
        <v>-11.6</v>
      </c>
      <c r="J694" s="253">
        <f>'CUOTA ARTESANAL'!I515</f>
        <v>50.564</v>
      </c>
      <c r="K694" s="253">
        <f>'CUOTA ARTESANAL'!J515</f>
        <v>15.595000000000001</v>
      </c>
      <c r="L694" s="253">
        <f>'CUOTA ARTESANAL'!K515</f>
        <v>34.969000000000001</v>
      </c>
      <c r="M694" s="254">
        <f>'CUOTA ARTESANAL'!L515</f>
        <v>0.30842101099596553</v>
      </c>
      <c r="N694" s="245" t="str">
        <f>'CUOTA ARTESANAL'!M515</f>
        <v>-</v>
      </c>
      <c r="O694" s="241">
        <f>RESUMEN!$C$4</f>
        <v>44561</v>
      </c>
      <c r="P694" s="233">
        <v>2021</v>
      </c>
      <c r="Q694" s="233"/>
    </row>
    <row r="695" spans="1:17" ht="15.75" customHeight="1">
      <c r="A695" s="238" t="s">
        <v>51</v>
      </c>
      <c r="B695" s="238" t="s">
        <v>52</v>
      </c>
      <c r="C695" s="238" t="s">
        <v>73</v>
      </c>
      <c r="D695" s="238" t="s">
        <v>66</v>
      </c>
      <c r="E695" s="233" t="str">
        <f>+'CUOTA ARTESANAL'!E514</f>
        <v>STI PESCADORES ARMADORES ARTESANALES DE EMBARCACIONES MENORES DE LA CALETA DE TUMBES SIPEAREM RSU 08.05.0569</v>
      </c>
      <c r="F695" s="238" t="s">
        <v>54</v>
      </c>
      <c r="G695" s="238" t="s">
        <v>58</v>
      </c>
      <c r="H695" s="253">
        <f>'CUOTA ARTESANAL'!N514</f>
        <v>125.298</v>
      </c>
      <c r="I695" s="253">
        <f>'CUOTA ARTESANAL'!O514</f>
        <v>-56.6</v>
      </c>
      <c r="J695" s="253">
        <f>'CUOTA ARTESANAL'!P514</f>
        <v>68.698000000000008</v>
      </c>
      <c r="K695" s="253">
        <f>'CUOTA ARTESANAL'!Q514</f>
        <v>33.728999999999999</v>
      </c>
      <c r="L695" s="253">
        <f>'CUOTA ARTESANAL'!R514</f>
        <v>34.969000000000008</v>
      </c>
      <c r="M695" s="254">
        <f>'CUOTA ARTESANAL'!S514</f>
        <v>0.49097499199394445</v>
      </c>
      <c r="N695" s="245" t="s">
        <v>218</v>
      </c>
      <c r="O695" s="241">
        <f>RESUMEN!$C$4</f>
        <v>44561</v>
      </c>
      <c r="P695" s="233">
        <v>2021</v>
      </c>
      <c r="Q695" s="233"/>
    </row>
    <row r="696" spans="1:17" ht="15.75" customHeight="1">
      <c r="A696" s="238" t="s">
        <v>51</v>
      </c>
      <c r="B696" s="238" t="s">
        <v>52</v>
      </c>
      <c r="C696" s="238" t="s">
        <v>73</v>
      </c>
      <c r="D696" s="238" t="s">
        <v>66</v>
      </c>
      <c r="E696" s="233" t="str">
        <f>+'CUOTA ARTESANAL'!E516</f>
        <v>STI PESCADORES ARMADORES ARTESANALES BUZOS ACUICULTORES Y  RAMOS AFINES DE LA PESCA ARTESANAL DE TALCAHUANO SIPEARTAL RSU 08.05.0487</v>
      </c>
      <c r="F696" s="238" t="s">
        <v>54</v>
      </c>
      <c r="G696" s="238" t="s">
        <v>56</v>
      </c>
      <c r="H696" s="253">
        <f>'CUOTA ARTESANAL'!G516</f>
        <v>11.069000000000001</v>
      </c>
      <c r="I696" s="253">
        <f>'CUOTA ARTESANAL'!H516</f>
        <v>0</v>
      </c>
      <c r="J696" s="253">
        <f>'CUOTA ARTESANAL'!I516</f>
        <v>11.069000000000001</v>
      </c>
      <c r="K696" s="253">
        <f>'CUOTA ARTESANAL'!J516</f>
        <v>0</v>
      </c>
      <c r="L696" s="253">
        <f>'CUOTA ARTESANAL'!K516</f>
        <v>11.069000000000001</v>
      </c>
      <c r="M696" s="254">
        <f>'CUOTA ARTESANAL'!L516</f>
        <v>0</v>
      </c>
      <c r="N696" s="245" t="str">
        <f>'CUOTA ARTESANAL'!M516</f>
        <v>-</v>
      </c>
      <c r="O696" s="241">
        <f>RESUMEN!$C$4</f>
        <v>44561</v>
      </c>
      <c r="P696" s="233">
        <v>2021</v>
      </c>
      <c r="Q696" s="233"/>
    </row>
    <row r="697" spans="1:17" ht="15.75" customHeight="1">
      <c r="A697" s="238" t="s">
        <v>51</v>
      </c>
      <c r="B697" s="238" t="s">
        <v>52</v>
      </c>
      <c r="C697" s="238" t="s">
        <v>73</v>
      </c>
      <c r="D697" s="238" t="s">
        <v>66</v>
      </c>
      <c r="E697" s="233" t="str">
        <f>+'CUOTA ARTESANAL'!E516</f>
        <v>STI PESCADORES ARMADORES ARTESANALES BUZOS ACUICULTORES Y  RAMOS AFINES DE LA PESCA ARTESANAL DE TALCAHUANO SIPEARTAL RSU 08.05.0487</v>
      </c>
      <c r="F697" s="238" t="s">
        <v>57</v>
      </c>
      <c r="G697" s="238" t="s">
        <v>58</v>
      </c>
      <c r="H697" s="253">
        <f>'CUOTA ARTESANAL'!G517</f>
        <v>11.069000000000001</v>
      </c>
      <c r="I697" s="253">
        <f>'CUOTA ARTESANAL'!H517</f>
        <v>-19.5</v>
      </c>
      <c r="J697" s="253">
        <f>'CUOTA ARTESANAL'!I517</f>
        <v>2.6380000000000017</v>
      </c>
      <c r="K697" s="253">
        <f>'CUOTA ARTESANAL'!J517</f>
        <v>2.2919999999999998</v>
      </c>
      <c r="L697" s="253">
        <f>'CUOTA ARTESANAL'!K517</f>
        <v>0.34600000000000186</v>
      </c>
      <c r="M697" s="254">
        <f>'CUOTA ARTESANAL'!L517</f>
        <v>0.86884003032600388</v>
      </c>
      <c r="N697" s="245" t="str">
        <f>'CUOTA ARTESANAL'!M517</f>
        <v>-</v>
      </c>
      <c r="O697" s="241">
        <f>RESUMEN!$C$4</f>
        <v>44561</v>
      </c>
      <c r="P697" s="233">
        <v>2021</v>
      </c>
      <c r="Q697" s="233"/>
    </row>
    <row r="698" spans="1:17" ht="15.75" customHeight="1">
      <c r="A698" s="238" t="s">
        <v>51</v>
      </c>
      <c r="B698" s="238" t="s">
        <v>52</v>
      </c>
      <c r="C698" s="238" t="s">
        <v>73</v>
      </c>
      <c r="D698" s="238" t="s">
        <v>66</v>
      </c>
      <c r="E698" s="233" t="str">
        <f>+'CUOTA ARTESANAL'!E516</f>
        <v>STI PESCADORES ARMADORES ARTESANALES BUZOS ACUICULTORES Y  RAMOS AFINES DE LA PESCA ARTESANAL DE TALCAHUANO SIPEARTAL RSU 08.05.0487</v>
      </c>
      <c r="F698" s="238" t="s">
        <v>54</v>
      </c>
      <c r="G698" s="238" t="s">
        <v>58</v>
      </c>
      <c r="H698" s="253">
        <f>'CUOTA ARTESANAL'!N516</f>
        <v>22.138000000000002</v>
      </c>
      <c r="I698" s="253">
        <f>'CUOTA ARTESANAL'!O516</f>
        <v>-19.5</v>
      </c>
      <c r="J698" s="253">
        <f>'CUOTA ARTESANAL'!P516</f>
        <v>2.6380000000000017</v>
      </c>
      <c r="K698" s="253">
        <f>'CUOTA ARTESANAL'!Q516</f>
        <v>2.2919999999999998</v>
      </c>
      <c r="L698" s="253">
        <f>'CUOTA ARTESANAL'!R516</f>
        <v>0.34600000000000186</v>
      </c>
      <c r="M698" s="254">
        <f>'CUOTA ARTESANAL'!S516</f>
        <v>0.86884003032600388</v>
      </c>
      <c r="N698" s="245" t="s">
        <v>218</v>
      </c>
      <c r="O698" s="241">
        <f>RESUMEN!$C$4</f>
        <v>44561</v>
      </c>
      <c r="P698" s="233">
        <v>2021</v>
      </c>
      <c r="Q698" s="233"/>
    </row>
    <row r="699" spans="1:17" ht="15.75" customHeight="1">
      <c r="A699" s="238" t="s">
        <v>51</v>
      </c>
      <c r="B699" s="238" t="s">
        <v>52</v>
      </c>
      <c r="C699" s="238" t="s">
        <v>73</v>
      </c>
      <c r="D699" s="238" t="s">
        <v>66</v>
      </c>
      <c r="E699" s="233" t="str">
        <f>+'CUOTA ARTESANAL'!E518</f>
        <v>STI DE BUZOS, AYUDANTES DE BUZO, PESCADORES ARTESANALES ALGUERAS Y ACTIVIDADES CONEXAS DE LAS CALETAS TOMÉ Y QUICHIUTO RSU 08.06.0043</v>
      </c>
      <c r="F699" s="238" t="s">
        <v>54</v>
      </c>
      <c r="G699" s="238" t="s">
        <v>56</v>
      </c>
      <c r="H699" s="253">
        <f>'CUOTA ARTESANAL'!G518</f>
        <v>10.48</v>
      </c>
      <c r="I699" s="253">
        <f>'CUOTA ARTESANAL'!H518</f>
        <v>-9.6</v>
      </c>
      <c r="J699" s="253">
        <f>'CUOTA ARTESANAL'!I518</f>
        <v>0.88000000000000078</v>
      </c>
      <c r="K699" s="253">
        <f>'CUOTA ARTESANAL'!J518</f>
        <v>0.85599999999999998</v>
      </c>
      <c r="L699" s="253">
        <f>'CUOTA ARTESANAL'!K518</f>
        <v>2.4000000000000798E-2</v>
      </c>
      <c r="M699" s="254">
        <f>'CUOTA ARTESANAL'!L518</f>
        <v>0.97272727272727189</v>
      </c>
      <c r="N699" s="245" t="str">
        <f>'CUOTA ARTESANAL'!M518</f>
        <v>-</v>
      </c>
      <c r="O699" s="241">
        <f>RESUMEN!$C$4</f>
        <v>44561</v>
      </c>
      <c r="P699" s="233">
        <v>2021</v>
      </c>
      <c r="Q699" s="233"/>
    </row>
    <row r="700" spans="1:17" ht="15.75" customHeight="1">
      <c r="A700" s="238" t="s">
        <v>51</v>
      </c>
      <c r="B700" s="238" t="s">
        <v>52</v>
      </c>
      <c r="C700" s="238" t="s">
        <v>73</v>
      </c>
      <c r="D700" s="238" t="s">
        <v>66</v>
      </c>
      <c r="E700" s="233" t="str">
        <f>+'CUOTA ARTESANAL'!E518</f>
        <v>STI DE BUZOS, AYUDANTES DE BUZO, PESCADORES ARTESANALES ALGUERAS Y ACTIVIDADES CONEXAS DE LAS CALETAS TOMÉ Y QUICHIUTO RSU 08.06.0043</v>
      </c>
      <c r="F700" s="238" t="s">
        <v>57</v>
      </c>
      <c r="G700" s="238" t="s">
        <v>58</v>
      </c>
      <c r="H700" s="253">
        <f>'CUOTA ARTESANAL'!G519</f>
        <v>10.48</v>
      </c>
      <c r="I700" s="253">
        <f>'CUOTA ARTESANAL'!H519</f>
        <v>0</v>
      </c>
      <c r="J700" s="253">
        <f>'CUOTA ARTESANAL'!I519</f>
        <v>10.504000000000001</v>
      </c>
      <c r="K700" s="253">
        <f>'CUOTA ARTESANAL'!J519</f>
        <v>0.30599999999999999</v>
      </c>
      <c r="L700" s="253">
        <f>'CUOTA ARTESANAL'!K519</f>
        <v>10.198000000000002</v>
      </c>
      <c r="M700" s="254">
        <f>'CUOTA ARTESANAL'!L519</f>
        <v>2.9131759329779128E-2</v>
      </c>
      <c r="N700" s="245" t="str">
        <f>'CUOTA ARTESANAL'!M519</f>
        <v>-</v>
      </c>
      <c r="O700" s="241">
        <f>RESUMEN!$C$4</f>
        <v>44561</v>
      </c>
      <c r="P700" s="233">
        <v>2021</v>
      </c>
      <c r="Q700" s="233"/>
    </row>
    <row r="701" spans="1:17" ht="15.75" customHeight="1">
      <c r="A701" s="238" t="s">
        <v>51</v>
      </c>
      <c r="B701" s="238" t="s">
        <v>52</v>
      </c>
      <c r="C701" s="238" t="s">
        <v>73</v>
      </c>
      <c r="D701" s="238" t="s">
        <v>66</v>
      </c>
      <c r="E701" s="233" t="str">
        <f>+'CUOTA ARTESANAL'!E518</f>
        <v>STI DE BUZOS, AYUDANTES DE BUZO, PESCADORES ARTESANALES ALGUERAS Y ACTIVIDADES CONEXAS DE LAS CALETAS TOMÉ Y QUICHIUTO RSU 08.06.0043</v>
      </c>
      <c r="F701" s="238" t="s">
        <v>54</v>
      </c>
      <c r="G701" s="238" t="s">
        <v>58</v>
      </c>
      <c r="H701" s="253">
        <f>'CUOTA ARTESANAL'!N518</f>
        <v>20.96</v>
      </c>
      <c r="I701" s="253">
        <f>'CUOTA ARTESANAL'!O518</f>
        <v>-9.6</v>
      </c>
      <c r="J701" s="253">
        <f>'CUOTA ARTESANAL'!P518</f>
        <v>11.360000000000001</v>
      </c>
      <c r="K701" s="253">
        <f>'CUOTA ARTESANAL'!Q518</f>
        <v>1.1619999999999999</v>
      </c>
      <c r="L701" s="253">
        <f>'CUOTA ARTESANAL'!R518</f>
        <v>10.198</v>
      </c>
      <c r="M701" s="254">
        <f>'CUOTA ARTESANAL'!S518</f>
        <v>0.10228873239436619</v>
      </c>
      <c r="N701" s="245" t="s">
        <v>218</v>
      </c>
      <c r="O701" s="241">
        <f>RESUMEN!$C$4</f>
        <v>44561</v>
      </c>
      <c r="P701" s="233">
        <v>2021</v>
      </c>
      <c r="Q701" s="233"/>
    </row>
    <row r="702" spans="1:17" ht="15.75" customHeight="1">
      <c r="A702" s="238" t="s">
        <v>51</v>
      </c>
      <c r="B702" s="238" t="s">
        <v>52</v>
      </c>
      <c r="C702" s="238" t="s">
        <v>73</v>
      </c>
      <c r="D702" s="238" t="s">
        <v>66</v>
      </c>
      <c r="E702" s="233" t="str">
        <f>+'CUOTA ARTESANAL'!E520</f>
        <v>STI ARMADORES PESCADORES ARTESANALES ALGUEROS Y RAMOS AFINES MEDITERRÁNEO RSU 08.05.0605</v>
      </c>
      <c r="F702" s="238" t="s">
        <v>54</v>
      </c>
      <c r="G702" s="238" t="s">
        <v>56</v>
      </c>
      <c r="H702" s="253">
        <f>'CUOTA ARTESANAL'!G520</f>
        <v>4.47</v>
      </c>
      <c r="I702" s="253">
        <f>'CUOTA ARTESANAL'!H520</f>
        <v>0</v>
      </c>
      <c r="J702" s="253">
        <f>'CUOTA ARTESANAL'!I520</f>
        <v>4.47</v>
      </c>
      <c r="K702" s="253">
        <f>'CUOTA ARTESANAL'!J520</f>
        <v>0</v>
      </c>
      <c r="L702" s="253">
        <f>'CUOTA ARTESANAL'!K520</f>
        <v>4.47</v>
      </c>
      <c r="M702" s="254">
        <f>'CUOTA ARTESANAL'!L520</f>
        <v>0</v>
      </c>
      <c r="N702" s="245" t="str">
        <f>'CUOTA ARTESANAL'!M520</f>
        <v>-</v>
      </c>
      <c r="O702" s="241">
        <f>RESUMEN!$C$4</f>
        <v>44561</v>
      </c>
      <c r="P702" s="233">
        <v>2021</v>
      </c>
      <c r="Q702" s="233"/>
    </row>
    <row r="703" spans="1:17" ht="15.75" customHeight="1">
      <c r="A703" s="238" t="s">
        <v>51</v>
      </c>
      <c r="B703" s="238" t="s">
        <v>52</v>
      </c>
      <c r="C703" s="238" t="s">
        <v>73</v>
      </c>
      <c r="D703" s="238" t="s">
        <v>66</v>
      </c>
      <c r="E703" s="233" t="str">
        <f>+'CUOTA ARTESANAL'!E520</f>
        <v>STI ARMADORES PESCADORES ARTESANALES ALGUEROS Y RAMOS AFINES MEDITERRÁNEO RSU 08.05.0605</v>
      </c>
      <c r="F703" s="238" t="s">
        <v>57</v>
      </c>
      <c r="G703" s="238" t="s">
        <v>58</v>
      </c>
      <c r="H703" s="253">
        <f>'CUOTA ARTESANAL'!G521</f>
        <v>4.47</v>
      </c>
      <c r="I703" s="253">
        <f>'CUOTA ARTESANAL'!H521</f>
        <v>0</v>
      </c>
      <c r="J703" s="253">
        <f>'CUOTA ARTESANAL'!I521</f>
        <v>8.94</v>
      </c>
      <c r="K703" s="253">
        <f>'CUOTA ARTESANAL'!J521</f>
        <v>0</v>
      </c>
      <c r="L703" s="253">
        <f>'CUOTA ARTESANAL'!K521</f>
        <v>8.94</v>
      </c>
      <c r="M703" s="254">
        <f>'CUOTA ARTESANAL'!L521</f>
        <v>0</v>
      </c>
      <c r="N703" s="245" t="str">
        <f>'CUOTA ARTESANAL'!M521</f>
        <v>-</v>
      </c>
      <c r="O703" s="241">
        <f>RESUMEN!$C$4</f>
        <v>44561</v>
      </c>
      <c r="P703" s="233">
        <v>2021</v>
      </c>
      <c r="Q703" s="233"/>
    </row>
    <row r="704" spans="1:17" ht="15.75" customHeight="1">
      <c r="A704" s="238" t="s">
        <v>51</v>
      </c>
      <c r="B704" s="238" t="s">
        <v>52</v>
      </c>
      <c r="C704" s="238" t="s">
        <v>73</v>
      </c>
      <c r="D704" s="238" t="s">
        <v>66</v>
      </c>
      <c r="E704" s="233" t="str">
        <f>+'CUOTA ARTESANAL'!E520</f>
        <v>STI ARMADORES PESCADORES ARTESANALES ALGUEROS Y RAMOS AFINES MEDITERRÁNEO RSU 08.05.0605</v>
      </c>
      <c r="F704" s="238" t="s">
        <v>54</v>
      </c>
      <c r="G704" s="238" t="s">
        <v>58</v>
      </c>
      <c r="H704" s="253">
        <f>'CUOTA ARTESANAL'!N520</f>
        <v>8.94</v>
      </c>
      <c r="I704" s="253">
        <f>'CUOTA ARTESANAL'!O520</f>
        <v>0</v>
      </c>
      <c r="J704" s="253">
        <f>'CUOTA ARTESANAL'!P520</f>
        <v>8.94</v>
      </c>
      <c r="K704" s="253">
        <f>'CUOTA ARTESANAL'!Q520</f>
        <v>0</v>
      </c>
      <c r="L704" s="253">
        <f>'CUOTA ARTESANAL'!R520</f>
        <v>8.94</v>
      </c>
      <c r="M704" s="254">
        <f>'CUOTA ARTESANAL'!S520</f>
        <v>0</v>
      </c>
      <c r="N704" s="245" t="s">
        <v>218</v>
      </c>
      <c r="O704" s="241">
        <f>RESUMEN!$C$4</f>
        <v>44561</v>
      </c>
      <c r="P704" s="233">
        <v>2021</v>
      </c>
      <c r="Q704" s="233"/>
    </row>
    <row r="705" spans="1:17" ht="15.75" customHeight="1">
      <c r="A705" s="238" t="s">
        <v>51</v>
      </c>
      <c r="B705" s="238" t="s">
        <v>52</v>
      </c>
      <c r="C705" s="238" t="s">
        <v>73</v>
      </c>
      <c r="D705" s="238" t="s">
        <v>66</v>
      </c>
      <c r="E705" s="233" t="str">
        <f>+'CUOTA ARTESANAL'!E522</f>
        <v>STI PESCA ARTESANAL ARMADORES BUZOS MARISCADORES RECOLECTORES DE ORILLA Y ACTIVIDADES CONEXAS CALETA COBQUECURA RSU 08.02.0176</v>
      </c>
      <c r="F705" s="238" t="s">
        <v>54</v>
      </c>
      <c r="G705" s="238" t="s">
        <v>56</v>
      </c>
      <c r="H705" s="253">
        <f>'CUOTA ARTESANAL'!G522</f>
        <v>5.5979999999999999</v>
      </c>
      <c r="I705" s="253">
        <f>'CUOTA ARTESANAL'!H522</f>
        <v>0</v>
      </c>
      <c r="J705" s="253">
        <f>'CUOTA ARTESANAL'!I522</f>
        <v>5.5979999999999999</v>
      </c>
      <c r="K705" s="253">
        <f>'CUOTA ARTESANAL'!J522</f>
        <v>1.7250000000000001</v>
      </c>
      <c r="L705" s="253">
        <f>'CUOTA ARTESANAL'!K522</f>
        <v>3.8729999999999998</v>
      </c>
      <c r="M705" s="254">
        <f>'CUOTA ARTESANAL'!L522</f>
        <v>0.30814576634512331</v>
      </c>
      <c r="N705" s="245" t="str">
        <f>'CUOTA ARTESANAL'!M522</f>
        <v>-</v>
      </c>
      <c r="O705" s="241">
        <f>RESUMEN!$C$4</f>
        <v>44561</v>
      </c>
      <c r="P705" s="233">
        <v>2021</v>
      </c>
      <c r="Q705" s="233"/>
    </row>
    <row r="706" spans="1:17" ht="15.75" customHeight="1">
      <c r="A706" s="238" t="s">
        <v>51</v>
      </c>
      <c r="B706" s="238" t="s">
        <v>52</v>
      </c>
      <c r="C706" s="238" t="s">
        <v>73</v>
      </c>
      <c r="D706" s="238" t="s">
        <v>66</v>
      </c>
      <c r="E706" s="233" t="str">
        <f>+'CUOTA ARTESANAL'!E522</f>
        <v>STI PESCA ARTESANAL ARMADORES BUZOS MARISCADORES RECOLECTORES DE ORILLA Y ACTIVIDADES CONEXAS CALETA COBQUECURA RSU 08.02.0176</v>
      </c>
      <c r="F706" s="238" t="s">
        <v>57</v>
      </c>
      <c r="G706" s="238" t="s">
        <v>58</v>
      </c>
      <c r="H706" s="253">
        <f>'CUOTA ARTESANAL'!G523</f>
        <v>5.5979999999999999</v>
      </c>
      <c r="I706" s="253">
        <f>'CUOTA ARTESANAL'!H523</f>
        <v>0</v>
      </c>
      <c r="J706" s="253">
        <f>'CUOTA ARTESANAL'!I523</f>
        <v>9.4710000000000001</v>
      </c>
      <c r="K706" s="253">
        <f>'CUOTA ARTESANAL'!J523</f>
        <v>1.0249999999999999</v>
      </c>
      <c r="L706" s="253">
        <f>'CUOTA ARTESANAL'!K523</f>
        <v>8.4459999999999997</v>
      </c>
      <c r="M706" s="254">
        <f>'CUOTA ARTESANAL'!L523</f>
        <v>0.10822510822510821</v>
      </c>
      <c r="N706" s="245" t="str">
        <f>'CUOTA ARTESANAL'!M523</f>
        <v>-</v>
      </c>
      <c r="O706" s="241">
        <f>RESUMEN!$C$4</f>
        <v>44561</v>
      </c>
      <c r="P706" s="233">
        <v>2021</v>
      </c>
      <c r="Q706" s="233"/>
    </row>
    <row r="707" spans="1:17" ht="15.75" customHeight="1">
      <c r="A707" s="238" t="s">
        <v>51</v>
      </c>
      <c r="B707" s="238" t="s">
        <v>52</v>
      </c>
      <c r="C707" s="238" t="s">
        <v>73</v>
      </c>
      <c r="D707" s="238" t="s">
        <v>66</v>
      </c>
      <c r="E707" s="233" t="str">
        <f>+'CUOTA ARTESANAL'!E522</f>
        <v>STI PESCA ARTESANAL ARMADORES BUZOS MARISCADORES RECOLECTORES DE ORILLA Y ACTIVIDADES CONEXAS CALETA COBQUECURA RSU 08.02.0176</v>
      </c>
      <c r="F707" s="238" t="s">
        <v>54</v>
      </c>
      <c r="G707" s="238" t="s">
        <v>58</v>
      </c>
      <c r="H707" s="253">
        <f>'CUOTA ARTESANAL'!N522</f>
        <v>11.196</v>
      </c>
      <c r="I707" s="253">
        <f>'CUOTA ARTESANAL'!O522</f>
        <v>0</v>
      </c>
      <c r="J707" s="253">
        <f>'CUOTA ARTESANAL'!P522</f>
        <v>11.196</v>
      </c>
      <c r="K707" s="253">
        <f>'CUOTA ARTESANAL'!Q522</f>
        <v>2.75</v>
      </c>
      <c r="L707" s="253">
        <f>'CUOTA ARTESANAL'!R522</f>
        <v>8.4459999999999997</v>
      </c>
      <c r="M707" s="254">
        <f>'CUOTA ARTESANAL'!S522</f>
        <v>0.24562343694176492</v>
      </c>
      <c r="N707" s="245" t="s">
        <v>218</v>
      </c>
      <c r="O707" s="241">
        <f>RESUMEN!$C$4</f>
        <v>44561</v>
      </c>
      <c r="P707" s="233">
        <v>2021</v>
      </c>
      <c r="Q707" s="233"/>
    </row>
    <row r="708" spans="1:17" ht="15.75" customHeight="1">
      <c r="A708" s="238" t="s">
        <v>51</v>
      </c>
      <c r="B708" s="238" t="s">
        <v>52</v>
      </c>
      <c r="C708" s="238" t="s">
        <v>73</v>
      </c>
      <c r="D708" s="238" t="s">
        <v>66</v>
      </c>
      <c r="E708" s="233" t="str">
        <f>+'CUOTA ARTESANAL'!E524</f>
        <v>STI PESCADORES ARTESANALES Y ALGUEROS VILLARICA-DICHATO RSU 08.06.0055</v>
      </c>
      <c r="F708" s="238" t="s">
        <v>54</v>
      </c>
      <c r="G708" s="238" t="s">
        <v>56</v>
      </c>
      <c r="H708" s="253">
        <f>'CUOTA ARTESANAL'!G524</f>
        <v>7.4429999999999996</v>
      </c>
      <c r="I708" s="253">
        <f>'CUOTA ARTESANAL'!H524</f>
        <v>0</v>
      </c>
      <c r="J708" s="253">
        <f>'CUOTA ARTESANAL'!I524</f>
        <v>7.4429999999999996</v>
      </c>
      <c r="K708" s="253">
        <f>'CUOTA ARTESANAL'!J524</f>
        <v>7.6159999999999997</v>
      </c>
      <c r="L708" s="253">
        <f>'CUOTA ARTESANAL'!K524</f>
        <v>-0.17300000000000004</v>
      </c>
      <c r="M708" s="254">
        <f>'CUOTA ARTESANAL'!L524</f>
        <v>1.0232433158672578</v>
      </c>
      <c r="N708" s="245">
        <f>'CUOTA ARTESANAL'!M524</f>
        <v>44294</v>
      </c>
      <c r="O708" s="241">
        <f>RESUMEN!$C$4</f>
        <v>44561</v>
      </c>
      <c r="P708" s="233">
        <v>2021</v>
      </c>
      <c r="Q708" s="233"/>
    </row>
    <row r="709" spans="1:17" ht="15.75" customHeight="1">
      <c r="A709" s="238" t="s">
        <v>51</v>
      </c>
      <c r="B709" s="238" t="s">
        <v>52</v>
      </c>
      <c r="C709" s="238" t="s">
        <v>73</v>
      </c>
      <c r="D709" s="238" t="s">
        <v>66</v>
      </c>
      <c r="E709" s="233" t="str">
        <f>+'CUOTA ARTESANAL'!E524</f>
        <v>STI PESCADORES ARTESANALES Y ALGUEROS VILLARICA-DICHATO RSU 08.06.0055</v>
      </c>
      <c r="F709" s="238" t="s">
        <v>57</v>
      </c>
      <c r="G709" s="238" t="s">
        <v>58</v>
      </c>
      <c r="H709" s="253">
        <f>'CUOTA ARTESANAL'!G525</f>
        <v>7.4429999999999996</v>
      </c>
      <c r="I709" s="253">
        <f>'CUOTA ARTESANAL'!H525</f>
        <v>0</v>
      </c>
      <c r="J709" s="253">
        <f>'CUOTA ARTESANAL'!I525</f>
        <v>7.27</v>
      </c>
      <c r="K709" s="253">
        <f>'CUOTA ARTESANAL'!J525</f>
        <v>0</v>
      </c>
      <c r="L709" s="253">
        <f>'CUOTA ARTESANAL'!K525</f>
        <v>7.27</v>
      </c>
      <c r="M709" s="254">
        <f>'CUOTA ARTESANAL'!L525</f>
        <v>0</v>
      </c>
      <c r="N709" s="245" t="str">
        <f>'CUOTA ARTESANAL'!M525</f>
        <v>-</v>
      </c>
      <c r="O709" s="241">
        <f>RESUMEN!$C$4</f>
        <v>44561</v>
      </c>
      <c r="P709" s="233">
        <v>2021</v>
      </c>
      <c r="Q709" s="233"/>
    </row>
    <row r="710" spans="1:17" ht="15.75" customHeight="1">
      <c r="A710" s="238" t="s">
        <v>51</v>
      </c>
      <c r="B710" s="238" t="s">
        <v>52</v>
      </c>
      <c r="C710" s="238" t="s">
        <v>73</v>
      </c>
      <c r="D710" s="238" t="s">
        <v>66</v>
      </c>
      <c r="E710" s="233" t="str">
        <f>+'CUOTA ARTESANAL'!E524</f>
        <v>STI PESCADORES ARTESANALES Y ALGUEROS VILLARICA-DICHATO RSU 08.06.0055</v>
      </c>
      <c r="F710" s="238" t="s">
        <v>54</v>
      </c>
      <c r="G710" s="238" t="s">
        <v>58</v>
      </c>
      <c r="H710" s="253">
        <f>'CUOTA ARTESANAL'!N524</f>
        <v>14.885999999999999</v>
      </c>
      <c r="I710" s="253">
        <f>'CUOTA ARTESANAL'!O524</f>
        <v>0</v>
      </c>
      <c r="J710" s="253">
        <f>'CUOTA ARTESANAL'!P524</f>
        <v>14.885999999999999</v>
      </c>
      <c r="K710" s="253">
        <f>'CUOTA ARTESANAL'!Q524</f>
        <v>7.6159999999999997</v>
      </c>
      <c r="L710" s="253">
        <f>'CUOTA ARTESANAL'!R524</f>
        <v>7.27</v>
      </c>
      <c r="M710" s="254">
        <f>'CUOTA ARTESANAL'!S524</f>
        <v>0.5116216579336289</v>
      </c>
      <c r="N710" s="245" t="s">
        <v>218</v>
      </c>
      <c r="O710" s="241">
        <f>RESUMEN!$C$4</f>
        <v>44561</v>
      </c>
      <c r="P710" s="233">
        <v>2021</v>
      </c>
      <c r="Q710" s="233"/>
    </row>
    <row r="711" spans="1:17" ht="15.75" customHeight="1">
      <c r="A711" s="238" t="s">
        <v>51</v>
      </c>
      <c r="B711" s="238" t="s">
        <v>52</v>
      </c>
      <c r="C711" s="238" t="s">
        <v>73</v>
      </c>
      <c r="D711" s="238" t="s">
        <v>66</v>
      </c>
      <c r="E711" s="233" t="str">
        <f>+'CUOTA ARTESANAL'!E526</f>
        <v>STI PESCADORES ARMADORES Y BUZOS MARISCADORES Y ACTIVIDADES CONEXAS SIPARBUM RSU 08.05.0424</v>
      </c>
      <c r="F711" s="238" t="s">
        <v>54</v>
      </c>
      <c r="G711" s="238" t="s">
        <v>56</v>
      </c>
      <c r="H711" s="253">
        <f>'CUOTA ARTESANAL'!G526</f>
        <v>41.63</v>
      </c>
      <c r="I711" s="253">
        <f>'CUOTA ARTESANAL'!H526</f>
        <v>-20</v>
      </c>
      <c r="J711" s="253">
        <f>'CUOTA ARTESANAL'!I526</f>
        <v>21.630000000000003</v>
      </c>
      <c r="K711" s="253">
        <f>'CUOTA ARTESANAL'!J526</f>
        <v>5.95</v>
      </c>
      <c r="L711" s="253">
        <f>'CUOTA ARTESANAL'!K526</f>
        <v>15.680000000000003</v>
      </c>
      <c r="M711" s="254">
        <f>'CUOTA ARTESANAL'!L526</f>
        <v>0.27508090614886727</v>
      </c>
      <c r="N711" s="245" t="str">
        <f>'CUOTA ARTESANAL'!M526</f>
        <v>-</v>
      </c>
      <c r="O711" s="241">
        <f>RESUMEN!$C$4</f>
        <v>44561</v>
      </c>
      <c r="P711" s="233">
        <v>2021</v>
      </c>
      <c r="Q711" s="233"/>
    </row>
    <row r="712" spans="1:17" ht="15.75" customHeight="1">
      <c r="A712" s="238" t="s">
        <v>51</v>
      </c>
      <c r="B712" s="238" t="s">
        <v>52</v>
      </c>
      <c r="C712" s="238" t="s">
        <v>73</v>
      </c>
      <c r="D712" s="238" t="s">
        <v>66</v>
      </c>
      <c r="E712" s="233" t="str">
        <f>+'CUOTA ARTESANAL'!E526</f>
        <v>STI PESCADORES ARMADORES Y BUZOS MARISCADORES Y ACTIVIDADES CONEXAS SIPARBUM RSU 08.05.0424</v>
      </c>
      <c r="F712" s="238" t="s">
        <v>57</v>
      </c>
      <c r="G712" s="238" t="s">
        <v>58</v>
      </c>
      <c r="H712" s="253">
        <f>'CUOTA ARTESANAL'!G527</f>
        <v>41.63</v>
      </c>
      <c r="I712" s="253">
        <f>'CUOTA ARTESANAL'!H527</f>
        <v>0</v>
      </c>
      <c r="J712" s="253">
        <f>'CUOTA ARTESANAL'!I527</f>
        <v>57.31</v>
      </c>
      <c r="K712" s="253">
        <f>'CUOTA ARTESANAL'!J527</f>
        <v>0</v>
      </c>
      <c r="L712" s="253">
        <f>'CUOTA ARTESANAL'!K527</f>
        <v>57.31</v>
      </c>
      <c r="M712" s="254">
        <f>'CUOTA ARTESANAL'!L527</f>
        <v>0</v>
      </c>
      <c r="N712" s="245" t="str">
        <f>'CUOTA ARTESANAL'!M527</f>
        <v>-</v>
      </c>
      <c r="O712" s="241">
        <f>RESUMEN!$C$4</f>
        <v>44561</v>
      </c>
      <c r="P712" s="233">
        <v>2021</v>
      </c>
      <c r="Q712" s="233"/>
    </row>
    <row r="713" spans="1:17" ht="15.75" customHeight="1">
      <c r="A713" s="238" t="s">
        <v>51</v>
      </c>
      <c r="B713" s="238" t="s">
        <v>52</v>
      </c>
      <c r="C713" s="238" t="s">
        <v>73</v>
      </c>
      <c r="D713" s="238" t="s">
        <v>66</v>
      </c>
      <c r="E713" s="233" t="str">
        <f>+'CUOTA ARTESANAL'!E526</f>
        <v>STI PESCADORES ARMADORES Y BUZOS MARISCADORES Y ACTIVIDADES CONEXAS SIPARBUM RSU 08.05.0424</v>
      </c>
      <c r="F713" s="238" t="s">
        <v>54</v>
      </c>
      <c r="G713" s="238" t="s">
        <v>58</v>
      </c>
      <c r="H713" s="253">
        <f>'CUOTA ARTESANAL'!N526</f>
        <v>83.26</v>
      </c>
      <c r="I713" s="253">
        <f>'CUOTA ARTESANAL'!O526</f>
        <v>-20</v>
      </c>
      <c r="J713" s="253">
        <f>'CUOTA ARTESANAL'!P526</f>
        <v>63.260000000000005</v>
      </c>
      <c r="K713" s="253">
        <f>'CUOTA ARTESANAL'!Q526</f>
        <v>5.95</v>
      </c>
      <c r="L713" s="253">
        <f>'CUOTA ARTESANAL'!R526</f>
        <v>57.31</v>
      </c>
      <c r="M713" s="254">
        <f>'CUOTA ARTESANAL'!S526</f>
        <v>9.4056275687638316E-2</v>
      </c>
      <c r="N713" s="245" t="s">
        <v>218</v>
      </c>
      <c r="O713" s="241">
        <f>RESUMEN!$C$4</f>
        <v>44561</v>
      </c>
      <c r="P713" s="233">
        <v>2021</v>
      </c>
      <c r="Q713" s="233"/>
    </row>
    <row r="714" spans="1:17" ht="15.75" customHeight="1">
      <c r="A714" s="238" t="s">
        <v>51</v>
      </c>
      <c r="B714" s="238" t="s">
        <v>52</v>
      </c>
      <c r="C714" s="238" t="s">
        <v>73</v>
      </c>
      <c r="D714" s="238" t="s">
        <v>66</v>
      </c>
      <c r="E714" s="233" t="str">
        <f>+'CUOTA ARTESANAL'!E528</f>
        <v>STI PESCADORES ARTESANALES ARMADORES Y ACTIVIDADES CONEZAS DE CALETA COLIUMO RSU 08.06.0150</v>
      </c>
      <c r="F714" s="238" t="s">
        <v>54</v>
      </c>
      <c r="G714" s="238" t="s">
        <v>56</v>
      </c>
      <c r="H714" s="253">
        <f>'CUOTA ARTESANAL'!G528</f>
        <v>121.91</v>
      </c>
      <c r="I714" s="253">
        <f>'CUOTA ARTESANAL'!H528</f>
        <v>0</v>
      </c>
      <c r="J714" s="253">
        <f>'CUOTA ARTESANAL'!I528</f>
        <v>121.91</v>
      </c>
      <c r="K714" s="253">
        <f>'CUOTA ARTESANAL'!J528</f>
        <v>94.716999999999999</v>
      </c>
      <c r="L714" s="253">
        <f>'CUOTA ARTESANAL'!K528</f>
        <v>27.192999999999998</v>
      </c>
      <c r="M714" s="254">
        <f>'CUOTA ARTESANAL'!L528</f>
        <v>0.77694200639816258</v>
      </c>
      <c r="N714" s="245" t="str">
        <f>'CUOTA ARTESANAL'!M528</f>
        <v>-</v>
      </c>
      <c r="O714" s="241">
        <f>RESUMEN!$C$4</f>
        <v>44561</v>
      </c>
      <c r="P714" s="233">
        <v>2021</v>
      </c>
      <c r="Q714" s="233"/>
    </row>
    <row r="715" spans="1:17" ht="15.75" customHeight="1">
      <c r="A715" s="238" t="s">
        <v>51</v>
      </c>
      <c r="B715" s="238" t="s">
        <v>52</v>
      </c>
      <c r="C715" s="238" t="s">
        <v>73</v>
      </c>
      <c r="D715" s="238" t="s">
        <v>66</v>
      </c>
      <c r="E715" s="233" t="str">
        <f>+'CUOTA ARTESANAL'!E528</f>
        <v>STI PESCADORES ARTESANALES ARMADORES Y ACTIVIDADES CONEZAS DE CALETA COLIUMO RSU 08.06.0150</v>
      </c>
      <c r="F715" s="238" t="s">
        <v>57</v>
      </c>
      <c r="G715" s="238" t="s">
        <v>58</v>
      </c>
      <c r="H715" s="253">
        <f>'CUOTA ARTESANAL'!G529</f>
        <v>121.91</v>
      </c>
      <c r="I715" s="253">
        <f>'CUOTA ARTESANAL'!H529</f>
        <v>0</v>
      </c>
      <c r="J715" s="253">
        <f>'CUOTA ARTESANAL'!I529</f>
        <v>149.10300000000001</v>
      </c>
      <c r="K715" s="253">
        <f>'CUOTA ARTESANAL'!J529</f>
        <v>30.405000000000001</v>
      </c>
      <c r="L715" s="253">
        <f>'CUOTA ARTESANAL'!K529</f>
        <v>118.69800000000001</v>
      </c>
      <c r="M715" s="254">
        <f>'CUOTA ARTESANAL'!L529</f>
        <v>0.20391943824067926</v>
      </c>
      <c r="N715" s="245" t="str">
        <f>'CUOTA ARTESANAL'!M529</f>
        <v>-</v>
      </c>
      <c r="O715" s="241">
        <f>RESUMEN!$C$4</f>
        <v>44561</v>
      </c>
      <c r="P715" s="233">
        <v>2021</v>
      </c>
      <c r="Q715" s="233"/>
    </row>
    <row r="716" spans="1:17" ht="15.75" customHeight="1">
      <c r="A716" s="238" t="s">
        <v>51</v>
      </c>
      <c r="B716" s="238" t="s">
        <v>52</v>
      </c>
      <c r="C716" s="238" t="s">
        <v>73</v>
      </c>
      <c r="D716" s="238" t="s">
        <v>66</v>
      </c>
      <c r="E716" s="233" t="str">
        <f>+'CUOTA ARTESANAL'!E528</f>
        <v>STI PESCADORES ARTESANALES ARMADORES Y ACTIVIDADES CONEZAS DE CALETA COLIUMO RSU 08.06.0150</v>
      </c>
      <c r="F716" s="238" t="s">
        <v>54</v>
      </c>
      <c r="G716" s="238" t="s">
        <v>58</v>
      </c>
      <c r="H716" s="253">
        <f>'CUOTA ARTESANAL'!N528</f>
        <v>243.82</v>
      </c>
      <c r="I716" s="253">
        <f>'CUOTA ARTESANAL'!O528</f>
        <v>0</v>
      </c>
      <c r="J716" s="253">
        <f>'CUOTA ARTESANAL'!P528</f>
        <v>243.82</v>
      </c>
      <c r="K716" s="253">
        <f>'CUOTA ARTESANAL'!Q528</f>
        <v>125.122</v>
      </c>
      <c r="L716" s="253">
        <f>'CUOTA ARTESANAL'!R528</f>
        <v>118.69799999999999</v>
      </c>
      <c r="M716" s="254">
        <f>'CUOTA ARTESANAL'!S528</f>
        <v>0.51317365269461079</v>
      </c>
      <c r="N716" s="245" t="s">
        <v>218</v>
      </c>
      <c r="O716" s="241">
        <f>RESUMEN!$C$4</f>
        <v>44561</v>
      </c>
      <c r="P716" s="233">
        <v>2021</v>
      </c>
      <c r="Q716" s="233"/>
    </row>
    <row r="717" spans="1:17" ht="15.75" customHeight="1">
      <c r="A717" s="238" t="s">
        <v>51</v>
      </c>
      <c r="B717" s="238" t="s">
        <v>52</v>
      </c>
      <c r="C717" s="238" t="s">
        <v>73</v>
      </c>
      <c r="D717" s="238" t="s">
        <v>66</v>
      </c>
      <c r="E717" s="233" t="str">
        <f>+'CUOTA ARTESANAL'!E530</f>
        <v>STI PESCADORES ARTESANALES BUZOS MARISCADORES CALETA CANTERA RSU 08.05.0210</v>
      </c>
      <c r="F717" s="238" t="s">
        <v>54</v>
      </c>
      <c r="G717" s="238" t="s">
        <v>56</v>
      </c>
      <c r="H717" s="253">
        <f>'CUOTA ARTESANAL'!G530</f>
        <v>9.4870000000000001</v>
      </c>
      <c r="I717" s="253">
        <f>'CUOTA ARTESANAL'!H530</f>
        <v>0</v>
      </c>
      <c r="J717" s="253">
        <f>'CUOTA ARTESANAL'!I530</f>
        <v>9.4870000000000001</v>
      </c>
      <c r="K717" s="253">
        <f>'CUOTA ARTESANAL'!J530</f>
        <v>2.2120000000000002</v>
      </c>
      <c r="L717" s="253">
        <f>'CUOTA ARTESANAL'!K530</f>
        <v>7.2750000000000004</v>
      </c>
      <c r="M717" s="254">
        <f>'CUOTA ARTESANAL'!L530</f>
        <v>0.23316116791398758</v>
      </c>
      <c r="N717" s="245" t="str">
        <f>'CUOTA ARTESANAL'!M530</f>
        <v>-</v>
      </c>
      <c r="O717" s="241">
        <f>RESUMEN!$C$4</f>
        <v>44561</v>
      </c>
      <c r="P717" s="233">
        <v>2021</v>
      </c>
      <c r="Q717" s="233"/>
    </row>
    <row r="718" spans="1:17" ht="15.75" customHeight="1">
      <c r="A718" s="238" t="s">
        <v>51</v>
      </c>
      <c r="B718" s="238" t="s">
        <v>52</v>
      </c>
      <c r="C718" s="238" t="s">
        <v>73</v>
      </c>
      <c r="D718" s="238" t="s">
        <v>66</v>
      </c>
      <c r="E718" s="233" t="str">
        <f>+'CUOTA ARTESANAL'!E530</f>
        <v>STI PESCADORES ARTESANALES BUZOS MARISCADORES CALETA CANTERA RSU 08.05.0210</v>
      </c>
      <c r="F718" s="238" t="s">
        <v>57</v>
      </c>
      <c r="G718" s="238" t="s">
        <v>58</v>
      </c>
      <c r="H718" s="253">
        <f>'CUOTA ARTESANAL'!G531</f>
        <v>9.4870000000000001</v>
      </c>
      <c r="I718" s="253">
        <f>'CUOTA ARTESANAL'!H531</f>
        <v>0</v>
      </c>
      <c r="J718" s="253">
        <f>'CUOTA ARTESANAL'!I531</f>
        <v>16.762</v>
      </c>
      <c r="K718" s="253">
        <f>'CUOTA ARTESANAL'!J531</f>
        <v>2.1840000000000002</v>
      </c>
      <c r="L718" s="253">
        <f>'CUOTA ARTESANAL'!K531</f>
        <v>14.577999999999999</v>
      </c>
      <c r="M718" s="254">
        <f>'CUOTA ARTESANAL'!L531</f>
        <v>0.13029471423457822</v>
      </c>
      <c r="N718" s="245" t="str">
        <f>'CUOTA ARTESANAL'!M531</f>
        <v>-</v>
      </c>
      <c r="O718" s="241">
        <f>RESUMEN!$C$4</f>
        <v>44561</v>
      </c>
      <c r="P718" s="233">
        <v>2021</v>
      </c>
      <c r="Q718" s="233"/>
    </row>
    <row r="719" spans="1:17" ht="15.75" customHeight="1">
      <c r="A719" s="238" t="s">
        <v>51</v>
      </c>
      <c r="B719" s="238" t="s">
        <v>52</v>
      </c>
      <c r="C719" s="238" t="s">
        <v>73</v>
      </c>
      <c r="D719" s="238" t="s">
        <v>66</v>
      </c>
      <c r="E719" s="233" t="str">
        <f>+'CUOTA ARTESANAL'!E530</f>
        <v>STI PESCADORES ARTESANALES BUZOS MARISCADORES CALETA CANTERA RSU 08.05.0210</v>
      </c>
      <c r="F719" s="238" t="s">
        <v>54</v>
      </c>
      <c r="G719" s="238" t="s">
        <v>58</v>
      </c>
      <c r="H719" s="253">
        <f>'CUOTA ARTESANAL'!N530</f>
        <v>18.974</v>
      </c>
      <c r="I719" s="253">
        <f>'CUOTA ARTESANAL'!O530</f>
        <v>0</v>
      </c>
      <c r="J719" s="253">
        <f>'CUOTA ARTESANAL'!P530</f>
        <v>18.974</v>
      </c>
      <c r="K719" s="253">
        <f>'CUOTA ARTESANAL'!Q530</f>
        <v>4.3960000000000008</v>
      </c>
      <c r="L719" s="253">
        <f>'CUOTA ARTESANAL'!R530</f>
        <v>14.577999999999999</v>
      </c>
      <c r="M719" s="254">
        <f>'CUOTA ARTESANAL'!S530</f>
        <v>0.23168546431959527</v>
      </c>
      <c r="N719" s="245" t="s">
        <v>218</v>
      </c>
      <c r="O719" s="241">
        <f>RESUMEN!$C$4</f>
        <v>44561</v>
      </c>
      <c r="P719" s="233">
        <v>2021</v>
      </c>
      <c r="Q719" s="233"/>
    </row>
    <row r="720" spans="1:17" ht="15.75" customHeight="1">
      <c r="A720" s="238" t="s">
        <v>51</v>
      </c>
      <c r="B720" s="238" t="s">
        <v>52</v>
      </c>
      <c r="C720" s="238" t="s">
        <v>73</v>
      </c>
      <c r="D720" s="238" t="s">
        <v>66</v>
      </c>
      <c r="E720" s="233" t="str">
        <f>+'CUOTA ARTESANAL'!E532</f>
        <v>STI DE ARMADORES PESCADORES ARTESANALES TRIPULANTES Y RAMAS SIMILARES BAHÍA CONCEPCIÓN RSU 08.05.0648</v>
      </c>
      <c r="F720" s="238" t="s">
        <v>54</v>
      </c>
      <c r="G720" s="238" t="s">
        <v>56</v>
      </c>
      <c r="H720" s="253">
        <f>'CUOTA ARTESANAL'!G532</f>
        <v>16.515999999999998</v>
      </c>
      <c r="I720" s="253">
        <f>'CUOTA ARTESANAL'!H532</f>
        <v>0</v>
      </c>
      <c r="J720" s="253">
        <f>'CUOTA ARTESANAL'!I532</f>
        <v>16.515999999999998</v>
      </c>
      <c r="K720" s="253">
        <f>'CUOTA ARTESANAL'!J532</f>
        <v>9.3520000000000003</v>
      </c>
      <c r="L720" s="253">
        <f>'CUOTA ARTESANAL'!K532</f>
        <v>7.1639999999999979</v>
      </c>
      <c r="M720" s="254">
        <f>'CUOTA ARTESANAL'!L532</f>
        <v>0.56623879874061522</v>
      </c>
      <c r="N720" s="245" t="str">
        <f>'CUOTA ARTESANAL'!M532</f>
        <v>-</v>
      </c>
      <c r="O720" s="241">
        <f>RESUMEN!$C$4</f>
        <v>44561</v>
      </c>
      <c r="P720" s="233">
        <v>2021</v>
      </c>
      <c r="Q720" s="233"/>
    </row>
    <row r="721" spans="1:17" ht="15.75" customHeight="1">
      <c r="A721" s="238" t="s">
        <v>51</v>
      </c>
      <c r="B721" s="238" t="s">
        <v>52</v>
      </c>
      <c r="C721" s="238" t="s">
        <v>73</v>
      </c>
      <c r="D721" s="238" t="s">
        <v>66</v>
      </c>
      <c r="E721" s="233" t="str">
        <f>+'CUOTA ARTESANAL'!E532</f>
        <v>STI DE ARMADORES PESCADORES ARTESANALES TRIPULANTES Y RAMAS SIMILARES BAHÍA CONCEPCIÓN RSU 08.05.0648</v>
      </c>
      <c r="F721" s="238" t="s">
        <v>57</v>
      </c>
      <c r="G721" s="238" t="s">
        <v>58</v>
      </c>
      <c r="H721" s="253">
        <f>'CUOTA ARTESANAL'!G533</f>
        <v>16.515999999999998</v>
      </c>
      <c r="I721" s="253">
        <f>'CUOTA ARTESANAL'!H533</f>
        <v>-10</v>
      </c>
      <c r="J721" s="253">
        <f>'CUOTA ARTESANAL'!I533</f>
        <v>13.679999999999996</v>
      </c>
      <c r="K721" s="253">
        <f>'CUOTA ARTESANAL'!J533</f>
        <v>0.89600000000000002</v>
      </c>
      <c r="L721" s="253">
        <f>'CUOTA ARTESANAL'!K533</f>
        <v>12.783999999999995</v>
      </c>
      <c r="M721" s="254">
        <f>'CUOTA ARTESANAL'!L533</f>
        <v>6.5497076023391831E-2</v>
      </c>
      <c r="N721" s="245" t="str">
        <f>'CUOTA ARTESANAL'!M533</f>
        <v>-</v>
      </c>
      <c r="O721" s="241">
        <f>RESUMEN!$C$4</f>
        <v>44561</v>
      </c>
      <c r="P721" s="233">
        <v>2021</v>
      </c>
      <c r="Q721" s="233"/>
    </row>
    <row r="722" spans="1:17" ht="15.75" customHeight="1">
      <c r="A722" s="238" t="s">
        <v>51</v>
      </c>
      <c r="B722" s="238" t="s">
        <v>52</v>
      </c>
      <c r="C722" s="238" t="s">
        <v>73</v>
      </c>
      <c r="D722" s="238" t="s">
        <v>66</v>
      </c>
      <c r="E722" s="233" t="str">
        <f>+'CUOTA ARTESANAL'!E532</f>
        <v>STI DE ARMADORES PESCADORES ARTESANALES TRIPULANTES Y RAMAS SIMILARES BAHÍA CONCEPCIÓN RSU 08.05.0648</v>
      </c>
      <c r="F722" s="238" t="s">
        <v>54</v>
      </c>
      <c r="G722" s="238" t="s">
        <v>58</v>
      </c>
      <c r="H722" s="253">
        <f>'CUOTA ARTESANAL'!N532</f>
        <v>33.031999999999996</v>
      </c>
      <c r="I722" s="253">
        <f>'CUOTA ARTESANAL'!O532</f>
        <v>-10</v>
      </c>
      <c r="J722" s="253">
        <f>'CUOTA ARTESANAL'!P532</f>
        <v>23.031999999999996</v>
      </c>
      <c r="K722" s="253">
        <f>'CUOTA ARTESANAL'!Q532</f>
        <v>10.248000000000001</v>
      </c>
      <c r="L722" s="253">
        <f>'CUOTA ARTESANAL'!R532</f>
        <v>12.783999999999995</v>
      </c>
      <c r="M722" s="254">
        <f>'CUOTA ARTESANAL'!S532</f>
        <v>0.44494616186175767</v>
      </c>
      <c r="N722" s="245" t="s">
        <v>218</v>
      </c>
      <c r="O722" s="241">
        <f>RESUMEN!$C$4</f>
        <v>44561</v>
      </c>
      <c r="P722" s="233">
        <v>2021</v>
      </c>
      <c r="Q722" s="233"/>
    </row>
    <row r="723" spans="1:17" ht="15.75" customHeight="1">
      <c r="A723" s="238" t="s">
        <v>51</v>
      </c>
      <c r="B723" s="238" t="s">
        <v>52</v>
      </c>
      <c r="C723" s="238" t="s">
        <v>73</v>
      </c>
      <c r="D723" s="238" t="s">
        <v>66</v>
      </c>
      <c r="E723" s="233" t="str">
        <f>+'CUOTA ARTESANAL'!E534</f>
        <v>STI ARMADORES PESCADORES Y RAMOS AFINES DE LA PESCA ARTESANAL DE LA REGIÓN DEL BIOBÍO RSU 08.05.0378</v>
      </c>
      <c r="F723" s="238" t="s">
        <v>54</v>
      </c>
      <c r="G723" s="238" t="s">
        <v>56</v>
      </c>
      <c r="H723" s="253">
        <f>'CUOTA ARTESANAL'!G534</f>
        <v>1.5589999999999999</v>
      </c>
      <c r="I723" s="253">
        <f>'CUOTA ARTESANAL'!H534</f>
        <v>0</v>
      </c>
      <c r="J723" s="253">
        <f>'CUOTA ARTESANAL'!I534</f>
        <v>1.5589999999999999</v>
      </c>
      <c r="K723" s="253">
        <f>'CUOTA ARTESANAL'!J534</f>
        <v>0</v>
      </c>
      <c r="L723" s="253">
        <f>'CUOTA ARTESANAL'!K534</f>
        <v>1.5589999999999999</v>
      </c>
      <c r="M723" s="254">
        <f>'CUOTA ARTESANAL'!L534</f>
        <v>0</v>
      </c>
      <c r="N723" s="245" t="str">
        <f>'CUOTA ARTESANAL'!M534</f>
        <v>-</v>
      </c>
      <c r="O723" s="241">
        <f>RESUMEN!$C$4</f>
        <v>44561</v>
      </c>
      <c r="P723" s="233">
        <v>2021</v>
      </c>
      <c r="Q723" s="233"/>
    </row>
    <row r="724" spans="1:17" ht="15.75" customHeight="1">
      <c r="A724" s="238" t="s">
        <v>51</v>
      </c>
      <c r="B724" s="238" t="s">
        <v>52</v>
      </c>
      <c r="C724" s="238" t="s">
        <v>73</v>
      </c>
      <c r="D724" s="238" t="s">
        <v>66</v>
      </c>
      <c r="E724" s="233" t="str">
        <f>+'CUOTA ARTESANAL'!E534</f>
        <v>STI ARMADORES PESCADORES Y RAMOS AFINES DE LA PESCA ARTESANAL DE LA REGIÓN DEL BIOBÍO RSU 08.05.0378</v>
      </c>
      <c r="F724" s="238" t="s">
        <v>57</v>
      </c>
      <c r="G724" s="238" t="s">
        <v>58</v>
      </c>
      <c r="H724" s="253">
        <f>'CUOTA ARTESANAL'!G535</f>
        <v>1.5589999999999999</v>
      </c>
      <c r="I724" s="253">
        <f>'CUOTA ARTESANAL'!H535</f>
        <v>0</v>
      </c>
      <c r="J724" s="253">
        <f>'CUOTA ARTESANAL'!I535</f>
        <v>3.1179999999999999</v>
      </c>
      <c r="K724" s="253">
        <f>'CUOTA ARTESANAL'!J535</f>
        <v>0</v>
      </c>
      <c r="L724" s="253">
        <f>'CUOTA ARTESANAL'!K535</f>
        <v>3.1179999999999999</v>
      </c>
      <c r="M724" s="254">
        <f>'CUOTA ARTESANAL'!L535</f>
        <v>0</v>
      </c>
      <c r="N724" s="245" t="str">
        <f>'CUOTA ARTESANAL'!M535</f>
        <v>-</v>
      </c>
      <c r="O724" s="241">
        <f>RESUMEN!$C$4</f>
        <v>44561</v>
      </c>
      <c r="P724" s="233">
        <v>2021</v>
      </c>
      <c r="Q724" s="233"/>
    </row>
    <row r="725" spans="1:17" ht="15.75" customHeight="1">
      <c r="A725" s="238" t="s">
        <v>51</v>
      </c>
      <c r="B725" s="238" t="s">
        <v>52</v>
      </c>
      <c r="C725" s="238" t="s">
        <v>73</v>
      </c>
      <c r="D725" s="238" t="s">
        <v>66</v>
      </c>
      <c r="E725" s="233" t="str">
        <f>+'CUOTA ARTESANAL'!E534</f>
        <v>STI ARMADORES PESCADORES Y RAMOS AFINES DE LA PESCA ARTESANAL DE LA REGIÓN DEL BIOBÍO RSU 08.05.0378</v>
      </c>
      <c r="F725" s="238" t="s">
        <v>54</v>
      </c>
      <c r="G725" s="238" t="s">
        <v>58</v>
      </c>
      <c r="H725" s="253">
        <f>'CUOTA ARTESANAL'!N534</f>
        <v>3.1179999999999999</v>
      </c>
      <c r="I725" s="253">
        <f>'CUOTA ARTESANAL'!O534</f>
        <v>0</v>
      </c>
      <c r="J725" s="253">
        <f>'CUOTA ARTESANAL'!P534</f>
        <v>3.1179999999999999</v>
      </c>
      <c r="K725" s="253">
        <f>'CUOTA ARTESANAL'!Q534</f>
        <v>0</v>
      </c>
      <c r="L725" s="253">
        <f>'CUOTA ARTESANAL'!R534</f>
        <v>3.1179999999999999</v>
      </c>
      <c r="M725" s="254">
        <f>'CUOTA ARTESANAL'!S534</f>
        <v>0</v>
      </c>
      <c r="N725" s="245" t="s">
        <v>218</v>
      </c>
      <c r="O725" s="241">
        <f>RESUMEN!$C$4</f>
        <v>44561</v>
      </c>
      <c r="P725" s="233">
        <v>2021</v>
      </c>
      <c r="Q725" s="233"/>
    </row>
    <row r="726" spans="1:17" ht="15.75" customHeight="1">
      <c r="A726" s="238" t="s">
        <v>51</v>
      </c>
      <c r="B726" s="238" t="s">
        <v>52</v>
      </c>
      <c r="C726" s="238" t="s">
        <v>73</v>
      </c>
      <c r="D726" s="238" t="s">
        <v>66</v>
      </c>
      <c r="E726" s="233" t="str">
        <f>+'CUOTA ARTESANAL'!E536</f>
        <v>STI PESCADORES ARMADORES Y RAMOS AFINES DE LA PESCA ARTESANAL APAT CALETA TUMBES RSU 08.05.0380</v>
      </c>
      <c r="F726" s="238" t="s">
        <v>54</v>
      </c>
      <c r="G726" s="238" t="s">
        <v>56</v>
      </c>
      <c r="H726" s="253">
        <f>'CUOTA ARTESANAL'!G536</f>
        <v>6.67</v>
      </c>
      <c r="I726" s="253">
        <f>'CUOTA ARTESANAL'!H536</f>
        <v>0</v>
      </c>
      <c r="J726" s="253">
        <f>'CUOTA ARTESANAL'!I536</f>
        <v>6.67</v>
      </c>
      <c r="K726" s="253">
        <f>'CUOTA ARTESANAL'!J536</f>
        <v>0</v>
      </c>
      <c r="L726" s="253">
        <f>'CUOTA ARTESANAL'!K536</f>
        <v>6.67</v>
      </c>
      <c r="M726" s="254">
        <f>'CUOTA ARTESANAL'!L536</f>
        <v>0</v>
      </c>
      <c r="N726" s="245" t="str">
        <f>'CUOTA ARTESANAL'!M536</f>
        <v>-</v>
      </c>
      <c r="O726" s="241">
        <f>RESUMEN!$C$4</f>
        <v>44561</v>
      </c>
      <c r="P726" s="233">
        <v>2021</v>
      </c>
      <c r="Q726" s="233"/>
    </row>
    <row r="727" spans="1:17" ht="15.75" customHeight="1">
      <c r="A727" s="238" t="s">
        <v>51</v>
      </c>
      <c r="B727" s="238" t="s">
        <v>52</v>
      </c>
      <c r="C727" s="238" t="s">
        <v>73</v>
      </c>
      <c r="D727" s="238" t="s">
        <v>66</v>
      </c>
      <c r="E727" s="233" t="str">
        <f>+'CUOTA ARTESANAL'!E536</f>
        <v>STI PESCADORES ARMADORES Y RAMOS AFINES DE LA PESCA ARTESANAL APAT CALETA TUMBES RSU 08.05.0380</v>
      </c>
      <c r="F727" s="238" t="s">
        <v>57</v>
      </c>
      <c r="G727" s="238" t="s">
        <v>58</v>
      </c>
      <c r="H727" s="253">
        <f>'CUOTA ARTESANAL'!G537</f>
        <v>6.67</v>
      </c>
      <c r="I727" s="253">
        <f>'CUOTA ARTESANAL'!H537</f>
        <v>-10.5</v>
      </c>
      <c r="J727" s="253">
        <f>'CUOTA ARTESANAL'!I537</f>
        <v>2.84</v>
      </c>
      <c r="K727" s="253">
        <f>'CUOTA ARTESANAL'!J537</f>
        <v>2.7959999999999998</v>
      </c>
      <c r="L727" s="253">
        <f>'CUOTA ARTESANAL'!K537</f>
        <v>4.4000000000000039E-2</v>
      </c>
      <c r="M727" s="254">
        <f>'CUOTA ARTESANAL'!L537</f>
        <v>0.98450704225352115</v>
      </c>
      <c r="N727" s="245">
        <f>'CUOTA ARTESANAL'!M537</f>
        <v>44470</v>
      </c>
      <c r="O727" s="241">
        <f>RESUMEN!$C$4</f>
        <v>44561</v>
      </c>
      <c r="P727" s="233">
        <v>2021</v>
      </c>
      <c r="Q727" s="233"/>
    </row>
    <row r="728" spans="1:17" ht="15.75" customHeight="1">
      <c r="A728" s="238" t="s">
        <v>51</v>
      </c>
      <c r="B728" s="238" t="s">
        <v>52</v>
      </c>
      <c r="C728" s="238" t="s">
        <v>73</v>
      </c>
      <c r="D728" s="238" t="s">
        <v>66</v>
      </c>
      <c r="E728" s="233" t="str">
        <f>+'CUOTA ARTESANAL'!E536</f>
        <v>STI PESCADORES ARMADORES Y RAMOS AFINES DE LA PESCA ARTESANAL APAT CALETA TUMBES RSU 08.05.0380</v>
      </c>
      <c r="F728" s="238" t="s">
        <v>54</v>
      </c>
      <c r="G728" s="238" t="s">
        <v>58</v>
      </c>
      <c r="H728" s="253">
        <f>'CUOTA ARTESANAL'!N536</f>
        <v>13.34</v>
      </c>
      <c r="I728" s="253">
        <f>'CUOTA ARTESANAL'!O536</f>
        <v>-10.5</v>
      </c>
      <c r="J728" s="253">
        <f>'CUOTA ARTESANAL'!P536</f>
        <v>2.84</v>
      </c>
      <c r="K728" s="253">
        <f>'CUOTA ARTESANAL'!Q536</f>
        <v>2.7959999999999998</v>
      </c>
      <c r="L728" s="253">
        <f>'CUOTA ARTESANAL'!R536</f>
        <v>4.4000000000000039E-2</v>
      </c>
      <c r="M728" s="254">
        <f>'CUOTA ARTESANAL'!S536</f>
        <v>0.98450704225352115</v>
      </c>
      <c r="N728" s="245" t="s">
        <v>218</v>
      </c>
      <c r="O728" s="241">
        <f>RESUMEN!$C$4</f>
        <v>44561</v>
      </c>
      <c r="P728" s="233">
        <v>2021</v>
      </c>
      <c r="Q728" s="233"/>
    </row>
    <row r="729" spans="1:17" ht="15.75" customHeight="1">
      <c r="A729" s="238" t="s">
        <v>51</v>
      </c>
      <c r="B729" s="238" t="s">
        <v>52</v>
      </c>
      <c r="C729" s="238" t="s">
        <v>73</v>
      </c>
      <c r="D729" s="238" t="s">
        <v>66</v>
      </c>
      <c r="E729" s="233" t="str">
        <f>+'CUOTA ARTESANAL'!E538</f>
        <v>ASOCIACIÓN GREMIAL DE ARMADORES EMBARCACIONES MENORES AG MENOR COLIUMO RAG 507-8</v>
      </c>
      <c r="F729" s="238" t="s">
        <v>54</v>
      </c>
      <c r="G729" s="238" t="s">
        <v>56</v>
      </c>
      <c r="H729" s="253">
        <f>'CUOTA ARTESANAL'!G538</f>
        <v>14.456</v>
      </c>
      <c r="I729" s="253">
        <f>'CUOTA ARTESANAL'!H538</f>
        <v>0</v>
      </c>
      <c r="J729" s="253">
        <f>'CUOTA ARTESANAL'!I538</f>
        <v>14.456</v>
      </c>
      <c r="K729" s="253">
        <f>'CUOTA ARTESANAL'!J538</f>
        <v>0</v>
      </c>
      <c r="L729" s="253">
        <f>'CUOTA ARTESANAL'!K538</f>
        <v>14.456</v>
      </c>
      <c r="M729" s="254">
        <f>'CUOTA ARTESANAL'!L538</f>
        <v>0</v>
      </c>
      <c r="N729" s="245" t="str">
        <f>'CUOTA ARTESANAL'!M538</f>
        <v>-</v>
      </c>
      <c r="O729" s="241">
        <f>RESUMEN!$C$4</f>
        <v>44561</v>
      </c>
      <c r="P729" s="233">
        <v>2021</v>
      </c>
      <c r="Q729" s="233"/>
    </row>
    <row r="730" spans="1:17" ht="15.75" customHeight="1">
      <c r="A730" s="238" t="s">
        <v>51</v>
      </c>
      <c r="B730" s="238" t="s">
        <v>52</v>
      </c>
      <c r="C730" s="238" t="s">
        <v>73</v>
      </c>
      <c r="D730" s="238" t="s">
        <v>66</v>
      </c>
      <c r="E730" s="233" t="str">
        <f>+'CUOTA ARTESANAL'!E538</f>
        <v>ASOCIACIÓN GREMIAL DE ARMADORES EMBARCACIONES MENORES AG MENOR COLIUMO RAG 507-8</v>
      </c>
      <c r="F730" s="238" t="s">
        <v>57</v>
      </c>
      <c r="G730" s="238" t="s">
        <v>58</v>
      </c>
      <c r="H730" s="253">
        <f>'CUOTA ARTESANAL'!G539</f>
        <v>14.456</v>
      </c>
      <c r="I730" s="253">
        <f>'CUOTA ARTESANAL'!H539</f>
        <v>-20</v>
      </c>
      <c r="J730" s="253">
        <f>'CUOTA ARTESANAL'!I539</f>
        <v>8.911999999999999</v>
      </c>
      <c r="K730" s="253">
        <f>'CUOTA ARTESANAL'!J539</f>
        <v>0</v>
      </c>
      <c r="L730" s="253">
        <f>'CUOTA ARTESANAL'!K539</f>
        <v>8.911999999999999</v>
      </c>
      <c r="M730" s="254">
        <f>'CUOTA ARTESANAL'!L539</f>
        <v>0</v>
      </c>
      <c r="N730" s="245" t="str">
        <f>'CUOTA ARTESANAL'!M539</f>
        <v>-</v>
      </c>
      <c r="O730" s="241">
        <f>RESUMEN!$C$4</f>
        <v>44561</v>
      </c>
      <c r="P730" s="233">
        <v>2021</v>
      </c>
      <c r="Q730" s="233"/>
    </row>
    <row r="731" spans="1:17" ht="15.75" customHeight="1">
      <c r="A731" s="238" t="s">
        <v>51</v>
      </c>
      <c r="B731" s="238" t="s">
        <v>52</v>
      </c>
      <c r="C731" s="238" t="s">
        <v>73</v>
      </c>
      <c r="D731" s="238" t="s">
        <v>66</v>
      </c>
      <c r="E731" s="233" t="str">
        <f>+'CUOTA ARTESANAL'!E538</f>
        <v>ASOCIACIÓN GREMIAL DE ARMADORES EMBARCACIONES MENORES AG MENOR COLIUMO RAG 507-8</v>
      </c>
      <c r="F731" s="238" t="s">
        <v>54</v>
      </c>
      <c r="G731" s="238" t="s">
        <v>58</v>
      </c>
      <c r="H731" s="253">
        <f>'CUOTA ARTESANAL'!N538</f>
        <v>28.911999999999999</v>
      </c>
      <c r="I731" s="253">
        <f>'CUOTA ARTESANAL'!O538</f>
        <v>-20</v>
      </c>
      <c r="J731" s="253">
        <f>'CUOTA ARTESANAL'!P538</f>
        <v>8.911999999999999</v>
      </c>
      <c r="K731" s="253">
        <f>'CUOTA ARTESANAL'!Q538</f>
        <v>0</v>
      </c>
      <c r="L731" s="253">
        <f>'CUOTA ARTESANAL'!R538</f>
        <v>8.911999999999999</v>
      </c>
      <c r="M731" s="254">
        <f>'CUOTA ARTESANAL'!S538</f>
        <v>0</v>
      </c>
      <c r="N731" s="245" t="s">
        <v>218</v>
      </c>
      <c r="O731" s="241">
        <f>RESUMEN!$C$4</f>
        <v>44561</v>
      </c>
      <c r="P731" s="233">
        <v>2021</v>
      </c>
      <c r="Q731" s="233"/>
    </row>
    <row r="732" spans="1:17" ht="15.75" customHeight="1">
      <c r="A732" s="238" t="s">
        <v>51</v>
      </c>
      <c r="B732" s="238" t="s">
        <v>52</v>
      </c>
      <c r="C732" s="238" t="s">
        <v>73</v>
      </c>
      <c r="D732" s="238" t="s">
        <v>66</v>
      </c>
      <c r="E732" s="233" t="str">
        <f>+'CUOTA ARTESANAL'!E540</f>
        <v>SINDICATO PESCADORES ARTESANALES ARMADORES PELÁGICOS Y ACTIVIDADES CONEXAS DE LA CALETA VEGAS DE COLIUMO RSU 08.06.0113</v>
      </c>
      <c r="F732" s="238" t="s">
        <v>54</v>
      </c>
      <c r="G732" s="238" t="s">
        <v>56</v>
      </c>
      <c r="H732" s="253">
        <f>'CUOTA ARTESANAL'!G540</f>
        <v>12.268000000000001</v>
      </c>
      <c r="I732" s="253">
        <f>'CUOTA ARTESANAL'!H540</f>
        <v>-22</v>
      </c>
      <c r="J732" s="253">
        <f>'CUOTA ARTESANAL'!I540</f>
        <v>-9.7319999999999993</v>
      </c>
      <c r="K732" s="253">
        <f>'CUOTA ARTESANAL'!J540</f>
        <v>0</v>
      </c>
      <c r="L732" s="253">
        <f>'CUOTA ARTESANAL'!K540</f>
        <v>-9.7319999999999993</v>
      </c>
      <c r="M732" s="254">
        <f>'CUOTA ARTESANAL'!L540</f>
        <v>0</v>
      </c>
      <c r="N732" s="245" t="str">
        <f>'CUOTA ARTESANAL'!M540</f>
        <v>-</v>
      </c>
      <c r="O732" s="241">
        <f>RESUMEN!$C$4</f>
        <v>44561</v>
      </c>
      <c r="P732" s="233">
        <v>2021</v>
      </c>
      <c r="Q732" s="233"/>
    </row>
    <row r="733" spans="1:17" ht="15.75" customHeight="1">
      <c r="A733" s="238" t="s">
        <v>51</v>
      </c>
      <c r="B733" s="238" t="s">
        <v>52</v>
      </c>
      <c r="C733" s="238" t="s">
        <v>73</v>
      </c>
      <c r="D733" s="238" t="s">
        <v>66</v>
      </c>
      <c r="E733" s="233" t="str">
        <f>+'CUOTA ARTESANAL'!E540</f>
        <v>SINDICATO PESCADORES ARTESANALES ARMADORES PELÁGICOS Y ACTIVIDADES CONEXAS DE LA CALETA VEGAS DE COLIUMO RSU 08.06.0113</v>
      </c>
      <c r="F733" s="238" t="s">
        <v>57</v>
      </c>
      <c r="G733" s="238" t="s">
        <v>58</v>
      </c>
      <c r="H733" s="253">
        <f>'CUOTA ARTESANAL'!G541</f>
        <v>12.268000000000001</v>
      </c>
      <c r="I733" s="253">
        <f>'CUOTA ARTESANAL'!H541</f>
        <v>0</v>
      </c>
      <c r="J733" s="253">
        <f>'CUOTA ARTESANAL'!I541</f>
        <v>2.5360000000000014</v>
      </c>
      <c r="K733" s="253">
        <f>'CUOTA ARTESANAL'!J541</f>
        <v>0</v>
      </c>
      <c r="L733" s="253">
        <f>'CUOTA ARTESANAL'!K541</f>
        <v>2.5360000000000014</v>
      </c>
      <c r="M733" s="254">
        <f>'CUOTA ARTESANAL'!L541</f>
        <v>0</v>
      </c>
      <c r="N733" s="245" t="str">
        <f>'CUOTA ARTESANAL'!M541</f>
        <v>-</v>
      </c>
      <c r="O733" s="241">
        <f>RESUMEN!$C$4</f>
        <v>44561</v>
      </c>
      <c r="P733" s="233">
        <v>2021</v>
      </c>
      <c r="Q733" s="233"/>
    </row>
    <row r="734" spans="1:17" ht="15.75" customHeight="1">
      <c r="A734" s="238" t="s">
        <v>51</v>
      </c>
      <c r="B734" s="238" t="s">
        <v>52</v>
      </c>
      <c r="C734" s="238" t="s">
        <v>73</v>
      </c>
      <c r="D734" s="238" t="s">
        <v>66</v>
      </c>
      <c r="E734" s="233" t="str">
        <f>+'CUOTA ARTESANAL'!E540</f>
        <v>SINDICATO PESCADORES ARTESANALES ARMADORES PELÁGICOS Y ACTIVIDADES CONEXAS DE LA CALETA VEGAS DE COLIUMO RSU 08.06.0113</v>
      </c>
      <c r="F734" s="238" t="s">
        <v>54</v>
      </c>
      <c r="G734" s="238" t="s">
        <v>58</v>
      </c>
      <c r="H734" s="253">
        <f>'CUOTA ARTESANAL'!N540</f>
        <v>24.536000000000001</v>
      </c>
      <c r="I734" s="253">
        <f>'CUOTA ARTESANAL'!O540</f>
        <v>-22</v>
      </c>
      <c r="J734" s="253">
        <f>'CUOTA ARTESANAL'!P540</f>
        <v>2.5360000000000014</v>
      </c>
      <c r="K734" s="253">
        <f>'CUOTA ARTESANAL'!Q540</f>
        <v>0</v>
      </c>
      <c r="L734" s="253">
        <f>'CUOTA ARTESANAL'!R540</f>
        <v>2.5360000000000014</v>
      </c>
      <c r="M734" s="254">
        <f>'CUOTA ARTESANAL'!S540</f>
        <v>0</v>
      </c>
      <c r="N734" s="245" t="s">
        <v>218</v>
      </c>
      <c r="O734" s="241">
        <f>RESUMEN!$C$4</f>
        <v>44561</v>
      </c>
      <c r="P734" s="233">
        <v>2021</v>
      </c>
      <c r="Q734" s="233"/>
    </row>
    <row r="735" spans="1:17" ht="15.75" customHeight="1">
      <c r="A735" s="238" t="s">
        <v>51</v>
      </c>
      <c r="B735" s="238" t="s">
        <v>52</v>
      </c>
      <c r="C735" s="238" t="s">
        <v>73</v>
      </c>
      <c r="D735" s="238" t="s">
        <v>66</v>
      </c>
      <c r="E735" s="233" t="str">
        <f>+'CUOTA ARTESANAL'!E542</f>
        <v>STI PESCADORES ARTESANALES DE CALETA TUMBES TALCAHUANO RSU 08.05.0057</v>
      </c>
      <c r="F735" s="238" t="s">
        <v>54</v>
      </c>
      <c r="G735" s="238" t="s">
        <v>56</v>
      </c>
      <c r="H735" s="253">
        <f>'CUOTA ARTESANAL'!G542</f>
        <v>16.405000000000001</v>
      </c>
      <c r="I735" s="253">
        <f>'CUOTA ARTESANAL'!H542</f>
        <v>0</v>
      </c>
      <c r="J735" s="253">
        <f>'CUOTA ARTESANAL'!I542</f>
        <v>16.405000000000001</v>
      </c>
      <c r="K735" s="253">
        <f>'CUOTA ARTESANAL'!J542</f>
        <v>5.0999999999999996</v>
      </c>
      <c r="L735" s="253">
        <f>'CUOTA ARTESANAL'!K542</f>
        <v>11.305000000000001</v>
      </c>
      <c r="M735" s="254">
        <f>'CUOTA ARTESANAL'!L542</f>
        <v>0.31088082901554398</v>
      </c>
      <c r="N735" s="245" t="str">
        <f>'CUOTA ARTESANAL'!M542</f>
        <v>-</v>
      </c>
      <c r="O735" s="241">
        <f>RESUMEN!$C$4</f>
        <v>44561</v>
      </c>
      <c r="P735" s="233">
        <v>2021</v>
      </c>
      <c r="Q735" s="233"/>
    </row>
    <row r="736" spans="1:17" ht="15.75" customHeight="1">
      <c r="A736" s="238" t="s">
        <v>51</v>
      </c>
      <c r="B736" s="238" t="s">
        <v>52</v>
      </c>
      <c r="C736" s="238" t="s">
        <v>73</v>
      </c>
      <c r="D736" s="238" t="s">
        <v>66</v>
      </c>
      <c r="E736" s="233" t="str">
        <f>+'CUOTA ARTESANAL'!E542</f>
        <v>STI PESCADORES ARTESANALES DE CALETA TUMBES TALCAHUANO RSU 08.05.0057</v>
      </c>
      <c r="F736" s="238" t="s">
        <v>57</v>
      </c>
      <c r="G736" s="238" t="s">
        <v>58</v>
      </c>
      <c r="H736" s="253">
        <f>'CUOTA ARTESANAL'!G543</f>
        <v>16.405000000000001</v>
      </c>
      <c r="I736" s="253">
        <f>'CUOTA ARTESANAL'!H543</f>
        <v>0</v>
      </c>
      <c r="J736" s="253">
        <f>'CUOTA ARTESANAL'!I543</f>
        <v>27.71</v>
      </c>
      <c r="K736" s="253">
        <f>'CUOTA ARTESANAL'!J543</f>
        <v>7.1779999999999999</v>
      </c>
      <c r="L736" s="253">
        <f>'CUOTA ARTESANAL'!K543</f>
        <v>20.532</v>
      </c>
      <c r="M736" s="254">
        <f>'CUOTA ARTESANAL'!L543</f>
        <v>0.25904005774088773</v>
      </c>
      <c r="N736" s="245" t="str">
        <f>'CUOTA ARTESANAL'!M543</f>
        <v>-</v>
      </c>
      <c r="O736" s="241">
        <f>RESUMEN!$C$4</f>
        <v>44561</v>
      </c>
      <c r="P736" s="233">
        <v>2021</v>
      </c>
      <c r="Q736" s="233"/>
    </row>
    <row r="737" spans="1:17" ht="15.75" customHeight="1">
      <c r="A737" s="238" t="s">
        <v>51</v>
      </c>
      <c r="B737" s="238" t="s">
        <v>52</v>
      </c>
      <c r="C737" s="238" t="s">
        <v>73</v>
      </c>
      <c r="D737" s="238" t="s">
        <v>66</v>
      </c>
      <c r="E737" s="233" t="str">
        <f>+'CUOTA ARTESANAL'!E542</f>
        <v>STI PESCADORES ARTESANALES DE CALETA TUMBES TALCAHUANO RSU 08.05.0057</v>
      </c>
      <c r="F737" s="238" t="s">
        <v>54</v>
      </c>
      <c r="G737" s="238" t="s">
        <v>58</v>
      </c>
      <c r="H737" s="253">
        <f>'CUOTA ARTESANAL'!N542</f>
        <v>32.81</v>
      </c>
      <c r="I737" s="253">
        <f>'CUOTA ARTESANAL'!O542</f>
        <v>0</v>
      </c>
      <c r="J737" s="253">
        <f>'CUOTA ARTESANAL'!P542</f>
        <v>32.81</v>
      </c>
      <c r="K737" s="253">
        <f>'CUOTA ARTESANAL'!Q542</f>
        <v>12.277999999999999</v>
      </c>
      <c r="L737" s="253">
        <f>'CUOTA ARTESANAL'!R542</f>
        <v>20.532000000000004</v>
      </c>
      <c r="M737" s="254">
        <f>'CUOTA ARTESANAL'!S542</f>
        <v>0.37421517829929896</v>
      </c>
      <c r="N737" s="245" t="s">
        <v>218</v>
      </c>
      <c r="O737" s="241">
        <f>RESUMEN!$C$4</f>
        <v>44561</v>
      </c>
      <c r="P737" s="233">
        <v>2021</v>
      </c>
      <c r="Q737" s="233"/>
    </row>
    <row r="738" spans="1:17" ht="15.75" customHeight="1">
      <c r="A738" s="238" t="s">
        <v>51</v>
      </c>
      <c r="B738" s="238" t="s">
        <v>52</v>
      </c>
      <c r="C738" s="238" t="s">
        <v>73</v>
      </c>
      <c r="D738" s="238" t="s">
        <v>66</v>
      </c>
      <c r="E738" s="233" t="str">
        <f>+'CUOTA ARTESANAL'!E544</f>
        <v>ASOCIACIÓN GREMIAL DE PESCADORES ARTESANALES DE CALETA INFIERNILLO RAG 98-8</v>
      </c>
      <c r="F738" s="238" t="s">
        <v>54</v>
      </c>
      <c r="G738" s="238" t="s">
        <v>56</v>
      </c>
      <c r="H738" s="253">
        <f>'CUOTA ARTESANAL'!G544</f>
        <v>18.940999999999999</v>
      </c>
      <c r="I738" s="253">
        <f>'CUOTA ARTESANAL'!H544</f>
        <v>0</v>
      </c>
      <c r="J738" s="253">
        <f>'CUOTA ARTESANAL'!I544</f>
        <v>18.940999999999999</v>
      </c>
      <c r="K738" s="253">
        <f>'CUOTA ARTESANAL'!J544</f>
        <v>15.291</v>
      </c>
      <c r="L738" s="253">
        <f>'CUOTA ARTESANAL'!K544</f>
        <v>3.6499999999999986</v>
      </c>
      <c r="M738" s="254">
        <f>'CUOTA ARTESANAL'!L544</f>
        <v>0.8072963412702604</v>
      </c>
      <c r="N738" s="245" t="str">
        <f>'CUOTA ARTESANAL'!M544</f>
        <v>-</v>
      </c>
      <c r="O738" s="241">
        <f>RESUMEN!$C$4</f>
        <v>44561</v>
      </c>
      <c r="P738" s="233">
        <v>2021</v>
      </c>
      <c r="Q738" s="233"/>
    </row>
    <row r="739" spans="1:17" ht="15.75" customHeight="1">
      <c r="A739" s="238" t="s">
        <v>51</v>
      </c>
      <c r="B739" s="238" t="s">
        <v>52</v>
      </c>
      <c r="C739" s="238" t="s">
        <v>73</v>
      </c>
      <c r="D739" s="238" t="s">
        <v>66</v>
      </c>
      <c r="E739" s="233" t="str">
        <f>+'CUOTA ARTESANAL'!E544</f>
        <v>ASOCIACIÓN GREMIAL DE PESCADORES ARTESANALES DE CALETA INFIERNILLO RAG 98-8</v>
      </c>
      <c r="F739" s="238" t="s">
        <v>57</v>
      </c>
      <c r="G739" s="238" t="s">
        <v>58</v>
      </c>
      <c r="H739" s="253">
        <f>'CUOTA ARTESANAL'!G545</f>
        <v>18.940999999999999</v>
      </c>
      <c r="I739" s="253">
        <f>'CUOTA ARTESANAL'!H545</f>
        <v>0</v>
      </c>
      <c r="J739" s="253">
        <f>'CUOTA ARTESANAL'!I545</f>
        <v>22.590999999999998</v>
      </c>
      <c r="K739" s="253">
        <f>'CUOTA ARTESANAL'!J545</f>
        <v>10.385999999999999</v>
      </c>
      <c r="L739" s="253">
        <f>'CUOTA ARTESANAL'!K545</f>
        <v>12.204999999999998</v>
      </c>
      <c r="M739" s="254">
        <f>'CUOTA ARTESANAL'!L545</f>
        <v>0.45974060466557481</v>
      </c>
      <c r="N739" s="245" t="str">
        <f>'CUOTA ARTESANAL'!M545</f>
        <v>-</v>
      </c>
      <c r="O739" s="241">
        <f>RESUMEN!$C$4</f>
        <v>44561</v>
      </c>
      <c r="P739" s="233">
        <v>2021</v>
      </c>
      <c r="Q739" s="233"/>
    </row>
    <row r="740" spans="1:17" ht="15.75" customHeight="1">
      <c r="A740" s="238" t="s">
        <v>51</v>
      </c>
      <c r="B740" s="238" t="s">
        <v>52</v>
      </c>
      <c r="C740" s="238" t="s">
        <v>73</v>
      </c>
      <c r="D740" s="238" t="s">
        <v>66</v>
      </c>
      <c r="E740" s="233" t="str">
        <f>+'CUOTA ARTESANAL'!E544</f>
        <v>ASOCIACIÓN GREMIAL DE PESCADORES ARTESANALES DE CALETA INFIERNILLO RAG 98-8</v>
      </c>
      <c r="F740" s="238" t="s">
        <v>54</v>
      </c>
      <c r="G740" s="238" t="s">
        <v>58</v>
      </c>
      <c r="H740" s="253">
        <f>'CUOTA ARTESANAL'!N544</f>
        <v>37.881999999999998</v>
      </c>
      <c r="I740" s="253">
        <f>'CUOTA ARTESANAL'!O544</f>
        <v>0</v>
      </c>
      <c r="J740" s="253">
        <f>'CUOTA ARTESANAL'!P544</f>
        <v>37.881999999999998</v>
      </c>
      <c r="K740" s="253">
        <f>'CUOTA ARTESANAL'!Q544</f>
        <v>25.677</v>
      </c>
      <c r="L740" s="253">
        <f>'CUOTA ARTESANAL'!R544</f>
        <v>12.204999999999998</v>
      </c>
      <c r="M740" s="254">
        <f>'CUOTA ARTESANAL'!S544</f>
        <v>0.67781532126075716</v>
      </c>
      <c r="N740" s="245" t="s">
        <v>218</v>
      </c>
      <c r="O740" s="241">
        <f>RESUMEN!$C$4</f>
        <v>44561</v>
      </c>
      <c r="P740" s="233">
        <v>2021</v>
      </c>
      <c r="Q740" s="233"/>
    </row>
    <row r="741" spans="1:17" ht="15.75" customHeight="1">
      <c r="A741" s="238" t="s">
        <v>51</v>
      </c>
      <c r="B741" s="238" t="s">
        <v>52</v>
      </c>
      <c r="C741" s="238" t="s">
        <v>73</v>
      </c>
      <c r="D741" s="238" t="s">
        <v>66</v>
      </c>
      <c r="E741" s="233" t="str">
        <f>+'CUOTA ARTESANAL'!E546</f>
        <v>STI PESCADORES ARTESANALES PENÍNSULA DE TUMBES RSU 08.05.0391</v>
      </c>
      <c r="F741" s="238" t="s">
        <v>54</v>
      </c>
      <c r="G741" s="238" t="s">
        <v>56</v>
      </c>
      <c r="H741" s="253">
        <f>'CUOTA ARTESANAL'!G546</f>
        <v>2.665</v>
      </c>
      <c r="I741" s="253">
        <f>'CUOTA ARTESANAL'!H546</f>
        <v>0</v>
      </c>
      <c r="J741" s="253">
        <f>'CUOTA ARTESANAL'!I546</f>
        <v>2.665</v>
      </c>
      <c r="K741" s="253">
        <f>'CUOTA ARTESANAL'!J546</f>
        <v>0</v>
      </c>
      <c r="L741" s="253">
        <f>'CUOTA ARTESANAL'!K546</f>
        <v>2.665</v>
      </c>
      <c r="M741" s="254">
        <f>'CUOTA ARTESANAL'!L546</f>
        <v>0</v>
      </c>
      <c r="N741" s="245" t="str">
        <f>'CUOTA ARTESANAL'!M546</f>
        <v>-</v>
      </c>
      <c r="O741" s="241">
        <f>RESUMEN!$C$4</f>
        <v>44561</v>
      </c>
      <c r="P741" s="233">
        <v>2021</v>
      </c>
      <c r="Q741" s="233"/>
    </row>
    <row r="742" spans="1:17" ht="15.75" customHeight="1">
      <c r="A742" s="238" t="s">
        <v>51</v>
      </c>
      <c r="B742" s="238" t="s">
        <v>52</v>
      </c>
      <c r="C742" s="238" t="s">
        <v>73</v>
      </c>
      <c r="D742" s="238" t="s">
        <v>66</v>
      </c>
      <c r="E742" s="233" t="str">
        <f>+'CUOTA ARTESANAL'!E546</f>
        <v>STI PESCADORES ARTESANALES PENÍNSULA DE TUMBES RSU 08.05.0391</v>
      </c>
      <c r="F742" s="238" t="s">
        <v>57</v>
      </c>
      <c r="G742" s="238" t="s">
        <v>58</v>
      </c>
      <c r="H742" s="253">
        <f>'CUOTA ARTESANAL'!G547</f>
        <v>2.665</v>
      </c>
      <c r="I742" s="253">
        <f>'CUOTA ARTESANAL'!H547</f>
        <v>0</v>
      </c>
      <c r="J742" s="253">
        <f>'CUOTA ARTESANAL'!I547</f>
        <v>5.33</v>
      </c>
      <c r="K742" s="253">
        <f>'CUOTA ARTESANAL'!J547</f>
        <v>5.6000000000000001E-2</v>
      </c>
      <c r="L742" s="253">
        <f>'CUOTA ARTESANAL'!K547</f>
        <v>5.274</v>
      </c>
      <c r="M742" s="254">
        <f>'CUOTA ARTESANAL'!L547</f>
        <v>1.050656660412758E-2</v>
      </c>
      <c r="N742" s="245" t="str">
        <f>'CUOTA ARTESANAL'!M547</f>
        <v>-</v>
      </c>
      <c r="O742" s="241">
        <f>RESUMEN!$C$4</f>
        <v>44561</v>
      </c>
      <c r="P742" s="233">
        <v>2021</v>
      </c>
      <c r="Q742" s="233"/>
    </row>
    <row r="743" spans="1:17" ht="15.75" customHeight="1">
      <c r="A743" s="238" t="s">
        <v>51</v>
      </c>
      <c r="B743" s="238" t="s">
        <v>52</v>
      </c>
      <c r="C743" s="238" t="s">
        <v>73</v>
      </c>
      <c r="D743" s="238" t="s">
        <v>66</v>
      </c>
      <c r="E743" s="233" t="str">
        <f>+'CUOTA ARTESANAL'!E546</f>
        <v>STI PESCADORES ARTESANALES PENÍNSULA DE TUMBES RSU 08.05.0391</v>
      </c>
      <c r="F743" s="238" t="s">
        <v>54</v>
      </c>
      <c r="G743" s="238" t="s">
        <v>58</v>
      </c>
      <c r="H743" s="253">
        <f>'CUOTA ARTESANAL'!N546</f>
        <v>5.33</v>
      </c>
      <c r="I743" s="253">
        <f>'CUOTA ARTESANAL'!O546</f>
        <v>0</v>
      </c>
      <c r="J743" s="253">
        <f>'CUOTA ARTESANAL'!P546</f>
        <v>5.33</v>
      </c>
      <c r="K743" s="253">
        <f>'CUOTA ARTESANAL'!Q546</f>
        <v>5.6000000000000001E-2</v>
      </c>
      <c r="L743" s="253">
        <f>'CUOTA ARTESANAL'!R546</f>
        <v>5.274</v>
      </c>
      <c r="M743" s="254">
        <f>'CUOTA ARTESANAL'!S546</f>
        <v>1.050656660412758E-2</v>
      </c>
      <c r="N743" s="245" t="s">
        <v>218</v>
      </c>
      <c r="O743" s="241">
        <f>RESUMEN!$C$4</f>
        <v>44561</v>
      </c>
      <c r="P743" s="233">
        <v>2021</v>
      </c>
      <c r="Q743" s="233"/>
    </row>
    <row r="744" spans="1:17" ht="15.75" customHeight="1">
      <c r="A744" s="238" t="s">
        <v>51</v>
      </c>
      <c r="B744" s="238" t="s">
        <v>52</v>
      </c>
      <c r="C744" s="238" t="s">
        <v>73</v>
      </c>
      <c r="D744" s="238" t="s">
        <v>66</v>
      </c>
      <c r="E744" s="233" t="str">
        <f>+'CUOTA ARTESANAL'!E548</f>
        <v>ASOCIACIÓN GREMIAL DE ARMADORES PESCADORES ARTESANALES BUZOS MARISCADORES RECOLECTORES DE ORILLA Y RAMOS AFINES - AG ESCAFANDRAS CON HISTORIA DE TALCAHUANO RAG 62-8</v>
      </c>
      <c r="F744" s="238" t="s">
        <v>54</v>
      </c>
      <c r="G744" s="238" t="s">
        <v>56</v>
      </c>
      <c r="H744" s="253">
        <f>'CUOTA ARTESANAL'!G548</f>
        <v>2.7759999999999998</v>
      </c>
      <c r="I744" s="253">
        <f>'CUOTA ARTESANAL'!H548</f>
        <v>0</v>
      </c>
      <c r="J744" s="253">
        <f>'CUOTA ARTESANAL'!I548</f>
        <v>2.7759999999999998</v>
      </c>
      <c r="K744" s="253">
        <f>'CUOTA ARTESANAL'!J548</f>
        <v>0</v>
      </c>
      <c r="L744" s="253">
        <f>'CUOTA ARTESANAL'!K548</f>
        <v>2.7759999999999998</v>
      </c>
      <c r="M744" s="254">
        <f>'CUOTA ARTESANAL'!L548</f>
        <v>0</v>
      </c>
      <c r="N744" s="245" t="str">
        <f>'CUOTA ARTESANAL'!M548</f>
        <v>-</v>
      </c>
      <c r="O744" s="241">
        <f>RESUMEN!$C$4</f>
        <v>44561</v>
      </c>
      <c r="P744" s="233">
        <v>2021</v>
      </c>
      <c r="Q744" s="233"/>
    </row>
    <row r="745" spans="1:17" ht="15.75" customHeight="1">
      <c r="A745" s="238" t="s">
        <v>51</v>
      </c>
      <c r="B745" s="238" t="s">
        <v>52</v>
      </c>
      <c r="C745" s="238" t="s">
        <v>73</v>
      </c>
      <c r="D745" s="238" t="s">
        <v>66</v>
      </c>
      <c r="E745" s="233" t="str">
        <f>+'CUOTA ARTESANAL'!E548</f>
        <v>ASOCIACIÓN GREMIAL DE ARMADORES PESCADORES ARTESANALES BUZOS MARISCADORES RECOLECTORES DE ORILLA Y RAMOS AFINES - AG ESCAFANDRAS CON HISTORIA DE TALCAHUANO RAG 62-8</v>
      </c>
      <c r="F745" s="238" t="s">
        <v>57</v>
      </c>
      <c r="G745" s="238" t="s">
        <v>58</v>
      </c>
      <c r="H745" s="253">
        <f>'CUOTA ARTESANAL'!G549</f>
        <v>2.7759999999999998</v>
      </c>
      <c r="I745" s="253">
        <f>'CUOTA ARTESANAL'!H549</f>
        <v>0</v>
      </c>
      <c r="J745" s="253">
        <f>'CUOTA ARTESANAL'!I549</f>
        <v>5.5519999999999996</v>
      </c>
      <c r="K745" s="253">
        <f>'CUOTA ARTESANAL'!J549</f>
        <v>0</v>
      </c>
      <c r="L745" s="253">
        <f>'CUOTA ARTESANAL'!K549</f>
        <v>5.5519999999999996</v>
      </c>
      <c r="M745" s="254">
        <f>'CUOTA ARTESANAL'!L549</f>
        <v>0</v>
      </c>
      <c r="N745" s="245" t="str">
        <f>'CUOTA ARTESANAL'!M549</f>
        <v>-</v>
      </c>
      <c r="O745" s="241">
        <f>RESUMEN!$C$4</f>
        <v>44561</v>
      </c>
      <c r="P745" s="233">
        <v>2021</v>
      </c>
      <c r="Q745" s="233"/>
    </row>
    <row r="746" spans="1:17" ht="15.75" customHeight="1">
      <c r="A746" s="238" t="s">
        <v>51</v>
      </c>
      <c r="B746" s="238" t="s">
        <v>52</v>
      </c>
      <c r="C746" s="238" t="s">
        <v>73</v>
      </c>
      <c r="D746" s="238" t="s">
        <v>66</v>
      </c>
      <c r="E746" s="233" t="str">
        <f>+'CUOTA ARTESANAL'!E548</f>
        <v>ASOCIACIÓN GREMIAL DE ARMADORES PESCADORES ARTESANALES BUZOS MARISCADORES RECOLECTORES DE ORILLA Y RAMOS AFINES - AG ESCAFANDRAS CON HISTORIA DE TALCAHUANO RAG 62-8</v>
      </c>
      <c r="F746" s="238" t="s">
        <v>54</v>
      </c>
      <c r="G746" s="238" t="s">
        <v>58</v>
      </c>
      <c r="H746" s="253">
        <f>'CUOTA ARTESANAL'!N548</f>
        <v>5.5519999999999996</v>
      </c>
      <c r="I746" s="253">
        <f>'CUOTA ARTESANAL'!O548</f>
        <v>0</v>
      </c>
      <c r="J746" s="253">
        <f>'CUOTA ARTESANAL'!P548</f>
        <v>5.5519999999999996</v>
      </c>
      <c r="K746" s="253">
        <f>'CUOTA ARTESANAL'!Q548</f>
        <v>0</v>
      </c>
      <c r="L746" s="253">
        <f>'CUOTA ARTESANAL'!R548</f>
        <v>5.5519999999999996</v>
      </c>
      <c r="M746" s="254">
        <f>'CUOTA ARTESANAL'!S548</f>
        <v>0</v>
      </c>
      <c r="N746" s="245" t="s">
        <v>218</v>
      </c>
      <c r="O746" s="241">
        <f>RESUMEN!$C$4</f>
        <v>44561</v>
      </c>
      <c r="P746" s="233">
        <v>2021</v>
      </c>
      <c r="Q746" s="233"/>
    </row>
    <row r="747" spans="1:17" ht="15.75" customHeight="1">
      <c r="A747" s="238" t="s">
        <v>51</v>
      </c>
      <c r="B747" s="238" t="s">
        <v>52</v>
      </c>
      <c r="C747" s="238" t="s">
        <v>73</v>
      </c>
      <c r="D747" s="238" t="s">
        <v>66</v>
      </c>
      <c r="E747" s="233" t="str">
        <f>+'CUOTA ARTESANAL'!E550</f>
        <v>ASOCIACIÓN GREMIAL DE PESCADORES Y ARMADORES PELÁGICOS DE LA REGIÓN DEL BIOBÍO - PESCAMAR AG RAG 450-8</v>
      </c>
      <c r="F747" s="238" t="s">
        <v>54</v>
      </c>
      <c r="G747" s="238" t="s">
        <v>56</v>
      </c>
      <c r="H747" s="253">
        <f>'CUOTA ARTESANAL'!G550</f>
        <v>1.3839999999999999</v>
      </c>
      <c r="I747" s="253">
        <f>'CUOTA ARTESANAL'!H550</f>
        <v>0</v>
      </c>
      <c r="J747" s="253">
        <f>'CUOTA ARTESANAL'!I550</f>
        <v>1.3839999999999999</v>
      </c>
      <c r="K747" s="253">
        <f>'CUOTA ARTESANAL'!J550</f>
        <v>0</v>
      </c>
      <c r="L747" s="253">
        <f>'CUOTA ARTESANAL'!K550</f>
        <v>1.3839999999999999</v>
      </c>
      <c r="M747" s="254">
        <f>'CUOTA ARTESANAL'!L550</f>
        <v>0</v>
      </c>
      <c r="N747" s="245" t="str">
        <f>'CUOTA ARTESANAL'!M550</f>
        <v>-</v>
      </c>
      <c r="O747" s="241">
        <f>RESUMEN!$C$4</f>
        <v>44561</v>
      </c>
      <c r="P747" s="233">
        <v>2021</v>
      </c>
      <c r="Q747" s="233"/>
    </row>
    <row r="748" spans="1:17" ht="15.75" customHeight="1">
      <c r="A748" s="238" t="s">
        <v>51</v>
      </c>
      <c r="B748" s="238" t="s">
        <v>52</v>
      </c>
      <c r="C748" s="238" t="s">
        <v>73</v>
      </c>
      <c r="D748" s="238" t="s">
        <v>66</v>
      </c>
      <c r="E748" s="233" t="str">
        <f>+'CUOTA ARTESANAL'!E550</f>
        <v>ASOCIACIÓN GREMIAL DE PESCADORES Y ARMADORES PELÁGICOS DE LA REGIÓN DEL BIOBÍO - PESCAMAR AG RAG 450-8</v>
      </c>
      <c r="F748" s="238" t="s">
        <v>57</v>
      </c>
      <c r="G748" s="238" t="s">
        <v>58</v>
      </c>
      <c r="H748" s="253">
        <f>'CUOTA ARTESANAL'!G551</f>
        <v>1.3839999999999999</v>
      </c>
      <c r="I748" s="253">
        <f>'CUOTA ARTESANAL'!H551</f>
        <v>0</v>
      </c>
      <c r="J748" s="253">
        <f>'CUOTA ARTESANAL'!I551</f>
        <v>2.7679999999999998</v>
      </c>
      <c r="K748" s="253">
        <f>'CUOTA ARTESANAL'!J551</f>
        <v>0</v>
      </c>
      <c r="L748" s="253">
        <f>'CUOTA ARTESANAL'!K551</f>
        <v>2.7679999999999998</v>
      </c>
      <c r="M748" s="254">
        <f>'CUOTA ARTESANAL'!L551</f>
        <v>0</v>
      </c>
      <c r="N748" s="245" t="str">
        <f>'CUOTA ARTESANAL'!M551</f>
        <v>-</v>
      </c>
      <c r="O748" s="241">
        <f>RESUMEN!$C$4</f>
        <v>44561</v>
      </c>
      <c r="P748" s="233">
        <v>2021</v>
      </c>
      <c r="Q748" s="233"/>
    </row>
    <row r="749" spans="1:17" ht="15.75" customHeight="1">
      <c r="A749" s="238" t="s">
        <v>51</v>
      </c>
      <c r="B749" s="238" t="s">
        <v>52</v>
      </c>
      <c r="C749" s="238" t="s">
        <v>73</v>
      </c>
      <c r="D749" s="238" t="s">
        <v>66</v>
      </c>
      <c r="E749" s="233" t="str">
        <f>+'CUOTA ARTESANAL'!E550</f>
        <v>ASOCIACIÓN GREMIAL DE PESCADORES Y ARMADORES PELÁGICOS DE LA REGIÓN DEL BIOBÍO - PESCAMAR AG RAG 450-8</v>
      </c>
      <c r="F749" s="238" t="s">
        <v>54</v>
      </c>
      <c r="G749" s="238" t="s">
        <v>58</v>
      </c>
      <c r="H749" s="253">
        <f>'CUOTA ARTESANAL'!N550</f>
        <v>2.7679999999999998</v>
      </c>
      <c r="I749" s="253">
        <f>'CUOTA ARTESANAL'!O550</f>
        <v>0</v>
      </c>
      <c r="J749" s="253">
        <f>'CUOTA ARTESANAL'!P550</f>
        <v>2.7679999999999998</v>
      </c>
      <c r="K749" s="253">
        <f>'CUOTA ARTESANAL'!Q550</f>
        <v>0</v>
      </c>
      <c r="L749" s="253">
        <f>'CUOTA ARTESANAL'!R550</f>
        <v>2.7679999999999998</v>
      </c>
      <c r="M749" s="254">
        <f>'CUOTA ARTESANAL'!S550</f>
        <v>0</v>
      </c>
      <c r="N749" s="245" t="s">
        <v>218</v>
      </c>
      <c r="O749" s="241">
        <f>RESUMEN!$C$4</f>
        <v>44561</v>
      </c>
      <c r="P749" s="233">
        <v>2021</v>
      </c>
      <c r="Q749" s="233"/>
    </row>
    <row r="750" spans="1:17" ht="15.75" customHeight="1">
      <c r="A750" s="238" t="s">
        <v>51</v>
      </c>
      <c r="B750" s="238" t="s">
        <v>52</v>
      </c>
      <c r="C750" s="238" t="s">
        <v>73</v>
      </c>
      <c r="D750" s="238" t="s">
        <v>66</v>
      </c>
      <c r="E750" s="233" t="str">
        <f>+'CUOTA ARTESANAL'!E552</f>
        <v>SINDICATO DE PESCADORES Y ARMADORES ARTESANALES DEL MAR SIPARMAR TALCAHUANO (08.05.0399)</v>
      </c>
      <c r="F750" s="238" t="s">
        <v>54</v>
      </c>
      <c r="G750" s="238" t="s">
        <v>56</v>
      </c>
      <c r="H750" s="253">
        <f>'CUOTA ARTESANAL'!G552</f>
        <v>3.1549999999999998</v>
      </c>
      <c r="I750" s="253">
        <f>'CUOTA ARTESANAL'!H552</f>
        <v>0</v>
      </c>
      <c r="J750" s="253">
        <f>'CUOTA ARTESANAL'!I552</f>
        <v>3.1549999999999998</v>
      </c>
      <c r="K750" s="253">
        <f>'CUOTA ARTESANAL'!J552</f>
        <v>0</v>
      </c>
      <c r="L750" s="253">
        <f>'CUOTA ARTESANAL'!K552</f>
        <v>3.1549999999999998</v>
      </c>
      <c r="M750" s="254">
        <f>'CUOTA ARTESANAL'!L552</f>
        <v>0</v>
      </c>
      <c r="N750" s="239" t="str">
        <f>'CUOTA ARTESANAL'!M552</f>
        <v>-</v>
      </c>
      <c r="O750" s="241">
        <f>RESUMEN!$C$4</f>
        <v>44561</v>
      </c>
      <c r="P750" s="233">
        <v>2021</v>
      </c>
      <c r="Q750" s="233"/>
    </row>
    <row r="751" spans="1:17" ht="15.75" customHeight="1">
      <c r="A751" s="238" t="s">
        <v>51</v>
      </c>
      <c r="B751" s="238" t="s">
        <v>52</v>
      </c>
      <c r="C751" s="238" t="s">
        <v>73</v>
      </c>
      <c r="D751" s="238" t="s">
        <v>66</v>
      </c>
      <c r="E751" s="233" t="str">
        <f>+'CUOTA ARTESANAL'!E552</f>
        <v>SINDICATO DE PESCADORES Y ARMADORES ARTESANALES DEL MAR SIPARMAR TALCAHUANO (08.05.0399)</v>
      </c>
      <c r="F751" s="238" t="s">
        <v>57</v>
      </c>
      <c r="G751" s="238" t="s">
        <v>58</v>
      </c>
      <c r="H751" s="253">
        <f>'CUOTA ARTESANAL'!G553</f>
        <v>3.1549999999999998</v>
      </c>
      <c r="I751" s="253">
        <f>'CUOTA ARTESANAL'!H553</f>
        <v>0</v>
      </c>
      <c r="J751" s="253">
        <f>'CUOTA ARTESANAL'!I553</f>
        <v>6.31</v>
      </c>
      <c r="K751" s="253">
        <f>'CUOTA ARTESANAL'!J553</f>
        <v>0</v>
      </c>
      <c r="L751" s="253">
        <f>'CUOTA ARTESANAL'!K553</f>
        <v>6.31</v>
      </c>
      <c r="M751" s="254">
        <f>'CUOTA ARTESANAL'!L553</f>
        <v>0</v>
      </c>
      <c r="N751" s="239" t="str">
        <f>'CUOTA ARTESANAL'!M553</f>
        <v>-</v>
      </c>
      <c r="O751" s="241">
        <f>RESUMEN!$C$4</f>
        <v>44561</v>
      </c>
      <c r="P751" s="233">
        <v>2021</v>
      </c>
      <c r="Q751" s="233"/>
    </row>
    <row r="752" spans="1:17" ht="15.75" customHeight="1">
      <c r="A752" s="238" t="s">
        <v>51</v>
      </c>
      <c r="B752" s="238" t="s">
        <v>52</v>
      </c>
      <c r="C752" s="238" t="s">
        <v>73</v>
      </c>
      <c r="D752" s="238" t="s">
        <v>66</v>
      </c>
      <c r="E752" s="233" t="str">
        <f>+'CUOTA ARTESANAL'!E552</f>
        <v>SINDICATO DE PESCADORES Y ARMADORES ARTESANALES DEL MAR SIPARMAR TALCAHUANO (08.05.0399)</v>
      </c>
      <c r="F752" s="238" t="s">
        <v>54</v>
      </c>
      <c r="G752" s="238" t="s">
        <v>58</v>
      </c>
      <c r="H752" s="253">
        <f>'CUOTA ARTESANAL'!N552</f>
        <v>6.31</v>
      </c>
      <c r="I752" s="253">
        <f>'CUOTA ARTESANAL'!O552</f>
        <v>0</v>
      </c>
      <c r="J752" s="253">
        <f>'CUOTA ARTESANAL'!P552</f>
        <v>6.31</v>
      </c>
      <c r="K752" s="253">
        <f>'CUOTA ARTESANAL'!Q552</f>
        <v>0</v>
      </c>
      <c r="L752" s="253">
        <f>'CUOTA ARTESANAL'!R552</f>
        <v>6.31</v>
      </c>
      <c r="M752" s="254">
        <f>'CUOTA ARTESANAL'!S552</f>
        <v>0</v>
      </c>
      <c r="N752" s="239" t="s">
        <v>218</v>
      </c>
      <c r="O752" s="241">
        <f>RESUMEN!$C$4</f>
        <v>44561</v>
      </c>
      <c r="P752" s="233">
        <v>2021</v>
      </c>
      <c r="Q752" s="233"/>
    </row>
    <row r="753" spans="1:17" ht="15.75" customHeight="1">
      <c r="A753" s="238" t="s">
        <v>51</v>
      </c>
      <c r="B753" s="238" t="s">
        <v>52</v>
      </c>
      <c r="C753" s="238" t="s">
        <v>73</v>
      </c>
      <c r="D753" s="238" t="s">
        <v>66</v>
      </c>
      <c r="E753" s="233" t="str">
        <f>+'CUOTA ARTESANAL'!E554</f>
        <v>ASOCIACIÓN GREMIAL DE ARMADORES ARTESANALES Y PRODUCTORES PELÁGICOS DE LA CALETA EL MORRO DE TALCAHUANO AGEMAPAR (376-8)</v>
      </c>
      <c r="F753" s="238" t="s">
        <v>54</v>
      </c>
      <c r="G753" s="238" t="s">
        <v>56</v>
      </c>
      <c r="H753" s="253">
        <f>'CUOTA ARTESANAL'!G554</f>
        <v>4.907</v>
      </c>
      <c r="I753" s="253">
        <f>'CUOTA ARTESANAL'!H554</f>
        <v>0</v>
      </c>
      <c r="J753" s="253">
        <f>'CUOTA ARTESANAL'!I554</f>
        <v>4.907</v>
      </c>
      <c r="K753" s="253">
        <f>'CUOTA ARTESANAL'!J554</f>
        <v>2</v>
      </c>
      <c r="L753" s="253">
        <f>'CUOTA ARTESANAL'!K554</f>
        <v>2.907</v>
      </c>
      <c r="M753" s="254">
        <f>'CUOTA ARTESANAL'!L554</f>
        <v>0.40758100672508663</v>
      </c>
      <c r="N753" s="239" t="str">
        <f>'CUOTA ARTESANAL'!M554</f>
        <v>-</v>
      </c>
      <c r="O753" s="241">
        <f>RESUMEN!$C$4</f>
        <v>44561</v>
      </c>
      <c r="P753" s="233">
        <v>2021</v>
      </c>
      <c r="Q753" s="233"/>
    </row>
    <row r="754" spans="1:17" ht="15.75" customHeight="1">
      <c r="A754" s="238" t="s">
        <v>51</v>
      </c>
      <c r="B754" s="238" t="s">
        <v>52</v>
      </c>
      <c r="C754" s="238" t="s">
        <v>73</v>
      </c>
      <c r="D754" s="238" t="s">
        <v>66</v>
      </c>
      <c r="E754" s="233" t="str">
        <f>+'CUOTA ARTESANAL'!E554</f>
        <v>ASOCIACIÓN GREMIAL DE ARMADORES ARTESANALES Y PRODUCTORES PELÁGICOS DE LA CALETA EL MORRO DE TALCAHUANO AGEMAPAR (376-8)</v>
      </c>
      <c r="F754" s="238" t="s">
        <v>57</v>
      </c>
      <c r="G754" s="238" t="s">
        <v>58</v>
      </c>
      <c r="H754" s="253">
        <f>'CUOTA ARTESANAL'!G555</f>
        <v>4.907</v>
      </c>
      <c r="I754" s="253">
        <f>'CUOTA ARTESANAL'!H555</f>
        <v>0</v>
      </c>
      <c r="J754" s="253">
        <f>'CUOTA ARTESANAL'!I555</f>
        <v>7.8140000000000001</v>
      </c>
      <c r="K754" s="253">
        <f>'CUOTA ARTESANAL'!J555</f>
        <v>0</v>
      </c>
      <c r="L754" s="253">
        <f>'CUOTA ARTESANAL'!K555</f>
        <v>7.8140000000000001</v>
      </c>
      <c r="M754" s="254">
        <f>'CUOTA ARTESANAL'!L555</f>
        <v>0</v>
      </c>
      <c r="N754" s="239" t="str">
        <f>'CUOTA ARTESANAL'!M555</f>
        <v>-</v>
      </c>
      <c r="O754" s="241">
        <f>RESUMEN!$C$4</f>
        <v>44561</v>
      </c>
      <c r="P754" s="233">
        <v>2021</v>
      </c>
      <c r="Q754" s="233"/>
    </row>
    <row r="755" spans="1:17" ht="15.75" customHeight="1">
      <c r="A755" s="238" t="s">
        <v>51</v>
      </c>
      <c r="B755" s="238" t="s">
        <v>52</v>
      </c>
      <c r="C755" s="238" t="s">
        <v>73</v>
      </c>
      <c r="D755" s="238" t="s">
        <v>66</v>
      </c>
      <c r="E755" s="233" t="str">
        <f>+'CUOTA ARTESANAL'!E554</f>
        <v>ASOCIACIÓN GREMIAL DE ARMADORES ARTESANALES Y PRODUCTORES PELÁGICOS DE LA CALETA EL MORRO DE TALCAHUANO AGEMAPAR (376-8)</v>
      </c>
      <c r="F755" s="238" t="s">
        <v>54</v>
      </c>
      <c r="G755" s="238" t="s">
        <v>58</v>
      </c>
      <c r="H755" s="253">
        <f>'CUOTA ARTESANAL'!N554</f>
        <v>9.8140000000000001</v>
      </c>
      <c r="I755" s="253">
        <f>'CUOTA ARTESANAL'!O554</f>
        <v>0</v>
      </c>
      <c r="J755" s="253">
        <f>'CUOTA ARTESANAL'!P554</f>
        <v>9.8140000000000001</v>
      </c>
      <c r="K755" s="253">
        <f>'CUOTA ARTESANAL'!Q554</f>
        <v>2</v>
      </c>
      <c r="L755" s="253">
        <f>'CUOTA ARTESANAL'!R554</f>
        <v>7.8140000000000001</v>
      </c>
      <c r="M755" s="254">
        <f>'CUOTA ARTESANAL'!S554</f>
        <v>0.20379050336254331</v>
      </c>
      <c r="N755" s="239" t="s">
        <v>218</v>
      </c>
      <c r="O755" s="241">
        <f>RESUMEN!$C$4</f>
        <v>44561</v>
      </c>
      <c r="P755" s="233">
        <v>2021</v>
      </c>
      <c r="Q755" s="233"/>
    </row>
    <row r="756" spans="1:17" ht="15.75" customHeight="1">
      <c r="A756" s="238" t="s">
        <v>51</v>
      </c>
      <c r="B756" s="238" t="s">
        <v>52</v>
      </c>
      <c r="C756" s="238" t="s">
        <v>73</v>
      </c>
      <c r="D756" s="238" t="s">
        <v>66</v>
      </c>
      <c r="E756" s="233" t="str">
        <f>+'CUOTA ARTESANAL'!E556</f>
        <v>STI ARMADORES Y PESCADORES ARTESANALES, ACUICULTORES, ALGUEROS (AS) Y RAMOS AFINES "MAFMAR" (08.05.0645)</v>
      </c>
      <c r="F756" s="238" t="s">
        <v>54</v>
      </c>
      <c r="G756" s="238" t="s">
        <v>56</v>
      </c>
      <c r="H756" s="253">
        <f>'CUOTA ARTESANAL'!G556</f>
        <v>4.484</v>
      </c>
      <c r="I756" s="253">
        <f>'CUOTA ARTESANAL'!H556</f>
        <v>0</v>
      </c>
      <c r="J756" s="253">
        <f>'CUOTA ARTESANAL'!I556</f>
        <v>4.484</v>
      </c>
      <c r="K756" s="253">
        <f>'CUOTA ARTESANAL'!J556</f>
        <v>0</v>
      </c>
      <c r="L756" s="253">
        <f>'CUOTA ARTESANAL'!K556</f>
        <v>4.484</v>
      </c>
      <c r="M756" s="254">
        <f>'CUOTA ARTESANAL'!L556</f>
        <v>0</v>
      </c>
      <c r="N756" s="239" t="str">
        <f>'CUOTA ARTESANAL'!M556</f>
        <v>-</v>
      </c>
      <c r="O756" s="241">
        <f>RESUMEN!$C$4</f>
        <v>44561</v>
      </c>
      <c r="P756" s="233">
        <v>2021</v>
      </c>
      <c r="Q756" s="233"/>
    </row>
    <row r="757" spans="1:17" ht="15.75" customHeight="1">
      <c r="A757" s="238" t="s">
        <v>51</v>
      </c>
      <c r="B757" s="238" t="s">
        <v>52</v>
      </c>
      <c r="C757" s="238" t="s">
        <v>73</v>
      </c>
      <c r="D757" s="238" t="s">
        <v>66</v>
      </c>
      <c r="E757" s="233" t="str">
        <f>+'CUOTA ARTESANAL'!E556</f>
        <v>STI ARMADORES Y PESCADORES ARTESANALES, ACUICULTORES, ALGUEROS (AS) Y RAMOS AFINES "MAFMAR" (08.05.0645)</v>
      </c>
      <c r="F757" s="238" t="s">
        <v>57</v>
      </c>
      <c r="G757" s="238" t="s">
        <v>58</v>
      </c>
      <c r="H757" s="253">
        <f>'CUOTA ARTESANAL'!G557</f>
        <v>4.484</v>
      </c>
      <c r="I757" s="253">
        <f>'CUOTA ARTESANAL'!H557</f>
        <v>0</v>
      </c>
      <c r="J757" s="253">
        <f>'CUOTA ARTESANAL'!I557</f>
        <v>8.968</v>
      </c>
      <c r="K757" s="253">
        <f>'CUOTA ARTESANAL'!J557</f>
        <v>0</v>
      </c>
      <c r="L757" s="253">
        <f>'CUOTA ARTESANAL'!K557</f>
        <v>8.968</v>
      </c>
      <c r="M757" s="254">
        <f>'CUOTA ARTESANAL'!L557</f>
        <v>0</v>
      </c>
      <c r="N757" s="239" t="str">
        <f>'CUOTA ARTESANAL'!M557</f>
        <v>-</v>
      </c>
      <c r="O757" s="241">
        <f>RESUMEN!$C$4</f>
        <v>44561</v>
      </c>
      <c r="P757" s="233">
        <v>2021</v>
      </c>
      <c r="Q757" s="233"/>
    </row>
    <row r="758" spans="1:17" ht="15.75" customHeight="1">
      <c r="A758" s="238" t="s">
        <v>51</v>
      </c>
      <c r="B758" s="238" t="s">
        <v>52</v>
      </c>
      <c r="C758" s="238" t="s">
        <v>73</v>
      </c>
      <c r="D758" s="238" t="s">
        <v>66</v>
      </c>
      <c r="E758" s="233" t="str">
        <f>+'CUOTA ARTESANAL'!E556</f>
        <v>STI ARMADORES Y PESCADORES ARTESANALES, ACUICULTORES, ALGUEROS (AS) Y RAMOS AFINES "MAFMAR" (08.05.0645)</v>
      </c>
      <c r="F758" s="238" t="s">
        <v>54</v>
      </c>
      <c r="G758" s="238" t="s">
        <v>58</v>
      </c>
      <c r="H758" s="253">
        <f>'CUOTA ARTESANAL'!N556</f>
        <v>8.968</v>
      </c>
      <c r="I758" s="253">
        <f>'CUOTA ARTESANAL'!O556</f>
        <v>0</v>
      </c>
      <c r="J758" s="253">
        <f>'CUOTA ARTESANAL'!P556</f>
        <v>8.968</v>
      </c>
      <c r="K758" s="253">
        <f>'CUOTA ARTESANAL'!Q556</f>
        <v>0</v>
      </c>
      <c r="L758" s="253">
        <f>'CUOTA ARTESANAL'!R556</f>
        <v>8.968</v>
      </c>
      <c r="M758" s="254">
        <f>'CUOTA ARTESANAL'!S556</f>
        <v>0</v>
      </c>
      <c r="N758" s="239" t="s">
        <v>218</v>
      </c>
      <c r="O758" s="241">
        <f>RESUMEN!$C$4</f>
        <v>44561</v>
      </c>
      <c r="P758" s="233">
        <v>2021</v>
      </c>
      <c r="Q758" s="233"/>
    </row>
    <row r="759" spans="1:17" ht="15.75" customHeight="1">
      <c r="A759" s="238" t="s">
        <v>51</v>
      </c>
      <c r="B759" s="238" t="s">
        <v>52</v>
      </c>
      <c r="C759" s="238" t="s">
        <v>73</v>
      </c>
      <c r="D759" s="238" t="s">
        <v>65</v>
      </c>
      <c r="E759" s="233" t="str">
        <f>+'CUOTA ARTESANAL'!E558</f>
        <v>CUOTA RESIDUAL O BOLSÓN NORTE</v>
      </c>
      <c r="F759" s="238" t="s">
        <v>54</v>
      </c>
      <c r="G759" s="238" t="s">
        <v>56</v>
      </c>
      <c r="H759" s="253">
        <f>'CUOTA ARTESANAL'!G558</f>
        <v>78.492000000000004</v>
      </c>
      <c r="I759" s="253">
        <f>'CUOTA ARTESANAL'!H558</f>
        <v>0</v>
      </c>
      <c r="J759" s="253">
        <f>'CUOTA ARTESANAL'!I558</f>
        <v>78.492000000000004</v>
      </c>
      <c r="K759" s="253">
        <f>'CUOTA ARTESANAL'!J558</f>
        <v>102.254</v>
      </c>
      <c r="L759" s="253">
        <f>'CUOTA ARTESANAL'!K558</f>
        <v>-23.762</v>
      </c>
      <c r="M759" s="254">
        <f>'CUOTA ARTESANAL'!L558</f>
        <v>1.3027314885593435</v>
      </c>
      <c r="N759" s="240">
        <f>'CUOTA ARTESANAL'!M558</f>
        <v>44341</v>
      </c>
      <c r="O759" s="241">
        <f>RESUMEN!$C$4</f>
        <v>44561</v>
      </c>
      <c r="P759" s="233">
        <v>2021</v>
      </c>
      <c r="Q759" s="233"/>
    </row>
    <row r="760" spans="1:17" ht="15.75" customHeight="1">
      <c r="A760" s="238" t="s">
        <v>51</v>
      </c>
      <c r="B760" s="238" t="s">
        <v>52</v>
      </c>
      <c r="C760" s="238" t="s">
        <v>73</v>
      </c>
      <c r="D760" s="238" t="s">
        <v>65</v>
      </c>
      <c r="E760" s="233" t="str">
        <f>+'CUOTA ARTESANAL'!E558</f>
        <v>CUOTA RESIDUAL O BOLSÓN NORTE</v>
      </c>
      <c r="F760" s="238" t="s">
        <v>57</v>
      </c>
      <c r="G760" s="238" t="s">
        <v>58</v>
      </c>
      <c r="H760" s="253">
        <f>'CUOTA ARTESANAL'!G559</f>
        <v>78.491</v>
      </c>
      <c r="I760" s="253">
        <f>'CUOTA ARTESANAL'!H559</f>
        <v>0</v>
      </c>
      <c r="J760" s="253">
        <f>'CUOTA ARTESANAL'!I559</f>
        <v>54.728999999999999</v>
      </c>
      <c r="K760" s="253">
        <f>'CUOTA ARTESANAL'!J559</f>
        <v>46.686</v>
      </c>
      <c r="L760" s="253">
        <f>'CUOTA ARTESANAL'!K559</f>
        <v>8.0429999999999993</v>
      </c>
      <c r="M760" s="254">
        <f>'CUOTA ARTESANAL'!L559</f>
        <v>0.85303952200844158</v>
      </c>
      <c r="N760" s="240" t="str">
        <f>'CUOTA ARTESANAL'!M559</f>
        <v>-</v>
      </c>
      <c r="O760" s="241">
        <f>RESUMEN!$C$4</f>
        <v>44561</v>
      </c>
      <c r="P760" s="233">
        <v>2021</v>
      </c>
      <c r="Q760" s="233"/>
    </row>
    <row r="761" spans="1:17" ht="15.75" customHeight="1">
      <c r="A761" s="238" t="s">
        <v>51</v>
      </c>
      <c r="B761" s="238" t="s">
        <v>52</v>
      </c>
      <c r="C761" s="238" t="s">
        <v>73</v>
      </c>
      <c r="D761" s="238" t="s">
        <v>65</v>
      </c>
      <c r="E761" s="233" t="str">
        <f>+'CUOTA ARTESANAL'!E558</f>
        <v>CUOTA RESIDUAL O BOLSÓN NORTE</v>
      </c>
      <c r="F761" s="238" t="s">
        <v>54</v>
      </c>
      <c r="G761" s="238" t="s">
        <v>58</v>
      </c>
      <c r="H761" s="253">
        <f>'CUOTA ARTESANAL'!N558</f>
        <v>156.983</v>
      </c>
      <c r="I761" s="253">
        <f>'CUOTA ARTESANAL'!O558</f>
        <v>0</v>
      </c>
      <c r="J761" s="253">
        <f>'CUOTA ARTESANAL'!P558</f>
        <v>156.983</v>
      </c>
      <c r="K761" s="253">
        <f>'CUOTA ARTESANAL'!Q558</f>
        <v>148.94</v>
      </c>
      <c r="L761" s="253">
        <f>'CUOTA ARTESANAL'!R558</f>
        <v>8.0430000000000064</v>
      </c>
      <c r="M761" s="254">
        <f>'CUOTA ARTESANAL'!S558</f>
        <v>0.9487651529146468</v>
      </c>
      <c r="N761" s="246" t="s">
        <v>218</v>
      </c>
      <c r="O761" s="241">
        <f>RESUMEN!$C$4</f>
        <v>44561</v>
      </c>
      <c r="P761" s="233">
        <v>2021</v>
      </c>
      <c r="Q761" s="233"/>
    </row>
    <row r="762" spans="1:17" ht="15.75" customHeight="1">
      <c r="A762" s="238" t="s">
        <v>51</v>
      </c>
      <c r="B762" s="238" t="s">
        <v>52</v>
      </c>
      <c r="C762" s="238" t="s">
        <v>73</v>
      </c>
      <c r="D762" s="238" t="s">
        <v>66</v>
      </c>
      <c r="E762" s="233" t="str">
        <f>+'CUOTA ARTESANAL'!E560</f>
        <v>STI ARMADORES Y PESCADORES Y RAMOS AFINES DE LA PESCA ARTESANAL DE CALETA LO ROJAS SITRAL RSU 08.07.0322</v>
      </c>
      <c r="F762" s="238" t="s">
        <v>54</v>
      </c>
      <c r="G762" s="238" t="s">
        <v>56</v>
      </c>
      <c r="H762" s="253">
        <f>'CUOTA ARTESANAL'!G560</f>
        <v>172.67700000000002</v>
      </c>
      <c r="I762" s="253">
        <f>'CUOTA ARTESANAL'!H560</f>
        <v>-86</v>
      </c>
      <c r="J762" s="253">
        <f>'CUOTA ARTESANAL'!I560</f>
        <v>86.677000000000021</v>
      </c>
      <c r="K762" s="253">
        <f>'CUOTA ARTESANAL'!J560</f>
        <v>0</v>
      </c>
      <c r="L762" s="253">
        <f>'CUOTA ARTESANAL'!K560</f>
        <v>86.677000000000021</v>
      </c>
      <c r="M762" s="254">
        <f>'CUOTA ARTESANAL'!L560</f>
        <v>0</v>
      </c>
      <c r="N762" s="245" t="str">
        <f>'CUOTA ARTESANAL'!M560</f>
        <v>-</v>
      </c>
      <c r="O762" s="241">
        <f>RESUMEN!$C$4</f>
        <v>44561</v>
      </c>
      <c r="P762" s="233">
        <v>2021</v>
      </c>
      <c r="Q762" s="233"/>
    </row>
    <row r="763" spans="1:17" ht="15.75" customHeight="1">
      <c r="A763" s="238" t="s">
        <v>51</v>
      </c>
      <c r="B763" s="238" t="s">
        <v>52</v>
      </c>
      <c r="C763" s="238" t="s">
        <v>73</v>
      </c>
      <c r="D763" s="238" t="s">
        <v>66</v>
      </c>
      <c r="E763" s="233" t="str">
        <f>+'CUOTA ARTESANAL'!E560</f>
        <v>STI ARMADORES Y PESCADORES Y RAMOS AFINES DE LA PESCA ARTESANAL DE CALETA LO ROJAS SITRAL RSU 08.07.0322</v>
      </c>
      <c r="F763" s="238" t="s">
        <v>57</v>
      </c>
      <c r="G763" s="238" t="s">
        <v>58</v>
      </c>
      <c r="H763" s="253">
        <f>'CUOTA ARTESANAL'!G561</f>
        <v>12.677000000000007</v>
      </c>
      <c r="I763" s="253">
        <f>'CUOTA ARTESANAL'!H561</f>
        <v>-60</v>
      </c>
      <c r="J763" s="253">
        <f>'CUOTA ARTESANAL'!I561</f>
        <v>39.354000000000028</v>
      </c>
      <c r="K763" s="253">
        <f>'CUOTA ARTESANAL'!J561</f>
        <v>0</v>
      </c>
      <c r="L763" s="253">
        <f>'CUOTA ARTESANAL'!K561</f>
        <v>39.354000000000028</v>
      </c>
      <c r="M763" s="254">
        <f>'CUOTA ARTESANAL'!L561</f>
        <v>0</v>
      </c>
      <c r="N763" s="245" t="str">
        <f>'CUOTA ARTESANAL'!M561</f>
        <v>-</v>
      </c>
      <c r="O763" s="241">
        <f>RESUMEN!$C$4</f>
        <v>44561</v>
      </c>
      <c r="P763" s="233">
        <v>2021</v>
      </c>
      <c r="Q763" s="233"/>
    </row>
    <row r="764" spans="1:17" ht="15.75" customHeight="1">
      <c r="A764" s="238" t="s">
        <v>51</v>
      </c>
      <c r="B764" s="238" t="s">
        <v>52</v>
      </c>
      <c r="C764" s="238" t="s">
        <v>73</v>
      </c>
      <c r="D764" s="238" t="s">
        <v>66</v>
      </c>
      <c r="E764" s="233" t="str">
        <f>+'CUOTA ARTESANAL'!E560</f>
        <v>STI ARMADORES Y PESCADORES Y RAMOS AFINES DE LA PESCA ARTESANAL DE CALETA LO ROJAS SITRAL RSU 08.07.0322</v>
      </c>
      <c r="F764" s="238" t="s">
        <v>54</v>
      </c>
      <c r="G764" s="238" t="s">
        <v>58</v>
      </c>
      <c r="H764" s="253">
        <f>'CUOTA ARTESANAL'!N560</f>
        <v>185.35400000000004</v>
      </c>
      <c r="I764" s="253">
        <f>'CUOTA ARTESANAL'!O560</f>
        <v>-146</v>
      </c>
      <c r="J764" s="253">
        <f>'CUOTA ARTESANAL'!P560</f>
        <v>39.354000000000042</v>
      </c>
      <c r="K764" s="253">
        <f>'CUOTA ARTESANAL'!Q560</f>
        <v>0</v>
      </c>
      <c r="L764" s="253">
        <f>'CUOTA ARTESANAL'!R560</f>
        <v>39.354000000000042</v>
      </c>
      <c r="M764" s="254">
        <f>'CUOTA ARTESANAL'!S560</f>
        <v>0</v>
      </c>
      <c r="N764" s="245" t="s">
        <v>218</v>
      </c>
      <c r="O764" s="241">
        <f>RESUMEN!$C$4</f>
        <v>44561</v>
      </c>
      <c r="P764" s="233">
        <v>2021</v>
      </c>
      <c r="Q764" s="233"/>
    </row>
    <row r="765" spans="1:17" ht="15.75" customHeight="1">
      <c r="A765" s="238" t="s">
        <v>51</v>
      </c>
      <c r="B765" s="238" t="s">
        <v>52</v>
      </c>
      <c r="C765" s="238" t="s">
        <v>73</v>
      </c>
      <c r="D765" s="238" t="s">
        <v>66</v>
      </c>
      <c r="E765" s="233" t="str">
        <f>+'CUOTA ARTESANAL'!E562</f>
        <v>STI PESCADORES ARTESANALES, BUZOS MARISCADORES, ARMADORES ARTESANALES Y ACTIVIDADES CONEXAS DE CORONEL Y DEL GOLFO DE ARAUCO VIII REGIÓN SIPARBUMAR CORONEL RSU 08.07.0183</v>
      </c>
      <c r="F765" s="238" t="s">
        <v>54</v>
      </c>
      <c r="G765" s="238" t="s">
        <v>56</v>
      </c>
      <c r="H765" s="253">
        <f>'CUOTA ARTESANAL'!G562</f>
        <v>229.37</v>
      </c>
      <c r="I765" s="253">
        <f>'CUOTA ARTESANAL'!H562</f>
        <v>-167.4</v>
      </c>
      <c r="J765" s="253">
        <f>'CUOTA ARTESANAL'!I562</f>
        <v>61.97</v>
      </c>
      <c r="K765" s="253">
        <f>'CUOTA ARTESANAL'!J562</f>
        <v>0</v>
      </c>
      <c r="L765" s="253">
        <f>'CUOTA ARTESANAL'!K562</f>
        <v>61.97</v>
      </c>
      <c r="M765" s="254">
        <f>'CUOTA ARTESANAL'!L562</f>
        <v>0</v>
      </c>
      <c r="N765" s="245" t="str">
        <f>'CUOTA ARTESANAL'!M562</f>
        <v>-</v>
      </c>
      <c r="O765" s="241">
        <f>RESUMEN!$C$4</f>
        <v>44561</v>
      </c>
      <c r="P765" s="233">
        <v>2021</v>
      </c>
      <c r="Q765" s="233"/>
    </row>
    <row r="766" spans="1:17" ht="15.75" customHeight="1">
      <c r="A766" s="238" t="s">
        <v>51</v>
      </c>
      <c r="B766" s="238" t="s">
        <v>52</v>
      </c>
      <c r="C766" s="238" t="s">
        <v>73</v>
      </c>
      <c r="D766" s="238" t="s">
        <v>66</v>
      </c>
      <c r="E766" s="233" t="str">
        <f>+'CUOTA ARTESANAL'!E562</f>
        <v>STI PESCADORES ARTESANALES, BUZOS MARISCADORES, ARMADORES ARTESANALES Y ACTIVIDADES CONEXAS DE CORONEL Y DEL GOLFO DE ARAUCO VIII REGIÓN SIPARBUMAR CORONEL RSU 08.07.0183</v>
      </c>
      <c r="F766" s="238" t="s">
        <v>57</v>
      </c>
      <c r="G766" s="238" t="s">
        <v>58</v>
      </c>
      <c r="H766" s="253">
        <f>'CUOTA ARTESANAL'!G563</f>
        <v>29.370000000000005</v>
      </c>
      <c r="I766" s="253">
        <f>'CUOTA ARTESANAL'!H563</f>
        <v>-49.5</v>
      </c>
      <c r="J766" s="253">
        <f>'CUOTA ARTESANAL'!I563</f>
        <v>41.84</v>
      </c>
      <c r="K766" s="253">
        <f>'CUOTA ARTESANAL'!J563</f>
        <v>0</v>
      </c>
      <c r="L766" s="253">
        <f>'CUOTA ARTESANAL'!K563</f>
        <v>41.84</v>
      </c>
      <c r="M766" s="254">
        <f>'CUOTA ARTESANAL'!L563</f>
        <v>0</v>
      </c>
      <c r="N766" s="245" t="str">
        <f>'CUOTA ARTESANAL'!M563</f>
        <v>-</v>
      </c>
      <c r="O766" s="241">
        <f>RESUMEN!$C$4</f>
        <v>44561</v>
      </c>
      <c r="P766" s="233">
        <v>2021</v>
      </c>
      <c r="Q766" s="233"/>
    </row>
    <row r="767" spans="1:17" ht="15.75" customHeight="1">
      <c r="A767" s="238" t="s">
        <v>51</v>
      </c>
      <c r="B767" s="238" t="s">
        <v>52</v>
      </c>
      <c r="C767" s="238" t="s">
        <v>73</v>
      </c>
      <c r="D767" s="238" t="s">
        <v>66</v>
      </c>
      <c r="E767" s="233" t="str">
        <f>+'CUOTA ARTESANAL'!E562</f>
        <v>STI PESCADORES ARTESANALES, BUZOS MARISCADORES, ARMADORES ARTESANALES Y ACTIVIDADES CONEXAS DE CORONEL Y DEL GOLFO DE ARAUCO VIII REGIÓN SIPARBUMAR CORONEL RSU 08.07.0183</v>
      </c>
      <c r="F767" s="238" t="s">
        <v>54</v>
      </c>
      <c r="G767" s="238" t="s">
        <v>58</v>
      </c>
      <c r="H767" s="253">
        <f>'CUOTA ARTESANAL'!N562</f>
        <v>258.74</v>
      </c>
      <c r="I767" s="253">
        <f>'CUOTA ARTESANAL'!O562</f>
        <v>-216.9</v>
      </c>
      <c r="J767" s="253">
        <f>'CUOTA ARTESANAL'!P562</f>
        <v>41.84</v>
      </c>
      <c r="K767" s="253">
        <f>'CUOTA ARTESANAL'!Q562</f>
        <v>0</v>
      </c>
      <c r="L767" s="253">
        <f>'CUOTA ARTESANAL'!R562</f>
        <v>41.84</v>
      </c>
      <c r="M767" s="254">
        <f>'CUOTA ARTESANAL'!S562</f>
        <v>0</v>
      </c>
      <c r="N767" s="245" t="s">
        <v>218</v>
      </c>
      <c r="O767" s="241">
        <f>RESUMEN!$C$4</f>
        <v>44561</v>
      </c>
      <c r="P767" s="233">
        <v>2021</v>
      </c>
      <c r="Q767" s="233"/>
    </row>
    <row r="768" spans="1:17" ht="15.75" customHeight="1">
      <c r="A768" s="238" t="s">
        <v>51</v>
      </c>
      <c r="B768" s="238" t="s">
        <v>52</v>
      </c>
      <c r="C768" s="238" t="s">
        <v>73</v>
      </c>
      <c r="D768" s="238" t="s">
        <v>66</v>
      </c>
      <c r="E768" s="233" t="str">
        <f>+'CUOTA ARTESANAL'!E564</f>
        <v>STI PESCADORES ARTESANALES CALETA LO ROJAS SITRAINPAR RSU 08.07.0287</v>
      </c>
      <c r="F768" s="238" t="s">
        <v>54</v>
      </c>
      <c r="G768" s="238" t="s">
        <v>56</v>
      </c>
      <c r="H768" s="253">
        <f>'CUOTA ARTESANAL'!G564</f>
        <v>19.841999999999999</v>
      </c>
      <c r="I768" s="253">
        <f>'CUOTA ARTESANAL'!H564</f>
        <v>0</v>
      </c>
      <c r="J768" s="253">
        <f>'CUOTA ARTESANAL'!I564</f>
        <v>19.841999999999999</v>
      </c>
      <c r="K768" s="253">
        <f>'CUOTA ARTESANAL'!J564</f>
        <v>0</v>
      </c>
      <c r="L768" s="253">
        <f>'CUOTA ARTESANAL'!K564</f>
        <v>19.841999999999999</v>
      </c>
      <c r="M768" s="254">
        <f>'CUOTA ARTESANAL'!L564</f>
        <v>0</v>
      </c>
      <c r="N768" s="245" t="str">
        <f>'CUOTA ARTESANAL'!M564</f>
        <v>-</v>
      </c>
      <c r="O768" s="241">
        <f>RESUMEN!$C$4</f>
        <v>44561</v>
      </c>
      <c r="P768" s="233">
        <v>2021</v>
      </c>
      <c r="Q768" s="233"/>
    </row>
    <row r="769" spans="1:17" ht="15.75" customHeight="1">
      <c r="A769" s="238" t="s">
        <v>51</v>
      </c>
      <c r="B769" s="238" t="s">
        <v>52</v>
      </c>
      <c r="C769" s="238" t="s">
        <v>73</v>
      </c>
      <c r="D769" s="238" t="s">
        <v>66</v>
      </c>
      <c r="E769" s="233" t="str">
        <f>+'CUOTA ARTESANAL'!E564</f>
        <v>STI PESCADORES ARTESANALES CALETA LO ROJAS SITRAINPAR RSU 08.07.0287</v>
      </c>
      <c r="F769" s="238" t="s">
        <v>57</v>
      </c>
      <c r="G769" s="238" t="s">
        <v>58</v>
      </c>
      <c r="H769" s="253">
        <f>'CUOTA ARTESANAL'!G565</f>
        <v>19.841999999999999</v>
      </c>
      <c r="I769" s="253">
        <f>'CUOTA ARTESANAL'!H565</f>
        <v>-22</v>
      </c>
      <c r="J769" s="253">
        <f>'CUOTA ARTESANAL'!I565</f>
        <v>17.683999999999997</v>
      </c>
      <c r="K769" s="253">
        <f>'CUOTA ARTESANAL'!J565</f>
        <v>0</v>
      </c>
      <c r="L769" s="253">
        <f>'CUOTA ARTESANAL'!K565</f>
        <v>17.683999999999997</v>
      </c>
      <c r="M769" s="254">
        <f>'CUOTA ARTESANAL'!L565</f>
        <v>0</v>
      </c>
      <c r="N769" s="245" t="str">
        <f>'CUOTA ARTESANAL'!M565</f>
        <v>-</v>
      </c>
      <c r="O769" s="241">
        <f>RESUMEN!$C$4</f>
        <v>44561</v>
      </c>
      <c r="P769" s="233">
        <v>2021</v>
      </c>
      <c r="Q769" s="233"/>
    </row>
    <row r="770" spans="1:17" ht="15.75" customHeight="1">
      <c r="A770" s="238" t="s">
        <v>51</v>
      </c>
      <c r="B770" s="238" t="s">
        <v>52</v>
      </c>
      <c r="C770" s="238" t="s">
        <v>73</v>
      </c>
      <c r="D770" s="238" t="s">
        <v>66</v>
      </c>
      <c r="E770" s="233" t="str">
        <f>+'CUOTA ARTESANAL'!E564</f>
        <v>STI PESCADORES ARTESANALES CALETA LO ROJAS SITRAINPAR RSU 08.07.0287</v>
      </c>
      <c r="F770" s="238" t="s">
        <v>54</v>
      </c>
      <c r="G770" s="238" t="s">
        <v>58</v>
      </c>
      <c r="H770" s="253">
        <f>'CUOTA ARTESANAL'!N564</f>
        <v>39.683999999999997</v>
      </c>
      <c r="I770" s="253">
        <f>'CUOTA ARTESANAL'!O564</f>
        <v>-22</v>
      </c>
      <c r="J770" s="253">
        <f>'CUOTA ARTESANAL'!P564</f>
        <v>17.683999999999997</v>
      </c>
      <c r="K770" s="253">
        <f>'CUOTA ARTESANAL'!Q564</f>
        <v>0</v>
      </c>
      <c r="L770" s="253">
        <f>'CUOTA ARTESANAL'!R564</f>
        <v>17.683999999999997</v>
      </c>
      <c r="M770" s="254">
        <f>'CUOTA ARTESANAL'!S564</f>
        <v>0</v>
      </c>
      <c r="N770" s="245" t="s">
        <v>218</v>
      </c>
      <c r="O770" s="241">
        <f>RESUMEN!$C$4</f>
        <v>44561</v>
      </c>
      <c r="P770" s="233">
        <v>2021</v>
      </c>
      <c r="Q770" s="233"/>
    </row>
    <row r="771" spans="1:17" ht="15.75" customHeight="1">
      <c r="A771" s="238" t="s">
        <v>51</v>
      </c>
      <c r="B771" s="238" t="s">
        <v>52</v>
      </c>
      <c r="C771" s="238" t="s">
        <v>73</v>
      </c>
      <c r="D771" s="238" t="s">
        <v>66</v>
      </c>
      <c r="E771" s="233" t="str">
        <f>+'CUOTA ARTESANAL'!E566</f>
        <v>ASOCIACIÓN GREMIAL DE PESCADORES ARTESANALES DE CORONEL RAG 5-8</v>
      </c>
      <c r="F771" s="238" t="s">
        <v>54</v>
      </c>
      <c r="G771" s="238" t="s">
        <v>56</v>
      </c>
      <c r="H771" s="253">
        <f>'CUOTA ARTESANAL'!G566</f>
        <v>249.82400000000001</v>
      </c>
      <c r="I771" s="253">
        <f>'CUOTA ARTESANAL'!H566</f>
        <v>0</v>
      </c>
      <c r="J771" s="253">
        <f>'CUOTA ARTESANAL'!I566</f>
        <v>249.82400000000001</v>
      </c>
      <c r="K771" s="253">
        <f>'CUOTA ARTESANAL'!J566</f>
        <v>31.56</v>
      </c>
      <c r="L771" s="253">
        <f>'CUOTA ARTESANAL'!K566</f>
        <v>218.26400000000001</v>
      </c>
      <c r="M771" s="254">
        <f>'CUOTA ARTESANAL'!L566</f>
        <v>0.12632893557064173</v>
      </c>
      <c r="N771" s="245" t="str">
        <f>'CUOTA ARTESANAL'!M566</f>
        <v>-</v>
      </c>
      <c r="O771" s="241">
        <f>RESUMEN!$C$4</f>
        <v>44561</v>
      </c>
      <c r="P771" s="233">
        <v>2021</v>
      </c>
      <c r="Q771" s="233"/>
    </row>
    <row r="772" spans="1:17" ht="15.75" customHeight="1">
      <c r="A772" s="238" t="s">
        <v>51</v>
      </c>
      <c r="B772" s="238" t="s">
        <v>52</v>
      </c>
      <c r="C772" s="238" t="s">
        <v>73</v>
      </c>
      <c r="D772" s="238" t="s">
        <v>66</v>
      </c>
      <c r="E772" s="233" t="str">
        <f>+'CUOTA ARTESANAL'!E566</f>
        <v>ASOCIACIÓN GREMIAL DE PESCADORES ARTESANALES DE CORONEL RAG 5-8</v>
      </c>
      <c r="F772" s="238" t="s">
        <v>57</v>
      </c>
      <c r="G772" s="238" t="s">
        <v>58</v>
      </c>
      <c r="H772" s="253">
        <f>'CUOTA ARTESANAL'!G567</f>
        <v>249.82400000000001</v>
      </c>
      <c r="I772" s="253">
        <f>'CUOTA ARTESANAL'!H567</f>
        <v>-200</v>
      </c>
      <c r="J772" s="253">
        <f>'CUOTA ARTESANAL'!I567</f>
        <v>268.08800000000002</v>
      </c>
      <c r="K772" s="253">
        <f>'CUOTA ARTESANAL'!J567</f>
        <v>16.632999999999999</v>
      </c>
      <c r="L772" s="253">
        <f>'CUOTA ARTESANAL'!K567</f>
        <v>251.45500000000001</v>
      </c>
      <c r="M772" s="254">
        <f>'CUOTA ARTESANAL'!L567</f>
        <v>6.2043060487601075E-2</v>
      </c>
      <c r="N772" s="245" t="str">
        <f>'CUOTA ARTESANAL'!M567</f>
        <v>-</v>
      </c>
      <c r="O772" s="241">
        <f>RESUMEN!$C$4</f>
        <v>44561</v>
      </c>
      <c r="P772" s="233">
        <v>2021</v>
      </c>
      <c r="Q772" s="233"/>
    </row>
    <row r="773" spans="1:17" ht="15.75" customHeight="1">
      <c r="A773" s="238" t="s">
        <v>51</v>
      </c>
      <c r="B773" s="238" t="s">
        <v>52</v>
      </c>
      <c r="C773" s="238" t="s">
        <v>73</v>
      </c>
      <c r="D773" s="238" t="s">
        <v>66</v>
      </c>
      <c r="E773" s="233" t="str">
        <f>+'CUOTA ARTESANAL'!E566</f>
        <v>ASOCIACIÓN GREMIAL DE PESCADORES ARTESANALES DE CORONEL RAG 5-8</v>
      </c>
      <c r="F773" s="238" t="s">
        <v>54</v>
      </c>
      <c r="G773" s="238" t="s">
        <v>58</v>
      </c>
      <c r="H773" s="253">
        <f>'CUOTA ARTESANAL'!N566</f>
        <v>499.64800000000002</v>
      </c>
      <c r="I773" s="253">
        <f>'CUOTA ARTESANAL'!O566</f>
        <v>-200</v>
      </c>
      <c r="J773" s="253">
        <f>'CUOTA ARTESANAL'!P566</f>
        <v>299.64800000000002</v>
      </c>
      <c r="K773" s="253">
        <f>'CUOTA ARTESANAL'!Q566</f>
        <v>48.192999999999998</v>
      </c>
      <c r="L773" s="253">
        <f>'CUOTA ARTESANAL'!R566</f>
        <v>251.45500000000004</v>
      </c>
      <c r="M773" s="254">
        <f>'CUOTA ARTESANAL'!S566</f>
        <v>0.16083204293037162</v>
      </c>
      <c r="N773" s="245" t="s">
        <v>218</v>
      </c>
      <c r="O773" s="241">
        <f>RESUMEN!$C$4</f>
        <v>44561</v>
      </c>
      <c r="P773" s="233">
        <v>2021</v>
      </c>
      <c r="Q773" s="233"/>
    </row>
    <row r="774" spans="1:17" ht="15.75" customHeight="1">
      <c r="A774" s="238" t="s">
        <v>51</v>
      </c>
      <c r="B774" s="238" t="s">
        <v>52</v>
      </c>
      <c r="C774" s="238" t="s">
        <v>73</v>
      </c>
      <c r="D774" s="238" t="s">
        <v>66</v>
      </c>
      <c r="E774" s="233" t="str">
        <f>+'CUOTA ARTESANAL'!E568</f>
        <v>STI PEQUEÑOS ARMADORES Y PESCADORES ARTESANALES DE CERCO Y OTRAS ACTIVIDADES AFINES DE CORONEL Y LOTA SIPAC RSU 08.07.0373</v>
      </c>
      <c r="F774" s="238" t="s">
        <v>54</v>
      </c>
      <c r="G774" s="238" t="s">
        <v>56</v>
      </c>
      <c r="H774" s="253">
        <f>'CUOTA ARTESANAL'!G568</f>
        <v>0</v>
      </c>
      <c r="I774" s="253">
        <f>'CUOTA ARTESANAL'!H568</f>
        <v>0</v>
      </c>
      <c r="J774" s="253">
        <f>'CUOTA ARTESANAL'!I568</f>
        <v>0</v>
      </c>
      <c r="K774" s="253">
        <f>'CUOTA ARTESANAL'!J568</f>
        <v>0</v>
      </c>
      <c r="L774" s="253">
        <f>'CUOTA ARTESANAL'!K568</f>
        <v>0</v>
      </c>
      <c r="M774" s="254" t="e">
        <f>'CUOTA ARTESANAL'!L568</f>
        <v>#DIV/0!</v>
      </c>
      <c r="N774" s="245" t="str">
        <f>'CUOTA ARTESANAL'!M568</f>
        <v>-</v>
      </c>
      <c r="O774" s="241">
        <f>RESUMEN!$C$4</f>
        <v>44561</v>
      </c>
      <c r="P774" s="233">
        <v>2021</v>
      </c>
      <c r="Q774" s="233"/>
    </row>
    <row r="775" spans="1:17" ht="15.75" customHeight="1">
      <c r="A775" s="238" t="s">
        <v>51</v>
      </c>
      <c r="B775" s="238" t="s">
        <v>52</v>
      </c>
      <c r="C775" s="238" t="s">
        <v>73</v>
      </c>
      <c r="D775" s="238" t="s">
        <v>66</v>
      </c>
      <c r="E775" s="233" t="str">
        <f>+'CUOTA ARTESANAL'!E568</f>
        <v>STI PEQUEÑOS ARMADORES Y PESCADORES ARTESANALES DE CERCO Y OTRAS ACTIVIDADES AFINES DE CORONEL Y LOTA SIPAC RSU 08.07.0373</v>
      </c>
      <c r="F775" s="238" t="s">
        <v>57</v>
      </c>
      <c r="G775" s="238" t="s">
        <v>58</v>
      </c>
      <c r="H775" s="253">
        <f>'CUOTA ARTESANAL'!G569</f>
        <v>0</v>
      </c>
      <c r="I775" s="253">
        <f>'CUOTA ARTESANAL'!H569</f>
        <v>0</v>
      </c>
      <c r="J775" s="253">
        <f>'CUOTA ARTESANAL'!I569</f>
        <v>0</v>
      </c>
      <c r="K775" s="253">
        <f>'CUOTA ARTESANAL'!J569</f>
        <v>0</v>
      </c>
      <c r="L775" s="253">
        <f>'CUOTA ARTESANAL'!K569</f>
        <v>0</v>
      </c>
      <c r="M775" s="254" t="e">
        <f>'CUOTA ARTESANAL'!L569</f>
        <v>#DIV/0!</v>
      </c>
      <c r="N775" s="245" t="str">
        <f>'CUOTA ARTESANAL'!M569</f>
        <v>-</v>
      </c>
      <c r="O775" s="241">
        <f>RESUMEN!$C$4</f>
        <v>44561</v>
      </c>
      <c r="P775" s="233">
        <v>2021</v>
      </c>
      <c r="Q775" s="233"/>
    </row>
    <row r="776" spans="1:17" ht="15.75" customHeight="1">
      <c r="A776" s="238" t="s">
        <v>51</v>
      </c>
      <c r="B776" s="238" t="s">
        <v>52</v>
      </c>
      <c r="C776" s="238" t="s">
        <v>73</v>
      </c>
      <c r="D776" s="238" t="s">
        <v>66</v>
      </c>
      <c r="E776" s="233" t="str">
        <f>+'CUOTA ARTESANAL'!E568</f>
        <v>STI PEQUEÑOS ARMADORES Y PESCADORES ARTESANALES DE CERCO Y OTRAS ACTIVIDADES AFINES DE CORONEL Y LOTA SIPAC RSU 08.07.0373</v>
      </c>
      <c r="F776" s="238" t="s">
        <v>54</v>
      </c>
      <c r="G776" s="238" t="s">
        <v>58</v>
      </c>
      <c r="H776" s="253">
        <f>'CUOTA ARTESANAL'!N568</f>
        <v>0</v>
      </c>
      <c r="I776" s="253">
        <f>'CUOTA ARTESANAL'!O568</f>
        <v>0</v>
      </c>
      <c r="J776" s="253">
        <f>'CUOTA ARTESANAL'!P568</f>
        <v>0</v>
      </c>
      <c r="K776" s="253">
        <f>'CUOTA ARTESANAL'!Q568</f>
        <v>0</v>
      </c>
      <c r="L776" s="253">
        <f>'CUOTA ARTESANAL'!R568</f>
        <v>0</v>
      </c>
      <c r="M776" s="254" t="e">
        <f>'CUOTA ARTESANAL'!S568</f>
        <v>#DIV/0!</v>
      </c>
      <c r="N776" s="245" t="s">
        <v>218</v>
      </c>
      <c r="O776" s="241">
        <f>RESUMEN!$C$4</f>
        <v>44561</v>
      </c>
      <c r="P776" s="233">
        <v>2021</v>
      </c>
      <c r="Q776" s="233"/>
    </row>
    <row r="777" spans="1:17" ht="15.75" customHeight="1">
      <c r="A777" s="238" t="s">
        <v>51</v>
      </c>
      <c r="B777" s="238" t="s">
        <v>52</v>
      </c>
      <c r="C777" s="238" t="s">
        <v>73</v>
      </c>
      <c r="D777" s="238" t="s">
        <v>66</v>
      </c>
      <c r="E777" s="233" t="str">
        <f>+'CUOTA ARTESANAL'!E570</f>
        <v>STI PESCADORES ARMADORES Y RAMOS AFINES DE LA PESCA ARTESANAL DE CORONEL SIPARMAR CORONEL RSU 08.70.0271</v>
      </c>
      <c r="F777" s="238" t="s">
        <v>54</v>
      </c>
      <c r="G777" s="238" t="s">
        <v>56</v>
      </c>
      <c r="H777" s="253">
        <f>'CUOTA ARTESANAL'!G570</f>
        <v>30.103999999999999</v>
      </c>
      <c r="I777" s="253">
        <f>'CUOTA ARTESANAL'!H570</f>
        <v>-59.87</v>
      </c>
      <c r="J777" s="253">
        <f>'CUOTA ARTESANAL'!I570</f>
        <v>-29.765999999999998</v>
      </c>
      <c r="K777" s="253">
        <f>'CUOTA ARTESANAL'!J570</f>
        <v>0</v>
      </c>
      <c r="L777" s="253">
        <f>'CUOTA ARTESANAL'!K570</f>
        <v>-29.765999999999998</v>
      </c>
      <c r="M777" s="254">
        <f>'CUOTA ARTESANAL'!L570</f>
        <v>0</v>
      </c>
      <c r="N777" s="245" t="str">
        <f>'CUOTA ARTESANAL'!M570</f>
        <v>-</v>
      </c>
      <c r="O777" s="241">
        <f>RESUMEN!$C$4</f>
        <v>44561</v>
      </c>
      <c r="P777" s="233">
        <v>2021</v>
      </c>
      <c r="Q777" s="233"/>
    </row>
    <row r="778" spans="1:17" ht="15.75" customHeight="1">
      <c r="A778" s="238" t="s">
        <v>51</v>
      </c>
      <c r="B778" s="238" t="s">
        <v>52</v>
      </c>
      <c r="C778" s="238" t="s">
        <v>73</v>
      </c>
      <c r="D778" s="238" t="s">
        <v>66</v>
      </c>
      <c r="E778" s="233" t="str">
        <f>+'CUOTA ARTESANAL'!E570</f>
        <v>STI PESCADORES ARMADORES Y RAMOS AFINES DE LA PESCA ARTESANAL DE CORONEL SIPARMAR CORONEL RSU 08.70.0271</v>
      </c>
      <c r="F778" s="238" t="s">
        <v>57</v>
      </c>
      <c r="G778" s="238" t="s">
        <v>58</v>
      </c>
      <c r="H778" s="253">
        <f>'CUOTA ARTESANAL'!G571</f>
        <v>30.103999999999999</v>
      </c>
      <c r="I778" s="253">
        <f>'CUOTA ARTESANAL'!H571</f>
        <v>0</v>
      </c>
      <c r="J778" s="253">
        <f>'CUOTA ARTESANAL'!I571</f>
        <v>0.33800000000000097</v>
      </c>
      <c r="K778" s="253">
        <f>'CUOTA ARTESANAL'!J571</f>
        <v>0</v>
      </c>
      <c r="L778" s="253">
        <f>'CUOTA ARTESANAL'!K571</f>
        <v>0.33800000000000097</v>
      </c>
      <c r="M778" s="254">
        <f>'CUOTA ARTESANAL'!L571</f>
        <v>0</v>
      </c>
      <c r="N778" s="245">
        <f>'CUOTA ARTESANAL'!M571</f>
        <v>44470</v>
      </c>
      <c r="O778" s="241">
        <f>RESUMEN!$C$4</f>
        <v>44561</v>
      </c>
      <c r="P778" s="233">
        <v>2021</v>
      </c>
      <c r="Q778" s="233"/>
    </row>
    <row r="779" spans="1:17" ht="15.75" customHeight="1">
      <c r="A779" s="238" t="s">
        <v>51</v>
      </c>
      <c r="B779" s="238" t="s">
        <v>52</v>
      </c>
      <c r="C779" s="238" t="s">
        <v>73</v>
      </c>
      <c r="D779" s="238" t="s">
        <v>66</v>
      </c>
      <c r="E779" s="233" t="str">
        <f>+'CUOTA ARTESANAL'!E570</f>
        <v>STI PESCADORES ARMADORES Y RAMOS AFINES DE LA PESCA ARTESANAL DE CORONEL SIPARMAR CORONEL RSU 08.70.0271</v>
      </c>
      <c r="F779" s="238" t="s">
        <v>54</v>
      </c>
      <c r="G779" s="238" t="s">
        <v>58</v>
      </c>
      <c r="H779" s="253">
        <f>'CUOTA ARTESANAL'!N570</f>
        <v>60.207999999999998</v>
      </c>
      <c r="I779" s="253">
        <f>'CUOTA ARTESANAL'!O570</f>
        <v>-59.87</v>
      </c>
      <c r="J779" s="253">
        <f>'CUOTA ARTESANAL'!P570</f>
        <v>0.33800000000000097</v>
      </c>
      <c r="K779" s="253">
        <f>'CUOTA ARTESANAL'!Q570</f>
        <v>0</v>
      </c>
      <c r="L779" s="253">
        <f>'CUOTA ARTESANAL'!R570</f>
        <v>0.33800000000000097</v>
      </c>
      <c r="M779" s="254">
        <f>'CUOTA ARTESANAL'!S570</f>
        <v>0</v>
      </c>
      <c r="N779" s="245" t="s">
        <v>218</v>
      </c>
      <c r="O779" s="241">
        <f>RESUMEN!$C$4</f>
        <v>44561</v>
      </c>
      <c r="P779" s="233">
        <v>2021</v>
      </c>
      <c r="Q779" s="233"/>
    </row>
    <row r="780" spans="1:17" ht="15.75" customHeight="1">
      <c r="A780" s="238" t="s">
        <v>51</v>
      </c>
      <c r="B780" s="238" t="s">
        <v>52</v>
      </c>
      <c r="C780" s="238" t="s">
        <v>73</v>
      </c>
      <c r="D780" s="238" t="s">
        <v>66</v>
      </c>
      <c r="E780" s="233" t="str">
        <f>+'CUOTA ARTESANAL'!E572</f>
        <v>ASOCIACIÓN GREMIAL DE ARMADORES, PESCADORES ARTESANALES Y ACTIVIDADES AFINES ARMAPESCA A.G RAG 635-8</v>
      </c>
      <c r="F780" s="238" t="s">
        <v>54</v>
      </c>
      <c r="G780" s="238" t="s">
        <v>56</v>
      </c>
      <c r="H780" s="253">
        <f>'CUOTA ARTESANAL'!G572</f>
        <v>0</v>
      </c>
      <c r="I780" s="253">
        <f>'CUOTA ARTESANAL'!H572</f>
        <v>0</v>
      </c>
      <c r="J780" s="253">
        <f>'CUOTA ARTESANAL'!I572</f>
        <v>0</v>
      </c>
      <c r="K780" s="253">
        <f>'CUOTA ARTESANAL'!J572</f>
        <v>0</v>
      </c>
      <c r="L780" s="253">
        <f>'CUOTA ARTESANAL'!K572</f>
        <v>0</v>
      </c>
      <c r="M780" s="254" t="e">
        <f>'CUOTA ARTESANAL'!L572</f>
        <v>#DIV/0!</v>
      </c>
      <c r="N780" s="245" t="str">
        <f>'CUOTA ARTESANAL'!M572</f>
        <v>-</v>
      </c>
      <c r="O780" s="241">
        <f>RESUMEN!$C$4</f>
        <v>44561</v>
      </c>
      <c r="P780" s="233">
        <v>2021</v>
      </c>
      <c r="Q780" s="233"/>
    </row>
    <row r="781" spans="1:17" ht="15.75" customHeight="1">
      <c r="A781" s="238" t="s">
        <v>51</v>
      </c>
      <c r="B781" s="238" t="s">
        <v>52</v>
      </c>
      <c r="C781" s="238" t="s">
        <v>73</v>
      </c>
      <c r="D781" s="238" t="s">
        <v>66</v>
      </c>
      <c r="E781" s="233" t="str">
        <f>+'CUOTA ARTESANAL'!E572</f>
        <v>ASOCIACIÓN GREMIAL DE ARMADORES, PESCADORES ARTESANALES Y ACTIVIDADES AFINES ARMAPESCA A.G RAG 635-8</v>
      </c>
      <c r="F781" s="238" t="s">
        <v>57</v>
      </c>
      <c r="G781" s="238" t="s">
        <v>58</v>
      </c>
      <c r="H781" s="253">
        <f>'CUOTA ARTESANAL'!G573</f>
        <v>0</v>
      </c>
      <c r="I781" s="253">
        <f>'CUOTA ARTESANAL'!H573</f>
        <v>0</v>
      </c>
      <c r="J781" s="253">
        <f>'CUOTA ARTESANAL'!I573</f>
        <v>0</v>
      </c>
      <c r="K781" s="253">
        <f>'CUOTA ARTESANAL'!J573</f>
        <v>0</v>
      </c>
      <c r="L781" s="253">
        <f>'CUOTA ARTESANAL'!K573</f>
        <v>0</v>
      </c>
      <c r="M781" s="254" t="e">
        <f>'CUOTA ARTESANAL'!L573</f>
        <v>#DIV/0!</v>
      </c>
      <c r="N781" s="245" t="str">
        <f>'CUOTA ARTESANAL'!M573</f>
        <v>-</v>
      </c>
      <c r="O781" s="241">
        <f>RESUMEN!$C$4</f>
        <v>44561</v>
      </c>
      <c r="P781" s="233">
        <v>2021</v>
      </c>
      <c r="Q781" s="233"/>
    </row>
    <row r="782" spans="1:17" ht="15.75" customHeight="1">
      <c r="A782" s="238" t="s">
        <v>51</v>
      </c>
      <c r="B782" s="238" t="s">
        <v>52</v>
      </c>
      <c r="C782" s="238" t="s">
        <v>73</v>
      </c>
      <c r="D782" s="238" t="s">
        <v>66</v>
      </c>
      <c r="E782" s="233" t="str">
        <f>+'CUOTA ARTESANAL'!E572</f>
        <v>ASOCIACIÓN GREMIAL DE ARMADORES, PESCADORES ARTESANALES Y ACTIVIDADES AFINES ARMAPESCA A.G RAG 635-8</v>
      </c>
      <c r="F782" s="238" t="s">
        <v>54</v>
      </c>
      <c r="G782" s="238" t="s">
        <v>58</v>
      </c>
      <c r="H782" s="253">
        <f>'CUOTA ARTESANAL'!N572</f>
        <v>0</v>
      </c>
      <c r="I782" s="253">
        <f>'CUOTA ARTESANAL'!O572</f>
        <v>0</v>
      </c>
      <c r="J782" s="253">
        <f>'CUOTA ARTESANAL'!P572</f>
        <v>0</v>
      </c>
      <c r="K782" s="253">
        <f>'CUOTA ARTESANAL'!Q572</f>
        <v>0</v>
      </c>
      <c r="L782" s="253">
        <f>'CUOTA ARTESANAL'!R572</f>
        <v>0</v>
      </c>
      <c r="M782" s="254" t="e">
        <f>'CUOTA ARTESANAL'!S572</f>
        <v>#DIV/0!</v>
      </c>
      <c r="N782" s="245" t="s">
        <v>218</v>
      </c>
      <c r="O782" s="241">
        <f>RESUMEN!$C$4</f>
        <v>44561</v>
      </c>
      <c r="P782" s="233">
        <v>2021</v>
      </c>
      <c r="Q782" s="233"/>
    </row>
    <row r="783" spans="1:17" ht="15.75" customHeight="1">
      <c r="A783" s="238" t="s">
        <v>51</v>
      </c>
      <c r="B783" s="238" t="s">
        <v>52</v>
      </c>
      <c r="C783" s="238" t="s">
        <v>73</v>
      </c>
      <c r="D783" s="238" t="s">
        <v>66</v>
      </c>
      <c r="E783" s="233" t="str">
        <f>+'CUOTA ARTESANAL'!E574</f>
        <v>ASOCIACIÓN GREMIAL DE PRODUCTORES PELÁGICOS, ARMADORES ARTESANALES DE LAS CALETAS DE CORONEL Y SAN VICENTE DE LA VIII REGIÓN ARPESCA A.G RAG 447-8</v>
      </c>
      <c r="F783" s="238" t="s">
        <v>54</v>
      </c>
      <c r="G783" s="238" t="s">
        <v>56</v>
      </c>
      <c r="H783" s="253">
        <f>'CUOTA ARTESANAL'!G574</f>
        <v>2.202</v>
      </c>
      <c r="I783" s="253">
        <f>'CUOTA ARTESANAL'!H574</f>
        <v>0</v>
      </c>
      <c r="J783" s="253">
        <f>'CUOTA ARTESANAL'!I574</f>
        <v>2.202</v>
      </c>
      <c r="K783" s="253">
        <f>'CUOTA ARTESANAL'!J574</f>
        <v>0</v>
      </c>
      <c r="L783" s="253">
        <f>'CUOTA ARTESANAL'!K574</f>
        <v>2.202</v>
      </c>
      <c r="M783" s="254">
        <f>'CUOTA ARTESANAL'!L574</f>
        <v>0</v>
      </c>
      <c r="N783" s="245" t="str">
        <f>'CUOTA ARTESANAL'!M574</f>
        <v>-</v>
      </c>
      <c r="O783" s="241">
        <f>RESUMEN!$C$4</f>
        <v>44561</v>
      </c>
      <c r="P783" s="233">
        <v>2021</v>
      </c>
      <c r="Q783" s="233"/>
    </row>
    <row r="784" spans="1:17" ht="15.75" customHeight="1">
      <c r="A784" s="238" t="s">
        <v>51</v>
      </c>
      <c r="B784" s="238" t="s">
        <v>52</v>
      </c>
      <c r="C784" s="238" t="s">
        <v>73</v>
      </c>
      <c r="D784" s="238" t="s">
        <v>66</v>
      </c>
      <c r="E784" s="233" t="str">
        <f>+'CUOTA ARTESANAL'!E574</f>
        <v>ASOCIACIÓN GREMIAL DE PRODUCTORES PELÁGICOS, ARMADORES ARTESANALES DE LAS CALETAS DE CORONEL Y SAN VICENTE DE LA VIII REGIÓN ARPESCA A.G RAG 447-8</v>
      </c>
      <c r="F784" s="238" t="s">
        <v>57</v>
      </c>
      <c r="G784" s="238" t="s">
        <v>58</v>
      </c>
      <c r="H784" s="253">
        <f>'CUOTA ARTESANAL'!G575</f>
        <v>2.202</v>
      </c>
      <c r="I784" s="253">
        <f>'CUOTA ARTESANAL'!H575</f>
        <v>0</v>
      </c>
      <c r="J784" s="253">
        <f>'CUOTA ARTESANAL'!I575</f>
        <v>4.4039999999999999</v>
      </c>
      <c r="K784" s="253">
        <f>'CUOTA ARTESANAL'!J575</f>
        <v>0</v>
      </c>
      <c r="L784" s="253">
        <f>'CUOTA ARTESANAL'!K575</f>
        <v>4.4039999999999999</v>
      </c>
      <c r="M784" s="254">
        <f>'CUOTA ARTESANAL'!L575</f>
        <v>0</v>
      </c>
      <c r="N784" s="245" t="str">
        <f>'CUOTA ARTESANAL'!M575</f>
        <v>-</v>
      </c>
      <c r="O784" s="241">
        <f>RESUMEN!$C$4</f>
        <v>44561</v>
      </c>
      <c r="P784" s="233">
        <v>2021</v>
      </c>
      <c r="Q784" s="233"/>
    </row>
    <row r="785" spans="1:17" ht="15.75" customHeight="1">
      <c r="A785" s="238" t="s">
        <v>51</v>
      </c>
      <c r="B785" s="238" t="s">
        <v>52</v>
      </c>
      <c r="C785" s="238" t="s">
        <v>73</v>
      </c>
      <c r="D785" s="238" t="s">
        <v>66</v>
      </c>
      <c r="E785" s="233" t="str">
        <f>+'CUOTA ARTESANAL'!E574</f>
        <v>ASOCIACIÓN GREMIAL DE PRODUCTORES PELÁGICOS, ARMADORES ARTESANALES DE LAS CALETAS DE CORONEL Y SAN VICENTE DE LA VIII REGIÓN ARPESCA A.G RAG 447-8</v>
      </c>
      <c r="F785" s="238" t="s">
        <v>54</v>
      </c>
      <c r="G785" s="238" t="s">
        <v>58</v>
      </c>
      <c r="H785" s="253">
        <f>'CUOTA ARTESANAL'!N574</f>
        <v>4.4039999999999999</v>
      </c>
      <c r="I785" s="253">
        <f>'CUOTA ARTESANAL'!O574</f>
        <v>0</v>
      </c>
      <c r="J785" s="253">
        <f>'CUOTA ARTESANAL'!P574</f>
        <v>4.4039999999999999</v>
      </c>
      <c r="K785" s="253">
        <f>'CUOTA ARTESANAL'!Q574</f>
        <v>0</v>
      </c>
      <c r="L785" s="253">
        <f>'CUOTA ARTESANAL'!R574</f>
        <v>4.4039999999999999</v>
      </c>
      <c r="M785" s="254">
        <f>'CUOTA ARTESANAL'!S574</f>
        <v>0</v>
      </c>
      <c r="N785" s="245" t="s">
        <v>218</v>
      </c>
      <c r="O785" s="241">
        <f>RESUMEN!$C$4</f>
        <v>44561</v>
      </c>
      <c r="P785" s="233">
        <v>2021</v>
      </c>
      <c r="Q785" s="233"/>
    </row>
    <row r="786" spans="1:17" ht="15.75" customHeight="1">
      <c r="A786" s="238" t="s">
        <v>51</v>
      </c>
      <c r="B786" s="238" t="s">
        <v>52</v>
      </c>
      <c r="C786" s="238" t="s">
        <v>73</v>
      </c>
      <c r="D786" s="238" t="s">
        <v>66</v>
      </c>
      <c r="E786" s="233" t="str">
        <f>+'CUOTA ARTESANAL'!E576</f>
        <v>STI PESCADORES ARTESANALES MERLUCEROS Y AFINES DE CALETA LO ROJAS RSU 08.07.0227</v>
      </c>
      <c r="F786" s="238" t="s">
        <v>54</v>
      </c>
      <c r="G786" s="238" t="s">
        <v>56</v>
      </c>
      <c r="H786" s="253">
        <f>'CUOTA ARTESANAL'!G576</f>
        <v>4.1449999999999996</v>
      </c>
      <c r="I786" s="253">
        <f>'CUOTA ARTESANAL'!H576</f>
        <v>0</v>
      </c>
      <c r="J786" s="253">
        <f>'CUOTA ARTESANAL'!I576</f>
        <v>4.1449999999999996</v>
      </c>
      <c r="K786" s="253">
        <f>'CUOTA ARTESANAL'!J576</f>
        <v>0</v>
      </c>
      <c r="L786" s="253">
        <f>'CUOTA ARTESANAL'!K576</f>
        <v>4.1449999999999996</v>
      </c>
      <c r="M786" s="254">
        <f>'CUOTA ARTESANAL'!L576</f>
        <v>0</v>
      </c>
      <c r="N786" s="245" t="str">
        <f>'CUOTA ARTESANAL'!M576</f>
        <v>-</v>
      </c>
      <c r="O786" s="241">
        <f>RESUMEN!$C$4</f>
        <v>44561</v>
      </c>
      <c r="P786" s="233">
        <v>2021</v>
      </c>
      <c r="Q786" s="233"/>
    </row>
    <row r="787" spans="1:17" ht="15.75" customHeight="1">
      <c r="A787" s="238" t="s">
        <v>51</v>
      </c>
      <c r="B787" s="238" t="s">
        <v>52</v>
      </c>
      <c r="C787" s="238" t="s">
        <v>73</v>
      </c>
      <c r="D787" s="238" t="s">
        <v>66</v>
      </c>
      <c r="E787" s="233" t="str">
        <f>+'CUOTA ARTESANAL'!E576</f>
        <v>STI PESCADORES ARTESANALES MERLUCEROS Y AFINES DE CALETA LO ROJAS RSU 08.07.0227</v>
      </c>
      <c r="F787" s="238" t="s">
        <v>57</v>
      </c>
      <c r="G787" s="238" t="s">
        <v>58</v>
      </c>
      <c r="H787" s="253">
        <f>'CUOTA ARTESANAL'!G577</f>
        <v>4.1449999999999996</v>
      </c>
      <c r="I787" s="253">
        <f>'CUOTA ARTESANAL'!H577</f>
        <v>0</v>
      </c>
      <c r="J787" s="253">
        <f>'CUOTA ARTESANAL'!I577</f>
        <v>8.2899999999999991</v>
      </c>
      <c r="K787" s="253">
        <f>'CUOTA ARTESANAL'!J577</f>
        <v>0</v>
      </c>
      <c r="L787" s="253">
        <f>'CUOTA ARTESANAL'!K577</f>
        <v>8.2899999999999991</v>
      </c>
      <c r="M787" s="254">
        <f>'CUOTA ARTESANAL'!L577</f>
        <v>0</v>
      </c>
      <c r="N787" s="245" t="str">
        <f>'CUOTA ARTESANAL'!M577</f>
        <v>-</v>
      </c>
      <c r="O787" s="241">
        <f>RESUMEN!$C$4</f>
        <v>44561</v>
      </c>
      <c r="P787" s="233">
        <v>2021</v>
      </c>
      <c r="Q787" s="233"/>
    </row>
    <row r="788" spans="1:17" ht="15.75" customHeight="1">
      <c r="A788" s="238" t="s">
        <v>51</v>
      </c>
      <c r="B788" s="238" t="s">
        <v>52</v>
      </c>
      <c r="C788" s="238" t="s">
        <v>73</v>
      </c>
      <c r="D788" s="238" t="s">
        <v>66</v>
      </c>
      <c r="E788" s="233" t="str">
        <f>+'CUOTA ARTESANAL'!E576</f>
        <v>STI PESCADORES ARTESANALES MERLUCEROS Y AFINES DE CALETA LO ROJAS RSU 08.07.0227</v>
      </c>
      <c r="F788" s="238" t="s">
        <v>54</v>
      </c>
      <c r="G788" s="238" t="s">
        <v>58</v>
      </c>
      <c r="H788" s="253">
        <f>'CUOTA ARTESANAL'!N576</f>
        <v>8.2899999999999991</v>
      </c>
      <c r="I788" s="253">
        <f>'CUOTA ARTESANAL'!O576</f>
        <v>0</v>
      </c>
      <c r="J788" s="253">
        <f>'CUOTA ARTESANAL'!P576</f>
        <v>8.2899999999999991</v>
      </c>
      <c r="K788" s="253">
        <f>'CUOTA ARTESANAL'!Q576</f>
        <v>0</v>
      </c>
      <c r="L788" s="253">
        <f>'CUOTA ARTESANAL'!R576</f>
        <v>8.2899999999999991</v>
      </c>
      <c r="M788" s="254">
        <f>'CUOTA ARTESANAL'!S576</f>
        <v>0</v>
      </c>
      <c r="N788" s="245" t="s">
        <v>218</v>
      </c>
      <c r="O788" s="241">
        <f>RESUMEN!$C$4</f>
        <v>44561</v>
      </c>
      <c r="P788" s="233">
        <v>2021</v>
      </c>
      <c r="Q788" s="233"/>
    </row>
    <row r="789" spans="1:17" ht="15.75" customHeight="1">
      <c r="A789" s="238" t="s">
        <v>51</v>
      </c>
      <c r="B789" s="238" t="s">
        <v>52</v>
      </c>
      <c r="C789" s="238" t="s">
        <v>73</v>
      </c>
      <c r="D789" s="238" t="s">
        <v>66</v>
      </c>
      <c r="E789" s="233" t="str">
        <f>+'CUOTA ARTESANAL'!E578</f>
        <v>STI PESCADORES, ARMADORES Y RAMOS AFINES SIPEAYRAS DE LOTA RSU 08.07.0296</v>
      </c>
      <c r="F789" s="238" t="s">
        <v>54</v>
      </c>
      <c r="G789" s="238" t="s">
        <v>56</v>
      </c>
      <c r="H789" s="253">
        <f>'CUOTA ARTESANAL'!G578</f>
        <v>12.715</v>
      </c>
      <c r="I789" s="253">
        <f>'CUOTA ARTESANAL'!H578</f>
        <v>0</v>
      </c>
      <c r="J789" s="253">
        <f>'CUOTA ARTESANAL'!I578</f>
        <v>12.715</v>
      </c>
      <c r="K789" s="253">
        <f>'CUOTA ARTESANAL'!J578</f>
        <v>0</v>
      </c>
      <c r="L789" s="253">
        <f>'CUOTA ARTESANAL'!K578</f>
        <v>12.715</v>
      </c>
      <c r="M789" s="254">
        <f>'CUOTA ARTESANAL'!L578</f>
        <v>0</v>
      </c>
      <c r="N789" s="245" t="str">
        <f>'CUOTA ARTESANAL'!M578</f>
        <v>-</v>
      </c>
      <c r="O789" s="241">
        <f>RESUMEN!$C$4</f>
        <v>44561</v>
      </c>
      <c r="P789" s="233">
        <v>2021</v>
      </c>
      <c r="Q789" s="233"/>
    </row>
    <row r="790" spans="1:17" ht="15.75" customHeight="1">
      <c r="A790" s="238" t="s">
        <v>51</v>
      </c>
      <c r="B790" s="238" t="s">
        <v>52</v>
      </c>
      <c r="C790" s="238" t="s">
        <v>73</v>
      </c>
      <c r="D790" s="238" t="s">
        <v>66</v>
      </c>
      <c r="E790" s="233" t="str">
        <f>+'CUOTA ARTESANAL'!E578</f>
        <v>STI PESCADORES, ARMADORES Y RAMOS AFINES SIPEAYRAS DE LOTA RSU 08.07.0296</v>
      </c>
      <c r="F790" s="238" t="s">
        <v>57</v>
      </c>
      <c r="G790" s="238" t="s">
        <v>58</v>
      </c>
      <c r="H790" s="253">
        <f>'CUOTA ARTESANAL'!G579</f>
        <v>12.715</v>
      </c>
      <c r="I790" s="253">
        <f>'CUOTA ARTESANAL'!H579</f>
        <v>0</v>
      </c>
      <c r="J790" s="253">
        <f>'CUOTA ARTESANAL'!I579</f>
        <v>25.43</v>
      </c>
      <c r="K790" s="253">
        <f>'CUOTA ARTESANAL'!J579</f>
        <v>0</v>
      </c>
      <c r="L790" s="253">
        <f>'CUOTA ARTESANAL'!K579</f>
        <v>25.43</v>
      </c>
      <c r="M790" s="254">
        <f>'CUOTA ARTESANAL'!L579</f>
        <v>0</v>
      </c>
      <c r="N790" s="245" t="str">
        <f>'CUOTA ARTESANAL'!M579</f>
        <v>-</v>
      </c>
      <c r="O790" s="241">
        <f>RESUMEN!$C$4</f>
        <v>44561</v>
      </c>
      <c r="P790" s="233">
        <v>2021</v>
      </c>
      <c r="Q790" s="233"/>
    </row>
    <row r="791" spans="1:17" ht="15.75" customHeight="1">
      <c r="A791" s="238" t="s">
        <v>51</v>
      </c>
      <c r="B791" s="238" t="s">
        <v>52</v>
      </c>
      <c r="C791" s="238" t="s">
        <v>73</v>
      </c>
      <c r="D791" s="238" t="s">
        <v>66</v>
      </c>
      <c r="E791" s="233" t="str">
        <f>+'CUOTA ARTESANAL'!E578</f>
        <v>STI PESCADORES, ARMADORES Y RAMOS AFINES SIPEAYRAS DE LOTA RSU 08.07.0296</v>
      </c>
      <c r="F791" s="238" t="s">
        <v>54</v>
      </c>
      <c r="G791" s="238" t="s">
        <v>58</v>
      </c>
      <c r="H791" s="253">
        <f>'CUOTA ARTESANAL'!N578</f>
        <v>25.43</v>
      </c>
      <c r="I791" s="253">
        <f>'CUOTA ARTESANAL'!O578</f>
        <v>0</v>
      </c>
      <c r="J791" s="253">
        <f>'CUOTA ARTESANAL'!P578</f>
        <v>25.43</v>
      </c>
      <c r="K791" s="253">
        <f>'CUOTA ARTESANAL'!Q578</f>
        <v>0</v>
      </c>
      <c r="L791" s="253">
        <f>'CUOTA ARTESANAL'!R578</f>
        <v>25.43</v>
      </c>
      <c r="M791" s="254">
        <f>'CUOTA ARTESANAL'!S578</f>
        <v>0</v>
      </c>
      <c r="N791" s="245" t="s">
        <v>218</v>
      </c>
      <c r="O791" s="241">
        <f>RESUMEN!$C$4</f>
        <v>44561</v>
      </c>
      <c r="P791" s="233">
        <v>2021</v>
      </c>
      <c r="Q791" s="233"/>
    </row>
    <row r="792" spans="1:17" ht="15.75" customHeight="1">
      <c r="A792" s="238" t="s">
        <v>51</v>
      </c>
      <c r="B792" s="238" t="s">
        <v>52</v>
      </c>
      <c r="C792" s="238" t="s">
        <v>73</v>
      </c>
      <c r="D792" s="238" t="s">
        <v>66</v>
      </c>
      <c r="E792" s="233" t="str">
        <f>+'CUOTA ARTESANAL'!E580</f>
        <v>STI PESCADORES, ARMADORES Y RAMAS AFINES DE LA PESCA ARTESANAL JUANOVOARCE-LOTA  RSU 08.07.0485</v>
      </c>
      <c r="F792" s="238" t="s">
        <v>54</v>
      </c>
      <c r="G792" s="238" t="s">
        <v>56</v>
      </c>
      <c r="H792" s="253">
        <f>'CUOTA ARTESANAL'!G580</f>
        <v>12.246</v>
      </c>
      <c r="I792" s="253">
        <f>'CUOTA ARTESANAL'!H580</f>
        <v>-12</v>
      </c>
      <c r="J792" s="253">
        <f>'CUOTA ARTESANAL'!I580</f>
        <v>0.24600000000000044</v>
      </c>
      <c r="K792" s="253">
        <f>'CUOTA ARTESANAL'!J580</f>
        <v>0</v>
      </c>
      <c r="L792" s="253">
        <f>'CUOTA ARTESANAL'!K580</f>
        <v>0.24600000000000044</v>
      </c>
      <c r="M792" s="254">
        <f>'CUOTA ARTESANAL'!L580</f>
        <v>0</v>
      </c>
      <c r="N792" s="245" t="str">
        <f>'CUOTA ARTESANAL'!M580</f>
        <v>-</v>
      </c>
      <c r="O792" s="241">
        <f>RESUMEN!$C$4</f>
        <v>44561</v>
      </c>
      <c r="P792" s="233">
        <v>2021</v>
      </c>
      <c r="Q792" s="233"/>
    </row>
    <row r="793" spans="1:17" ht="15.75" customHeight="1">
      <c r="A793" s="238" t="s">
        <v>51</v>
      </c>
      <c r="B793" s="238" t="s">
        <v>52</v>
      </c>
      <c r="C793" s="238" t="s">
        <v>73</v>
      </c>
      <c r="D793" s="238" t="s">
        <v>66</v>
      </c>
      <c r="E793" s="233" t="str">
        <f>+'CUOTA ARTESANAL'!E580</f>
        <v>STI PESCADORES, ARMADORES Y RAMAS AFINES DE LA PESCA ARTESANAL JUANOVOARCE-LOTA  RSU 08.07.0485</v>
      </c>
      <c r="F793" s="238" t="s">
        <v>57</v>
      </c>
      <c r="G793" s="238" t="s">
        <v>58</v>
      </c>
      <c r="H793" s="253">
        <f>'CUOTA ARTESANAL'!G581</f>
        <v>12.246</v>
      </c>
      <c r="I793" s="253">
        <f>'CUOTA ARTESANAL'!H581</f>
        <v>-12</v>
      </c>
      <c r="J793" s="253">
        <f>'CUOTA ARTESANAL'!I581</f>
        <v>0.49200000000000088</v>
      </c>
      <c r="K793" s="253">
        <f>'CUOTA ARTESANAL'!J581</f>
        <v>0</v>
      </c>
      <c r="L793" s="253">
        <f>'CUOTA ARTESANAL'!K581</f>
        <v>0.49200000000000088</v>
      </c>
      <c r="M793" s="254">
        <f>'CUOTA ARTESANAL'!L581</f>
        <v>0</v>
      </c>
      <c r="N793" s="245" t="str">
        <f>'CUOTA ARTESANAL'!M581</f>
        <v>-</v>
      </c>
      <c r="O793" s="241">
        <f>RESUMEN!$C$4</f>
        <v>44561</v>
      </c>
      <c r="P793" s="233">
        <v>2021</v>
      </c>
      <c r="Q793" s="233"/>
    </row>
    <row r="794" spans="1:17" ht="15.75" customHeight="1">
      <c r="A794" s="238" t="s">
        <v>51</v>
      </c>
      <c r="B794" s="238" t="s">
        <v>52</v>
      </c>
      <c r="C794" s="238" t="s">
        <v>73</v>
      </c>
      <c r="D794" s="238" t="s">
        <v>66</v>
      </c>
      <c r="E794" s="233" t="str">
        <f>+'CUOTA ARTESANAL'!E580</f>
        <v>STI PESCADORES, ARMADORES Y RAMAS AFINES DE LA PESCA ARTESANAL JUANOVOARCE-LOTA  RSU 08.07.0485</v>
      </c>
      <c r="F794" s="238" t="s">
        <v>54</v>
      </c>
      <c r="G794" s="238" t="s">
        <v>58</v>
      </c>
      <c r="H794" s="253">
        <f>'CUOTA ARTESANAL'!N580</f>
        <v>24.492000000000001</v>
      </c>
      <c r="I794" s="253">
        <f>'CUOTA ARTESANAL'!O580</f>
        <v>-24</v>
      </c>
      <c r="J794" s="253">
        <f>'CUOTA ARTESANAL'!P580</f>
        <v>0.49200000000000088</v>
      </c>
      <c r="K794" s="253">
        <f>'CUOTA ARTESANAL'!Q580</f>
        <v>0</v>
      </c>
      <c r="L794" s="253">
        <f>'CUOTA ARTESANAL'!R580</f>
        <v>0.49200000000000088</v>
      </c>
      <c r="M794" s="254">
        <f>'CUOTA ARTESANAL'!S580</f>
        <v>0</v>
      </c>
      <c r="N794" s="245" t="s">
        <v>218</v>
      </c>
      <c r="O794" s="241">
        <f>RESUMEN!$C$4</f>
        <v>44561</v>
      </c>
      <c r="P794" s="233">
        <v>2021</v>
      </c>
      <c r="Q794" s="233"/>
    </row>
    <row r="795" spans="1:17" ht="15.75" customHeight="1">
      <c r="A795" s="238" t="s">
        <v>51</v>
      </c>
      <c r="B795" s="238" t="s">
        <v>52</v>
      </c>
      <c r="C795" s="238" t="s">
        <v>73</v>
      </c>
      <c r="D795" s="238" t="s">
        <v>66</v>
      </c>
      <c r="E795" s="243" t="str">
        <f>+'CUOTA ARTESANAL'!E582</f>
        <v>COOPERATIVA DE PESCADORES SOL DE ISRAEL LIMITADA COOPES LTDA. 5483</v>
      </c>
      <c r="F795" s="238" t="s">
        <v>54</v>
      </c>
      <c r="G795" s="238" t="s">
        <v>56</v>
      </c>
      <c r="H795" s="253">
        <f>'CUOTA ARTESANAL'!G582</f>
        <v>7.2359999999999998</v>
      </c>
      <c r="I795" s="253">
        <f>'CUOTA ARTESANAL'!H582</f>
        <v>0</v>
      </c>
      <c r="J795" s="253">
        <f>'CUOTA ARTESANAL'!I582</f>
        <v>7.2359999999999998</v>
      </c>
      <c r="K795" s="253">
        <f>'CUOTA ARTESANAL'!J582</f>
        <v>0</v>
      </c>
      <c r="L795" s="253">
        <f>'CUOTA ARTESANAL'!K582</f>
        <v>7.2359999999999998</v>
      </c>
      <c r="M795" s="254">
        <f>'CUOTA ARTESANAL'!L582</f>
        <v>0</v>
      </c>
      <c r="N795" s="245" t="str">
        <f>'CUOTA ARTESANAL'!M582</f>
        <v>-</v>
      </c>
      <c r="O795" s="241">
        <f>RESUMEN!$C$4</f>
        <v>44561</v>
      </c>
      <c r="P795" s="233">
        <v>2021</v>
      </c>
      <c r="Q795" s="233"/>
    </row>
    <row r="796" spans="1:17" ht="15.75" customHeight="1">
      <c r="A796" s="238" t="s">
        <v>51</v>
      </c>
      <c r="B796" s="238" t="s">
        <v>52</v>
      </c>
      <c r="C796" s="238" t="s">
        <v>73</v>
      </c>
      <c r="D796" s="238" t="s">
        <v>66</v>
      </c>
      <c r="E796" s="243" t="str">
        <f>+'CUOTA ARTESANAL'!E582</f>
        <v>COOPERATIVA DE PESCADORES SOL DE ISRAEL LIMITADA COOPES LTDA. 5483</v>
      </c>
      <c r="F796" s="238" t="s">
        <v>57</v>
      </c>
      <c r="G796" s="238" t="s">
        <v>58</v>
      </c>
      <c r="H796" s="253">
        <f>'CUOTA ARTESANAL'!G583</f>
        <v>7.2359999999999998</v>
      </c>
      <c r="I796" s="253">
        <f>'CUOTA ARTESANAL'!H583</f>
        <v>-14</v>
      </c>
      <c r="J796" s="253">
        <f>'CUOTA ARTESANAL'!I583</f>
        <v>0.47199999999999953</v>
      </c>
      <c r="K796" s="253">
        <f>'CUOTA ARTESANAL'!J583</f>
        <v>0</v>
      </c>
      <c r="L796" s="253">
        <f>'CUOTA ARTESANAL'!K583</f>
        <v>0.47199999999999953</v>
      </c>
      <c r="M796" s="254">
        <f>'CUOTA ARTESANAL'!L583</f>
        <v>0</v>
      </c>
      <c r="N796" s="245">
        <f>'CUOTA ARTESANAL'!M583</f>
        <v>44470</v>
      </c>
      <c r="O796" s="241">
        <f>RESUMEN!$C$4</f>
        <v>44561</v>
      </c>
      <c r="P796" s="233">
        <v>2021</v>
      </c>
      <c r="Q796" s="233"/>
    </row>
    <row r="797" spans="1:17" ht="15.75" customHeight="1">
      <c r="A797" s="238" t="s">
        <v>51</v>
      </c>
      <c r="B797" s="238" t="s">
        <v>52</v>
      </c>
      <c r="C797" s="238" t="s">
        <v>73</v>
      </c>
      <c r="D797" s="238" t="s">
        <v>66</v>
      </c>
      <c r="E797" s="243" t="str">
        <f>+'CUOTA ARTESANAL'!E582</f>
        <v>COOPERATIVA DE PESCADORES SOL DE ISRAEL LIMITADA COOPES LTDA. 5483</v>
      </c>
      <c r="F797" s="238" t="s">
        <v>54</v>
      </c>
      <c r="G797" s="238" t="s">
        <v>58</v>
      </c>
      <c r="H797" s="253">
        <f>'CUOTA ARTESANAL'!N582</f>
        <v>14.472</v>
      </c>
      <c r="I797" s="253">
        <f>'CUOTA ARTESANAL'!O582</f>
        <v>-14</v>
      </c>
      <c r="J797" s="253">
        <f>'CUOTA ARTESANAL'!P582</f>
        <v>0.47199999999999953</v>
      </c>
      <c r="K797" s="253">
        <f>'CUOTA ARTESANAL'!Q582</f>
        <v>0</v>
      </c>
      <c r="L797" s="253">
        <f>'CUOTA ARTESANAL'!R582</f>
        <v>0.47199999999999953</v>
      </c>
      <c r="M797" s="254">
        <f>'CUOTA ARTESANAL'!S582</f>
        <v>0</v>
      </c>
      <c r="N797" s="245" t="s">
        <v>218</v>
      </c>
      <c r="O797" s="241">
        <f>RESUMEN!$C$4</f>
        <v>44561</v>
      </c>
      <c r="P797" s="233">
        <v>2021</v>
      </c>
      <c r="Q797" s="233"/>
    </row>
    <row r="798" spans="1:17" ht="15.75" customHeight="1">
      <c r="A798" s="238" t="s">
        <v>51</v>
      </c>
      <c r="B798" s="238" t="s">
        <v>52</v>
      </c>
      <c r="C798" s="238" t="s">
        <v>73</v>
      </c>
      <c r="D798" s="238" t="s">
        <v>66</v>
      </c>
      <c r="E798" s="243" t="str">
        <f>+'CUOTA ARTESANAL'!E584</f>
        <v>STI PESCADORES Y ARMADORES Y RAMOS AFINES DE LA PESCA ARTESANAL, LOTA PESCA RSU 08.07.0495</v>
      </c>
      <c r="F798" s="238" t="s">
        <v>54</v>
      </c>
      <c r="G798" s="238" t="s">
        <v>56</v>
      </c>
      <c r="H798" s="253">
        <f>'CUOTA ARTESANAL'!G584</f>
        <v>0</v>
      </c>
      <c r="I798" s="253">
        <f>'CUOTA ARTESANAL'!H584</f>
        <v>0</v>
      </c>
      <c r="J798" s="253">
        <f>'CUOTA ARTESANAL'!I584</f>
        <v>0</v>
      </c>
      <c r="K798" s="253">
        <f>'CUOTA ARTESANAL'!J584</f>
        <v>0</v>
      </c>
      <c r="L798" s="253">
        <f>'CUOTA ARTESANAL'!K584</f>
        <v>0</v>
      </c>
      <c r="M798" s="254" t="e">
        <f>'CUOTA ARTESANAL'!L584</f>
        <v>#DIV/0!</v>
      </c>
      <c r="N798" s="245" t="str">
        <f>'CUOTA ARTESANAL'!M584</f>
        <v>-</v>
      </c>
      <c r="O798" s="241">
        <f>RESUMEN!$C$4</f>
        <v>44561</v>
      </c>
      <c r="P798" s="233">
        <v>2021</v>
      </c>
      <c r="Q798" s="233"/>
    </row>
    <row r="799" spans="1:17" ht="15.75" customHeight="1">
      <c r="A799" s="238" t="s">
        <v>51</v>
      </c>
      <c r="B799" s="238" t="s">
        <v>52</v>
      </c>
      <c r="C799" s="238" t="s">
        <v>73</v>
      </c>
      <c r="D799" s="238" t="s">
        <v>66</v>
      </c>
      <c r="E799" s="243" t="str">
        <f>+'CUOTA ARTESANAL'!E584</f>
        <v>STI PESCADORES Y ARMADORES Y RAMOS AFINES DE LA PESCA ARTESANAL, LOTA PESCA RSU 08.07.0495</v>
      </c>
      <c r="F799" s="238" t="s">
        <v>57</v>
      </c>
      <c r="G799" s="238" t="s">
        <v>58</v>
      </c>
      <c r="H799" s="253">
        <f>'CUOTA ARTESANAL'!G585</f>
        <v>0</v>
      </c>
      <c r="I799" s="253">
        <f>'CUOTA ARTESANAL'!H585</f>
        <v>0</v>
      </c>
      <c r="J799" s="253">
        <f>'CUOTA ARTESANAL'!I585</f>
        <v>0</v>
      </c>
      <c r="K799" s="253">
        <f>'CUOTA ARTESANAL'!J585</f>
        <v>0</v>
      </c>
      <c r="L799" s="253">
        <f>'CUOTA ARTESANAL'!K585</f>
        <v>0</v>
      </c>
      <c r="M799" s="254" t="e">
        <f>'CUOTA ARTESANAL'!L585</f>
        <v>#DIV/0!</v>
      </c>
      <c r="N799" s="245" t="str">
        <f>'CUOTA ARTESANAL'!M585</f>
        <v>-</v>
      </c>
      <c r="O799" s="241">
        <f>RESUMEN!$C$4</f>
        <v>44561</v>
      </c>
      <c r="P799" s="233">
        <v>2021</v>
      </c>
      <c r="Q799" s="233"/>
    </row>
    <row r="800" spans="1:17" ht="15.75" customHeight="1">
      <c r="A800" s="238" t="s">
        <v>51</v>
      </c>
      <c r="B800" s="238" t="s">
        <v>52</v>
      </c>
      <c r="C800" s="238" t="s">
        <v>73</v>
      </c>
      <c r="D800" s="238" t="s">
        <v>66</v>
      </c>
      <c r="E800" s="243" t="str">
        <f>+'CUOTA ARTESANAL'!E584</f>
        <v>STI PESCADORES Y ARMADORES Y RAMOS AFINES DE LA PESCA ARTESANAL, LOTA PESCA RSU 08.07.0495</v>
      </c>
      <c r="F800" s="238" t="s">
        <v>54</v>
      </c>
      <c r="G800" s="238" t="s">
        <v>58</v>
      </c>
      <c r="H800" s="253">
        <f>'CUOTA ARTESANAL'!N584</f>
        <v>0</v>
      </c>
      <c r="I800" s="253">
        <f>'CUOTA ARTESANAL'!O584</f>
        <v>0</v>
      </c>
      <c r="J800" s="253">
        <f>'CUOTA ARTESANAL'!P584</f>
        <v>0</v>
      </c>
      <c r="K800" s="253">
        <f>'CUOTA ARTESANAL'!Q584</f>
        <v>0</v>
      </c>
      <c r="L800" s="253">
        <f>'CUOTA ARTESANAL'!R584</f>
        <v>0</v>
      </c>
      <c r="M800" s="254" t="e">
        <f>'CUOTA ARTESANAL'!S584</f>
        <v>#DIV/0!</v>
      </c>
      <c r="N800" s="245" t="s">
        <v>218</v>
      </c>
      <c r="O800" s="241">
        <f>RESUMEN!$C$4</f>
        <v>44561</v>
      </c>
      <c r="P800" s="233">
        <v>2021</v>
      </c>
      <c r="Q800" s="233"/>
    </row>
    <row r="801" spans="1:17" ht="15.75" customHeight="1">
      <c r="A801" s="238" t="s">
        <v>51</v>
      </c>
      <c r="B801" s="238" t="s">
        <v>52</v>
      </c>
      <c r="C801" s="238" t="s">
        <v>73</v>
      </c>
      <c r="D801" s="238" t="s">
        <v>66</v>
      </c>
      <c r="E801" s="243" t="str">
        <f>+'CUOTA ARTESANAL'!E586</f>
        <v>STI PESCADORES Y ARMADORES Y RAMOS AFINES DE LA PESCA ARTESANAL, EPES LOTA RSU 08.07.0510</v>
      </c>
      <c r="F801" s="238" t="s">
        <v>54</v>
      </c>
      <c r="G801" s="238" t="s">
        <v>56</v>
      </c>
      <c r="H801" s="253">
        <f>'CUOTA ARTESANAL'!G586</f>
        <v>0</v>
      </c>
      <c r="I801" s="253">
        <f>'CUOTA ARTESANAL'!H586</f>
        <v>0</v>
      </c>
      <c r="J801" s="253">
        <f>'CUOTA ARTESANAL'!I586</f>
        <v>0</v>
      </c>
      <c r="K801" s="253">
        <f>'CUOTA ARTESANAL'!J586</f>
        <v>0</v>
      </c>
      <c r="L801" s="253">
        <f>'CUOTA ARTESANAL'!K586</f>
        <v>0</v>
      </c>
      <c r="M801" s="254" t="e">
        <f>'CUOTA ARTESANAL'!L586</f>
        <v>#DIV/0!</v>
      </c>
      <c r="N801" s="245" t="str">
        <f>'CUOTA ARTESANAL'!M586</f>
        <v>-</v>
      </c>
      <c r="O801" s="241">
        <f>RESUMEN!$C$4</f>
        <v>44561</v>
      </c>
      <c r="P801" s="233">
        <v>2021</v>
      </c>
      <c r="Q801" s="233"/>
    </row>
    <row r="802" spans="1:17" ht="15.75" customHeight="1">
      <c r="A802" s="238" t="s">
        <v>51</v>
      </c>
      <c r="B802" s="238" t="s">
        <v>52</v>
      </c>
      <c r="C802" s="238" t="s">
        <v>73</v>
      </c>
      <c r="D802" s="238" t="s">
        <v>66</v>
      </c>
      <c r="E802" s="243" t="str">
        <f>+'CUOTA ARTESANAL'!E586</f>
        <v>STI PESCADORES Y ARMADORES Y RAMOS AFINES DE LA PESCA ARTESANAL, EPES LOTA RSU 08.07.0510</v>
      </c>
      <c r="F802" s="238" t="s">
        <v>57</v>
      </c>
      <c r="G802" s="238" t="s">
        <v>58</v>
      </c>
      <c r="H802" s="253">
        <f>'CUOTA ARTESANAL'!G587</f>
        <v>0</v>
      </c>
      <c r="I802" s="253">
        <f>'CUOTA ARTESANAL'!H587</f>
        <v>0</v>
      </c>
      <c r="J802" s="253">
        <f>'CUOTA ARTESANAL'!I587</f>
        <v>0</v>
      </c>
      <c r="K802" s="253">
        <f>'CUOTA ARTESANAL'!J587</f>
        <v>0</v>
      </c>
      <c r="L802" s="253">
        <f>'CUOTA ARTESANAL'!K587</f>
        <v>0</v>
      </c>
      <c r="M802" s="254" t="e">
        <f>'CUOTA ARTESANAL'!L587</f>
        <v>#DIV/0!</v>
      </c>
      <c r="N802" s="245" t="str">
        <f>'CUOTA ARTESANAL'!M587</f>
        <v>-</v>
      </c>
      <c r="O802" s="241">
        <f>RESUMEN!$C$4</f>
        <v>44561</v>
      </c>
      <c r="P802" s="233">
        <v>2021</v>
      </c>
      <c r="Q802" s="233"/>
    </row>
    <row r="803" spans="1:17" ht="15.75" customHeight="1">
      <c r="A803" s="238" t="s">
        <v>51</v>
      </c>
      <c r="B803" s="238" t="s">
        <v>52</v>
      </c>
      <c r="C803" s="238" t="s">
        <v>73</v>
      </c>
      <c r="D803" s="238" t="s">
        <v>66</v>
      </c>
      <c r="E803" s="243" t="str">
        <f>+'CUOTA ARTESANAL'!E586</f>
        <v>STI PESCADORES Y ARMADORES Y RAMOS AFINES DE LA PESCA ARTESANAL, EPES LOTA RSU 08.07.0510</v>
      </c>
      <c r="F803" s="238" t="s">
        <v>54</v>
      </c>
      <c r="G803" s="238" t="s">
        <v>58</v>
      </c>
      <c r="H803" s="253">
        <f>'CUOTA ARTESANAL'!N586</f>
        <v>0</v>
      </c>
      <c r="I803" s="253">
        <f>'CUOTA ARTESANAL'!O586</f>
        <v>0</v>
      </c>
      <c r="J803" s="253">
        <f>'CUOTA ARTESANAL'!P586</f>
        <v>0</v>
      </c>
      <c r="K803" s="253">
        <f>'CUOTA ARTESANAL'!Q586</f>
        <v>0</v>
      </c>
      <c r="L803" s="253">
        <f>'CUOTA ARTESANAL'!R586</f>
        <v>0</v>
      </c>
      <c r="M803" s="254" t="e">
        <f>'CUOTA ARTESANAL'!S586</f>
        <v>#DIV/0!</v>
      </c>
      <c r="N803" s="245" t="s">
        <v>218</v>
      </c>
      <c r="O803" s="241">
        <f>RESUMEN!$C$4</f>
        <v>44561</v>
      </c>
      <c r="P803" s="233">
        <v>2021</v>
      </c>
      <c r="Q803" s="233"/>
    </row>
    <row r="804" spans="1:17" ht="15.75" customHeight="1">
      <c r="A804" s="238" t="s">
        <v>51</v>
      </c>
      <c r="B804" s="238" t="s">
        <v>52</v>
      </c>
      <c r="C804" s="238" t="s">
        <v>73</v>
      </c>
      <c r="D804" s="238" t="s">
        <v>66</v>
      </c>
      <c r="E804" s="243" t="str">
        <f>+'CUOTA ARTESANAL'!E588</f>
        <v>COOPERATIVA PESQUERA ARTESABAK DE CORONEL LTDA. 5472</v>
      </c>
      <c r="F804" s="238" t="s">
        <v>54</v>
      </c>
      <c r="G804" s="238" t="s">
        <v>56</v>
      </c>
      <c r="H804" s="253">
        <f>'CUOTA ARTESANAL'!G588</f>
        <v>2.012</v>
      </c>
      <c r="I804" s="253">
        <f>'CUOTA ARTESANAL'!H588</f>
        <v>0</v>
      </c>
      <c r="J804" s="253">
        <f>'CUOTA ARTESANAL'!I588</f>
        <v>2.012</v>
      </c>
      <c r="K804" s="253">
        <f>'CUOTA ARTESANAL'!J588</f>
        <v>0</v>
      </c>
      <c r="L804" s="253">
        <f>'CUOTA ARTESANAL'!K588</f>
        <v>2.012</v>
      </c>
      <c r="M804" s="254">
        <f>'CUOTA ARTESANAL'!L588</f>
        <v>0</v>
      </c>
      <c r="N804" s="245" t="str">
        <f>'CUOTA ARTESANAL'!M588</f>
        <v>-</v>
      </c>
      <c r="O804" s="241">
        <f>RESUMEN!$C$4</f>
        <v>44561</v>
      </c>
      <c r="P804" s="233">
        <v>2021</v>
      </c>
      <c r="Q804" s="233"/>
    </row>
    <row r="805" spans="1:17" ht="15.75" customHeight="1">
      <c r="A805" s="238" t="s">
        <v>51</v>
      </c>
      <c r="B805" s="238" t="s">
        <v>52</v>
      </c>
      <c r="C805" s="238" t="s">
        <v>73</v>
      </c>
      <c r="D805" s="238" t="s">
        <v>66</v>
      </c>
      <c r="E805" s="243" t="str">
        <f>+'CUOTA ARTESANAL'!E588</f>
        <v>COOPERATIVA PESQUERA ARTESABAK DE CORONEL LTDA. 5472</v>
      </c>
      <c r="F805" s="238" t="s">
        <v>57</v>
      </c>
      <c r="G805" s="238" t="s">
        <v>58</v>
      </c>
      <c r="H805" s="253">
        <f>'CUOTA ARTESANAL'!G589</f>
        <v>2.012</v>
      </c>
      <c r="I805" s="253">
        <f>'CUOTA ARTESANAL'!H589</f>
        <v>0</v>
      </c>
      <c r="J805" s="253">
        <f>'CUOTA ARTESANAL'!I589</f>
        <v>4.024</v>
      </c>
      <c r="K805" s="253">
        <f>'CUOTA ARTESANAL'!J589</f>
        <v>0</v>
      </c>
      <c r="L805" s="253">
        <f>'CUOTA ARTESANAL'!K589</f>
        <v>4.024</v>
      </c>
      <c r="M805" s="254">
        <f>'CUOTA ARTESANAL'!L589</f>
        <v>0</v>
      </c>
      <c r="N805" s="245" t="str">
        <f>'CUOTA ARTESANAL'!M589</f>
        <v>-</v>
      </c>
      <c r="O805" s="241">
        <f>RESUMEN!$C$4</f>
        <v>44561</v>
      </c>
      <c r="P805" s="233">
        <v>2021</v>
      </c>
      <c r="Q805" s="233"/>
    </row>
    <row r="806" spans="1:17" ht="15.75" customHeight="1">
      <c r="A806" s="238" t="s">
        <v>51</v>
      </c>
      <c r="B806" s="238" t="s">
        <v>52</v>
      </c>
      <c r="C806" s="238" t="s">
        <v>73</v>
      </c>
      <c r="D806" s="238" t="s">
        <v>66</v>
      </c>
      <c r="E806" s="243" t="str">
        <f>+'CUOTA ARTESANAL'!E588</f>
        <v>COOPERATIVA PESQUERA ARTESABAK DE CORONEL LTDA. 5472</v>
      </c>
      <c r="F806" s="238" t="s">
        <v>54</v>
      </c>
      <c r="G806" s="238" t="s">
        <v>58</v>
      </c>
      <c r="H806" s="253">
        <f>'CUOTA ARTESANAL'!N588</f>
        <v>4.024</v>
      </c>
      <c r="I806" s="253">
        <f>'CUOTA ARTESANAL'!O588</f>
        <v>0</v>
      </c>
      <c r="J806" s="253">
        <f>'CUOTA ARTESANAL'!P588</f>
        <v>4.024</v>
      </c>
      <c r="K806" s="253">
        <f>'CUOTA ARTESANAL'!Q588</f>
        <v>0</v>
      </c>
      <c r="L806" s="253">
        <f>'CUOTA ARTESANAL'!R588</f>
        <v>4.024</v>
      </c>
      <c r="M806" s="254">
        <f>'CUOTA ARTESANAL'!S588</f>
        <v>0</v>
      </c>
      <c r="N806" s="245" t="s">
        <v>218</v>
      </c>
      <c r="O806" s="241">
        <f>RESUMEN!$C$4</f>
        <v>44561</v>
      </c>
      <c r="P806" s="233">
        <v>2021</v>
      </c>
      <c r="Q806" s="233"/>
    </row>
    <row r="807" spans="1:17" ht="15.75" customHeight="1">
      <c r="A807" s="238" t="s">
        <v>51</v>
      </c>
      <c r="B807" s="238" t="s">
        <v>52</v>
      </c>
      <c r="C807" s="238" t="s">
        <v>73</v>
      </c>
      <c r="D807" s="238" t="s">
        <v>66</v>
      </c>
      <c r="E807" s="233" t="str">
        <f>+'CUOTA ARTESANAL'!E590</f>
        <v>STI PESCADORES ARTESANALES, LANCHEROS, ACUICULTORES Y ACTIVIDADES CONEXAS DE CALETA LOTA BAJO SIPESCA LOTA BAJO RSU 08.07.0106</v>
      </c>
      <c r="F807" s="238" t="s">
        <v>54</v>
      </c>
      <c r="G807" s="238" t="s">
        <v>56</v>
      </c>
      <c r="H807" s="253">
        <f>'CUOTA ARTESANAL'!G590</f>
        <v>11.143000000000001</v>
      </c>
      <c r="I807" s="253">
        <f>'CUOTA ARTESANAL'!H590</f>
        <v>-21.5</v>
      </c>
      <c r="J807" s="253">
        <f>'CUOTA ARTESANAL'!I590</f>
        <v>-10.356999999999999</v>
      </c>
      <c r="K807" s="253">
        <f>'CUOTA ARTESANAL'!J590</f>
        <v>0</v>
      </c>
      <c r="L807" s="253">
        <f>'CUOTA ARTESANAL'!K590</f>
        <v>-10.356999999999999</v>
      </c>
      <c r="M807" s="254">
        <f>'CUOTA ARTESANAL'!L590</f>
        <v>0</v>
      </c>
      <c r="N807" s="245">
        <f>'CUOTA ARTESANAL'!M590</f>
        <v>44294</v>
      </c>
      <c r="O807" s="241">
        <f>RESUMEN!$C$4</f>
        <v>44561</v>
      </c>
      <c r="P807" s="233">
        <v>2021</v>
      </c>
      <c r="Q807" s="233"/>
    </row>
    <row r="808" spans="1:17" ht="15.75" customHeight="1">
      <c r="A808" s="238" t="s">
        <v>51</v>
      </c>
      <c r="B808" s="238" t="s">
        <v>52</v>
      </c>
      <c r="C808" s="238" t="s">
        <v>73</v>
      </c>
      <c r="D808" s="238" t="s">
        <v>66</v>
      </c>
      <c r="E808" s="233" t="str">
        <f>+'CUOTA ARTESANAL'!E590</f>
        <v>STI PESCADORES ARTESANALES, LANCHEROS, ACUICULTORES Y ACTIVIDADES CONEXAS DE CALETA LOTA BAJO SIPESCA LOTA BAJO RSU 08.07.0106</v>
      </c>
      <c r="F808" s="238" t="s">
        <v>57</v>
      </c>
      <c r="G808" s="238" t="s">
        <v>58</v>
      </c>
      <c r="H808" s="253">
        <f>'CUOTA ARTESANAL'!G591</f>
        <v>11.143000000000001</v>
      </c>
      <c r="I808" s="253">
        <f>'CUOTA ARTESANAL'!H591</f>
        <v>0</v>
      </c>
      <c r="J808" s="253">
        <f>'CUOTA ARTESANAL'!I591</f>
        <v>0.78600000000000136</v>
      </c>
      <c r="K808" s="253">
        <f>'CUOTA ARTESANAL'!J591</f>
        <v>0</v>
      </c>
      <c r="L808" s="253">
        <f>'CUOTA ARTESANAL'!K591</f>
        <v>0.78600000000000136</v>
      </c>
      <c r="M808" s="254">
        <f>'CUOTA ARTESANAL'!L591</f>
        <v>0</v>
      </c>
      <c r="N808" s="245">
        <f>'CUOTA ARTESANAL'!M591</f>
        <v>44470</v>
      </c>
      <c r="O808" s="241">
        <f>RESUMEN!$C$4</f>
        <v>44561</v>
      </c>
      <c r="P808" s="233">
        <v>2021</v>
      </c>
      <c r="Q808" s="233"/>
    </row>
    <row r="809" spans="1:17" ht="15.75" customHeight="1">
      <c r="A809" s="238" t="s">
        <v>51</v>
      </c>
      <c r="B809" s="238" t="s">
        <v>52</v>
      </c>
      <c r="C809" s="238" t="s">
        <v>73</v>
      </c>
      <c r="D809" s="238" t="s">
        <v>66</v>
      </c>
      <c r="E809" s="233" t="str">
        <f>+'CUOTA ARTESANAL'!E590</f>
        <v>STI PESCADORES ARTESANALES, LANCHEROS, ACUICULTORES Y ACTIVIDADES CONEXAS DE CALETA LOTA BAJO SIPESCA LOTA BAJO RSU 08.07.0106</v>
      </c>
      <c r="F809" s="238" t="s">
        <v>54</v>
      </c>
      <c r="G809" s="238" t="s">
        <v>58</v>
      </c>
      <c r="H809" s="253">
        <f>'CUOTA ARTESANAL'!N590</f>
        <v>22.286000000000001</v>
      </c>
      <c r="I809" s="253">
        <f>'CUOTA ARTESANAL'!O590</f>
        <v>-21.5</v>
      </c>
      <c r="J809" s="253">
        <f>'CUOTA ARTESANAL'!P590</f>
        <v>0.78600000000000136</v>
      </c>
      <c r="K809" s="253">
        <f>'CUOTA ARTESANAL'!Q590</f>
        <v>0</v>
      </c>
      <c r="L809" s="253">
        <f>'CUOTA ARTESANAL'!R590</f>
        <v>0.78600000000000136</v>
      </c>
      <c r="M809" s="254">
        <f>'CUOTA ARTESANAL'!S590</f>
        <v>0</v>
      </c>
      <c r="N809" s="245" t="s">
        <v>218</v>
      </c>
      <c r="O809" s="241">
        <f>RESUMEN!$C$4</f>
        <v>44561</v>
      </c>
      <c r="P809" s="233">
        <v>2021</v>
      </c>
      <c r="Q809" s="233"/>
    </row>
    <row r="810" spans="1:17" ht="15.75" customHeight="1">
      <c r="A810" s="238" t="s">
        <v>51</v>
      </c>
      <c r="B810" s="238" t="s">
        <v>52</v>
      </c>
      <c r="C810" s="238" t="s">
        <v>73</v>
      </c>
      <c r="D810" s="238" t="s">
        <v>66</v>
      </c>
      <c r="E810" s="233" t="str">
        <f>+'CUOTA ARTESANAL'!E592</f>
        <v>ASOCIACIÓN GREMIAL DE PESCADORES ARTESANALES CALETA LOTA-A.G. APESCA LOTA 428-8</v>
      </c>
      <c r="F810" s="238" t="s">
        <v>54</v>
      </c>
      <c r="G810" s="238" t="s">
        <v>56</v>
      </c>
      <c r="H810" s="253">
        <f>'CUOTA ARTESANAL'!G592</f>
        <v>2.1419999999999999</v>
      </c>
      <c r="I810" s="253">
        <f>'CUOTA ARTESANAL'!H592</f>
        <v>-4</v>
      </c>
      <c r="J810" s="253">
        <f>'CUOTA ARTESANAL'!I592</f>
        <v>-1.8580000000000001</v>
      </c>
      <c r="K810" s="253">
        <f>'CUOTA ARTESANAL'!J592</f>
        <v>0</v>
      </c>
      <c r="L810" s="253">
        <f>'CUOTA ARTESANAL'!K592</f>
        <v>-1.8580000000000001</v>
      </c>
      <c r="M810" s="254">
        <f>'CUOTA ARTESANAL'!L592</f>
        <v>0</v>
      </c>
      <c r="N810" s="245" t="str">
        <f>'CUOTA ARTESANAL'!M592</f>
        <v>-</v>
      </c>
      <c r="O810" s="241">
        <f>RESUMEN!$C$4</f>
        <v>44561</v>
      </c>
      <c r="P810" s="233">
        <v>2021</v>
      </c>
      <c r="Q810" s="233"/>
    </row>
    <row r="811" spans="1:17" ht="15.75" customHeight="1">
      <c r="A811" s="238" t="s">
        <v>51</v>
      </c>
      <c r="B811" s="238" t="s">
        <v>52</v>
      </c>
      <c r="C811" s="238" t="s">
        <v>73</v>
      </c>
      <c r="D811" s="238" t="s">
        <v>66</v>
      </c>
      <c r="E811" s="233" t="str">
        <f>+'CUOTA ARTESANAL'!E592</f>
        <v>ASOCIACIÓN GREMIAL DE PESCADORES ARTESANALES CALETA LOTA-A.G. APESCA LOTA 428-8</v>
      </c>
      <c r="F811" s="238" t="s">
        <v>57</v>
      </c>
      <c r="G811" s="238" t="s">
        <v>58</v>
      </c>
      <c r="H811" s="253">
        <f>'CUOTA ARTESANAL'!G593</f>
        <v>2.1419999999999999</v>
      </c>
      <c r="I811" s="253">
        <f>'CUOTA ARTESANAL'!H593</f>
        <v>0</v>
      </c>
      <c r="J811" s="253">
        <f>'CUOTA ARTESANAL'!I593</f>
        <v>0.28399999999999981</v>
      </c>
      <c r="K811" s="253">
        <f>'CUOTA ARTESANAL'!J593</f>
        <v>0</v>
      </c>
      <c r="L811" s="253">
        <f>'CUOTA ARTESANAL'!K593</f>
        <v>0.28399999999999981</v>
      </c>
      <c r="M811" s="254">
        <f>'CUOTA ARTESANAL'!L593</f>
        <v>0</v>
      </c>
      <c r="N811" s="245">
        <f>'CUOTA ARTESANAL'!M593</f>
        <v>44470</v>
      </c>
      <c r="O811" s="241">
        <f>RESUMEN!$C$4</f>
        <v>44561</v>
      </c>
      <c r="P811" s="233">
        <v>2021</v>
      </c>
      <c r="Q811" s="233"/>
    </row>
    <row r="812" spans="1:17" ht="15.75" customHeight="1">
      <c r="A812" s="238" t="s">
        <v>51</v>
      </c>
      <c r="B812" s="238" t="s">
        <v>52</v>
      </c>
      <c r="C812" s="238" t="s">
        <v>73</v>
      </c>
      <c r="D812" s="238" t="s">
        <v>66</v>
      </c>
      <c r="E812" s="233" t="str">
        <f>+'CUOTA ARTESANAL'!E592</f>
        <v>ASOCIACIÓN GREMIAL DE PESCADORES ARTESANALES CALETA LOTA-A.G. APESCA LOTA 428-8</v>
      </c>
      <c r="F812" s="238" t="s">
        <v>54</v>
      </c>
      <c r="G812" s="238" t="s">
        <v>58</v>
      </c>
      <c r="H812" s="253">
        <f>'CUOTA ARTESANAL'!N592</f>
        <v>4.2839999999999998</v>
      </c>
      <c r="I812" s="253">
        <f>'CUOTA ARTESANAL'!O592</f>
        <v>-4</v>
      </c>
      <c r="J812" s="253">
        <f>'CUOTA ARTESANAL'!P592</f>
        <v>0.28399999999999981</v>
      </c>
      <c r="K812" s="253">
        <f>'CUOTA ARTESANAL'!Q592</f>
        <v>0</v>
      </c>
      <c r="L812" s="253">
        <f>'CUOTA ARTESANAL'!R592</f>
        <v>0.28399999999999981</v>
      </c>
      <c r="M812" s="254">
        <f>'CUOTA ARTESANAL'!S592</f>
        <v>0</v>
      </c>
      <c r="N812" s="245" t="s">
        <v>218</v>
      </c>
      <c r="O812" s="241">
        <f>RESUMEN!$C$4</f>
        <v>44561</v>
      </c>
      <c r="P812" s="233">
        <v>2021</v>
      </c>
      <c r="Q812" s="233"/>
    </row>
    <row r="813" spans="1:17" ht="15.75" customHeight="1">
      <c r="A813" s="238" t="s">
        <v>51</v>
      </c>
      <c r="B813" s="238" t="s">
        <v>52</v>
      </c>
      <c r="C813" s="238" t="s">
        <v>73</v>
      </c>
      <c r="D813" s="238" t="s">
        <v>66</v>
      </c>
      <c r="E813" s="233" t="str">
        <f>+'CUOTA ARTESANAL'!E594</f>
        <v>AGRUPACIÓN DE ARMADORES GOLFO DE ARAUCO  ROC 621 ARAUCO</v>
      </c>
      <c r="F813" s="238" t="s">
        <v>54</v>
      </c>
      <c r="G813" s="238" t="s">
        <v>56</v>
      </c>
      <c r="H813" s="253">
        <f>'CUOTA ARTESANAL'!G594</f>
        <v>0</v>
      </c>
      <c r="I813" s="253">
        <f>'CUOTA ARTESANAL'!H594</f>
        <v>0</v>
      </c>
      <c r="J813" s="253">
        <f>'CUOTA ARTESANAL'!I594</f>
        <v>0</v>
      </c>
      <c r="K813" s="253">
        <f>'CUOTA ARTESANAL'!J594</f>
        <v>0</v>
      </c>
      <c r="L813" s="253">
        <f>'CUOTA ARTESANAL'!K594</f>
        <v>0</v>
      </c>
      <c r="M813" s="254" t="e">
        <f>'CUOTA ARTESANAL'!L594</f>
        <v>#DIV/0!</v>
      </c>
      <c r="N813" s="240" t="str">
        <f>'CUOTA ARTESANAL'!M594</f>
        <v>-</v>
      </c>
      <c r="O813" s="241">
        <f>RESUMEN!$C$4</f>
        <v>44561</v>
      </c>
      <c r="P813" s="233">
        <v>2021</v>
      </c>
      <c r="Q813" s="233"/>
    </row>
    <row r="814" spans="1:17" ht="15.75" customHeight="1">
      <c r="A814" s="238" t="s">
        <v>51</v>
      </c>
      <c r="B814" s="238" t="s">
        <v>52</v>
      </c>
      <c r="C814" s="238" t="s">
        <v>73</v>
      </c>
      <c r="D814" s="238" t="s">
        <v>66</v>
      </c>
      <c r="E814" s="233" t="str">
        <f>+'CUOTA ARTESANAL'!E594</f>
        <v>AGRUPACIÓN DE ARMADORES GOLFO DE ARAUCO  ROC 621 ARAUCO</v>
      </c>
      <c r="F814" s="238" t="s">
        <v>57</v>
      </c>
      <c r="G814" s="238" t="s">
        <v>58</v>
      </c>
      <c r="H814" s="253">
        <f>'CUOTA ARTESANAL'!G595</f>
        <v>0</v>
      </c>
      <c r="I814" s="253">
        <f>'CUOTA ARTESANAL'!H595</f>
        <v>0</v>
      </c>
      <c r="J814" s="253">
        <f>'CUOTA ARTESANAL'!I595</f>
        <v>0</v>
      </c>
      <c r="K814" s="253">
        <f>'CUOTA ARTESANAL'!J595</f>
        <v>0</v>
      </c>
      <c r="L814" s="253">
        <f>'CUOTA ARTESANAL'!K595</f>
        <v>0</v>
      </c>
      <c r="M814" s="254" t="e">
        <f>'CUOTA ARTESANAL'!L595</f>
        <v>#DIV/0!</v>
      </c>
      <c r="N814" s="240" t="str">
        <f>'CUOTA ARTESANAL'!M595</f>
        <v>-</v>
      </c>
      <c r="O814" s="241">
        <f>RESUMEN!$C$4</f>
        <v>44561</v>
      </c>
      <c r="P814" s="233">
        <v>2021</v>
      </c>
      <c r="Q814" s="233"/>
    </row>
    <row r="815" spans="1:17" ht="15.75" customHeight="1">
      <c r="A815" s="238" t="s">
        <v>51</v>
      </c>
      <c r="B815" s="238" t="s">
        <v>52</v>
      </c>
      <c r="C815" s="238" t="s">
        <v>73</v>
      </c>
      <c r="D815" s="238" t="s">
        <v>66</v>
      </c>
      <c r="E815" s="233" t="str">
        <f>+'CUOTA ARTESANAL'!E594</f>
        <v>AGRUPACIÓN DE ARMADORES GOLFO DE ARAUCO  ROC 621 ARAUCO</v>
      </c>
      <c r="F815" s="238" t="s">
        <v>54</v>
      </c>
      <c r="G815" s="238" t="s">
        <v>58</v>
      </c>
      <c r="H815" s="253">
        <f>'CUOTA ARTESANAL'!N594</f>
        <v>0</v>
      </c>
      <c r="I815" s="253">
        <f>'CUOTA ARTESANAL'!O594</f>
        <v>0</v>
      </c>
      <c r="J815" s="253">
        <f>'CUOTA ARTESANAL'!P594</f>
        <v>0</v>
      </c>
      <c r="K815" s="253">
        <f>'CUOTA ARTESANAL'!Q594</f>
        <v>0</v>
      </c>
      <c r="L815" s="253">
        <f>'CUOTA ARTESANAL'!R594</f>
        <v>0</v>
      </c>
      <c r="M815" s="254" t="e">
        <f>'CUOTA ARTESANAL'!S594</f>
        <v>#DIV/0!</v>
      </c>
      <c r="N815" s="246" t="s">
        <v>218</v>
      </c>
      <c r="O815" s="241">
        <f>RESUMEN!$C$4</f>
        <v>44561</v>
      </c>
      <c r="P815" s="233">
        <v>2021</v>
      </c>
      <c r="Q815" s="233"/>
    </row>
    <row r="816" spans="1:17" ht="15.75" customHeight="1">
      <c r="A816" s="238" t="s">
        <v>51</v>
      </c>
      <c r="B816" s="238" t="s">
        <v>52</v>
      </c>
      <c r="C816" s="238" t="s">
        <v>73</v>
      </c>
      <c r="D816" s="238" t="s">
        <v>66</v>
      </c>
      <c r="E816" s="233" t="str">
        <f>+'CUOTA ARTESANAL'!E596</f>
        <v>ASOCIACIÓN GREMIAL DE ARMADORES ARTESANALES VALLEMAR LORA 548-8</v>
      </c>
      <c r="F816" s="238" t="s">
        <v>54</v>
      </c>
      <c r="G816" s="238" t="s">
        <v>56</v>
      </c>
      <c r="H816" s="253">
        <f>'CUOTA ARTESANAL'!G596</f>
        <v>5.8109999999999999</v>
      </c>
      <c r="I816" s="253">
        <f>'CUOTA ARTESANAL'!H596</f>
        <v>-5.8109999999999999</v>
      </c>
      <c r="J816" s="253">
        <f>'CUOTA ARTESANAL'!I596</f>
        <v>0</v>
      </c>
      <c r="K816" s="253">
        <f>'CUOTA ARTESANAL'!J596</f>
        <v>0</v>
      </c>
      <c r="L816" s="253">
        <f>'CUOTA ARTESANAL'!K596</f>
        <v>0</v>
      </c>
      <c r="M816" s="254" t="e">
        <f>'CUOTA ARTESANAL'!L596</f>
        <v>#DIV/0!</v>
      </c>
      <c r="N816" s="239" t="str">
        <f>'CUOTA ARTESANAL'!M596</f>
        <v>-</v>
      </c>
      <c r="O816" s="241">
        <f>RESUMEN!$C$4</f>
        <v>44561</v>
      </c>
      <c r="P816" s="233">
        <v>2021</v>
      </c>
      <c r="Q816" s="233"/>
    </row>
    <row r="817" spans="1:17" ht="15.75" customHeight="1">
      <c r="A817" s="238" t="s">
        <v>51</v>
      </c>
      <c r="B817" s="238" t="s">
        <v>52</v>
      </c>
      <c r="C817" s="238" t="s">
        <v>73</v>
      </c>
      <c r="D817" s="238" t="s">
        <v>66</v>
      </c>
      <c r="E817" s="233" t="str">
        <f>+'CUOTA ARTESANAL'!E596</f>
        <v>ASOCIACIÓN GREMIAL DE ARMADORES ARTESANALES VALLEMAR LORA 548-8</v>
      </c>
      <c r="F817" s="238" t="s">
        <v>57</v>
      </c>
      <c r="G817" s="238" t="s">
        <v>58</v>
      </c>
      <c r="H817" s="253">
        <f>'CUOTA ARTESANAL'!G597</f>
        <v>5.8109999999999999</v>
      </c>
      <c r="I817" s="253">
        <f>'CUOTA ARTESANAL'!H597</f>
        <v>0</v>
      </c>
      <c r="J817" s="253">
        <f>'CUOTA ARTESANAL'!I597</f>
        <v>5.8109999999999999</v>
      </c>
      <c r="K817" s="253">
        <f>'CUOTA ARTESANAL'!J597</f>
        <v>0</v>
      </c>
      <c r="L817" s="253">
        <f>'CUOTA ARTESANAL'!K597</f>
        <v>5.8109999999999999</v>
      </c>
      <c r="M817" s="254">
        <f>'CUOTA ARTESANAL'!L597</f>
        <v>0</v>
      </c>
      <c r="N817" s="240" t="str">
        <f>'CUOTA ARTESANAL'!M606</f>
        <v>-</v>
      </c>
      <c r="O817" s="241">
        <f>RESUMEN!$C$4</f>
        <v>44561</v>
      </c>
      <c r="P817" s="233">
        <v>2021</v>
      </c>
      <c r="Q817" s="233"/>
    </row>
    <row r="818" spans="1:17" ht="15.75" customHeight="1">
      <c r="A818" s="238" t="s">
        <v>51</v>
      </c>
      <c r="B818" s="238" t="s">
        <v>52</v>
      </c>
      <c r="C818" s="238" t="s">
        <v>73</v>
      </c>
      <c r="D818" s="238" t="s">
        <v>66</v>
      </c>
      <c r="E818" s="233" t="str">
        <f>+'CUOTA ARTESANAL'!E596</f>
        <v>ASOCIACIÓN GREMIAL DE ARMADORES ARTESANALES VALLEMAR LORA 548-8</v>
      </c>
      <c r="F818" s="238" t="s">
        <v>54</v>
      </c>
      <c r="G818" s="238" t="s">
        <v>58</v>
      </c>
      <c r="H818" s="253">
        <f>'CUOTA ARTESANAL'!N596</f>
        <v>11.622</v>
      </c>
      <c r="I818" s="253">
        <f>'CUOTA ARTESANAL'!O596</f>
        <v>-5.8109999999999999</v>
      </c>
      <c r="J818" s="253">
        <f>'CUOTA ARTESANAL'!P596</f>
        <v>5.8109999999999999</v>
      </c>
      <c r="K818" s="253">
        <f>'CUOTA ARTESANAL'!Q596</f>
        <v>0</v>
      </c>
      <c r="L818" s="253">
        <f>'CUOTA ARTESANAL'!R596</f>
        <v>5.8109999999999999</v>
      </c>
      <c r="M818" s="254">
        <f>'CUOTA ARTESANAL'!S596</f>
        <v>0</v>
      </c>
      <c r="N818" s="246" t="s">
        <v>218</v>
      </c>
      <c r="O818" s="241">
        <f>RESUMEN!$C$4</f>
        <v>44561</v>
      </c>
      <c r="P818" s="233">
        <v>2021</v>
      </c>
      <c r="Q818" s="233"/>
    </row>
    <row r="819" spans="1:17" ht="15.75" customHeight="1">
      <c r="A819" s="238" t="s">
        <v>51</v>
      </c>
      <c r="B819" s="238" t="s">
        <v>52</v>
      </c>
      <c r="C819" s="238" t="s">
        <v>73</v>
      </c>
      <c r="D819" s="238" t="s">
        <v>66</v>
      </c>
      <c r="E819" s="233" t="str">
        <f>+'CUOTA ARTESANAL'!E598</f>
        <v>ASOCIACION GREMIAL DE PESCADORES ARTESANALES, ARMADORES ARTESANALES PELÁGICOS Y ACTIVIDADES AFINES DE LA CALETA DE LOTA VIII REGIÓN A.G.-SIERRA AZUL A.G., REGISTRO DE ASOCIACIONES GEMIALES 576-8</v>
      </c>
      <c r="F819" s="238" t="s">
        <v>54</v>
      </c>
      <c r="G819" s="238" t="s">
        <v>56</v>
      </c>
      <c r="H819" s="253">
        <f>'CUOTA ARTESANAL'!G598</f>
        <v>1.8120000000000001</v>
      </c>
      <c r="I819" s="253">
        <f>'CUOTA ARTESANAL'!H598</f>
        <v>0</v>
      </c>
      <c r="J819" s="253">
        <f>'CUOTA ARTESANAL'!I598</f>
        <v>1.8120000000000001</v>
      </c>
      <c r="K819" s="253">
        <f>'CUOTA ARTESANAL'!J598</f>
        <v>0</v>
      </c>
      <c r="L819" s="253">
        <f>'CUOTA ARTESANAL'!K598</f>
        <v>1.8120000000000001</v>
      </c>
      <c r="M819" s="254">
        <f>'CUOTA ARTESANAL'!L598</f>
        <v>0</v>
      </c>
      <c r="N819" s="239" t="str">
        <f>'CUOTA ARTESANAL'!M598</f>
        <v>-</v>
      </c>
      <c r="O819" s="241">
        <f>RESUMEN!$C$4</f>
        <v>44561</v>
      </c>
      <c r="P819" s="233">
        <v>2021</v>
      </c>
      <c r="Q819" s="233"/>
    </row>
    <row r="820" spans="1:17" ht="15.75" customHeight="1">
      <c r="A820" s="238" t="s">
        <v>51</v>
      </c>
      <c r="B820" s="238" t="s">
        <v>52</v>
      </c>
      <c r="C820" s="238" t="s">
        <v>73</v>
      </c>
      <c r="D820" s="238" t="s">
        <v>66</v>
      </c>
      <c r="E820" s="233" t="str">
        <f>+'CUOTA ARTESANAL'!E598</f>
        <v>ASOCIACION GREMIAL DE PESCADORES ARTESANALES, ARMADORES ARTESANALES PELÁGICOS Y ACTIVIDADES AFINES DE LA CALETA DE LOTA VIII REGIÓN A.G.-SIERRA AZUL A.G., REGISTRO DE ASOCIACIONES GEMIALES 576-8</v>
      </c>
      <c r="F820" s="238" t="s">
        <v>57</v>
      </c>
      <c r="G820" s="238" t="s">
        <v>58</v>
      </c>
      <c r="H820" s="253">
        <f>'CUOTA ARTESANAL'!G599</f>
        <v>1.8120000000000001</v>
      </c>
      <c r="I820" s="253">
        <f>'CUOTA ARTESANAL'!H599</f>
        <v>0</v>
      </c>
      <c r="J820" s="253">
        <f>'CUOTA ARTESANAL'!I599</f>
        <v>3.6240000000000001</v>
      </c>
      <c r="K820" s="253">
        <f>'CUOTA ARTESANAL'!J599</f>
        <v>0</v>
      </c>
      <c r="L820" s="253">
        <f>'CUOTA ARTESANAL'!K599</f>
        <v>3.6240000000000001</v>
      </c>
      <c r="M820" s="254">
        <f>'CUOTA ARTESANAL'!L599</f>
        <v>0</v>
      </c>
      <c r="N820" s="239" t="str">
        <f>'CUOTA ARTESANAL'!M599</f>
        <v>-</v>
      </c>
      <c r="O820" s="241">
        <f>RESUMEN!$C$4</f>
        <v>44561</v>
      </c>
      <c r="P820" s="233">
        <v>2021</v>
      </c>
      <c r="Q820" s="233"/>
    </row>
    <row r="821" spans="1:17" ht="15.75" customHeight="1">
      <c r="A821" s="238" t="s">
        <v>51</v>
      </c>
      <c r="B821" s="238" t="s">
        <v>52</v>
      </c>
      <c r="C821" s="238" t="s">
        <v>73</v>
      </c>
      <c r="D821" s="238" t="s">
        <v>66</v>
      </c>
      <c r="E821" s="233" t="str">
        <f>+'CUOTA ARTESANAL'!E598</f>
        <v>ASOCIACION GREMIAL DE PESCADORES ARTESANALES, ARMADORES ARTESANALES PELÁGICOS Y ACTIVIDADES AFINES DE LA CALETA DE LOTA VIII REGIÓN A.G.-SIERRA AZUL A.G., REGISTRO DE ASOCIACIONES GEMIALES 576-8</v>
      </c>
      <c r="F821" s="238" t="s">
        <v>54</v>
      </c>
      <c r="G821" s="238" t="s">
        <v>58</v>
      </c>
      <c r="H821" s="253">
        <f>'CUOTA ARTESANAL'!N598</f>
        <v>3.6240000000000001</v>
      </c>
      <c r="I821" s="253">
        <f>'CUOTA ARTESANAL'!O598</f>
        <v>0</v>
      </c>
      <c r="J821" s="253">
        <f>'CUOTA ARTESANAL'!P598</f>
        <v>3.6240000000000001</v>
      </c>
      <c r="K821" s="253">
        <f>'CUOTA ARTESANAL'!Q598</f>
        <v>0</v>
      </c>
      <c r="L821" s="253">
        <f>'CUOTA ARTESANAL'!R598</f>
        <v>3.6240000000000001</v>
      </c>
      <c r="M821" s="254">
        <f>'CUOTA ARTESANAL'!S598</f>
        <v>0</v>
      </c>
      <c r="N821" s="246" t="s">
        <v>218</v>
      </c>
      <c r="O821" s="241">
        <f>RESUMEN!$C$4</f>
        <v>44561</v>
      </c>
      <c r="P821" s="233">
        <v>2021</v>
      </c>
      <c r="Q821" s="233"/>
    </row>
    <row r="822" spans="1:17" ht="15.75" customHeight="1">
      <c r="A822" s="238" t="s">
        <v>51</v>
      </c>
      <c r="B822" s="238" t="s">
        <v>52</v>
      </c>
      <c r="C822" s="238" t="s">
        <v>73</v>
      </c>
      <c r="D822" s="238" t="s">
        <v>66</v>
      </c>
      <c r="E822" s="233" t="str">
        <f>+'CUOTA ARTESANAL'!E600</f>
        <v>ASOCIACION GREMIAL DE ARMADORES, PESCADORES ARTESANALES Y ACTIVIDADES AFINES, CHALLWAFE A.G-CHALLWAFE A.G (RAG 674-8)</v>
      </c>
      <c r="F822" s="238" t="s">
        <v>54</v>
      </c>
      <c r="G822" s="238" t="s">
        <v>56</v>
      </c>
      <c r="H822" s="253">
        <f>'CUOTA ARTESANAL'!G600</f>
        <v>32.006999999999998</v>
      </c>
      <c r="I822" s="253">
        <f>'CUOTA ARTESANAL'!H600</f>
        <v>-10</v>
      </c>
      <c r="J822" s="253">
        <f>'CUOTA ARTESANAL'!I600</f>
        <v>22.006999999999998</v>
      </c>
      <c r="K822" s="253">
        <f>'CUOTA ARTESANAL'!J600</f>
        <v>0</v>
      </c>
      <c r="L822" s="253">
        <f>'CUOTA ARTESANAL'!K600</f>
        <v>22.006999999999998</v>
      </c>
      <c r="M822" s="254">
        <f>'CUOTA ARTESANAL'!L600</f>
        <v>0</v>
      </c>
      <c r="N822" s="239" t="str">
        <f>'CUOTA ARTESANAL'!M600</f>
        <v>-</v>
      </c>
      <c r="O822" s="241">
        <f>RESUMEN!$C$4</f>
        <v>44561</v>
      </c>
      <c r="P822" s="233">
        <v>2021</v>
      </c>
      <c r="Q822" s="233"/>
    </row>
    <row r="823" spans="1:17" ht="15.75" customHeight="1">
      <c r="A823" s="238" t="s">
        <v>51</v>
      </c>
      <c r="B823" s="238" t="s">
        <v>52</v>
      </c>
      <c r="C823" s="238" t="s">
        <v>73</v>
      </c>
      <c r="D823" s="238" t="s">
        <v>66</v>
      </c>
      <c r="E823" s="233" t="str">
        <f>+'CUOTA ARTESANAL'!E600</f>
        <v>ASOCIACION GREMIAL DE ARMADORES, PESCADORES ARTESANALES Y ACTIVIDADES AFINES, CHALLWAFE A.G-CHALLWAFE A.G (RAG 674-8)</v>
      </c>
      <c r="F823" s="238" t="s">
        <v>57</v>
      </c>
      <c r="G823" s="238" t="s">
        <v>58</v>
      </c>
      <c r="H823" s="253">
        <f>'CUOTA ARTESANAL'!G601</f>
        <v>32.006999999999998</v>
      </c>
      <c r="I823" s="253">
        <f>'CUOTA ARTESANAL'!H601</f>
        <v>-12</v>
      </c>
      <c r="J823" s="253">
        <f>'CUOTA ARTESANAL'!I601</f>
        <v>42.013999999999996</v>
      </c>
      <c r="K823" s="253">
        <f>'CUOTA ARTESANAL'!J601</f>
        <v>0</v>
      </c>
      <c r="L823" s="253">
        <f>'CUOTA ARTESANAL'!K601</f>
        <v>42.013999999999996</v>
      </c>
      <c r="M823" s="254">
        <f>'CUOTA ARTESANAL'!L601</f>
        <v>0</v>
      </c>
      <c r="N823" s="239" t="str">
        <f>'CUOTA ARTESANAL'!M601</f>
        <v>-</v>
      </c>
      <c r="O823" s="241">
        <f>RESUMEN!$C$4</f>
        <v>44561</v>
      </c>
      <c r="P823" s="233">
        <v>2021</v>
      </c>
      <c r="Q823" s="233"/>
    </row>
    <row r="824" spans="1:17" ht="15.75" customHeight="1">
      <c r="A824" s="238" t="s">
        <v>51</v>
      </c>
      <c r="B824" s="238" t="s">
        <v>52</v>
      </c>
      <c r="C824" s="238" t="s">
        <v>73</v>
      </c>
      <c r="D824" s="238" t="s">
        <v>66</v>
      </c>
      <c r="E824" s="233" t="str">
        <f>+'CUOTA ARTESANAL'!E600</f>
        <v>ASOCIACION GREMIAL DE ARMADORES, PESCADORES ARTESANALES Y ACTIVIDADES AFINES, CHALLWAFE A.G-CHALLWAFE A.G (RAG 674-8)</v>
      </c>
      <c r="F824" s="238" t="s">
        <v>54</v>
      </c>
      <c r="G824" s="238" t="s">
        <v>58</v>
      </c>
      <c r="H824" s="253">
        <f>'CUOTA ARTESANAL'!N600</f>
        <v>64.013999999999996</v>
      </c>
      <c r="I824" s="253">
        <f>'CUOTA ARTESANAL'!O600</f>
        <v>-22</v>
      </c>
      <c r="J824" s="253">
        <f>'CUOTA ARTESANAL'!P600</f>
        <v>42.013999999999996</v>
      </c>
      <c r="K824" s="253">
        <f>'CUOTA ARTESANAL'!Q600</f>
        <v>0</v>
      </c>
      <c r="L824" s="253">
        <f>'CUOTA ARTESANAL'!R600</f>
        <v>42.013999999999996</v>
      </c>
      <c r="M824" s="254">
        <f>'CUOTA ARTESANAL'!S600</f>
        <v>0</v>
      </c>
      <c r="N824" s="246" t="s">
        <v>218</v>
      </c>
      <c r="O824" s="241">
        <f>RESUMEN!$C$4</f>
        <v>44561</v>
      </c>
      <c r="P824" s="233">
        <v>2021</v>
      </c>
      <c r="Q824" s="233"/>
    </row>
    <row r="825" spans="1:17" ht="15.75" customHeight="1">
      <c r="A825" s="238" t="s">
        <v>51</v>
      </c>
      <c r="B825" s="238" t="s">
        <v>52</v>
      </c>
      <c r="C825" s="238" t="s">
        <v>73</v>
      </c>
      <c r="D825" s="238" t="s">
        <v>66</v>
      </c>
      <c r="E825" s="233" t="str">
        <f>+'CUOTA ARTESANAL'!E602</f>
        <v>ASOCIACION GREMIAL DE ARMADORES, PESCADORES ARTESANALES Y ACTIVIDADES AFINES, SIMBA A.G (RAG 679-8)</v>
      </c>
      <c r="F825" s="238" t="s">
        <v>54</v>
      </c>
      <c r="G825" s="238" t="s">
        <v>56</v>
      </c>
      <c r="H825" s="253">
        <f>'CUOTA ARTESANAL'!G602</f>
        <v>6.1840000000000002</v>
      </c>
      <c r="I825" s="253">
        <f>'CUOTA ARTESANAL'!H602</f>
        <v>-12</v>
      </c>
      <c r="J825" s="253">
        <f>'CUOTA ARTESANAL'!I602</f>
        <v>-5.8159999999999998</v>
      </c>
      <c r="K825" s="253">
        <f>'CUOTA ARTESANAL'!J602</f>
        <v>0</v>
      </c>
      <c r="L825" s="253">
        <f>'CUOTA ARTESANAL'!K602</f>
        <v>-5.8159999999999998</v>
      </c>
      <c r="M825" s="254">
        <f>'CUOTA ARTESANAL'!L602</f>
        <v>0</v>
      </c>
      <c r="N825" s="239" t="str">
        <f>'CUOTA ARTESANAL'!M602</f>
        <v>-</v>
      </c>
      <c r="O825" s="241">
        <f>RESUMEN!$C$4</f>
        <v>44561</v>
      </c>
      <c r="P825" s="233">
        <v>2021</v>
      </c>
      <c r="Q825" s="233"/>
    </row>
    <row r="826" spans="1:17" ht="15.75" customHeight="1">
      <c r="A826" s="238" t="s">
        <v>51</v>
      </c>
      <c r="B826" s="238" t="s">
        <v>52</v>
      </c>
      <c r="C826" s="238" t="s">
        <v>73</v>
      </c>
      <c r="D826" s="238" t="s">
        <v>66</v>
      </c>
      <c r="E826" s="233" t="str">
        <f>+'CUOTA ARTESANAL'!E602</f>
        <v>ASOCIACION GREMIAL DE ARMADORES, PESCADORES ARTESANALES Y ACTIVIDADES AFINES, SIMBA A.G (RAG 679-8)</v>
      </c>
      <c r="F826" s="238" t="s">
        <v>57</v>
      </c>
      <c r="G826" s="238" t="s">
        <v>58</v>
      </c>
      <c r="H826" s="253">
        <f>'CUOTA ARTESANAL'!G603</f>
        <v>6.1840000000000002</v>
      </c>
      <c r="I826" s="253">
        <f>'CUOTA ARTESANAL'!H603</f>
        <v>0</v>
      </c>
      <c r="J826" s="253">
        <f>'CUOTA ARTESANAL'!I603</f>
        <v>0.36800000000000033</v>
      </c>
      <c r="K826" s="253">
        <f>'CUOTA ARTESANAL'!J603</f>
        <v>0</v>
      </c>
      <c r="L826" s="253">
        <f>'CUOTA ARTESANAL'!K603</f>
        <v>0.36800000000000033</v>
      </c>
      <c r="M826" s="254">
        <f>'CUOTA ARTESANAL'!L603</f>
        <v>0</v>
      </c>
      <c r="N826" s="239">
        <f>'CUOTA ARTESANAL'!M603</f>
        <v>44470</v>
      </c>
      <c r="O826" s="241">
        <f>RESUMEN!$C$4</f>
        <v>44561</v>
      </c>
      <c r="P826" s="233">
        <v>2021</v>
      </c>
      <c r="Q826" s="233"/>
    </row>
    <row r="827" spans="1:17" ht="15.75" customHeight="1">
      <c r="A827" s="238" t="s">
        <v>51</v>
      </c>
      <c r="B827" s="238" t="s">
        <v>52</v>
      </c>
      <c r="C827" s="238" t="s">
        <v>73</v>
      </c>
      <c r="D827" s="238" t="s">
        <v>66</v>
      </c>
      <c r="E827" s="233" t="str">
        <f>+'CUOTA ARTESANAL'!E602</f>
        <v>ASOCIACION GREMIAL DE ARMADORES, PESCADORES ARTESANALES Y ACTIVIDADES AFINES, SIMBA A.G (RAG 679-8)</v>
      </c>
      <c r="F827" s="238" t="s">
        <v>54</v>
      </c>
      <c r="G827" s="238" t="s">
        <v>58</v>
      </c>
      <c r="H827" s="253">
        <f>'CUOTA ARTESANAL'!N602</f>
        <v>12.368</v>
      </c>
      <c r="I827" s="253">
        <f>'CUOTA ARTESANAL'!O602</f>
        <v>-12</v>
      </c>
      <c r="J827" s="253">
        <f>'CUOTA ARTESANAL'!P602</f>
        <v>0.36800000000000033</v>
      </c>
      <c r="K827" s="253">
        <f>'CUOTA ARTESANAL'!Q602</f>
        <v>0</v>
      </c>
      <c r="L827" s="253">
        <f>'CUOTA ARTESANAL'!R602</f>
        <v>0.36800000000000033</v>
      </c>
      <c r="M827" s="254">
        <f>'CUOTA ARTESANAL'!S602</f>
        <v>0</v>
      </c>
      <c r="N827" s="246" t="s">
        <v>218</v>
      </c>
      <c r="O827" s="241">
        <f>RESUMEN!$C$4</f>
        <v>44561</v>
      </c>
      <c r="P827" s="233">
        <v>2021</v>
      </c>
      <c r="Q827" s="233"/>
    </row>
    <row r="828" spans="1:17" ht="15.75" customHeight="1">
      <c r="A828" s="238" t="s">
        <v>51</v>
      </c>
      <c r="B828" s="238" t="s">
        <v>52</v>
      </c>
      <c r="C828" s="238" t="s">
        <v>73</v>
      </c>
      <c r="D828" s="238" t="s">
        <v>66</v>
      </c>
      <c r="E828" s="233" t="str">
        <f>+'CUOTA ARTESANAL'!E604</f>
        <v>ASOCIACION GREMIAL DE ARMADORES, PESCADORES ARTESANALES Y ACTIVIDADES AFINES, DE LAS CALETAS DE CORONEL Y LOTA DE LA REGIÓN DEL BIOBÍO - PESCA SUR A.G (RAG 680-8)</v>
      </c>
      <c r="F828" s="238" t="s">
        <v>54</v>
      </c>
      <c r="G828" s="238" t="s">
        <v>56</v>
      </c>
      <c r="H828" s="253">
        <f>'CUOTA ARTESANAL'!G604</f>
        <v>20.765999999999998</v>
      </c>
      <c r="I828" s="253">
        <f>'CUOTA ARTESANAL'!H604</f>
        <v>-5</v>
      </c>
      <c r="J828" s="253">
        <f>'CUOTA ARTESANAL'!I604</f>
        <v>15.765999999999998</v>
      </c>
      <c r="K828" s="253">
        <f>'CUOTA ARTESANAL'!J604</f>
        <v>0</v>
      </c>
      <c r="L828" s="253">
        <f>'CUOTA ARTESANAL'!K604</f>
        <v>15.765999999999998</v>
      </c>
      <c r="M828" s="254">
        <f>'CUOTA ARTESANAL'!L604</f>
        <v>0</v>
      </c>
      <c r="N828" s="239" t="str">
        <f>'CUOTA ARTESANAL'!M604</f>
        <v>-</v>
      </c>
      <c r="O828" s="241">
        <f>RESUMEN!$C$4</f>
        <v>44561</v>
      </c>
      <c r="P828" s="233">
        <v>2021</v>
      </c>
      <c r="Q828" s="233"/>
    </row>
    <row r="829" spans="1:17" ht="15.75" customHeight="1">
      <c r="A829" s="238" t="s">
        <v>51</v>
      </c>
      <c r="B829" s="238" t="s">
        <v>52</v>
      </c>
      <c r="C829" s="238" t="s">
        <v>73</v>
      </c>
      <c r="D829" s="238" t="s">
        <v>66</v>
      </c>
      <c r="E829" s="233" t="str">
        <f>+'CUOTA ARTESANAL'!E604</f>
        <v>ASOCIACION GREMIAL DE ARMADORES, PESCADORES ARTESANALES Y ACTIVIDADES AFINES, DE LAS CALETAS DE CORONEL Y LOTA DE LA REGIÓN DEL BIOBÍO - PESCA SUR A.G (RAG 680-8)</v>
      </c>
      <c r="F829" s="238" t="s">
        <v>57</v>
      </c>
      <c r="G829" s="238" t="s">
        <v>58</v>
      </c>
      <c r="H829" s="253">
        <f>'CUOTA ARTESANAL'!G605</f>
        <v>20.765999999999998</v>
      </c>
      <c r="I829" s="253">
        <f>'CUOTA ARTESANAL'!H605</f>
        <v>0</v>
      </c>
      <c r="J829" s="253">
        <f>'CUOTA ARTESANAL'!I605</f>
        <v>36.531999999999996</v>
      </c>
      <c r="K829" s="253">
        <f>'CUOTA ARTESANAL'!J605</f>
        <v>0</v>
      </c>
      <c r="L829" s="253">
        <f>'CUOTA ARTESANAL'!K605</f>
        <v>36.531999999999996</v>
      </c>
      <c r="M829" s="254">
        <f>'CUOTA ARTESANAL'!L605</f>
        <v>0</v>
      </c>
      <c r="N829" s="239" t="str">
        <f>'CUOTA ARTESANAL'!M605</f>
        <v>-</v>
      </c>
      <c r="O829" s="241">
        <f>RESUMEN!$C$4</f>
        <v>44561</v>
      </c>
      <c r="P829" s="233">
        <v>2021</v>
      </c>
      <c r="Q829" s="233"/>
    </row>
    <row r="830" spans="1:17" ht="15.75" customHeight="1">
      <c r="A830" s="238" t="s">
        <v>51</v>
      </c>
      <c r="B830" s="238" t="s">
        <v>52</v>
      </c>
      <c r="C830" s="238" t="s">
        <v>73</v>
      </c>
      <c r="D830" s="238" t="s">
        <v>66</v>
      </c>
      <c r="E830" s="233" t="str">
        <f>+'CUOTA ARTESANAL'!E604</f>
        <v>ASOCIACION GREMIAL DE ARMADORES, PESCADORES ARTESANALES Y ACTIVIDADES AFINES, DE LAS CALETAS DE CORONEL Y LOTA DE LA REGIÓN DEL BIOBÍO - PESCA SUR A.G (RAG 680-8)</v>
      </c>
      <c r="F830" s="238" t="s">
        <v>54</v>
      </c>
      <c r="G830" s="238" t="s">
        <v>58</v>
      </c>
      <c r="H830" s="253">
        <f>'CUOTA ARTESANAL'!N604</f>
        <v>41.531999999999996</v>
      </c>
      <c r="I830" s="253">
        <f>'CUOTA ARTESANAL'!O604</f>
        <v>-5</v>
      </c>
      <c r="J830" s="253">
        <f>'CUOTA ARTESANAL'!P604</f>
        <v>36.531999999999996</v>
      </c>
      <c r="K830" s="253">
        <f>'CUOTA ARTESANAL'!Q604</f>
        <v>0</v>
      </c>
      <c r="L830" s="253">
        <f>'CUOTA ARTESANAL'!R604</f>
        <v>36.531999999999996</v>
      </c>
      <c r="M830" s="254">
        <f>'CUOTA ARTESANAL'!S604</f>
        <v>0</v>
      </c>
      <c r="N830" s="246" t="s">
        <v>218</v>
      </c>
      <c r="O830" s="241">
        <f>RESUMEN!$C$4</f>
        <v>44561</v>
      </c>
      <c r="P830" s="233">
        <v>2021</v>
      </c>
      <c r="Q830" s="233"/>
    </row>
    <row r="831" spans="1:17" ht="15.75" customHeight="1">
      <c r="A831" s="238" t="s">
        <v>51</v>
      </c>
      <c r="B831" s="238" t="s">
        <v>52</v>
      </c>
      <c r="C831" s="238" t="s">
        <v>73</v>
      </c>
      <c r="D831" s="238" t="s">
        <v>65</v>
      </c>
      <c r="E831" s="233" t="str">
        <f>+'CUOTA ARTESANAL'!E606</f>
        <v>CUOTA RESIDUAL O BOLSÓN CENTRO</v>
      </c>
      <c r="F831" s="238" t="s">
        <v>54</v>
      </c>
      <c r="G831" s="238" t="s">
        <v>56</v>
      </c>
      <c r="H831" s="253">
        <f>'CUOTA ARTESANAL'!G606</f>
        <v>61.825000000000003</v>
      </c>
      <c r="I831" s="253">
        <f>'CUOTA ARTESANAL'!H606</f>
        <v>0</v>
      </c>
      <c r="J831" s="253">
        <f>'CUOTA ARTESANAL'!I606</f>
        <v>61.825000000000003</v>
      </c>
      <c r="K831" s="253">
        <f>'CUOTA ARTESANAL'!J606</f>
        <v>28.338000000000001</v>
      </c>
      <c r="L831" s="253">
        <f>'CUOTA ARTESANAL'!K606</f>
        <v>33.487000000000002</v>
      </c>
      <c r="M831" s="254">
        <f>'CUOTA ARTESANAL'!L606</f>
        <v>0.45835826930853213</v>
      </c>
      <c r="N831" s="245" t="str">
        <f>'CUOTA ARTESANAL'!M606</f>
        <v>-</v>
      </c>
      <c r="O831" s="241">
        <f>RESUMEN!$C$4</f>
        <v>44561</v>
      </c>
      <c r="P831" s="233">
        <v>2021</v>
      </c>
      <c r="Q831" s="233"/>
    </row>
    <row r="832" spans="1:17" ht="15.75" customHeight="1">
      <c r="A832" s="238" t="s">
        <v>51</v>
      </c>
      <c r="B832" s="238" t="s">
        <v>52</v>
      </c>
      <c r="C832" s="238" t="s">
        <v>73</v>
      </c>
      <c r="D832" s="238" t="s">
        <v>65</v>
      </c>
      <c r="E832" s="233" t="str">
        <f>+'CUOTA ARTESANAL'!E606</f>
        <v>CUOTA RESIDUAL O BOLSÓN CENTRO</v>
      </c>
      <c r="F832" s="238" t="s">
        <v>57</v>
      </c>
      <c r="G832" s="238" t="s">
        <v>58</v>
      </c>
      <c r="H832" s="253">
        <f>'CUOTA ARTESANAL'!G607</f>
        <v>61.825000000000003</v>
      </c>
      <c r="I832" s="253">
        <f>'CUOTA ARTESANAL'!H607</f>
        <v>0</v>
      </c>
      <c r="J832" s="253">
        <f>'CUOTA ARTESANAL'!I607</f>
        <v>95.312000000000012</v>
      </c>
      <c r="K832" s="253">
        <f>'CUOTA ARTESANAL'!J607</f>
        <v>7.492</v>
      </c>
      <c r="L832" s="253">
        <f>'CUOTA ARTESANAL'!K607</f>
        <v>87.820000000000007</v>
      </c>
      <c r="M832" s="254">
        <f>'CUOTA ARTESANAL'!L607</f>
        <v>7.8605002518045988E-2</v>
      </c>
      <c r="N832" s="245" t="str">
        <f>'CUOTA ARTESANAL'!M607</f>
        <v>-</v>
      </c>
      <c r="O832" s="241">
        <f>RESUMEN!$C$4</f>
        <v>44561</v>
      </c>
      <c r="P832" s="233">
        <v>2021</v>
      </c>
      <c r="Q832" s="233"/>
    </row>
    <row r="833" spans="1:17" ht="15.75" customHeight="1">
      <c r="A833" s="238" t="s">
        <v>51</v>
      </c>
      <c r="B833" s="238" t="s">
        <v>52</v>
      </c>
      <c r="C833" s="238" t="s">
        <v>73</v>
      </c>
      <c r="D833" s="238" t="s">
        <v>65</v>
      </c>
      <c r="E833" s="233" t="str">
        <f>+'CUOTA ARTESANAL'!E606</f>
        <v>CUOTA RESIDUAL O BOLSÓN CENTRO</v>
      </c>
      <c r="F833" s="238" t="s">
        <v>54</v>
      </c>
      <c r="G833" s="238" t="s">
        <v>58</v>
      </c>
      <c r="H833" s="253">
        <f>'CUOTA ARTESANAL'!N606</f>
        <v>123.65</v>
      </c>
      <c r="I833" s="253">
        <f>'CUOTA ARTESANAL'!O606</f>
        <v>0</v>
      </c>
      <c r="J833" s="253">
        <f>'CUOTA ARTESANAL'!P606</f>
        <v>123.65</v>
      </c>
      <c r="K833" s="253">
        <f>'CUOTA ARTESANAL'!Q606</f>
        <v>35.83</v>
      </c>
      <c r="L833" s="253">
        <f>'CUOTA ARTESANAL'!R606</f>
        <v>87.820000000000007</v>
      </c>
      <c r="M833" s="254">
        <f>'CUOTA ARTESANAL'!S606</f>
        <v>0.28976951071572987</v>
      </c>
      <c r="N833" s="245" t="s">
        <v>218</v>
      </c>
      <c r="O833" s="241">
        <f>RESUMEN!$C$4</f>
        <v>44561</v>
      </c>
      <c r="P833" s="233">
        <v>2021</v>
      </c>
      <c r="Q833" s="233"/>
    </row>
    <row r="834" spans="1:17" ht="15.75" customHeight="1">
      <c r="A834" s="238" t="s">
        <v>51</v>
      </c>
      <c r="B834" s="238" t="s">
        <v>52</v>
      </c>
      <c r="C834" s="238" t="s">
        <v>73</v>
      </c>
      <c r="D834" s="238" t="s">
        <v>66</v>
      </c>
      <c r="E834" s="233" t="str">
        <f>+'CUOTA ARTESANAL'!E608</f>
        <v>STI PESCA ARTESANAL, BUZOS MARISCADORES Y ACTIVIDADES CONEXAS DE LA CALETA DE QUIDICO RSU 08.04.0032</v>
      </c>
      <c r="F834" s="238" t="s">
        <v>54</v>
      </c>
      <c r="G834" s="238" t="s">
        <v>56</v>
      </c>
      <c r="H834" s="253">
        <f>'CUOTA ARTESANAL'!G608</f>
        <v>129.125</v>
      </c>
      <c r="I834" s="253">
        <f>'CUOTA ARTESANAL'!H608</f>
        <v>0</v>
      </c>
      <c r="J834" s="253">
        <f>'CUOTA ARTESANAL'!I608</f>
        <v>129.125</v>
      </c>
      <c r="K834" s="253">
        <f>'CUOTA ARTESANAL'!J608</f>
        <v>104.014</v>
      </c>
      <c r="L834" s="253">
        <f>'CUOTA ARTESANAL'!K608</f>
        <v>25.111000000000004</v>
      </c>
      <c r="M834" s="254">
        <f>'CUOTA ARTESANAL'!L608</f>
        <v>0.80552952565343661</v>
      </c>
      <c r="N834" s="245">
        <f>'CUOTA ARTESANAL'!M608</f>
        <v>44273</v>
      </c>
      <c r="O834" s="241">
        <f>RESUMEN!$C$4</f>
        <v>44561</v>
      </c>
      <c r="P834" s="233">
        <v>2021</v>
      </c>
      <c r="Q834" s="233"/>
    </row>
    <row r="835" spans="1:17" ht="15.75" customHeight="1">
      <c r="A835" s="238" t="s">
        <v>51</v>
      </c>
      <c r="B835" s="238" t="s">
        <v>52</v>
      </c>
      <c r="C835" s="238" t="s">
        <v>73</v>
      </c>
      <c r="D835" s="238" t="s">
        <v>66</v>
      </c>
      <c r="E835" s="233" t="str">
        <f>+'CUOTA ARTESANAL'!E608</f>
        <v>STI PESCA ARTESANAL, BUZOS MARISCADORES Y ACTIVIDADES CONEXAS DE LA CALETA DE QUIDICO RSU 08.04.0032</v>
      </c>
      <c r="F835" s="238" t="s">
        <v>57</v>
      </c>
      <c r="G835" s="238" t="s">
        <v>58</v>
      </c>
      <c r="H835" s="253">
        <f>'CUOTA ARTESANAL'!G609</f>
        <v>9.125</v>
      </c>
      <c r="I835" s="253">
        <f>'CUOTA ARTESANAL'!H609</f>
        <v>0</v>
      </c>
      <c r="J835" s="253">
        <f>'CUOTA ARTESANAL'!I609</f>
        <v>34.236000000000004</v>
      </c>
      <c r="K835" s="253">
        <f>'CUOTA ARTESANAL'!J609</f>
        <v>40.353999999999999</v>
      </c>
      <c r="L835" s="253">
        <f>'CUOTA ARTESANAL'!K609</f>
        <v>-6.117999999999995</v>
      </c>
      <c r="M835" s="254">
        <f>'CUOTA ARTESANAL'!L609</f>
        <v>1.1787007828017291</v>
      </c>
      <c r="N835" s="245" t="str">
        <f>'CUOTA ARTESANAL'!M609</f>
        <v>-</v>
      </c>
      <c r="O835" s="241">
        <f>RESUMEN!$C$4</f>
        <v>44561</v>
      </c>
      <c r="P835" s="233">
        <v>2021</v>
      </c>
      <c r="Q835" s="233"/>
    </row>
    <row r="836" spans="1:17" ht="15.75" customHeight="1">
      <c r="A836" s="238" t="s">
        <v>51</v>
      </c>
      <c r="B836" s="238" t="s">
        <v>52</v>
      </c>
      <c r="C836" s="238" t="s">
        <v>73</v>
      </c>
      <c r="D836" s="238" t="s">
        <v>66</v>
      </c>
      <c r="E836" s="233" t="str">
        <f>+'CUOTA ARTESANAL'!E608</f>
        <v>STI PESCA ARTESANAL, BUZOS MARISCADORES Y ACTIVIDADES CONEXAS DE LA CALETA DE QUIDICO RSU 08.04.0032</v>
      </c>
      <c r="F836" s="238" t="s">
        <v>54</v>
      </c>
      <c r="G836" s="238" t="s">
        <v>58</v>
      </c>
      <c r="H836" s="253">
        <f>'CUOTA ARTESANAL'!N608</f>
        <v>138.25</v>
      </c>
      <c r="I836" s="253">
        <f>'CUOTA ARTESANAL'!O608</f>
        <v>0</v>
      </c>
      <c r="J836" s="253">
        <f>'CUOTA ARTESANAL'!P608</f>
        <v>138.25</v>
      </c>
      <c r="K836" s="253">
        <f>'CUOTA ARTESANAL'!Q608</f>
        <v>144.36799999999999</v>
      </c>
      <c r="L836" s="253">
        <f>'CUOTA ARTESANAL'!R608</f>
        <v>-6.117999999999995</v>
      </c>
      <c r="M836" s="254">
        <f>'CUOTA ARTESANAL'!S608</f>
        <v>1.0442531645569619</v>
      </c>
      <c r="N836" s="245" t="s">
        <v>218</v>
      </c>
      <c r="O836" s="241">
        <f>RESUMEN!$C$4</f>
        <v>44561</v>
      </c>
      <c r="P836" s="233">
        <v>2021</v>
      </c>
      <c r="Q836" s="233"/>
    </row>
    <row r="837" spans="1:17" ht="15.75" customHeight="1">
      <c r="A837" s="238" t="s">
        <v>51</v>
      </c>
      <c r="B837" s="238" t="s">
        <v>52</v>
      </c>
      <c r="C837" s="238" t="s">
        <v>73</v>
      </c>
      <c r="D837" s="238" t="s">
        <v>66</v>
      </c>
      <c r="E837" s="233" t="str">
        <f>+'CUOTA ARTESANAL'!E610</f>
        <v>STI DE LA PESCA ARTESANAL, BUZOS MARISCADORES Y ACTIVIDADES CONEXAS DE LA CALETA DE TIRUA RSU 08.12.0007</v>
      </c>
      <c r="F837" s="238" t="s">
        <v>54</v>
      </c>
      <c r="G837" s="238" t="s">
        <v>56</v>
      </c>
      <c r="H837" s="253">
        <f>'CUOTA ARTESANAL'!G610</f>
        <v>57.177999999999997</v>
      </c>
      <c r="I837" s="253">
        <f>'CUOTA ARTESANAL'!H610</f>
        <v>0</v>
      </c>
      <c r="J837" s="253">
        <f>'CUOTA ARTESANAL'!I610</f>
        <v>57.177999999999997</v>
      </c>
      <c r="K837" s="253">
        <f>'CUOTA ARTESANAL'!J610</f>
        <v>110.125</v>
      </c>
      <c r="L837" s="253">
        <f>'CUOTA ARTESANAL'!K610</f>
        <v>-52.947000000000003</v>
      </c>
      <c r="M837" s="254">
        <f>'CUOTA ARTESANAL'!L610</f>
        <v>1.9260030081499879</v>
      </c>
      <c r="N837" s="245">
        <f>'CUOTA ARTESANAL'!M610</f>
        <v>44294</v>
      </c>
      <c r="O837" s="241">
        <f>RESUMEN!$C$4</f>
        <v>44561</v>
      </c>
      <c r="P837" s="233">
        <v>2021</v>
      </c>
      <c r="Q837" s="233"/>
    </row>
    <row r="838" spans="1:17" ht="15.75" customHeight="1">
      <c r="A838" s="238" t="s">
        <v>51</v>
      </c>
      <c r="B838" s="238" t="s">
        <v>52</v>
      </c>
      <c r="C838" s="238" t="s">
        <v>73</v>
      </c>
      <c r="D838" s="238" t="s">
        <v>66</v>
      </c>
      <c r="E838" s="233" t="str">
        <f>+'CUOTA ARTESANAL'!E610</f>
        <v>STI DE LA PESCA ARTESANAL, BUZOS MARISCADORES Y ACTIVIDADES CONEXAS DE LA CALETA DE TIRUA RSU 08.12.0007</v>
      </c>
      <c r="F838" s="238" t="s">
        <v>57</v>
      </c>
      <c r="G838" s="238" t="s">
        <v>58</v>
      </c>
      <c r="H838" s="253">
        <f>'CUOTA ARTESANAL'!G611</f>
        <v>57.177999999999997</v>
      </c>
      <c r="I838" s="253">
        <f>'CUOTA ARTESANAL'!H611</f>
        <v>0</v>
      </c>
      <c r="J838" s="253">
        <f>'CUOTA ARTESANAL'!I611</f>
        <v>4.2309999999999945</v>
      </c>
      <c r="K838" s="253">
        <f>'CUOTA ARTESANAL'!J611</f>
        <v>1.5</v>
      </c>
      <c r="L838" s="253">
        <f>'CUOTA ARTESANAL'!K611</f>
        <v>2.7309999999999945</v>
      </c>
      <c r="M838" s="254">
        <f>'CUOTA ARTESANAL'!L611</f>
        <v>0.35452611675726825</v>
      </c>
      <c r="N838" s="245" t="str">
        <f>'CUOTA ARTESANAL'!M611</f>
        <v>-</v>
      </c>
      <c r="O838" s="241">
        <f>RESUMEN!$C$4</f>
        <v>44561</v>
      </c>
      <c r="P838" s="233">
        <v>2021</v>
      </c>
      <c r="Q838" s="233"/>
    </row>
    <row r="839" spans="1:17" ht="15.75" customHeight="1">
      <c r="A839" s="238" t="s">
        <v>51</v>
      </c>
      <c r="B839" s="238" t="s">
        <v>52</v>
      </c>
      <c r="C839" s="238" t="s">
        <v>73</v>
      </c>
      <c r="D839" s="238" t="s">
        <v>66</v>
      </c>
      <c r="E839" s="233" t="str">
        <f>+'CUOTA ARTESANAL'!E610</f>
        <v>STI DE LA PESCA ARTESANAL, BUZOS MARISCADORES Y ACTIVIDADES CONEXAS DE LA CALETA DE TIRUA RSU 08.12.0007</v>
      </c>
      <c r="F839" s="238" t="s">
        <v>54</v>
      </c>
      <c r="G839" s="238" t="s">
        <v>58</v>
      </c>
      <c r="H839" s="253">
        <f>'CUOTA ARTESANAL'!N610</f>
        <v>114.35599999999999</v>
      </c>
      <c r="I839" s="253">
        <f>'CUOTA ARTESANAL'!O610</f>
        <v>0</v>
      </c>
      <c r="J839" s="253">
        <f>'CUOTA ARTESANAL'!P610</f>
        <v>114.35599999999999</v>
      </c>
      <c r="K839" s="253">
        <f>'CUOTA ARTESANAL'!Q610</f>
        <v>111.625</v>
      </c>
      <c r="L839" s="253">
        <f>'CUOTA ARTESANAL'!R610</f>
        <v>2.7309999999999945</v>
      </c>
      <c r="M839" s="254">
        <f>'CUOTA ARTESANAL'!S610</f>
        <v>0.97611843716114599</v>
      </c>
      <c r="N839" s="245" t="s">
        <v>218</v>
      </c>
      <c r="O839" s="241">
        <f>RESUMEN!$C$4</f>
        <v>44561</v>
      </c>
      <c r="P839" s="233">
        <v>2021</v>
      </c>
      <c r="Q839" s="233"/>
    </row>
    <row r="840" spans="1:17" ht="15.75" customHeight="1">
      <c r="A840" s="238" t="s">
        <v>51</v>
      </c>
      <c r="B840" s="238" t="s">
        <v>52</v>
      </c>
      <c r="C840" s="238" t="s">
        <v>73</v>
      </c>
      <c r="D840" s="238" t="s">
        <v>66</v>
      </c>
      <c r="E840" s="233" t="str">
        <f>+'CUOTA ARTESANAL'!E612</f>
        <v>STI DE PESCADORES ARTESANALES, BUZOS MARISCADORES CALETA QUIDICO RSU 08.13.0051</v>
      </c>
      <c r="F840" s="238" t="s">
        <v>54</v>
      </c>
      <c r="G840" s="238" t="s">
        <v>56</v>
      </c>
      <c r="H840" s="253">
        <f>'CUOTA ARTESANAL'!G612</f>
        <v>148.172</v>
      </c>
      <c r="I840" s="253">
        <f>'CUOTA ARTESANAL'!H612</f>
        <v>0</v>
      </c>
      <c r="J840" s="253">
        <f>'CUOTA ARTESANAL'!I612</f>
        <v>148.172</v>
      </c>
      <c r="K840" s="253">
        <f>'CUOTA ARTESANAL'!J612</f>
        <v>143.10300000000001</v>
      </c>
      <c r="L840" s="253">
        <f>'CUOTA ARTESANAL'!K612</f>
        <v>5.0689999999999884</v>
      </c>
      <c r="M840" s="254">
        <f>'CUOTA ARTESANAL'!L612</f>
        <v>0.96578975784898635</v>
      </c>
      <c r="N840" s="245">
        <f>'CUOTA ARTESANAL'!M612</f>
        <v>44294</v>
      </c>
      <c r="O840" s="241">
        <f>RESUMEN!$C$4</f>
        <v>44561</v>
      </c>
      <c r="P840" s="233">
        <v>2021</v>
      </c>
      <c r="Q840" s="233"/>
    </row>
    <row r="841" spans="1:17" ht="15.75" customHeight="1">
      <c r="A841" s="238" t="s">
        <v>51</v>
      </c>
      <c r="B841" s="238" t="s">
        <v>52</v>
      </c>
      <c r="C841" s="238" t="s">
        <v>73</v>
      </c>
      <c r="D841" s="238" t="s">
        <v>66</v>
      </c>
      <c r="E841" s="233" t="str">
        <f>+'CUOTA ARTESANAL'!E612</f>
        <v>STI DE PESCADORES ARTESANALES, BUZOS MARISCADORES CALETA QUIDICO RSU 08.13.0051</v>
      </c>
      <c r="F841" s="238" t="s">
        <v>57</v>
      </c>
      <c r="G841" s="238" t="s">
        <v>58</v>
      </c>
      <c r="H841" s="253">
        <f>'CUOTA ARTESANAL'!G613</f>
        <v>8.171999999999997</v>
      </c>
      <c r="I841" s="253">
        <f>'CUOTA ARTESANAL'!H613</f>
        <v>0</v>
      </c>
      <c r="J841" s="253">
        <f>'CUOTA ARTESANAL'!I613</f>
        <v>13.240999999999985</v>
      </c>
      <c r="K841" s="253">
        <f>'CUOTA ARTESANAL'!J613</f>
        <v>13.574999999999999</v>
      </c>
      <c r="L841" s="253">
        <f>'CUOTA ARTESANAL'!K613</f>
        <v>-0.33400000000001384</v>
      </c>
      <c r="M841" s="254">
        <f>'CUOTA ARTESANAL'!L613</f>
        <v>1.0252246809153398</v>
      </c>
      <c r="N841" s="245" t="str">
        <f>'CUOTA ARTESANAL'!M613</f>
        <v>-</v>
      </c>
      <c r="O841" s="241">
        <f>RESUMEN!$C$4</f>
        <v>44561</v>
      </c>
      <c r="P841" s="233">
        <v>2021</v>
      </c>
      <c r="Q841" s="233"/>
    </row>
    <row r="842" spans="1:17" ht="15.75" customHeight="1">
      <c r="A842" s="238" t="s">
        <v>51</v>
      </c>
      <c r="B842" s="238" t="s">
        <v>52</v>
      </c>
      <c r="C842" s="238" t="s">
        <v>73</v>
      </c>
      <c r="D842" s="238" t="s">
        <v>66</v>
      </c>
      <c r="E842" s="233" t="str">
        <f>+'CUOTA ARTESANAL'!E612</f>
        <v>STI DE PESCADORES ARTESANALES, BUZOS MARISCADORES CALETA QUIDICO RSU 08.13.0051</v>
      </c>
      <c r="F842" s="238" t="s">
        <v>54</v>
      </c>
      <c r="G842" s="238" t="s">
        <v>58</v>
      </c>
      <c r="H842" s="253">
        <f>'CUOTA ARTESANAL'!N612</f>
        <v>156.34399999999999</v>
      </c>
      <c r="I842" s="253">
        <f>'CUOTA ARTESANAL'!O612</f>
        <v>0</v>
      </c>
      <c r="J842" s="253">
        <f>'CUOTA ARTESANAL'!P612</f>
        <v>156.34399999999999</v>
      </c>
      <c r="K842" s="253">
        <f>'CUOTA ARTESANAL'!Q612</f>
        <v>156.678</v>
      </c>
      <c r="L842" s="253">
        <f>'CUOTA ARTESANAL'!R612</f>
        <v>-0.33400000000000318</v>
      </c>
      <c r="M842" s="254">
        <f>'CUOTA ARTESANAL'!S612</f>
        <v>1.0021363147930205</v>
      </c>
      <c r="N842" s="245" t="s">
        <v>218</v>
      </c>
      <c r="O842" s="241">
        <f>RESUMEN!$C$4</f>
        <v>44561</v>
      </c>
      <c r="P842" s="233">
        <v>2021</v>
      </c>
      <c r="Q842" s="233"/>
    </row>
    <row r="843" spans="1:17" ht="15.75" customHeight="1">
      <c r="A843" s="238" t="s">
        <v>51</v>
      </c>
      <c r="B843" s="238" t="s">
        <v>52</v>
      </c>
      <c r="C843" s="238" t="s">
        <v>73</v>
      </c>
      <c r="D843" s="233" t="s">
        <v>65</v>
      </c>
      <c r="E843" s="243" t="str">
        <f>+'CUOTA ARTESANAL'!E614</f>
        <v>CUOTA RESIDUAL O BOLSÓN SUR</v>
      </c>
      <c r="F843" s="238" t="s">
        <v>54</v>
      </c>
      <c r="G843" s="238" t="s">
        <v>56</v>
      </c>
      <c r="H843" s="253">
        <f>'CUOTA ARTESANAL'!G614</f>
        <v>9.9779999999999998</v>
      </c>
      <c r="I843" s="253">
        <f>'CUOTA ARTESANAL'!H614</f>
        <v>0</v>
      </c>
      <c r="J843" s="253">
        <f>'CUOTA ARTESANAL'!I614</f>
        <v>9.9779999999999998</v>
      </c>
      <c r="K843" s="253">
        <f>'CUOTA ARTESANAL'!J614</f>
        <v>2.258</v>
      </c>
      <c r="L843" s="253">
        <f>'CUOTA ARTESANAL'!K614</f>
        <v>7.72</v>
      </c>
      <c r="M843" s="254">
        <f>'CUOTA ARTESANAL'!L614</f>
        <v>0.22629785528161958</v>
      </c>
      <c r="N843" s="245" t="str">
        <f>'CUOTA ARTESANAL'!M614</f>
        <v>-</v>
      </c>
      <c r="O843" s="241">
        <f>RESUMEN!$C$4</f>
        <v>44561</v>
      </c>
      <c r="P843" s="233">
        <v>2021</v>
      </c>
      <c r="Q843" s="233"/>
    </row>
    <row r="844" spans="1:17" ht="15.75" customHeight="1">
      <c r="A844" s="238" t="s">
        <v>51</v>
      </c>
      <c r="B844" s="238" t="s">
        <v>52</v>
      </c>
      <c r="C844" s="238" t="s">
        <v>73</v>
      </c>
      <c r="D844" s="233" t="s">
        <v>65</v>
      </c>
      <c r="E844" s="243" t="str">
        <f>+'CUOTA ARTESANAL'!E614</f>
        <v>CUOTA RESIDUAL O BOLSÓN SUR</v>
      </c>
      <c r="F844" s="238" t="s">
        <v>57</v>
      </c>
      <c r="G844" s="238" t="s">
        <v>58</v>
      </c>
      <c r="H844" s="253">
        <f>'CUOTA ARTESANAL'!G615</f>
        <v>9.9779999999999998</v>
      </c>
      <c r="I844" s="253">
        <f>'CUOTA ARTESANAL'!H615</f>
        <v>0</v>
      </c>
      <c r="J844" s="253">
        <f>'CUOTA ARTESANAL'!I615</f>
        <v>17.698</v>
      </c>
      <c r="K844" s="253">
        <f>'CUOTA ARTESANAL'!J615</f>
        <v>0.55000000000000004</v>
      </c>
      <c r="L844" s="253">
        <f>'CUOTA ARTESANAL'!K615</f>
        <v>17.148</v>
      </c>
      <c r="M844" s="254">
        <f>'CUOTA ARTESANAL'!L615</f>
        <v>3.1076957848344449E-2</v>
      </c>
      <c r="N844" s="245" t="str">
        <f>'CUOTA ARTESANAL'!M615</f>
        <v>-</v>
      </c>
      <c r="O844" s="241">
        <f>RESUMEN!$C$4</f>
        <v>44561</v>
      </c>
      <c r="P844" s="233">
        <v>2021</v>
      </c>
      <c r="Q844" s="233"/>
    </row>
    <row r="845" spans="1:17" ht="15.75" customHeight="1">
      <c r="A845" s="238" t="s">
        <v>51</v>
      </c>
      <c r="B845" s="238" t="s">
        <v>52</v>
      </c>
      <c r="C845" s="238" t="s">
        <v>73</v>
      </c>
      <c r="D845" s="233" t="s">
        <v>65</v>
      </c>
      <c r="E845" s="243" t="str">
        <f>+'CUOTA ARTESANAL'!E614</f>
        <v>CUOTA RESIDUAL O BOLSÓN SUR</v>
      </c>
      <c r="F845" s="238" t="s">
        <v>54</v>
      </c>
      <c r="G845" s="238" t="s">
        <v>58</v>
      </c>
      <c r="H845" s="253">
        <f>'CUOTA ARTESANAL'!N614</f>
        <v>19.956</v>
      </c>
      <c r="I845" s="253">
        <f>'CUOTA ARTESANAL'!O614</f>
        <v>0</v>
      </c>
      <c r="J845" s="253">
        <f>'CUOTA ARTESANAL'!P614</f>
        <v>19.956</v>
      </c>
      <c r="K845" s="253">
        <f>'CUOTA ARTESANAL'!Q614</f>
        <v>2.8079999999999998</v>
      </c>
      <c r="L845" s="253">
        <f>'CUOTA ARTESANAL'!R614</f>
        <v>17.148</v>
      </c>
      <c r="M845" s="254">
        <f>'CUOTA ARTESANAL'!S614</f>
        <v>0.1407095610342754</v>
      </c>
      <c r="N845" s="245" t="s">
        <v>218</v>
      </c>
      <c r="O845" s="241">
        <f>RESUMEN!$C$4</f>
        <v>44561</v>
      </c>
      <c r="P845" s="233">
        <v>2021</v>
      </c>
      <c r="Q845" s="233"/>
    </row>
    <row r="846" spans="1:17" s="280" customFormat="1" ht="15.75" customHeight="1">
      <c r="A846" s="230" t="s">
        <v>51</v>
      </c>
      <c r="B846" s="230" t="s">
        <v>52</v>
      </c>
      <c r="C846" s="230" t="s">
        <v>73</v>
      </c>
      <c r="D846" s="269" t="s">
        <v>83</v>
      </c>
      <c r="E846" s="269" t="s">
        <v>82</v>
      </c>
      <c r="F846" s="230" t="s">
        <v>54</v>
      </c>
      <c r="G846" s="230" t="s">
        <v>58</v>
      </c>
      <c r="H846" s="272">
        <f>RESUMEN!F13</f>
        <v>4425.4890000000005</v>
      </c>
      <c r="I846" s="272">
        <f>RESUMEN!G13</f>
        <v>-1043.9010000000001</v>
      </c>
      <c r="J846" s="272">
        <f>RESUMEN!H13</f>
        <v>3381.5880000000006</v>
      </c>
      <c r="K846" s="272">
        <f>RESUMEN!I13</f>
        <v>1935.4760000000001</v>
      </c>
      <c r="L846" s="272">
        <f>RESUMEN!J13</f>
        <v>1446.1120000000005</v>
      </c>
      <c r="M846" s="273">
        <f>RESUMEN!K13</f>
        <v>0.57235712925406634</v>
      </c>
      <c r="N846" s="279" t="s">
        <v>218</v>
      </c>
      <c r="O846" s="232">
        <f>RESUMEN!$C$4</f>
        <v>44561</v>
      </c>
      <c r="P846" s="269">
        <v>2021</v>
      </c>
      <c r="Q846" s="269"/>
    </row>
    <row r="847" spans="1:17" ht="15.75" customHeight="1">
      <c r="A847" s="238" t="s">
        <v>51</v>
      </c>
      <c r="B847" s="238" t="s">
        <v>52</v>
      </c>
      <c r="C847" s="238" t="s">
        <v>74</v>
      </c>
      <c r="D847" s="238" t="s">
        <v>68</v>
      </c>
      <c r="E847" s="238" t="str">
        <f>+'CUOTA ARTESANAL'!E623</f>
        <v>REGION IX</v>
      </c>
      <c r="F847" s="238" t="s">
        <v>54</v>
      </c>
      <c r="G847" s="238" t="s">
        <v>56</v>
      </c>
      <c r="H847" s="253">
        <f>'CUOTA ARTESANAL'!G623</f>
        <v>11.505000000000001</v>
      </c>
      <c r="I847" s="253">
        <f>'CUOTA ARTESANAL'!H623</f>
        <v>0</v>
      </c>
      <c r="J847" s="253">
        <f>'CUOTA ARTESANAL'!I623</f>
        <v>11.505000000000001</v>
      </c>
      <c r="K847" s="253">
        <f>'CUOTA ARTESANAL'!J623</f>
        <v>5.4640000000000004</v>
      </c>
      <c r="L847" s="253">
        <f>'CUOTA ARTESANAL'!K623</f>
        <v>6.0410000000000004</v>
      </c>
      <c r="M847" s="254">
        <f>'CUOTA ARTESANAL'!L623</f>
        <v>0.4749239461103868</v>
      </c>
      <c r="N847" s="245" t="str">
        <f>'CUOTA ARTESANAL'!M623</f>
        <v>-</v>
      </c>
      <c r="O847" s="241">
        <f>RESUMEN!$C$4</f>
        <v>44561</v>
      </c>
      <c r="P847" s="233">
        <v>2021</v>
      </c>
      <c r="Q847" s="233"/>
    </row>
    <row r="848" spans="1:17" ht="15.75" customHeight="1">
      <c r="A848" s="238" t="s">
        <v>51</v>
      </c>
      <c r="B848" s="238" t="s">
        <v>52</v>
      </c>
      <c r="C848" s="238" t="s">
        <v>74</v>
      </c>
      <c r="D848" s="238" t="s">
        <v>68</v>
      </c>
      <c r="E848" s="238" t="str">
        <f>+'CUOTA ARTESANAL'!E623</f>
        <v>REGION IX</v>
      </c>
      <c r="F848" s="238" t="s">
        <v>57</v>
      </c>
      <c r="G848" s="238" t="s">
        <v>58</v>
      </c>
      <c r="H848" s="253">
        <f>'CUOTA ARTESANAL'!G624</f>
        <v>11.505000000000001</v>
      </c>
      <c r="I848" s="253">
        <f>'CUOTA ARTESANAL'!H624</f>
        <v>0</v>
      </c>
      <c r="J848" s="253">
        <f>'CUOTA ARTESANAL'!I624</f>
        <v>17.545999999999999</v>
      </c>
      <c r="K848" s="253">
        <f>'CUOTA ARTESANAL'!J624</f>
        <v>0</v>
      </c>
      <c r="L848" s="253">
        <f>'CUOTA ARTESANAL'!K624</f>
        <v>17.545999999999999</v>
      </c>
      <c r="M848" s="254">
        <f>'CUOTA ARTESANAL'!L624</f>
        <v>0</v>
      </c>
      <c r="N848" s="245" t="str">
        <f>'CUOTA ARTESANAL'!M624</f>
        <v>-</v>
      </c>
      <c r="O848" s="241">
        <f>RESUMEN!$C$4</f>
        <v>44561</v>
      </c>
      <c r="P848" s="233">
        <v>2021</v>
      </c>
      <c r="Q848" s="233"/>
    </row>
    <row r="849" spans="1:17" ht="15.75" customHeight="1">
      <c r="A849" s="230" t="s">
        <v>51</v>
      </c>
      <c r="B849" s="230" t="s">
        <v>52</v>
      </c>
      <c r="C849" s="230" t="s">
        <v>74</v>
      </c>
      <c r="D849" s="230" t="s">
        <v>68</v>
      </c>
      <c r="E849" s="230" t="str">
        <f>+'CUOTA ARTESANAL'!E623</f>
        <v>REGION IX</v>
      </c>
      <c r="F849" s="230" t="s">
        <v>54</v>
      </c>
      <c r="G849" s="230" t="s">
        <v>58</v>
      </c>
      <c r="H849" s="272">
        <f>'CUOTA ARTESANAL'!N623</f>
        <v>23.01</v>
      </c>
      <c r="I849" s="272">
        <f>'CUOTA ARTESANAL'!O623</f>
        <v>0</v>
      </c>
      <c r="J849" s="272">
        <f>'CUOTA ARTESANAL'!P623</f>
        <v>23.01</v>
      </c>
      <c r="K849" s="272">
        <f>'CUOTA ARTESANAL'!Q623</f>
        <v>5.4640000000000004</v>
      </c>
      <c r="L849" s="272">
        <f>'CUOTA ARTESANAL'!R623</f>
        <v>17.545999999999999</v>
      </c>
      <c r="M849" s="273">
        <f>'CUOTA ARTESANAL'!S623</f>
        <v>0.2374619730551934</v>
      </c>
      <c r="N849" s="279" t="s">
        <v>218</v>
      </c>
      <c r="O849" s="232">
        <f>RESUMEN!$C$4</f>
        <v>44561</v>
      </c>
      <c r="P849" s="269">
        <v>2021</v>
      </c>
      <c r="Q849" s="233"/>
    </row>
    <row r="850" spans="1:17" ht="15.75" customHeight="1">
      <c r="A850" s="238" t="s">
        <v>51</v>
      </c>
      <c r="B850" s="238" t="s">
        <v>52</v>
      </c>
      <c r="C850" s="238" t="s">
        <v>75</v>
      </c>
      <c r="D850" s="247" t="s">
        <v>69</v>
      </c>
      <c r="E850" s="247" t="str">
        <f>+'CUOTA ARTESANAL'!E627</f>
        <v>MACROZONA XIV-X</v>
      </c>
      <c r="F850" s="238" t="s">
        <v>54</v>
      </c>
      <c r="G850" s="238" t="s">
        <v>56</v>
      </c>
      <c r="H850" s="253">
        <f>'CUOTA ARTESANAL'!G627</f>
        <v>10.641999999999999</v>
      </c>
      <c r="I850" s="253">
        <f>'CUOTA ARTESANAL'!H627</f>
        <v>0</v>
      </c>
      <c r="J850" s="253">
        <f>'CUOTA ARTESANAL'!I627</f>
        <v>10.641999999999999</v>
      </c>
      <c r="K850" s="253">
        <f>'CUOTA ARTESANAL'!J627</f>
        <v>0</v>
      </c>
      <c r="L850" s="253">
        <f>'CUOTA ARTESANAL'!K627</f>
        <v>10.641999999999999</v>
      </c>
      <c r="M850" s="254">
        <f>'CUOTA ARTESANAL'!L627</f>
        <v>0</v>
      </c>
      <c r="N850" s="245" t="str">
        <f>'CUOTA ARTESANAL'!M627</f>
        <v>-</v>
      </c>
      <c r="O850" s="241">
        <f>RESUMEN!$C$4</f>
        <v>44561</v>
      </c>
      <c r="P850" s="233">
        <v>2021</v>
      </c>
      <c r="Q850" s="233"/>
    </row>
    <row r="851" spans="1:17" ht="15.75" customHeight="1">
      <c r="A851" s="238" t="s">
        <v>51</v>
      </c>
      <c r="B851" s="238" t="s">
        <v>52</v>
      </c>
      <c r="C851" s="238" t="s">
        <v>75</v>
      </c>
      <c r="D851" s="247" t="s">
        <v>69</v>
      </c>
      <c r="E851" s="247" t="str">
        <f>+'CUOTA ARTESANAL'!E627</f>
        <v>MACROZONA XIV-X</v>
      </c>
      <c r="F851" s="238" t="s">
        <v>57</v>
      </c>
      <c r="G851" s="238" t="s">
        <v>58</v>
      </c>
      <c r="H851" s="253">
        <f>'CUOTA ARTESANAL'!G628</f>
        <v>10.641999999999999</v>
      </c>
      <c r="I851" s="253">
        <f>'CUOTA ARTESANAL'!H628</f>
        <v>0</v>
      </c>
      <c r="J851" s="253">
        <f>'CUOTA ARTESANAL'!I628</f>
        <v>21.283999999999999</v>
      </c>
      <c r="K851" s="253">
        <f>'CUOTA ARTESANAL'!J628</f>
        <v>0.109</v>
      </c>
      <c r="L851" s="253">
        <f>'CUOTA ARTESANAL'!K628</f>
        <v>21.174999999999997</v>
      </c>
      <c r="M851" s="254">
        <f>'CUOTA ARTESANAL'!L628</f>
        <v>5.1212178161999626E-3</v>
      </c>
      <c r="N851" s="245" t="str">
        <f>'CUOTA ARTESANAL'!M628</f>
        <v>-</v>
      </c>
      <c r="O851" s="241">
        <f>RESUMEN!$C$4</f>
        <v>44561</v>
      </c>
      <c r="P851" s="233">
        <v>2021</v>
      </c>
      <c r="Q851" s="233"/>
    </row>
    <row r="852" spans="1:17" ht="15.75" customHeight="1">
      <c r="A852" s="230" t="s">
        <v>51</v>
      </c>
      <c r="B852" s="230" t="s">
        <v>52</v>
      </c>
      <c r="C852" s="230" t="s">
        <v>75</v>
      </c>
      <c r="D852" s="287" t="s">
        <v>69</v>
      </c>
      <c r="E852" s="287" t="str">
        <f>+'CUOTA ARTESANAL'!E627</f>
        <v>MACROZONA XIV-X</v>
      </c>
      <c r="F852" s="230" t="s">
        <v>54</v>
      </c>
      <c r="G852" s="230" t="s">
        <v>58</v>
      </c>
      <c r="H852" s="272">
        <f>'CUOTA ARTESANAL'!N627</f>
        <v>21.283999999999999</v>
      </c>
      <c r="I852" s="272">
        <f>'CUOTA ARTESANAL'!O627</f>
        <v>0</v>
      </c>
      <c r="J852" s="272">
        <f>'CUOTA ARTESANAL'!P627</f>
        <v>21.283999999999999</v>
      </c>
      <c r="K852" s="272">
        <f>'CUOTA ARTESANAL'!Q627</f>
        <v>0.109</v>
      </c>
      <c r="L852" s="272">
        <f>'CUOTA ARTESANAL'!R627</f>
        <v>21.174999999999997</v>
      </c>
      <c r="M852" s="273">
        <f>'CUOTA ARTESANAL'!S627</f>
        <v>5.1212178161999626E-3</v>
      </c>
      <c r="N852" s="279" t="s">
        <v>218</v>
      </c>
      <c r="O852" s="232">
        <f>RESUMEN!$C$4</f>
        <v>44561</v>
      </c>
      <c r="P852" s="269">
        <v>2021</v>
      </c>
      <c r="Q852" s="233"/>
    </row>
    <row r="853" spans="1:17" ht="15.75" customHeight="1">
      <c r="A853" s="238" t="s">
        <v>51</v>
      </c>
      <c r="B853" s="238" t="s">
        <v>52</v>
      </c>
      <c r="C853" s="233" t="s">
        <v>78</v>
      </c>
      <c r="D853" s="233" t="s">
        <v>79</v>
      </c>
      <c r="E853" s="243" t="str">
        <f>+'CUOTA INDUSTRIAL'!C7</f>
        <v xml:space="preserve">ANTARTIC SEAFOOD S.A.   </v>
      </c>
      <c r="F853" s="238" t="s">
        <v>54</v>
      </c>
      <c r="G853" s="238" t="s">
        <v>57</v>
      </c>
      <c r="H853" s="253">
        <f>'CUOTA INDUSTRIAL'!E7</f>
        <v>90.894199999999998</v>
      </c>
      <c r="I853" s="253">
        <f>'CUOTA INDUSTRIAL'!F7</f>
        <v>0</v>
      </c>
      <c r="J853" s="253">
        <f>'CUOTA INDUSTRIAL'!G7</f>
        <v>90.894199999999998</v>
      </c>
      <c r="K853" s="253">
        <f>'CUOTA INDUSTRIAL'!H7</f>
        <v>23.199000000000002</v>
      </c>
      <c r="L853" s="253">
        <f>'CUOTA INDUSTRIAL'!I7</f>
        <v>67.6952</v>
      </c>
      <c r="M853" s="254">
        <f>'CUOTA INDUSTRIAL'!J7</f>
        <v>0.2552308068061549</v>
      </c>
      <c r="N853" s="245" t="s">
        <v>218</v>
      </c>
      <c r="O853" s="241">
        <f>RESUMEN!$C$4</f>
        <v>44561</v>
      </c>
      <c r="P853" s="233">
        <v>2021</v>
      </c>
      <c r="Q853" s="233"/>
    </row>
    <row r="854" spans="1:17" ht="15.75" customHeight="1">
      <c r="A854" s="238" t="s">
        <v>51</v>
      </c>
      <c r="B854" s="238" t="s">
        <v>52</v>
      </c>
      <c r="C854" s="233" t="s">
        <v>78</v>
      </c>
      <c r="D854" s="233" t="s">
        <v>79</v>
      </c>
      <c r="E854" s="243" t="str">
        <f>+'CUOTA INDUSTRIAL'!C7</f>
        <v xml:space="preserve">ANTARTIC SEAFOOD S.A.   </v>
      </c>
      <c r="F854" s="243" t="s">
        <v>62</v>
      </c>
      <c r="G854" s="238" t="s">
        <v>58</v>
      </c>
      <c r="H854" s="253">
        <f>'CUOTA INDUSTRIAL'!E8</f>
        <v>30.298100000000002</v>
      </c>
      <c r="I854" s="253">
        <f>'CUOTA INDUSTRIAL'!F8</f>
        <v>0</v>
      </c>
      <c r="J854" s="253">
        <f>'CUOTA INDUSTRIAL'!G8</f>
        <v>97.993300000000005</v>
      </c>
      <c r="K854" s="253">
        <f>'CUOTA INDUSTRIAL'!H8</f>
        <v>12.465999999999999</v>
      </c>
      <c r="L854" s="253">
        <f>'CUOTA INDUSTRIAL'!I8</f>
        <v>85.527300000000011</v>
      </c>
      <c r="M854" s="254">
        <f>'CUOTA INDUSTRIAL'!J8</f>
        <v>0.12721277883283855</v>
      </c>
      <c r="N854" s="245" t="s">
        <v>218</v>
      </c>
      <c r="O854" s="241">
        <f>RESUMEN!$C$4</f>
        <v>44561</v>
      </c>
      <c r="P854" s="233">
        <v>2021</v>
      </c>
      <c r="Q854" s="233"/>
    </row>
    <row r="855" spans="1:17" ht="15.75" customHeight="1">
      <c r="A855" s="238" t="s">
        <v>51</v>
      </c>
      <c r="B855" s="238" t="s">
        <v>52</v>
      </c>
      <c r="C855" s="233" t="s">
        <v>78</v>
      </c>
      <c r="D855" s="233" t="s">
        <v>79</v>
      </c>
      <c r="E855" s="243" t="str">
        <f>+'CUOTA INDUSTRIAL'!C7</f>
        <v xml:space="preserve">ANTARTIC SEAFOOD S.A.   </v>
      </c>
      <c r="F855" s="238" t="s">
        <v>54</v>
      </c>
      <c r="G855" s="238" t="s">
        <v>58</v>
      </c>
      <c r="H855" s="253">
        <f>'CUOTA INDUSTRIAL'!K7</f>
        <v>121.1923</v>
      </c>
      <c r="I855" s="253">
        <f>'CUOTA INDUSTRIAL'!L7</f>
        <v>0</v>
      </c>
      <c r="J855" s="253">
        <f>'CUOTA INDUSTRIAL'!M7</f>
        <v>121.1923</v>
      </c>
      <c r="K855" s="253">
        <f>'CUOTA INDUSTRIAL'!N7</f>
        <v>35.664999999999999</v>
      </c>
      <c r="L855" s="253">
        <f>'CUOTA INDUSTRIAL'!O7</f>
        <v>85.527299999999997</v>
      </c>
      <c r="M855" s="254">
        <f>'CUOTA INDUSTRIAL'!P7</f>
        <v>0.2942843728520706</v>
      </c>
      <c r="N855" s="245" t="s">
        <v>218</v>
      </c>
      <c r="O855" s="241">
        <f>RESUMEN!$C$4</f>
        <v>44561</v>
      </c>
      <c r="P855" s="233">
        <v>2021</v>
      </c>
      <c r="Q855" s="233"/>
    </row>
    <row r="856" spans="1:17" ht="15.75" customHeight="1">
      <c r="A856" s="238" t="s">
        <v>51</v>
      </c>
      <c r="B856" s="238" t="s">
        <v>52</v>
      </c>
      <c r="C856" s="233" t="s">
        <v>78</v>
      </c>
      <c r="D856" s="233" t="s">
        <v>79</v>
      </c>
      <c r="E856" s="243" t="str">
        <f>+'CUOTA INDUSTRIAL'!C9</f>
        <v>ANTONIO CRUZ CORDOVA NAKOUZI E.I.R.L.</v>
      </c>
      <c r="F856" s="238" t="s">
        <v>54</v>
      </c>
      <c r="G856" s="238" t="s">
        <v>57</v>
      </c>
      <c r="H856" s="253">
        <f>'CUOTA INDUSTRIAL'!E9</f>
        <v>916.7165</v>
      </c>
      <c r="I856" s="253">
        <f>'CUOTA INDUSTRIAL'!F9</f>
        <v>100.157</v>
      </c>
      <c r="J856" s="253">
        <f>'CUOTA INDUSTRIAL'!G9</f>
        <v>1016.8735</v>
      </c>
      <c r="K856" s="253">
        <f>'CUOTA INDUSTRIAL'!H9</f>
        <v>603.85500000000002</v>
      </c>
      <c r="L856" s="253">
        <f>'CUOTA INDUSTRIAL'!I9</f>
        <v>413.01850000000002</v>
      </c>
      <c r="M856" s="254">
        <f>'CUOTA INDUSTRIAL'!J9</f>
        <v>0.59383492636989754</v>
      </c>
      <c r="N856" s="245" t="s">
        <v>218</v>
      </c>
      <c r="O856" s="241">
        <f>RESUMEN!$C$4</f>
        <v>44561</v>
      </c>
      <c r="P856" s="233">
        <v>2021</v>
      </c>
      <c r="Q856" s="233"/>
    </row>
    <row r="857" spans="1:17" ht="15.75" customHeight="1">
      <c r="A857" s="238" t="s">
        <v>51</v>
      </c>
      <c r="B857" s="238" t="s">
        <v>52</v>
      </c>
      <c r="C857" s="233" t="s">
        <v>78</v>
      </c>
      <c r="D857" s="233" t="s">
        <v>79</v>
      </c>
      <c r="E857" s="243" t="str">
        <f>+'CUOTA INDUSTRIAL'!C9</f>
        <v>ANTONIO CRUZ CORDOVA NAKOUZI E.I.R.L.</v>
      </c>
      <c r="F857" s="243" t="s">
        <v>62</v>
      </c>
      <c r="G857" s="238" t="s">
        <v>58</v>
      </c>
      <c r="H857" s="253">
        <f>'CUOTA INDUSTRIAL'!E10</f>
        <v>305.57220000000001</v>
      </c>
      <c r="I857" s="253">
        <f>'CUOTA INDUSTRIAL'!F10</f>
        <v>0</v>
      </c>
      <c r="J857" s="253">
        <f>'CUOTA INDUSTRIAL'!G10</f>
        <v>718.59069999999997</v>
      </c>
      <c r="K857" s="253">
        <f>'CUOTA INDUSTRIAL'!H10</f>
        <v>621.75300000000004</v>
      </c>
      <c r="L857" s="253">
        <f>'CUOTA INDUSTRIAL'!I10</f>
        <v>96.837699999999927</v>
      </c>
      <c r="M857" s="254">
        <f>'CUOTA INDUSTRIAL'!J10</f>
        <v>0.86523941932451964</v>
      </c>
      <c r="N857" s="245" t="s">
        <v>218</v>
      </c>
      <c r="O857" s="241">
        <f>RESUMEN!$C$4</f>
        <v>44561</v>
      </c>
      <c r="P857" s="233">
        <v>2021</v>
      </c>
      <c r="Q857" s="233"/>
    </row>
    <row r="858" spans="1:17" ht="15.75" customHeight="1">
      <c r="A858" s="238" t="s">
        <v>51</v>
      </c>
      <c r="B858" s="238" t="s">
        <v>52</v>
      </c>
      <c r="C858" s="233" t="s">
        <v>78</v>
      </c>
      <c r="D858" s="233" t="s">
        <v>79</v>
      </c>
      <c r="E858" s="243" t="str">
        <f>+'CUOTA INDUSTRIAL'!C9</f>
        <v>ANTONIO CRUZ CORDOVA NAKOUZI E.I.R.L.</v>
      </c>
      <c r="F858" s="238" t="s">
        <v>54</v>
      </c>
      <c r="G858" s="238" t="s">
        <v>58</v>
      </c>
      <c r="H858" s="253">
        <f>'CUOTA INDUSTRIAL'!K9</f>
        <v>1222.2887000000001</v>
      </c>
      <c r="I858" s="253">
        <f>'CUOTA INDUSTRIAL'!L9</f>
        <v>100.157</v>
      </c>
      <c r="J858" s="253">
        <f>'CUOTA INDUSTRIAL'!M9</f>
        <v>1322.4457</v>
      </c>
      <c r="K858" s="253">
        <f>'CUOTA INDUSTRIAL'!N9</f>
        <v>1225.6080000000002</v>
      </c>
      <c r="L858" s="253">
        <f>'CUOTA INDUSTRIAL'!O9</f>
        <v>96.837699999999813</v>
      </c>
      <c r="M858" s="254">
        <f>'CUOTA INDUSTRIAL'!P9</f>
        <v>0.92677377982324738</v>
      </c>
      <c r="N858" s="245" t="s">
        <v>218</v>
      </c>
      <c r="O858" s="241">
        <f>RESUMEN!$C$4</f>
        <v>44561</v>
      </c>
      <c r="P858" s="233">
        <v>2021</v>
      </c>
      <c r="Q858" s="233"/>
    </row>
    <row r="859" spans="1:17" ht="15.75" customHeight="1">
      <c r="A859" s="238" t="s">
        <v>51</v>
      </c>
      <c r="B859" s="238" t="s">
        <v>52</v>
      </c>
      <c r="C859" s="233" t="s">
        <v>78</v>
      </c>
      <c r="D859" s="233" t="s">
        <v>79</v>
      </c>
      <c r="E859" s="233" t="str">
        <f>+'CUOTA INDUSTRIAL'!C11</f>
        <v xml:space="preserve">ASESORIAS FINANCIERAS Y COMUCACIONALES LTDA. </v>
      </c>
      <c r="F859" s="238" t="s">
        <v>54</v>
      </c>
      <c r="G859" s="238" t="s">
        <v>57</v>
      </c>
      <c r="H859" s="253">
        <f>'CUOTA INDUSTRIAL'!E11</f>
        <v>98.497500000000002</v>
      </c>
      <c r="I859" s="253">
        <f>'CUOTA INDUSTRIAL'!F11</f>
        <v>0</v>
      </c>
      <c r="J859" s="253">
        <f>'CUOTA INDUSTRIAL'!G11</f>
        <v>98.497500000000002</v>
      </c>
      <c r="K859" s="253">
        <f>'CUOTA INDUSTRIAL'!H11</f>
        <v>0</v>
      </c>
      <c r="L859" s="253">
        <f>'CUOTA INDUSTRIAL'!I11</f>
        <v>98.497500000000002</v>
      </c>
      <c r="M859" s="254">
        <f>'CUOTA INDUSTRIAL'!J11</f>
        <v>0</v>
      </c>
      <c r="N859" s="245" t="s">
        <v>218</v>
      </c>
      <c r="O859" s="241">
        <f>RESUMEN!$C$4</f>
        <v>44561</v>
      </c>
      <c r="P859" s="233">
        <v>2021</v>
      </c>
      <c r="Q859" s="233"/>
    </row>
    <row r="860" spans="1:17" ht="15.75" customHeight="1">
      <c r="A860" s="238" t="s">
        <v>51</v>
      </c>
      <c r="B860" s="238" t="s">
        <v>52</v>
      </c>
      <c r="C860" s="233" t="s">
        <v>78</v>
      </c>
      <c r="D860" s="233" t="s">
        <v>79</v>
      </c>
      <c r="E860" s="233" t="str">
        <f>+'CUOTA INDUSTRIAL'!C11</f>
        <v xml:space="preserve">ASESORIAS FINANCIERAS Y COMUCACIONALES LTDA. </v>
      </c>
      <c r="F860" s="243" t="s">
        <v>62</v>
      </c>
      <c r="G860" s="238" t="s">
        <v>58</v>
      </c>
      <c r="H860" s="253">
        <f>'CUOTA INDUSTRIAL'!E12</f>
        <v>32.832500000000003</v>
      </c>
      <c r="I860" s="253">
        <f>'CUOTA INDUSTRIAL'!F12</f>
        <v>-131.33000000000001</v>
      </c>
      <c r="J860" s="253">
        <f>'CUOTA INDUSTRIAL'!G12</f>
        <v>0</v>
      </c>
      <c r="K860" s="253">
        <f>'CUOTA INDUSTRIAL'!H12</f>
        <v>0</v>
      </c>
      <c r="L860" s="253">
        <f>'CUOTA INDUSTRIAL'!I12</f>
        <v>0</v>
      </c>
      <c r="M860" s="254">
        <f>'CUOTA INDUSTRIAL'!J12</f>
        <v>0</v>
      </c>
      <c r="N860" s="245" t="s">
        <v>218</v>
      </c>
      <c r="O860" s="241">
        <f>RESUMEN!$C$4</f>
        <v>44561</v>
      </c>
      <c r="P860" s="233">
        <v>2021</v>
      </c>
      <c r="Q860" s="233"/>
    </row>
    <row r="861" spans="1:17" ht="15.75" customHeight="1">
      <c r="A861" s="238" t="s">
        <v>51</v>
      </c>
      <c r="B861" s="238" t="s">
        <v>52</v>
      </c>
      <c r="C861" s="233" t="s">
        <v>78</v>
      </c>
      <c r="D861" s="233" t="s">
        <v>79</v>
      </c>
      <c r="E861" s="233" t="str">
        <f>+'CUOTA INDUSTRIAL'!C11</f>
        <v xml:space="preserve">ASESORIAS FINANCIERAS Y COMUCACIONALES LTDA. </v>
      </c>
      <c r="F861" s="238" t="s">
        <v>54</v>
      </c>
      <c r="G861" s="238" t="s">
        <v>58</v>
      </c>
      <c r="H861" s="253">
        <f>'CUOTA INDUSTRIAL'!K11</f>
        <v>131.33000000000001</v>
      </c>
      <c r="I861" s="253">
        <f>'CUOTA INDUSTRIAL'!L11</f>
        <v>-131.33000000000001</v>
      </c>
      <c r="J861" s="253">
        <f>'CUOTA INDUSTRIAL'!M11</f>
        <v>0</v>
      </c>
      <c r="K861" s="253">
        <f>'CUOTA INDUSTRIAL'!N11</f>
        <v>0</v>
      </c>
      <c r="L861" s="253">
        <f>'CUOTA INDUSTRIAL'!O11</f>
        <v>0</v>
      </c>
      <c r="M861" s="254">
        <f>'CUOTA INDUSTRIAL'!P11</f>
        <v>0</v>
      </c>
      <c r="N861" s="245" t="s">
        <v>218</v>
      </c>
      <c r="O861" s="241">
        <f>RESUMEN!$C$4</f>
        <v>44561</v>
      </c>
      <c r="P861" s="233">
        <v>2021</v>
      </c>
      <c r="Q861" s="233"/>
    </row>
    <row r="862" spans="1:17" ht="15.75" customHeight="1">
      <c r="A862" s="238" t="s">
        <v>51</v>
      </c>
      <c r="B862" s="238" t="s">
        <v>52</v>
      </c>
      <c r="C862" s="233" t="s">
        <v>78</v>
      </c>
      <c r="D862" s="233" t="s">
        <v>79</v>
      </c>
      <c r="E862" s="243" t="str">
        <f>'CUOTA INDUSTRIAL'!C13</f>
        <v xml:space="preserve">BRACPESCA S.A.              </v>
      </c>
      <c r="F862" s="238" t="s">
        <v>54</v>
      </c>
      <c r="G862" s="238" t="s">
        <v>57</v>
      </c>
      <c r="H862" s="253">
        <f>'CUOTA INDUSTRIAL'!E13</f>
        <v>74.332800000000006</v>
      </c>
      <c r="I862" s="253">
        <f>'CUOTA INDUSTRIAL'!F13</f>
        <v>0</v>
      </c>
      <c r="J862" s="253">
        <f>'CUOTA INDUSTRIAL'!G13</f>
        <v>74.332800000000006</v>
      </c>
      <c r="K862" s="253">
        <f>'CUOTA INDUSTRIAL'!H13</f>
        <v>21.581</v>
      </c>
      <c r="L862" s="253">
        <f>'CUOTA INDUSTRIAL'!I13</f>
        <v>52.751800000000003</v>
      </c>
      <c r="M862" s="253">
        <f>'CUOTA INDUSTRIAL'!J13</f>
        <v>0.29032943734125444</v>
      </c>
      <c r="N862" s="245" t="s">
        <v>218</v>
      </c>
      <c r="O862" s="241">
        <f>RESUMEN!$C$4</f>
        <v>44561</v>
      </c>
      <c r="P862" s="233">
        <v>2021</v>
      </c>
      <c r="Q862" s="233"/>
    </row>
    <row r="863" spans="1:17" ht="15.75" customHeight="1">
      <c r="A863" s="238" t="s">
        <v>51</v>
      </c>
      <c r="B863" s="238" t="s">
        <v>52</v>
      </c>
      <c r="C863" s="233" t="s">
        <v>78</v>
      </c>
      <c r="D863" s="233" t="s">
        <v>79</v>
      </c>
      <c r="E863" s="243" t="str">
        <f>'CUOTA INDUSTRIAL'!C13</f>
        <v xml:space="preserve">BRACPESCA S.A.              </v>
      </c>
      <c r="F863" s="243" t="s">
        <v>62</v>
      </c>
      <c r="G863" s="238" t="s">
        <v>58</v>
      </c>
      <c r="H863" s="253">
        <f>'CUOTA INDUSTRIAL'!E14</f>
        <v>24.7776</v>
      </c>
      <c r="I863" s="253">
        <f>'CUOTA INDUSTRIAL'!F14</f>
        <v>0</v>
      </c>
      <c r="J863" s="253">
        <f>'CUOTA INDUSTRIAL'!G14</f>
        <v>77.52940000000001</v>
      </c>
      <c r="K863" s="253">
        <f>'CUOTA INDUSTRIAL'!H14</f>
        <v>32.460999999999999</v>
      </c>
      <c r="L863" s="253">
        <f>'CUOTA INDUSTRIAL'!I14</f>
        <v>45.068400000000011</v>
      </c>
      <c r="M863" s="253">
        <f>'CUOTA INDUSTRIAL'!J14</f>
        <v>0.41869277977128672</v>
      </c>
      <c r="N863" s="245" t="s">
        <v>218</v>
      </c>
      <c r="O863" s="241">
        <f>RESUMEN!$C$4</f>
        <v>44561</v>
      </c>
      <c r="P863" s="233">
        <v>2021</v>
      </c>
      <c r="Q863" s="233"/>
    </row>
    <row r="864" spans="1:17" ht="15.75" customHeight="1">
      <c r="A864" s="238" t="s">
        <v>51</v>
      </c>
      <c r="B864" s="238" t="s">
        <v>52</v>
      </c>
      <c r="C864" s="233" t="s">
        <v>78</v>
      </c>
      <c r="D864" s="233" t="s">
        <v>79</v>
      </c>
      <c r="E864" s="243" t="str">
        <f>'CUOTA INDUSTRIAL'!C13</f>
        <v xml:space="preserve">BRACPESCA S.A.              </v>
      </c>
      <c r="F864" s="238" t="s">
        <v>54</v>
      </c>
      <c r="G864" s="238" t="s">
        <v>58</v>
      </c>
      <c r="H864" s="253">
        <f>'CUOTA INDUSTRIAL'!K13</f>
        <v>99.110399999999998</v>
      </c>
      <c r="I864" s="253">
        <f>'CUOTA INDUSTRIAL'!L13</f>
        <v>0</v>
      </c>
      <c r="J864" s="253">
        <f>'CUOTA INDUSTRIAL'!M13</f>
        <v>99.110399999999998</v>
      </c>
      <c r="K864" s="253">
        <f>'CUOTA INDUSTRIAL'!N13</f>
        <v>54.042000000000002</v>
      </c>
      <c r="L864" s="253">
        <f>'CUOTA INDUSTRIAL'!O13</f>
        <v>45.068399999999997</v>
      </c>
      <c r="M864" s="253">
        <f>'CUOTA INDUSTRIAL'!P13</f>
        <v>0.54527072839984503</v>
      </c>
      <c r="N864" s="245" t="s">
        <v>218</v>
      </c>
      <c r="O864" s="241">
        <f>RESUMEN!$C$4</f>
        <v>44561</v>
      </c>
      <c r="P864" s="233">
        <v>2021</v>
      </c>
      <c r="Q864" s="233"/>
    </row>
    <row r="865" spans="1:17" ht="15.75" customHeight="1">
      <c r="A865" s="238" t="s">
        <v>51</v>
      </c>
      <c r="B865" s="238" t="s">
        <v>52</v>
      </c>
      <c r="C865" s="233" t="s">
        <v>78</v>
      </c>
      <c r="D865" s="233" t="s">
        <v>79</v>
      </c>
      <c r="E865" s="243" t="str">
        <f>'CUOTA INDUSTRIAL'!C15</f>
        <v xml:space="preserve">CAMANCHACA PESCA SUR S.A. </v>
      </c>
      <c r="F865" s="238" t="s">
        <v>54</v>
      </c>
      <c r="G865" s="238" t="s">
        <v>57</v>
      </c>
      <c r="H865" s="253">
        <f>'CUOTA INDUSTRIAL'!E15</f>
        <v>352.17340000000002</v>
      </c>
      <c r="I865" s="253">
        <f>'CUOTA INDUSTRIAL'!F15</f>
        <v>-3.5458000000000003</v>
      </c>
      <c r="J865" s="253">
        <f>'CUOTA INDUSTRIAL'!G15</f>
        <v>348.62760000000003</v>
      </c>
      <c r="K865" s="253">
        <f>'CUOTA INDUSTRIAL'!H15</f>
        <v>3.0459999999999998</v>
      </c>
      <c r="L865" s="253">
        <f>'CUOTA INDUSTRIAL'!I15</f>
        <v>345.58160000000004</v>
      </c>
      <c r="M865" s="253">
        <f>'CUOTA INDUSTRIAL'!J15</f>
        <v>8.737116625304478E-3</v>
      </c>
      <c r="N865" s="245" t="s">
        <v>218</v>
      </c>
      <c r="O865" s="241">
        <f>RESUMEN!$C$4</f>
        <v>44561</v>
      </c>
      <c r="P865" s="233">
        <v>2021</v>
      </c>
      <c r="Q865" s="233"/>
    </row>
    <row r="866" spans="1:17" ht="15.75" customHeight="1">
      <c r="A866" s="238" t="s">
        <v>51</v>
      </c>
      <c r="B866" s="238" t="s">
        <v>52</v>
      </c>
      <c r="C866" s="233" t="s">
        <v>78</v>
      </c>
      <c r="D866" s="233" t="s">
        <v>79</v>
      </c>
      <c r="E866" s="243" t="str">
        <f>'CUOTA INDUSTRIAL'!C15</f>
        <v xml:space="preserve">CAMANCHACA PESCA SUR S.A. </v>
      </c>
      <c r="F866" s="243" t="s">
        <v>62</v>
      </c>
      <c r="G866" s="238" t="s">
        <v>58</v>
      </c>
      <c r="H866" s="253">
        <f>'CUOTA INDUSTRIAL'!E16</f>
        <v>117.3912</v>
      </c>
      <c r="I866" s="253">
        <f>'CUOTA INDUSTRIAL'!F16</f>
        <v>0</v>
      </c>
      <c r="J866" s="253">
        <f>'CUOTA INDUSTRIAL'!G16</f>
        <v>462.97280000000001</v>
      </c>
      <c r="K866" s="253">
        <f>'CUOTA INDUSTRIAL'!H16</f>
        <v>6.2229999999999999</v>
      </c>
      <c r="L866" s="253">
        <f>'CUOTA INDUSTRIAL'!I16</f>
        <v>456.74979999999999</v>
      </c>
      <c r="M866" s="253">
        <f>'CUOTA INDUSTRIAL'!J16</f>
        <v>1.3441394397251847E-2</v>
      </c>
      <c r="N866" s="245" t="s">
        <v>218</v>
      </c>
      <c r="O866" s="241">
        <f>RESUMEN!$C$4</f>
        <v>44561</v>
      </c>
      <c r="P866" s="233">
        <v>2021</v>
      </c>
      <c r="Q866" s="233"/>
    </row>
    <row r="867" spans="1:17" ht="15.75" customHeight="1">
      <c r="A867" s="238" t="s">
        <v>51</v>
      </c>
      <c r="B867" s="238" t="s">
        <v>52</v>
      </c>
      <c r="C867" s="233" t="s">
        <v>78</v>
      </c>
      <c r="D867" s="233" t="s">
        <v>79</v>
      </c>
      <c r="E867" s="243" t="str">
        <f>'CUOTA INDUSTRIAL'!C15</f>
        <v xml:space="preserve">CAMANCHACA PESCA SUR S.A. </v>
      </c>
      <c r="F867" s="238" t="s">
        <v>54</v>
      </c>
      <c r="G867" s="238" t="s">
        <v>58</v>
      </c>
      <c r="H867" s="253">
        <f>'CUOTA INDUSTRIAL'!K15</f>
        <v>469.56460000000004</v>
      </c>
      <c r="I867" s="253">
        <f>'CUOTA INDUSTRIAL'!L15</f>
        <v>-3.5458000000000003</v>
      </c>
      <c r="J867" s="253">
        <f>'CUOTA INDUSTRIAL'!M15</f>
        <v>466.01880000000006</v>
      </c>
      <c r="K867" s="253">
        <f>'CUOTA INDUSTRIAL'!N15</f>
        <v>9.2690000000000001</v>
      </c>
      <c r="L867" s="253">
        <f>'CUOTA INDUSTRIAL'!O15</f>
        <v>456.74980000000005</v>
      </c>
      <c r="M867" s="253">
        <f>'CUOTA INDUSTRIAL'!P15</f>
        <v>1.9889755520592731E-2</v>
      </c>
      <c r="N867" s="245" t="s">
        <v>218</v>
      </c>
      <c r="O867" s="241">
        <f>RESUMEN!$C$4</f>
        <v>44561</v>
      </c>
      <c r="P867" s="233">
        <v>2021</v>
      </c>
      <c r="Q867" s="233"/>
    </row>
    <row r="868" spans="1:17" ht="15.75" customHeight="1">
      <c r="A868" s="238" t="s">
        <v>51</v>
      </c>
      <c r="B868" s="238" t="s">
        <v>52</v>
      </c>
      <c r="C868" s="233" t="s">
        <v>78</v>
      </c>
      <c r="D868" s="233" t="s">
        <v>79</v>
      </c>
      <c r="E868" s="243" t="str">
        <f>'CUOTA INDUSTRIAL'!C17</f>
        <v>DA VENEZIA RETAMALES ANTONIO</v>
      </c>
      <c r="F868" s="238" t="s">
        <v>54</v>
      </c>
      <c r="G868" s="238" t="s">
        <v>57</v>
      </c>
      <c r="H868" s="253">
        <f>'CUOTA INDUSTRIAL'!E17</f>
        <v>118.00790000000001</v>
      </c>
      <c r="I868" s="253">
        <f>'CUOTA INDUSTRIAL'!F17</f>
        <v>0</v>
      </c>
      <c r="J868" s="253">
        <f>'CUOTA INDUSTRIAL'!G17</f>
        <v>118.00790000000001</v>
      </c>
      <c r="K868" s="253">
        <f>'CUOTA INDUSTRIAL'!H17</f>
        <v>58.283000000000001</v>
      </c>
      <c r="L868" s="253">
        <f>'CUOTA INDUSTRIAL'!I17</f>
        <v>59.724900000000005</v>
      </c>
      <c r="M868" s="253">
        <f>'CUOTA INDUSTRIAL'!J17</f>
        <v>0.49389066325220599</v>
      </c>
      <c r="N868" s="245" t="s">
        <v>218</v>
      </c>
      <c r="O868" s="241">
        <f>RESUMEN!$C$4</f>
        <v>44561</v>
      </c>
      <c r="P868" s="233">
        <v>2021</v>
      </c>
      <c r="Q868" s="233"/>
    </row>
    <row r="869" spans="1:17" ht="15.75" customHeight="1">
      <c r="A869" s="238" t="s">
        <v>51</v>
      </c>
      <c r="B869" s="238" t="s">
        <v>52</v>
      </c>
      <c r="C869" s="233" t="s">
        <v>78</v>
      </c>
      <c r="D869" s="233" t="s">
        <v>79</v>
      </c>
      <c r="E869" s="243" t="str">
        <f>'CUOTA INDUSTRIAL'!C17</f>
        <v>DA VENEZIA RETAMALES ANTONIO</v>
      </c>
      <c r="F869" s="243" t="s">
        <v>62</v>
      </c>
      <c r="G869" s="238" t="s">
        <v>58</v>
      </c>
      <c r="H869" s="253">
        <f>'CUOTA INDUSTRIAL'!E18</f>
        <v>39.335999999999999</v>
      </c>
      <c r="I869" s="253">
        <f>'CUOTA INDUSTRIAL'!F18</f>
        <v>0</v>
      </c>
      <c r="J869" s="253">
        <f>'CUOTA INDUSTRIAL'!G18</f>
        <v>99.060900000000004</v>
      </c>
      <c r="K869" s="253">
        <f>'CUOTA INDUSTRIAL'!H18</f>
        <v>40.350999999999999</v>
      </c>
      <c r="L869" s="253">
        <f>'CUOTA INDUSTRIAL'!I18</f>
        <v>58.709900000000005</v>
      </c>
      <c r="M869" s="253">
        <f>'CUOTA INDUSTRIAL'!J18</f>
        <v>0.40733528566770538</v>
      </c>
      <c r="N869" s="245" t="s">
        <v>218</v>
      </c>
      <c r="O869" s="241">
        <f>RESUMEN!$C$4</f>
        <v>44561</v>
      </c>
      <c r="P869" s="233">
        <v>2021</v>
      </c>
      <c r="Q869" s="233"/>
    </row>
    <row r="870" spans="1:17" ht="15.75" customHeight="1">
      <c r="A870" s="238" t="s">
        <v>51</v>
      </c>
      <c r="B870" s="238" t="s">
        <v>52</v>
      </c>
      <c r="C870" s="233" t="s">
        <v>78</v>
      </c>
      <c r="D870" s="233" t="s">
        <v>79</v>
      </c>
      <c r="E870" s="243" t="str">
        <f>'CUOTA INDUSTRIAL'!C17</f>
        <v>DA VENEZIA RETAMALES ANTONIO</v>
      </c>
      <c r="F870" s="238" t="s">
        <v>54</v>
      </c>
      <c r="G870" s="238" t="s">
        <v>58</v>
      </c>
      <c r="H870" s="253">
        <f>'CUOTA INDUSTRIAL'!K17</f>
        <v>157.34390000000002</v>
      </c>
      <c r="I870" s="253">
        <f>'CUOTA INDUSTRIAL'!L17</f>
        <v>0</v>
      </c>
      <c r="J870" s="253">
        <f>'CUOTA INDUSTRIAL'!M17</f>
        <v>157.34390000000002</v>
      </c>
      <c r="K870" s="253">
        <f>'CUOTA INDUSTRIAL'!N17</f>
        <v>98.634</v>
      </c>
      <c r="L870" s="253">
        <f>'CUOTA INDUSTRIAL'!O17</f>
        <v>58.709900000000019</v>
      </c>
      <c r="M870" s="253">
        <f>'CUOTA INDUSTRIAL'!P17</f>
        <v>0.62686891579527382</v>
      </c>
      <c r="N870" s="245" t="s">
        <v>218</v>
      </c>
      <c r="O870" s="241">
        <f>RESUMEN!$C$4</f>
        <v>44561</v>
      </c>
      <c r="P870" s="233">
        <v>2021</v>
      </c>
      <c r="Q870" s="233"/>
    </row>
    <row r="871" spans="1:17" ht="15.75" customHeight="1">
      <c r="A871" s="238" t="s">
        <v>51</v>
      </c>
      <c r="B871" s="238" t="s">
        <v>52</v>
      </c>
      <c r="C871" s="233" t="s">
        <v>78</v>
      </c>
      <c r="D871" s="233" t="s">
        <v>79</v>
      </c>
      <c r="E871" s="243" t="str">
        <f>'CUOTA INDUSTRIAL'!C19</f>
        <v>PESCA CHILE S.A.</v>
      </c>
      <c r="F871" s="238" t="s">
        <v>54</v>
      </c>
      <c r="G871" s="238" t="s">
        <v>57</v>
      </c>
      <c r="H871" s="253">
        <f>'CUOTA INDUSTRIAL'!E19</f>
        <v>8.0555000000000003</v>
      </c>
      <c r="I871" s="253">
        <f>'CUOTA INDUSTRIAL'!F19</f>
        <v>0</v>
      </c>
      <c r="J871" s="253">
        <f>'CUOTA INDUSTRIAL'!G19</f>
        <v>8.0555000000000003</v>
      </c>
      <c r="K871" s="253">
        <f>'CUOTA INDUSTRIAL'!H19</f>
        <v>0</v>
      </c>
      <c r="L871" s="253">
        <f>'CUOTA INDUSTRIAL'!I19</f>
        <v>8.0555000000000003</v>
      </c>
      <c r="M871" s="253">
        <f>'CUOTA INDUSTRIAL'!J19</f>
        <v>0</v>
      </c>
      <c r="N871" s="245" t="s">
        <v>218</v>
      </c>
      <c r="O871" s="241">
        <f>RESUMEN!$C$4</f>
        <v>44561</v>
      </c>
      <c r="P871" s="233">
        <v>2021</v>
      </c>
      <c r="Q871" s="233"/>
    </row>
    <row r="872" spans="1:17" ht="15.75" customHeight="1">
      <c r="A872" s="238" t="s">
        <v>51</v>
      </c>
      <c r="B872" s="238" t="s">
        <v>52</v>
      </c>
      <c r="C872" s="233" t="s">
        <v>78</v>
      </c>
      <c r="D872" s="233" t="s">
        <v>79</v>
      </c>
      <c r="E872" s="243" t="str">
        <f>'CUOTA INDUSTRIAL'!C19</f>
        <v>PESCA CHILE S.A.</v>
      </c>
      <c r="F872" s="243" t="s">
        <v>62</v>
      </c>
      <c r="G872" s="238" t="s">
        <v>58</v>
      </c>
      <c r="H872" s="253">
        <f>'CUOTA INDUSTRIAL'!E20</f>
        <v>2.6852</v>
      </c>
      <c r="I872" s="253">
        <f>'CUOTA INDUSTRIAL'!F20</f>
        <v>0</v>
      </c>
      <c r="J872" s="253">
        <f>'CUOTA INDUSTRIAL'!G20</f>
        <v>10.7407</v>
      </c>
      <c r="K872" s="253">
        <f>'CUOTA INDUSTRIAL'!H20</f>
        <v>0</v>
      </c>
      <c r="L872" s="253">
        <f>'CUOTA INDUSTRIAL'!I20</f>
        <v>10.7407</v>
      </c>
      <c r="M872" s="253">
        <f>'CUOTA INDUSTRIAL'!J20</f>
        <v>0</v>
      </c>
      <c r="N872" s="245" t="s">
        <v>218</v>
      </c>
      <c r="O872" s="241">
        <f>RESUMEN!$C$4</f>
        <v>44561</v>
      </c>
      <c r="P872" s="233">
        <v>2021</v>
      </c>
      <c r="Q872" s="233"/>
    </row>
    <row r="873" spans="1:17" ht="15.75" customHeight="1">
      <c r="A873" s="238" t="s">
        <v>51</v>
      </c>
      <c r="B873" s="238" t="s">
        <v>52</v>
      </c>
      <c r="C873" s="233" t="s">
        <v>78</v>
      </c>
      <c r="D873" s="233" t="s">
        <v>79</v>
      </c>
      <c r="E873" s="243" t="str">
        <f>'CUOTA INDUSTRIAL'!C19</f>
        <v>PESCA CHILE S.A.</v>
      </c>
      <c r="F873" s="238" t="s">
        <v>54</v>
      </c>
      <c r="G873" s="238" t="s">
        <v>58</v>
      </c>
      <c r="H873" s="253">
        <f>'CUOTA INDUSTRIAL'!K19</f>
        <v>10.7407</v>
      </c>
      <c r="I873" s="253">
        <f>'CUOTA INDUSTRIAL'!L19</f>
        <v>0</v>
      </c>
      <c r="J873" s="253">
        <f>'CUOTA INDUSTRIAL'!M19</f>
        <v>10.7407</v>
      </c>
      <c r="K873" s="253">
        <f>'CUOTA INDUSTRIAL'!N19</f>
        <v>0</v>
      </c>
      <c r="L873" s="253">
        <f>'CUOTA INDUSTRIAL'!O19</f>
        <v>10.7407</v>
      </c>
      <c r="M873" s="253">
        <f>'CUOTA INDUSTRIAL'!P19</f>
        <v>0</v>
      </c>
      <c r="N873" s="245" t="s">
        <v>218</v>
      </c>
      <c r="O873" s="241">
        <f>RESUMEN!$C$4</f>
        <v>44561</v>
      </c>
      <c r="P873" s="233">
        <v>2021</v>
      </c>
      <c r="Q873" s="233"/>
    </row>
    <row r="874" spans="1:17" ht="15.75" customHeight="1">
      <c r="A874" s="238" t="s">
        <v>51</v>
      </c>
      <c r="B874" s="238" t="s">
        <v>52</v>
      </c>
      <c r="C874" s="233" t="s">
        <v>78</v>
      </c>
      <c r="D874" s="233" t="s">
        <v>79</v>
      </c>
      <c r="E874" s="243" t="str">
        <f>'CUOTA INDUSTRIAL'!C21</f>
        <v>ENFEMAR LTDA.</v>
      </c>
      <c r="F874" s="238" t="s">
        <v>54</v>
      </c>
      <c r="G874" s="238" t="s">
        <v>57</v>
      </c>
      <c r="H874" s="253">
        <f>'CUOTA INDUSTRIAL'!E21</f>
        <v>785.28390000000002</v>
      </c>
      <c r="I874" s="253">
        <f>'CUOTA INDUSTRIAL'!F21</f>
        <v>-448.72500000000002</v>
      </c>
      <c r="J874" s="253">
        <f>'CUOTA INDUSTRIAL'!G21</f>
        <v>336.55889999999999</v>
      </c>
      <c r="K874" s="253">
        <f>'CUOTA INDUSTRIAL'!H21</f>
        <v>906.48199999999997</v>
      </c>
      <c r="L874" s="253">
        <f>'CUOTA INDUSTRIAL'!I21</f>
        <v>-569.92309999999998</v>
      </c>
      <c r="M874" s="253">
        <f>'CUOTA INDUSTRIAL'!J21</f>
        <v>2.6933829412919996</v>
      </c>
      <c r="N874" s="245" t="s">
        <v>218</v>
      </c>
      <c r="O874" s="241">
        <f>RESUMEN!$C$4</f>
        <v>44561</v>
      </c>
      <c r="P874" s="233">
        <v>2021</v>
      </c>
      <c r="Q874" s="233"/>
    </row>
    <row r="875" spans="1:17" ht="15.75" customHeight="1">
      <c r="A875" s="238" t="s">
        <v>51</v>
      </c>
      <c r="B875" s="238" t="s">
        <v>52</v>
      </c>
      <c r="C875" s="233" t="s">
        <v>78</v>
      </c>
      <c r="D875" s="233" t="s">
        <v>79</v>
      </c>
      <c r="E875" s="243" t="str">
        <f>'CUOTA INDUSTRIAL'!C21</f>
        <v>ENFEMAR LTDA.</v>
      </c>
      <c r="F875" s="243" t="s">
        <v>62</v>
      </c>
      <c r="G875" s="238" t="s">
        <v>58</v>
      </c>
      <c r="H875" s="253">
        <f>'CUOTA INDUSTRIAL'!E22</f>
        <v>261.76130000000001</v>
      </c>
      <c r="I875" s="253">
        <f>'CUOTA INDUSTRIAL'!F22</f>
        <v>649.85380000000009</v>
      </c>
      <c r="J875" s="253">
        <f>'CUOTA INDUSTRIAL'!G22</f>
        <v>341.69200000000012</v>
      </c>
      <c r="K875" s="253">
        <f>'CUOTA INDUSTRIAL'!H22</f>
        <v>299.07499999999999</v>
      </c>
      <c r="L875" s="253">
        <f>'CUOTA INDUSTRIAL'!I22</f>
        <v>42.617000000000132</v>
      </c>
      <c r="M875" s="253">
        <f>'CUOTA INDUSTRIAL'!J22</f>
        <v>0.87527656485958083</v>
      </c>
      <c r="N875" s="245" t="s">
        <v>218</v>
      </c>
      <c r="O875" s="241">
        <f>RESUMEN!$C$4</f>
        <v>44561</v>
      </c>
      <c r="P875" s="233">
        <v>2021</v>
      </c>
      <c r="Q875" s="233"/>
    </row>
    <row r="876" spans="1:17" ht="15.75" customHeight="1">
      <c r="A876" s="238" t="s">
        <v>51</v>
      </c>
      <c r="B876" s="238" t="s">
        <v>52</v>
      </c>
      <c r="C876" s="233" t="s">
        <v>78</v>
      </c>
      <c r="D876" s="233" t="s">
        <v>79</v>
      </c>
      <c r="E876" s="243" t="str">
        <f>'CUOTA INDUSTRIAL'!C21</f>
        <v>ENFEMAR LTDA.</v>
      </c>
      <c r="F876" s="238" t="s">
        <v>54</v>
      </c>
      <c r="G876" s="238" t="s">
        <v>58</v>
      </c>
      <c r="H876" s="253">
        <f>'CUOTA INDUSTRIAL'!K21</f>
        <v>1047.0452</v>
      </c>
      <c r="I876" s="253">
        <f>'CUOTA INDUSTRIAL'!L21</f>
        <v>201.12880000000007</v>
      </c>
      <c r="J876" s="253">
        <f>'CUOTA INDUSTRIAL'!M21</f>
        <v>1248.174</v>
      </c>
      <c r="K876" s="253">
        <f>'CUOTA INDUSTRIAL'!N21</f>
        <v>1205.557</v>
      </c>
      <c r="L876" s="253">
        <f>'CUOTA INDUSTRIAL'!O21</f>
        <v>42.616999999999962</v>
      </c>
      <c r="M876" s="253">
        <f>'CUOTA INDUSTRIAL'!P21</f>
        <v>0.96585652320910387</v>
      </c>
      <c r="N876" s="245" t="s">
        <v>218</v>
      </c>
      <c r="O876" s="241">
        <f>RESUMEN!$C$4</f>
        <v>44561</v>
      </c>
      <c r="P876" s="233">
        <v>2021</v>
      </c>
      <c r="Q876" s="233"/>
    </row>
    <row r="877" spans="1:17" ht="15.75" customHeight="1">
      <c r="A877" s="238" t="s">
        <v>51</v>
      </c>
      <c r="B877" s="238" t="s">
        <v>52</v>
      </c>
      <c r="C877" s="233" t="s">
        <v>78</v>
      </c>
      <c r="D877" s="233" t="s">
        <v>79</v>
      </c>
      <c r="E877" s="243" t="str">
        <f>'CUOTA INDUSTRIAL'!C23</f>
        <v>GENMAR LTDA.</v>
      </c>
      <c r="F877" s="238" t="s">
        <v>54</v>
      </c>
      <c r="G877" s="238" t="s">
        <v>57</v>
      </c>
      <c r="H877" s="253">
        <f>'CUOTA INDUSTRIAL'!E23</f>
        <v>244.05119999999999</v>
      </c>
      <c r="I877" s="253">
        <f>'CUOTA INDUSTRIAL'!F23</f>
        <v>0</v>
      </c>
      <c r="J877" s="253">
        <f>'CUOTA INDUSTRIAL'!G23</f>
        <v>244.05119999999999</v>
      </c>
      <c r="K877" s="253">
        <f>'CUOTA INDUSTRIAL'!H23</f>
        <v>0</v>
      </c>
      <c r="L877" s="253">
        <f>'CUOTA INDUSTRIAL'!I23</f>
        <v>244.05119999999999</v>
      </c>
      <c r="M877" s="253">
        <f>'CUOTA INDUSTRIAL'!J23</f>
        <v>0</v>
      </c>
      <c r="N877" s="245" t="s">
        <v>218</v>
      </c>
      <c r="O877" s="241">
        <f>RESUMEN!$C$4</f>
        <v>44561</v>
      </c>
      <c r="P877" s="233">
        <v>2021</v>
      </c>
      <c r="Q877" s="233"/>
    </row>
    <row r="878" spans="1:17" ht="15.75" customHeight="1">
      <c r="A878" s="238" t="s">
        <v>51</v>
      </c>
      <c r="B878" s="238" t="s">
        <v>52</v>
      </c>
      <c r="C878" s="233" t="s">
        <v>78</v>
      </c>
      <c r="D878" s="233" t="s">
        <v>79</v>
      </c>
      <c r="E878" s="243" t="str">
        <f>'CUOTA INDUSTRIAL'!C23</f>
        <v>GENMAR LTDA.</v>
      </c>
      <c r="F878" s="243" t="s">
        <v>62</v>
      </c>
      <c r="G878" s="238" t="s">
        <v>58</v>
      </c>
      <c r="H878" s="253">
        <f>'CUOTA INDUSTRIAL'!E24</f>
        <v>81.350399999999993</v>
      </c>
      <c r="I878" s="253">
        <f>'CUOTA INDUSTRIAL'!F24</f>
        <v>0</v>
      </c>
      <c r="J878" s="253">
        <f>'CUOTA INDUSTRIAL'!G24</f>
        <v>325.40159999999997</v>
      </c>
      <c r="K878" s="253">
        <f>'CUOTA INDUSTRIAL'!H24</f>
        <v>0</v>
      </c>
      <c r="L878" s="253">
        <f>'CUOTA INDUSTRIAL'!I24</f>
        <v>325.40159999999997</v>
      </c>
      <c r="M878" s="253">
        <f>'CUOTA INDUSTRIAL'!J24</f>
        <v>0</v>
      </c>
      <c r="N878" s="245" t="s">
        <v>218</v>
      </c>
      <c r="O878" s="241">
        <f>RESUMEN!$C$4</f>
        <v>44561</v>
      </c>
      <c r="P878" s="233">
        <v>2021</v>
      </c>
      <c r="Q878" s="233"/>
    </row>
    <row r="879" spans="1:17" ht="15.75" customHeight="1">
      <c r="A879" s="238" t="s">
        <v>51</v>
      </c>
      <c r="B879" s="238" t="s">
        <v>52</v>
      </c>
      <c r="C879" s="233" t="s">
        <v>78</v>
      </c>
      <c r="D879" s="233" t="s">
        <v>79</v>
      </c>
      <c r="E879" s="243" t="str">
        <f>'CUOTA INDUSTRIAL'!C23</f>
        <v>GENMAR LTDA.</v>
      </c>
      <c r="F879" s="238" t="s">
        <v>54</v>
      </c>
      <c r="G879" s="238" t="s">
        <v>58</v>
      </c>
      <c r="H879" s="253">
        <f>'CUOTA INDUSTRIAL'!K23</f>
        <v>325.40159999999997</v>
      </c>
      <c r="I879" s="253">
        <f>'CUOTA INDUSTRIAL'!L23</f>
        <v>0</v>
      </c>
      <c r="J879" s="253">
        <f>'CUOTA INDUSTRIAL'!M23</f>
        <v>325.40159999999997</v>
      </c>
      <c r="K879" s="253">
        <f>'CUOTA INDUSTRIAL'!N23</f>
        <v>0</v>
      </c>
      <c r="L879" s="253">
        <f>'CUOTA INDUSTRIAL'!O23</f>
        <v>325.40159999999997</v>
      </c>
      <c r="M879" s="253">
        <f>'CUOTA INDUSTRIAL'!P23</f>
        <v>0</v>
      </c>
      <c r="N879" s="245" t="s">
        <v>218</v>
      </c>
      <c r="O879" s="241">
        <f>RESUMEN!$C$4</f>
        <v>44561</v>
      </c>
      <c r="P879" s="233">
        <v>2021</v>
      </c>
      <c r="Q879" s="233"/>
    </row>
    <row r="880" spans="1:17" ht="15.75" customHeight="1">
      <c r="A880" s="238" t="s">
        <v>51</v>
      </c>
      <c r="B880" s="238" t="s">
        <v>52</v>
      </c>
      <c r="C880" s="233" t="s">
        <v>78</v>
      </c>
      <c r="D880" s="233" t="s">
        <v>79</v>
      </c>
      <c r="E880" s="243" t="str">
        <f>'CUOTA INDUSTRIAL'!C25</f>
        <v>GONZALO ZUÑIGA ROMERO</v>
      </c>
      <c r="F880" s="238" t="s">
        <v>54</v>
      </c>
      <c r="G880" s="238" t="s">
        <v>57</v>
      </c>
      <c r="H880" s="253">
        <f>'CUOTA INDUSTRIAL'!E25</f>
        <v>0.29759999999999998</v>
      </c>
      <c r="I880" s="253">
        <f>'CUOTA INDUSTRIAL'!F25</f>
        <v>0</v>
      </c>
      <c r="J880" s="253">
        <f>'CUOTA INDUSTRIAL'!G25</f>
        <v>0.29759999999999998</v>
      </c>
      <c r="K880" s="253">
        <f>'CUOTA INDUSTRIAL'!H25</f>
        <v>2.5000000000000001E-2</v>
      </c>
      <c r="L880" s="253">
        <f>'CUOTA INDUSTRIAL'!I25</f>
        <v>0.27259999999999995</v>
      </c>
      <c r="M880" s="253">
        <f>'CUOTA INDUSTRIAL'!J25</f>
        <v>8.400537634408603E-2</v>
      </c>
      <c r="N880" s="245" t="s">
        <v>218</v>
      </c>
      <c r="O880" s="241">
        <f>RESUMEN!$C$4</f>
        <v>44561</v>
      </c>
      <c r="P880" s="233">
        <v>2021</v>
      </c>
      <c r="Q880" s="233"/>
    </row>
    <row r="881" spans="1:17" ht="15.75" customHeight="1">
      <c r="A881" s="238" t="s">
        <v>51</v>
      </c>
      <c r="B881" s="238" t="s">
        <v>52</v>
      </c>
      <c r="C881" s="233" t="s">
        <v>78</v>
      </c>
      <c r="D881" s="233" t="s">
        <v>79</v>
      </c>
      <c r="E881" s="243" t="str">
        <f>'CUOTA INDUSTRIAL'!C25</f>
        <v>GONZALO ZUÑIGA ROMERO</v>
      </c>
      <c r="F881" s="243" t="s">
        <v>62</v>
      </c>
      <c r="G881" s="238" t="s">
        <v>58</v>
      </c>
      <c r="H881" s="253">
        <f>'CUOTA INDUSTRIAL'!E26</f>
        <v>9.9199999999999997E-2</v>
      </c>
      <c r="I881" s="253">
        <f>'CUOTA INDUSTRIAL'!F26</f>
        <v>0</v>
      </c>
      <c r="J881" s="253">
        <f>'CUOTA INDUSTRIAL'!G26</f>
        <v>0.37179999999999996</v>
      </c>
      <c r="K881" s="253">
        <f>'CUOTA INDUSTRIAL'!H26</f>
        <v>0</v>
      </c>
      <c r="L881" s="253">
        <f>'CUOTA INDUSTRIAL'!I26</f>
        <v>0.37179999999999996</v>
      </c>
      <c r="M881" s="253">
        <f>'CUOTA INDUSTRIAL'!J26</f>
        <v>0</v>
      </c>
      <c r="N881" s="245" t="s">
        <v>218</v>
      </c>
      <c r="O881" s="241">
        <f>RESUMEN!$C$4</f>
        <v>44561</v>
      </c>
      <c r="P881" s="233">
        <v>2021</v>
      </c>
      <c r="Q881" s="233"/>
    </row>
    <row r="882" spans="1:17" ht="15.75" customHeight="1">
      <c r="A882" s="238" t="s">
        <v>51</v>
      </c>
      <c r="B882" s="238" t="s">
        <v>52</v>
      </c>
      <c r="C882" s="233" t="s">
        <v>78</v>
      </c>
      <c r="D882" s="233" t="s">
        <v>79</v>
      </c>
      <c r="E882" s="243" t="str">
        <f>'CUOTA INDUSTRIAL'!C25</f>
        <v>GONZALO ZUÑIGA ROMERO</v>
      </c>
      <c r="F882" s="238" t="s">
        <v>54</v>
      </c>
      <c r="G882" s="238" t="s">
        <v>58</v>
      </c>
      <c r="H882" s="253">
        <f>'CUOTA INDUSTRIAL'!K25</f>
        <v>0.39679999999999999</v>
      </c>
      <c r="I882" s="253">
        <f>'CUOTA INDUSTRIAL'!L25</f>
        <v>0</v>
      </c>
      <c r="J882" s="253">
        <f>'CUOTA INDUSTRIAL'!M25</f>
        <v>0.39679999999999999</v>
      </c>
      <c r="K882" s="253">
        <f>'CUOTA INDUSTRIAL'!N25</f>
        <v>2.5000000000000001E-2</v>
      </c>
      <c r="L882" s="253">
        <f>'CUOTA INDUSTRIAL'!O25</f>
        <v>0.37179999999999996</v>
      </c>
      <c r="M882" s="253">
        <f>'CUOTA INDUSTRIAL'!P25</f>
        <v>6.3004032258064516E-2</v>
      </c>
      <c r="N882" s="245" t="s">
        <v>218</v>
      </c>
      <c r="O882" s="241">
        <f>RESUMEN!$C$4</f>
        <v>44561</v>
      </c>
      <c r="P882" s="233">
        <v>2021</v>
      </c>
      <c r="Q882" s="233"/>
    </row>
    <row r="883" spans="1:17" ht="15.75" customHeight="1">
      <c r="A883" s="238" t="s">
        <v>51</v>
      </c>
      <c r="B883" s="238" t="s">
        <v>52</v>
      </c>
      <c r="C883" s="233" t="s">
        <v>78</v>
      </c>
      <c r="D883" s="233" t="s">
        <v>79</v>
      </c>
      <c r="E883" s="243" t="str">
        <f>'CUOTA INDUSTRIAL'!C27</f>
        <v>GONZALEZ SILVA MARCELINO</v>
      </c>
      <c r="F883" s="238" t="s">
        <v>54</v>
      </c>
      <c r="G883" s="238" t="s">
        <v>57</v>
      </c>
      <c r="H883" s="253">
        <f>'CUOTA INDUSTRIAL'!E27</f>
        <v>525.83150000000001</v>
      </c>
      <c r="I883" s="253">
        <f>'CUOTA INDUSTRIAL'!F27</f>
        <v>-701.10900000000004</v>
      </c>
      <c r="J883" s="253">
        <f>'CUOTA INDUSTRIAL'!G27</f>
        <v>-175.27750000000003</v>
      </c>
      <c r="K883" s="253">
        <f>'CUOTA INDUSTRIAL'!H27</f>
        <v>0</v>
      </c>
      <c r="L883" s="253">
        <f>'CUOTA INDUSTRIAL'!I27</f>
        <v>-175.27750000000003</v>
      </c>
      <c r="M883" s="253">
        <f>'CUOTA INDUSTRIAL'!J27</f>
        <v>0</v>
      </c>
      <c r="N883" s="245" t="s">
        <v>218</v>
      </c>
      <c r="O883" s="241">
        <f>RESUMEN!$C$4</f>
        <v>44561</v>
      </c>
      <c r="P883" s="233">
        <v>2021</v>
      </c>
      <c r="Q883" s="233"/>
    </row>
    <row r="884" spans="1:17" ht="15.75" customHeight="1">
      <c r="A884" s="238" t="s">
        <v>51</v>
      </c>
      <c r="B884" s="238" t="s">
        <v>52</v>
      </c>
      <c r="C884" s="233" t="s">
        <v>78</v>
      </c>
      <c r="D884" s="233" t="s">
        <v>79</v>
      </c>
      <c r="E884" s="243" t="str">
        <f>'CUOTA INDUSTRIAL'!C27</f>
        <v>GONZALEZ SILVA MARCELINO</v>
      </c>
      <c r="F884" s="243" t="s">
        <v>62</v>
      </c>
      <c r="G884" s="238" t="s">
        <v>58</v>
      </c>
      <c r="H884" s="253">
        <f>'CUOTA INDUSTRIAL'!E28</f>
        <v>175.27719999999999</v>
      </c>
      <c r="I884" s="253">
        <f>'CUOTA INDUSTRIAL'!F28</f>
        <v>0</v>
      </c>
      <c r="J884" s="253">
        <f>'CUOTA INDUSTRIAL'!G28</f>
        <v>-3.0000000003838068E-4</v>
      </c>
      <c r="K884" s="253">
        <f>'CUOTA INDUSTRIAL'!H28</f>
        <v>0</v>
      </c>
      <c r="L884" s="253">
        <f>'CUOTA INDUSTRIAL'!I28</f>
        <v>-3.0000000003838068E-4</v>
      </c>
      <c r="M884" s="253">
        <f>'CUOTA INDUSTRIAL'!J28</f>
        <v>0</v>
      </c>
      <c r="N884" s="245" t="s">
        <v>218</v>
      </c>
      <c r="O884" s="241">
        <f>RESUMEN!$C$4</f>
        <v>44561</v>
      </c>
      <c r="P884" s="233">
        <v>2021</v>
      </c>
      <c r="Q884" s="233"/>
    </row>
    <row r="885" spans="1:17" ht="15.75" customHeight="1">
      <c r="A885" s="238" t="s">
        <v>51</v>
      </c>
      <c r="B885" s="238" t="s">
        <v>52</v>
      </c>
      <c r="C885" s="233" t="s">
        <v>78</v>
      </c>
      <c r="D885" s="233" t="s">
        <v>79</v>
      </c>
      <c r="E885" s="243" t="str">
        <f>'CUOTA INDUSTRIAL'!C27</f>
        <v>GONZALEZ SILVA MARCELINO</v>
      </c>
      <c r="F885" s="238" t="s">
        <v>54</v>
      </c>
      <c r="G885" s="238" t="s">
        <v>58</v>
      </c>
      <c r="H885" s="253">
        <f>'CUOTA INDUSTRIAL'!K27</f>
        <v>701.1087</v>
      </c>
      <c r="I885" s="253">
        <f>'CUOTA INDUSTRIAL'!L27</f>
        <v>-701.10900000000004</v>
      </c>
      <c r="J885" s="253">
        <f>'CUOTA INDUSTRIAL'!M27</f>
        <v>-3.0000000003838068E-4</v>
      </c>
      <c r="K885" s="253">
        <f>'CUOTA INDUSTRIAL'!N27</f>
        <v>0</v>
      </c>
      <c r="L885" s="253">
        <f>'CUOTA INDUSTRIAL'!O27</f>
        <v>-3.0000000003838068E-4</v>
      </c>
      <c r="M885" s="253">
        <f>'CUOTA INDUSTRIAL'!P27</f>
        <v>0</v>
      </c>
      <c r="N885" s="245" t="s">
        <v>218</v>
      </c>
      <c r="O885" s="241">
        <f>RESUMEN!$C$4</f>
        <v>44561</v>
      </c>
      <c r="P885" s="233">
        <v>2021</v>
      </c>
      <c r="Q885" s="233"/>
    </row>
    <row r="886" spans="1:17" ht="15.75" customHeight="1">
      <c r="A886" s="238" t="s">
        <v>51</v>
      </c>
      <c r="B886" s="238" t="s">
        <v>52</v>
      </c>
      <c r="C886" s="233" t="s">
        <v>78</v>
      </c>
      <c r="D886" s="233" t="s">
        <v>79</v>
      </c>
      <c r="E886" s="243" t="str">
        <f>'CUOTA INDUSTRIAL'!C29</f>
        <v>GRIMAR S.A.</v>
      </c>
      <c r="F886" s="238" t="s">
        <v>54</v>
      </c>
      <c r="G886" s="238" t="s">
        <v>57</v>
      </c>
      <c r="H886" s="253">
        <f>'CUOTA INDUSTRIAL'!E29</f>
        <v>73.210700000000003</v>
      </c>
      <c r="I886" s="253">
        <f>'CUOTA INDUSTRIAL'!F29</f>
        <v>0</v>
      </c>
      <c r="J886" s="253">
        <f>'CUOTA INDUSTRIAL'!G29</f>
        <v>73.210700000000003</v>
      </c>
      <c r="K886" s="253">
        <f>'CUOTA INDUSTRIAL'!H29</f>
        <v>0</v>
      </c>
      <c r="L886" s="253">
        <f>'CUOTA INDUSTRIAL'!I29</f>
        <v>73.210700000000003</v>
      </c>
      <c r="M886" s="253">
        <f>'CUOTA INDUSTRIAL'!J29</f>
        <v>0</v>
      </c>
      <c r="N886" s="245" t="s">
        <v>218</v>
      </c>
      <c r="O886" s="241">
        <f>RESUMEN!$C$4</f>
        <v>44561</v>
      </c>
      <c r="P886" s="233">
        <v>2021</v>
      </c>
      <c r="Q886" s="233"/>
    </row>
    <row r="887" spans="1:17" ht="15.75" customHeight="1">
      <c r="A887" s="238" t="s">
        <v>51</v>
      </c>
      <c r="B887" s="238" t="s">
        <v>52</v>
      </c>
      <c r="C887" s="233" t="s">
        <v>78</v>
      </c>
      <c r="D887" s="233" t="s">
        <v>79</v>
      </c>
      <c r="E887" s="243" t="str">
        <f>'CUOTA INDUSTRIAL'!C29</f>
        <v>GRIMAR S.A.</v>
      </c>
      <c r="F887" s="243" t="s">
        <v>62</v>
      </c>
      <c r="G887" s="238" t="s">
        <v>58</v>
      </c>
      <c r="H887" s="253">
        <f>'CUOTA INDUSTRIAL'!E30</f>
        <v>24.403600000000001</v>
      </c>
      <c r="I887" s="253">
        <f>'CUOTA INDUSTRIAL'!F30</f>
        <v>27.324999999999999</v>
      </c>
      <c r="J887" s="253">
        <f>'CUOTA INDUSTRIAL'!G30</f>
        <v>124.9393</v>
      </c>
      <c r="K887" s="253">
        <f>'CUOTA INDUSTRIAL'!H30</f>
        <v>0</v>
      </c>
      <c r="L887" s="253">
        <f>'CUOTA INDUSTRIAL'!I30</f>
        <v>124.9393</v>
      </c>
      <c r="M887" s="253">
        <f>'CUOTA INDUSTRIAL'!J30</f>
        <v>0</v>
      </c>
      <c r="N887" s="245" t="s">
        <v>218</v>
      </c>
      <c r="O887" s="241">
        <f>RESUMEN!$C$4</f>
        <v>44561</v>
      </c>
      <c r="P887" s="233">
        <v>2021</v>
      </c>
      <c r="Q887" s="233"/>
    </row>
    <row r="888" spans="1:17" ht="15.75" customHeight="1">
      <c r="A888" s="238" t="s">
        <v>51</v>
      </c>
      <c r="B888" s="238" t="s">
        <v>52</v>
      </c>
      <c r="C888" s="233" t="s">
        <v>78</v>
      </c>
      <c r="D888" s="233" t="s">
        <v>79</v>
      </c>
      <c r="E888" s="243" t="str">
        <f>'CUOTA INDUSTRIAL'!C29</f>
        <v>GRIMAR S.A.</v>
      </c>
      <c r="F888" s="238" t="s">
        <v>54</v>
      </c>
      <c r="G888" s="238" t="s">
        <v>58</v>
      </c>
      <c r="H888" s="253">
        <f>'CUOTA INDUSTRIAL'!K29</f>
        <v>97.6143</v>
      </c>
      <c r="I888" s="253">
        <f>'CUOTA INDUSTRIAL'!L29</f>
        <v>27.324999999999999</v>
      </c>
      <c r="J888" s="253">
        <f>'CUOTA INDUSTRIAL'!M29</f>
        <v>124.9393</v>
      </c>
      <c r="K888" s="253">
        <f>'CUOTA INDUSTRIAL'!N29</f>
        <v>0</v>
      </c>
      <c r="L888" s="253">
        <f>'CUOTA INDUSTRIAL'!O29</f>
        <v>124.9393</v>
      </c>
      <c r="M888" s="253">
        <f>'CUOTA INDUSTRIAL'!P29</f>
        <v>0</v>
      </c>
      <c r="N888" s="245" t="s">
        <v>218</v>
      </c>
      <c r="O888" s="241">
        <f>RESUMEN!$C$4</f>
        <v>44561</v>
      </c>
      <c r="P888" s="233">
        <v>2021</v>
      </c>
      <c r="Q888" s="233"/>
    </row>
    <row r="889" spans="1:17" ht="15.75" customHeight="1">
      <c r="A889" s="238" t="s">
        <v>51</v>
      </c>
      <c r="B889" s="238" t="s">
        <v>52</v>
      </c>
      <c r="C889" s="233" t="s">
        <v>78</v>
      </c>
      <c r="D889" s="233" t="s">
        <v>79</v>
      </c>
      <c r="E889" s="243" t="str">
        <f>'CUOTA INDUSTRIAL'!C31</f>
        <v>INOSTROZA CONCHA PELANTARIO</v>
      </c>
      <c r="F889" s="238" t="s">
        <v>54</v>
      </c>
      <c r="G889" s="238" t="s">
        <v>57</v>
      </c>
      <c r="H889" s="253">
        <f>'CUOTA INDUSTRIAL'!E31</f>
        <v>24.7316</v>
      </c>
      <c r="I889" s="253">
        <f>'CUOTA INDUSTRIAL'!F31</f>
        <v>0</v>
      </c>
      <c r="J889" s="253">
        <f>'CUOTA INDUSTRIAL'!G31</f>
        <v>24.7316</v>
      </c>
      <c r="K889" s="253">
        <f>'CUOTA INDUSTRIAL'!H31</f>
        <v>0</v>
      </c>
      <c r="L889" s="253">
        <f>'CUOTA INDUSTRIAL'!I31</f>
        <v>24.7316</v>
      </c>
      <c r="M889" s="253">
        <f>'CUOTA INDUSTRIAL'!J31</f>
        <v>0</v>
      </c>
      <c r="N889" s="245" t="s">
        <v>218</v>
      </c>
      <c r="O889" s="241">
        <f>RESUMEN!$C$4</f>
        <v>44561</v>
      </c>
      <c r="P889" s="233">
        <v>2021</v>
      </c>
      <c r="Q889" s="233"/>
    </row>
    <row r="890" spans="1:17" ht="15.75" customHeight="1">
      <c r="A890" s="238" t="s">
        <v>51</v>
      </c>
      <c r="B890" s="238" t="s">
        <v>52</v>
      </c>
      <c r="C890" s="233" t="s">
        <v>78</v>
      </c>
      <c r="D890" s="233" t="s">
        <v>79</v>
      </c>
      <c r="E890" s="243" t="str">
        <f>'CUOTA INDUSTRIAL'!C31</f>
        <v>INOSTROZA CONCHA PELANTARIO</v>
      </c>
      <c r="F890" s="243" t="s">
        <v>62</v>
      </c>
      <c r="G890" s="238" t="s">
        <v>58</v>
      </c>
      <c r="H890" s="253">
        <f>'CUOTA INDUSTRIAL'!E32</f>
        <v>8.2439</v>
      </c>
      <c r="I890" s="253">
        <f>'CUOTA INDUSTRIAL'!F32</f>
        <v>-32.975000000000001</v>
      </c>
      <c r="J890" s="253">
        <f>'CUOTA INDUSTRIAL'!G32</f>
        <v>4.9999999999883471E-4</v>
      </c>
      <c r="K890" s="253">
        <f>'CUOTA INDUSTRIAL'!H32</f>
        <v>0</v>
      </c>
      <c r="L890" s="253">
        <f>'CUOTA INDUSTRIAL'!I32</f>
        <v>4.9999999999883471E-4</v>
      </c>
      <c r="M890" s="253">
        <f>'CUOTA INDUSTRIAL'!J32</f>
        <v>0</v>
      </c>
      <c r="N890" s="245" t="s">
        <v>218</v>
      </c>
      <c r="O890" s="241">
        <f>RESUMEN!$C$4</f>
        <v>44561</v>
      </c>
      <c r="P890" s="233">
        <v>2021</v>
      </c>
      <c r="Q890" s="233"/>
    </row>
    <row r="891" spans="1:17" ht="15.75" customHeight="1">
      <c r="A891" s="238" t="s">
        <v>51</v>
      </c>
      <c r="B891" s="238" t="s">
        <v>52</v>
      </c>
      <c r="C891" s="233" t="s">
        <v>78</v>
      </c>
      <c r="D891" s="233" t="s">
        <v>79</v>
      </c>
      <c r="E891" s="243" t="str">
        <f>'CUOTA INDUSTRIAL'!C31</f>
        <v>INOSTROZA CONCHA PELANTARIO</v>
      </c>
      <c r="F891" s="238" t="s">
        <v>54</v>
      </c>
      <c r="G891" s="238" t="s">
        <v>58</v>
      </c>
      <c r="H891" s="253">
        <f>'CUOTA INDUSTRIAL'!K31</f>
        <v>32.975499999999997</v>
      </c>
      <c r="I891" s="253">
        <f>'CUOTA INDUSTRIAL'!L31</f>
        <v>-32.975000000000001</v>
      </c>
      <c r="J891" s="253">
        <f>'CUOTA INDUSTRIAL'!M31</f>
        <v>4.99999999995282E-4</v>
      </c>
      <c r="K891" s="253">
        <f>'CUOTA INDUSTRIAL'!N31</f>
        <v>0</v>
      </c>
      <c r="L891" s="253">
        <f>'CUOTA INDUSTRIAL'!O31</f>
        <v>4.99999999995282E-4</v>
      </c>
      <c r="M891" s="253">
        <f>'CUOTA INDUSTRIAL'!P31</f>
        <v>0</v>
      </c>
      <c r="N891" s="245" t="s">
        <v>218</v>
      </c>
      <c r="O891" s="241">
        <f>RESUMEN!$C$4</f>
        <v>44561</v>
      </c>
      <c r="P891" s="233">
        <v>2021</v>
      </c>
      <c r="Q891" s="233"/>
    </row>
    <row r="892" spans="1:17" ht="15.75" customHeight="1">
      <c r="A892" s="238" t="s">
        <v>51</v>
      </c>
      <c r="B892" s="238" t="s">
        <v>52</v>
      </c>
      <c r="C892" s="233" t="s">
        <v>78</v>
      </c>
      <c r="D892" s="233" t="s">
        <v>79</v>
      </c>
      <c r="E892" s="243" t="str">
        <f>'CUOTA INDUSTRIAL'!C33</f>
        <v>ISLA QUIHUA S.A</v>
      </c>
      <c r="F892" s="238" t="s">
        <v>54</v>
      </c>
      <c r="G892" s="238" t="s">
        <v>57</v>
      </c>
      <c r="H892" s="253">
        <f>'CUOTA INDUSTRIAL'!E33</f>
        <v>119.8331</v>
      </c>
      <c r="I892" s="253">
        <f>'CUOTA INDUSTRIAL'!F33</f>
        <v>0</v>
      </c>
      <c r="J892" s="253">
        <f>'CUOTA INDUSTRIAL'!G33</f>
        <v>119.8331</v>
      </c>
      <c r="K892" s="253">
        <f>'CUOTA INDUSTRIAL'!H33</f>
        <v>0</v>
      </c>
      <c r="L892" s="253">
        <f>'CUOTA INDUSTRIAL'!I33</f>
        <v>119.8331</v>
      </c>
      <c r="M892" s="253">
        <f>'CUOTA INDUSTRIAL'!J33</f>
        <v>0</v>
      </c>
      <c r="N892" s="245" t="s">
        <v>218</v>
      </c>
      <c r="O892" s="241">
        <f>RESUMEN!$C$4</f>
        <v>44561</v>
      </c>
      <c r="P892" s="233">
        <v>2021</v>
      </c>
      <c r="Q892" s="233"/>
    </row>
    <row r="893" spans="1:17" ht="15.75" customHeight="1">
      <c r="A893" s="238" t="s">
        <v>51</v>
      </c>
      <c r="B893" s="238" t="s">
        <v>52</v>
      </c>
      <c r="C893" s="233" t="s">
        <v>78</v>
      </c>
      <c r="D893" s="233" t="s">
        <v>79</v>
      </c>
      <c r="E893" s="243" t="str">
        <f>'CUOTA INDUSTRIAL'!C33</f>
        <v>ISLA QUIHUA S.A</v>
      </c>
      <c r="F893" s="243" t="s">
        <v>62</v>
      </c>
      <c r="G893" s="238" t="s">
        <v>58</v>
      </c>
      <c r="H893" s="253">
        <f>'CUOTA INDUSTRIAL'!E34</f>
        <v>39.944400000000002</v>
      </c>
      <c r="I893" s="253">
        <f>'CUOTA INDUSTRIAL'!F34</f>
        <v>-155.16730999999999</v>
      </c>
      <c r="J893" s="253">
        <f>'CUOTA INDUSTRIAL'!G34</f>
        <v>4.6101900000000171</v>
      </c>
      <c r="K893" s="253">
        <f>'CUOTA INDUSTRIAL'!H34</f>
        <v>0</v>
      </c>
      <c r="L893" s="253">
        <f>'CUOTA INDUSTRIAL'!I34</f>
        <v>4.6101900000000171</v>
      </c>
      <c r="M893" s="253">
        <f>'CUOTA INDUSTRIAL'!J34</f>
        <v>0</v>
      </c>
      <c r="N893" s="245" t="s">
        <v>218</v>
      </c>
      <c r="O893" s="241">
        <f>RESUMEN!$C$4</f>
        <v>44561</v>
      </c>
      <c r="P893" s="233">
        <v>2021</v>
      </c>
      <c r="Q893" s="233"/>
    </row>
    <row r="894" spans="1:17" ht="15.75" customHeight="1">
      <c r="A894" s="238" t="s">
        <v>51</v>
      </c>
      <c r="B894" s="238" t="s">
        <v>52</v>
      </c>
      <c r="C894" s="233" t="s">
        <v>78</v>
      </c>
      <c r="D894" s="233" t="s">
        <v>79</v>
      </c>
      <c r="E894" s="243" t="str">
        <f>'CUOTA INDUSTRIAL'!C33</f>
        <v>ISLA QUIHUA S.A</v>
      </c>
      <c r="F894" s="238" t="s">
        <v>54</v>
      </c>
      <c r="G894" s="238" t="s">
        <v>58</v>
      </c>
      <c r="H894" s="253">
        <f>'CUOTA INDUSTRIAL'!K33</f>
        <v>159.7775</v>
      </c>
      <c r="I894" s="253">
        <f>'CUOTA INDUSTRIAL'!L33</f>
        <v>-155.16730999999999</v>
      </c>
      <c r="J894" s="253">
        <f>'CUOTA INDUSTRIAL'!M33</f>
        <v>4.6101900000000171</v>
      </c>
      <c r="K894" s="253">
        <f>'CUOTA INDUSTRIAL'!N33</f>
        <v>0</v>
      </c>
      <c r="L894" s="253">
        <f>'CUOTA INDUSTRIAL'!O33</f>
        <v>4.6101900000000171</v>
      </c>
      <c r="M894" s="253">
        <f>'CUOTA INDUSTRIAL'!P33</f>
        <v>0</v>
      </c>
      <c r="N894" s="245" t="s">
        <v>218</v>
      </c>
      <c r="O894" s="241">
        <f>RESUMEN!$C$4</f>
        <v>44561</v>
      </c>
      <c r="P894" s="233">
        <v>2021</v>
      </c>
      <c r="Q894" s="233"/>
    </row>
    <row r="895" spans="1:17" ht="15.75" customHeight="1">
      <c r="A895" s="238" t="s">
        <v>51</v>
      </c>
      <c r="B895" s="238" t="s">
        <v>52</v>
      </c>
      <c r="C895" s="233" t="s">
        <v>78</v>
      </c>
      <c r="D895" s="233" t="s">
        <v>79</v>
      </c>
      <c r="E895" s="243" t="str">
        <f>'CUOTA INDUSTRIAL'!C35</f>
        <v>ISLADAMAS S.A.</v>
      </c>
      <c r="F895" s="238" t="s">
        <v>54</v>
      </c>
      <c r="G895" s="238" t="s">
        <v>57</v>
      </c>
      <c r="H895" s="253">
        <f>'CUOTA INDUSTRIAL'!E35</f>
        <v>161.5882</v>
      </c>
      <c r="I895" s="253">
        <f>'CUOTA INDUSTRIAL'!F35</f>
        <v>0</v>
      </c>
      <c r="J895" s="253">
        <f>'CUOTA INDUSTRIAL'!G35</f>
        <v>161.5882</v>
      </c>
      <c r="K895" s="253">
        <f>'CUOTA INDUSTRIAL'!H35</f>
        <v>25.972999999999999</v>
      </c>
      <c r="L895" s="253">
        <f>'CUOTA INDUSTRIAL'!I35</f>
        <v>135.61520000000002</v>
      </c>
      <c r="M895" s="253">
        <f>'CUOTA INDUSTRIAL'!J35</f>
        <v>0.16073574679339209</v>
      </c>
      <c r="N895" s="245" t="s">
        <v>218</v>
      </c>
      <c r="O895" s="241">
        <f>RESUMEN!$C$4</f>
        <v>44561</v>
      </c>
      <c r="P895" s="233">
        <v>2021</v>
      </c>
      <c r="Q895" s="233"/>
    </row>
    <row r="896" spans="1:17" ht="15.75" customHeight="1">
      <c r="A896" s="238" t="s">
        <v>51</v>
      </c>
      <c r="B896" s="238" t="s">
        <v>52</v>
      </c>
      <c r="C896" s="233" t="s">
        <v>78</v>
      </c>
      <c r="D896" s="233" t="s">
        <v>79</v>
      </c>
      <c r="E896" s="243" t="str">
        <f>'CUOTA INDUSTRIAL'!C35</f>
        <v>ISLADAMAS S.A.</v>
      </c>
      <c r="F896" s="243" t="s">
        <v>62</v>
      </c>
      <c r="G896" s="238" t="s">
        <v>58</v>
      </c>
      <c r="H896" s="253">
        <f>'CUOTA INDUSTRIAL'!E36</f>
        <v>53.862699999999997</v>
      </c>
      <c r="I896" s="253">
        <f>'CUOTA INDUSTRIAL'!F36</f>
        <v>0</v>
      </c>
      <c r="J896" s="253">
        <f>'CUOTA INDUSTRIAL'!G36</f>
        <v>189.47790000000001</v>
      </c>
      <c r="K896" s="253">
        <f>'CUOTA INDUSTRIAL'!H36</f>
        <v>15.505000000000001</v>
      </c>
      <c r="L896" s="253">
        <f>'CUOTA INDUSTRIAL'!I36</f>
        <v>173.97290000000001</v>
      </c>
      <c r="M896" s="253">
        <f>'CUOTA INDUSTRIAL'!J36</f>
        <v>8.1830123724191586E-2</v>
      </c>
      <c r="N896" s="245" t="s">
        <v>218</v>
      </c>
      <c r="O896" s="241">
        <f>RESUMEN!$C$4</f>
        <v>44561</v>
      </c>
      <c r="P896" s="233">
        <v>2021</v>
      </c>
      <c r="Q896" s="233"/>
    </row>
    <row r="897" spans="1:17" ht="15.75" customHeight="1">
      <c r="A897" s="238" t="s">
        <v>51</v>
      </c>
      <c r="B897" s="238" t="s">
        <v>52</v>
      </c>
      <c r="C897" s="233" t="s">
        <v>78</v>
      </c>
      <c r="D897" s="233" t="s">
        <v>79</v>
      </c>
      <c r="E897" s="243" t="str">
        <f>'CUOTA INDUSTRIAL'!C35</f>
        <v>ISLADAMAS S.A.</v>
      </c>
      <c r="F897" s="238" t="s">
        <v>54</v>
      </c>
      <c r="G897" s="238" t="s">
        <v>58</v>
      </c>
      <c r="H897" s="253">
        <f>'CUOTA INDUSTRIAL'!K35</f>
        <v>215.45089999999999</v>
      </c>
      <c r="I897" s="253">
        <f>'CUOTA INDUSTRIAL'!L35</f>
        <v>0</v>
      </c>
      <c r="J897" s="253">
        <f>'CUOTA INDUSTRIAL'!M35</f>
        <v>215.45089999999999</v>
      </c>
      <c r="K897" s="253">
        <f>'CUOTA INDUSTRIAL'!N35</f>
        <v>41.478000000000002</v>
      </c>
      <c r="L897" s="253">
        <f>'CUOTA INDUSTRIAL'!O35</f>
        <v>173.97289999999998</v>
      </c>
      <c r="M897" s="253">
        <f>'CUOTA INDUSTRIAL'!P35</f>
        <v>0.19251718140885002</v>
      </c>
      <c r="N897" s="245" t="s">
        <v>218</v>
      </c>
      <c r="O897" s="241">
        <f>RESUMEN!$C$4</f>
        <v>44561</v>
      </c>
      <c r="P897" s="233">
        <v>2021</v>
      </c>
      <c r="Q897" s="233"/>
    </row>
    <row r="898" spans="1:17" ht="15.75" customHeight="1">
      <c r="A898" s="238" t="s">
        <v>51</v>
      </c>
      <c r="B898" s="238" t="s">
        <v>52</v>
      </c>
      <c r="C898" s="233" t="s">
        <v>78</v>
      </c>
      <c r="D898" s="233" t="s">
        <v>79</v>
      </c>
      <c r="E898" s="243" t="str">
        <f>'CUOTA INDUSTRIAL'!C37</f>
        <v>LANDES S.A.</v>
      </c>
      <c r="F898" s="238" t="s">
        <v>54</v>
      </c>
      <c r="G898" s="238" t="s">
        <v>57</v>
      </c>
      <c r="H898" s="253">
        <f>'CUOTA INDUSTRIAL'!E37</f>
        <v>304.21129999999999</v>
      </c>
      <c r="I898" s="253">
        <f>'CUOTA INDUSTRIAL'!F37</f>
        <v>561.85500000000002</v>
      </c>
      <c r="J898" s="253">
        <f>'CUOTA INDUSTRIAL'!G37</f>
        <v>866.06629999999996</v>
      </c>
      <c r="K898" s="253">
        <f>'CUOTA INDUSTRIAL'!H37</f>
        <v>0</v>
      </c>
      <c r="L898" s="253">
        <f>'CUOTA INDUSTRIAL'!I37</f>
        <v>866.06629999999996</v>
      </c>
      <c r="M898" s="253">
        <f>'CUOTA INDUSTRIAL'!J37</f>
        <v>0</v>
      </c>
      <c r="N898" s="245" t="s">
        <v>218</v>
      </c>
      <c r="O898" s="241">
        <f>RESUMEN!$C$4</f>
        <v>44561</v>
      </c>
      <c r="P898" s="233">
        <v>2021</v>
      </c>
      <c r="Q898" s="233"/>
    </row>
    <row r="899" spans="1:17" ht="15.75" customHeight="1">
      <c r="A899" s="238" t="s">
        <v>51</v>
      </c>
      <c r="B899" s="238" t="s">
        <v>52</v>
      </c>
      <c r="C899" s="233" t="s">
        <v>78</v>
      </c>
      <c r="D899" s="233" t="s">
        <v>79</v>
      </c>
      <c r="E899" s="243" t="str">
        <f>'CUOTA INDUSTRIAL'!C37</f>
        <v>LANDES S.A.</v>
      </c>
      <c r="F899" s="243" t="s">
        <v>62</v>
      </c>
      <c r="G899" s="238" t="s">
        <v>58</v>
      </c>
      <c r="H899" s="253">
        <f>'CUOTA INDUSTRIAL'!E38</f>
        <v>101.4038</v>
      </c>
      <c r="I899" s="253">
        <f>'CUOTA INDUSTRIAL'!F38</f>
        <v>0</v>
      </c>
      <c r="J899" s="253">
        <f>'CUOTA INDUSTRIAL'!G38</f>
        <v>967.4701</v>
      </c>
      <c r="K899" s="253">
        <f>'CUOTA INDUSTRIAL'!H38</f>
        <v>943.82100000000003</v>
      </c>
      <c r="L899" s="253">
        <f>'CUOTA INDUSTRIAL'!I38</f>
        <v>23.649099999999976</v>
      </c>
      <c r="M899" s="253">
        <f>'CUOTA INDUSTRIAL'!J38</f>
        <v>0.97555573035280374</v>
      </c>
      <c r="N899" s="245" t="s">
        <v>218</v>
      </c>
      <c r="O899" s="241">
        <f>RESUMEN!$C$4</f>
        <v>44561</v>
      </c>
      <c r="P899" s="233">
        <v>2021</v>
      </c>
      <c r="Q899" s="233"/>
    </row>
    <row r="900" spans="1:17" ht="15.75" customHeight="1">
      <c r="A900" s="238" t="s">
        <v>51</v>
      </c>
      <c r="B900" s="238" t="s">
        <v>52</v>
      </c>
      <c r="C900" s="233" t="s">
        <v>78</v>
      </c>
      <c r="D900" s="233" t="s">
        <v>79</v>
      </c>
      <c r="E900" s="243" t="str">
        <f>'CUOTA INDUSTRIAL'!C37</f>
        <v>LANDES S.A.</v>
      </c>
      <c r="F900" s="238" t="s">
        <v>54</v>
      </c>
      <c r="G900" s="238" t="s">
        <v>58</v>
      </c>
      <c r="H900" s="253">
        <f>'CUOTA INDUSTRIAL'!K37</f>
        <v>405.61509999999998</v>
      </c>
      <c r="I900" s="253">
        <f>'CUOTA INDUSTRIAL'!L37</f>
        <v>561.85500000000002</v>
      </c>
      <c r="J900" s="253">
        <f>'CUOTA INDUSTRIAL'!M37</f>
        <v>967.4701</v>
      </c>
      <c r="K900" s="253">
        <f>'CUOTA INDUSTRIAL'!N37</f>
        <v>943.82100000000003</v>
      </c>
      <c r="L900" s="253">
        <f>'CUOTA INDUSTRIAL'!O37</f>
        <v>23.649099999999976</v>
      </c>
      <c r="M900" s="253">
        <f>'CUOTA INDUSTRIAL'!P37</f>
        <v>0.97555573035280374</v>
      </c>
      <c r="N900" s="245" t="s">
        <v>218</v>
      </c>
      <c r="O900" s="241">
        <f>RESUMEN!$C$4</f>
        <v>44561</v>
      </c>
      <c r="P900" s="233">
        <v>2021</v>
      </c>
      <c r="Q900" s="233"/>
    </row>
    <row r="901" spans="1:17" ht="15.75" customHeight="1">
      <c r="A901" s="238" t="s">
        <v>51</v>
      </c>
      <c r="B901" s="238" t="s">
        <v>52</v>
      </c>
      <c r="C901" s="233" t="s">
        <v>78</v>
      </c>
      <c r="D901" s="233" t="s">
        <v>79</v>
      </c>
      <c r="E901" s="243" t="str">
        <f>'CUOTA INDUSTRIAL'!C39</f>
        <v>LEUCOTON LTDA. SOC. PESQ.</v>
      </c>
      <c r="F901" s="238" t="s">
        <v>54</v>
      </c>
      <c r="G901" s="238" t="s">
        <v>57</v>
      </c>
      <c r="H901" s="253">
        <f>'CUOTA INDUSTRIAL'!E39</f>
        <v>331.16370000000001</v>
      </c>
      <c r="I901" s="253">
        <f>'CUOTA INDUSTRIAL'!F39</f>
        <v>-441.55199999999991</v>
      </c>
      <c r="J901" s="253">
        <f>'CUOTA INDUSTRIAL'!G39</f>
        <v>-110.3882999999999</v>
      </c>
      <c r="K901" s="253">
        <f>'CUOTA INDUSTRIAL'!H39</f>
        <v>0</v>
      </c>
      <c r="L901" s="253">
        <f>'CUOTA INDUSTRIAL'!I39</f>
        <v>-110.3882999999999</v>
      </c>
      <c r="M901" s="253">
        <f>'CUOTA INDUSTRIAL'!J39</f>
        <v>0</v>
      </c>
      <c r="N901" s="245" t="s">
        <v>218</v>
      </c>
      <c r="O901" s="241">
        <f>RESUMEN!$C$4</f>
        <v>44561</v>
      </c>
      <c r="P901" s="233">
        <v>2021</v>
      </c>
      <c r="Q901" s="233"/>
    </row>
    <row r="902" spans="1:17" ht="15.75" customHeight="1">
      <c r="A902" s="238" t="s">
        <v>51</v>
      </c>
      <c r="B902" s="238" t="s">
        <v>52</v>
      </c>
      <c r="C902" s="233" t="s">
        <v>78</v>
      </c>
      <c r="D902" s="233" t="s">
        <v>79</v>
      </c>
      <c r="E902" s="243" t="str">
        <f>'CUOTA INDUSTRIAL'!C39</f>
        <v>LEUCOTON LTDA. SOC. PESQ.</v>
      </c>
      <c r="F902" s="243" t="s">
        <v>62</v>
      </c>
      <c r="G902" s="238" t="s">
        <v>58</v>
      </c>
      <c r="H902" s="253">
        <f>'CUOTA INDUSTRIAL'!E40</f>
        <v>110.3879</v>
      </c>
      <c r="I902" s="253">
        <f>'CUOTA INDUSTRIAL'!F40</f>
        <v>0</v>
      </c>
      <c r="J902" s="253">
        <f>'CUOTA INDUSTRIAL'!G40</f>
        <v>-3.9999999989959178E-4</v>
      </c>
      <c r="K902" s="253">
        <f>'CUOTA INDUSTRIAL'!H40</f>
        <v>0</v>
      </c>
      <c r="L902" s="253">
        <f>'CUOTA INDUSTRIAL'!I40</f>
        <v>-3.9999999989959178E-4</v>
      </c>
      <c r="M902" s="253">
        <f>'CUOTA INDUSTRIAL'!J40</f>
        <v>0</v>
      </c>
      <c r="N902" s="245" t="s">
        <v>218</v>
      </c>
      <c r="O902" s="241">
        <f>RESUMEN!$C$4</f>
        <v>44561</v>
      </c>
      <c r="P902" s="233">
        <v>2021</v>
      </c>
      <c r="Q902" s="233"/>
    </row>
    <row r="903" spans="1:17" ht="15.75" customHeight="1">
      <c r="A903" s="238" t="s">
        <v>51</v>
      </c>
      <c r="B903" s="238" t="s">
        <v>52</v>
      </c>
      <c r="C903" s="233" t="s">
        <v>78</v>
      </c>
      <c r="D903" s="233" t="s">
        <v>79</v>
      </c>
      <c r="E903" s="243" t="str">
        <f>'CUOTA INDUSTRIAL'!C39</f>
        <v>LEUCOTON LTDA. SOC. PESQ.</v>
      </c>
      <c r="F903" s="238" t="s">
        <v>54</v>
      </c>
      <c r="G903" s="238" t="s">
        <v>58</v>
      </c>
      <c r="H903" s="253">
        <f>'CUOTA INDUSTRIAL'!K39</f>
        <v>441.55160000000001</v>
      </c>
      <c r="I903" s="253">
        <f>'CUOTA INDUSTRIAL'!L39</f>
        <v>-441.55199999999991</v>
      </c>
      <c r="J903" s="253">
        <f>'CUOTA INDUSTRIAL'!M39</f>
        <v>-3.9999999989959178E-4</v>
      </c>
      <c r="K903" s="253">
        <f>'CUOTA INDUSTRIAL'!N39</f>
        <v>0</v>
      </c>
      <c r="L903" s="253">
        <f>'CUOTA INDUSTRIAL'!O39</f>
        <v>-3.9999999989959178E-4</v>
      </c>
      <c r="M903" s="253">
        <f>'CUOTA INDUSTRIAL'!P39</f>
        <v>0</v>
      </c>
      <c r="N903" s="245" t="s">
        <v>218</v>
      </c>
      <c r="O903" s="241">
        <f>RESUMEN!$C$4</f>
        <v>44561</v>
      </c>
      <c r="P903" s="233">
        <v>2021</v>
      </c>
      <c r="Q903" s="233"/>
    </row>
    <row r="904" spans="1:17" ht="15.75" customHeight="1">
      <c r="A904" s="238" t="s">
        <v>51</v>
      </c>
      <c r="B904" s="238" t="s">
        <v>52</v>
      </c>
      <c r="C904" s="233" t="s">
        <v>78</v>
      </c>
      <c r="D904" s="233" t="s">
        <v>79</v>
      </c>
      <c r="E904" s="243" t="str">
        <f>'CUOTA INDUSTRIAL'!C41</f>
        <v>NORDIO LTDA. SOC.</v>
      </c>
      <c r="F904" s="238" t="s">
        <v>54</v>
      </c>
      <c r="G904" s="238" t="s">
        <v>57</v>
      </c>
      <c r="H904" s="253">
        <f>'CUOTA INDUSTRIAL'!E41</f>
        <v>75.117400000000004</v>
      </c>
      <c r="I904" s="253">
        <f>'CUOTA INDUSTRIAL'!F41</f>
        <v>-100.157</v>
      </c>
      <c r="J904" s="253">
        <f>'CUOTA INDUSTRIAL'!G41</f>
        <v>-25.039599999999993</v>
      </c>
      <c r="K904" s="253">
        <f>'CUOTA INDUSTRIAL'!H41</f>
        <v>0</v>
      </c>
      <c r="L904" s="253">
        <f>'CUOTA INDUSTRIAL'!I41</f>
        <v>-25.039599999999993</v>
      </c>
      <c r="M904" s="253">
        <f>'CUOTA INDUSTRIAL'!J41</f>
        <v>0</v>
      </c>
      <c r="N904" s="245" t="s">
        <v>218</v>
      </c>
      <c r="O904" s="241">
        <f>RESUMEN!$C$4</f>
        <v>44561</v>
      </c>
      <c r="P904" s="233">
        <v>2021</v>
      </c>
      <c r="Q904" s="233"/>
    </row>
    <row r="905" spans="1:17" ht="15.75" customHeight="1">
      <c r="A905" s="238" t="s">
        <v>51</v>
      </c>
      <c r="B905" s="238" t="s">
        <v>52</v>
      </c>
      <c r="C905" s="233" t="s">
        <v>78</v>
      </c>
      <c r="D905" s="233" t="s">
        <v>79</v>
      </c>
      <c r="E905" s="243" t="str">
        <f>'CUOTA INDUSTRIAL'!C41</f>
        <v>NORDIO LTDA. SOC.</v>
      </c>
      <c r="F905" s="243" t="s">
        <v>62</v>
      </c>
      <c r="G905" s="238" t="s">
        <v>58</v>
      </c>
      <c r="H905" s="253">
        <f>'CUOTA INDUSTRIAL'!E42</f>
        <v>25.039100000000001</v>
      </c>
      <c r="I905" s="253">
        <f>'CUOTA INDUSTRIAL'!F42</f>
        <v>0</v>
      </c>
      <c r="J905" s="253">
        <f>'CUOTA INDUSTRIAL'!G42</f>
        <v>-4.9999999999172928E-4</v>
      </c>
      <c r="K905" s="253">
        <f>'CUOTA INDUSTRIAL'!H42</f>
        <v>0</v>
      </c>
      <c r="L905" s="253">
        <f>'CUOTA INDUSTRIAL'!I42</f>
        <v>-4.9999999999172928E-4</v>
      </c>
      <c r="M905" s="253">
        <f>'CUOTA INDUSTRIAL'!J42</f>
        <v>0</v>
      </c>
      <c r="N905" s="245" t="s">
        <v>218</v>
      </c>
      <c r="O905" s="241">
        <f>RESUMEN!$C$4</f>
        <v>44561</v>
      </c>
      <c r="P905" s="233">
        <v>2021</v>
      </c>
      <c r="Q905" s="233"/>
    </row>
    <row r="906" spans="1:17" ht="15.75" customHeight="1">
      <c r="A906" s="238" t="s">
        <v>51</v>
      </c>
      <c r="B906" s="238" t="s">
        <v>52</v>
      </c>
      <c r="C906" s="233" t="s">
        <v>78</v>
      </c>
      <c r="D906" s="233" t="s">
        <v>79</v>
      </c>
      <c r="E906" s="243" t="str">
        <f>'CUOTA INDUSTRIAL'!C41</f>
        <v>NORDIO LTDA. SOC.</v>
      </c>
      <c r="F906" s="238" t="s">
        <v>54</v>
      </c>
      <c r="G906" s="238" t="s">
        <v>58</v>
      </c>
      <c r="H906" s="253">
        <f>'CUOTA INDUSTRIAL'!K41</f>
        <v>100.15650000000001</v>
      </c>
      <c r="I906" s="253">
        <f>'CUOTA INDUSTRIAL'!L41</f>
        <v>-100.157</v>
      </c>
      <c r="J906" s="253">
        <f>'CUOTA INDUSTRIAL'!M41</f>
        <v>-4.9999999998817657E-4</v>
      </c>
      <c r="K906" s="253">
        <f>'CUOTA INDUSTRIAL'!N41</f>
        <v>0</v>
      </c>
      <c r="L906" s="253">
        <f>'CUOTA INDUSTRIAL'!O41</f>
        <v>-4.9999999998817657E-4</v>
      </c>
      <c r="M906" s="253">
        <f>'CUOTA INDUSTRIAL'!P41</f>
        <v>0</v>
      </c>
      <c r="N906" s="245" t="s">
        <v>218</v>
      </c>
      <c r="O906" s="241">
        <f>RESUMEN!$C$4</f>
        <v>44561</v>
      </c>
      <c r="P906" s="233">
        <v>2021</v>
      </c>
      <c r="Q906" s="233"/>
    </row>
    <row r="907" spans="1:17" ht="15.75" customHeight="1">
      <c r="A907" s="238" t="s">
        <v>51</v>
      </c>
      <c r="B907" s="238" t="s">
        <v>52</v>
      </c>
      <c r="C907" s="233" t="s">
        <v>78</v>
      </c>
      <c r="D907" s="233" t="s">
        <v>79</v>
      </c>
      <c r="E907" s="243" t="str">
        <f>'CUOTA INDUSTRIAL'!C43</f>
        <v>ORIZON S.A.</v>
      </c>
      <c r="F907" s="238" t="s">
        <v>54</v>
      </c>
      <c r="G907" s="238" t="s">
        <v>57</v>
      </c>
      <c r="H907" s="253">
        <f>'CUOTA INDUSTRIAL'!E43</f>
        <v>172.97489999999999</v>
      </c>
      <c r="I907" s="253">
        <f>'CUOTA INDUSTRIAL'!F43</f>
        <v>0</v>
      </c>
      <c r="J907" s="253">
        <f>'CUOTA INDUSTRIAL'!G43</f>
        <v>172.97489999999999</v>
      </c>
      <c r="K907" s="253">
        <f>'CUOTA INDUSTRIAL'!H43</f>
        <v>0</v>
      </c>
      <c r="L907" s="253">
        <f>'CUOTA INDUSTRIAL'!I43</f>
        <v>172.97489999999999</v>
      </c>
      <c r="M907" s="253">
        <f>'CUOTA INDUSTRIAL'!J43</f>
        <v>0</v>
      </c>
      <c r="N907" s="245" t="s">
        <v>218</v>
      </c>
      <c r="O907" s="241">
        <f>RESUMEN!$C$4</f>
        <v>44561</v>
      </c>
      <c r="P907" s="233">
        <v>2021</v>
      </c>
      <c r="Q907" s="233"/>
    </row>
    <row r="908" spans="1:17" ht="15.75" customHeight="1">
      <c r="A908" s="238" t="s">
        <v>51</v>
      </c>
      <c r="B908" s="238" t="s">
        <v>52</v>
      </c>
      <c r="C908" s="233" t="s">
        <v>78</v>
      </c>
      <c r="D908" s="233" t="s">
        <v>79</v>
      </c>
      <c r="E908" s="243" t="str">
        <f>'CUOTA INDUSTRIAL'!C43</f>
        <v>ORIZON S.A.</v>
      </c>
      <c r="F908" s="243" t="s">
        <v>62</v>
      </c>
      <c r="G908" s="238" t="s">
        <v>58</v>
      </c>
      <c r="H908" s="253">
        <f>'CUOTA INDUSTRIAL'!E44</f>
        <v>57.658299999999997</v>
      </c>
      <c r="I908" s="253">
        <f>'CUOTA INDUSTRIAL'!F44</f>
        <v>0</v>
      </c>
      <c r="J908" s="253">
        <f>'CUOTA INDUSTRIAL'!G44</f>
        <v>230.63319999999999</v>
      </c>
      <c r="K908" s="253">
        <f>'CUOTA INDUSTRIAL'!H44</f>
        <v>0</v>
      </c>
      <c r="L908" s="253">
        <f>'CUOTA INDUSTRIAL'!I44</f>
        <v>230.63319999999999</v>
      </c>
      <c r="M908" s="253">
        <f>'CUOTA INDUSTRIAL'!J44</f>
        <v>0</v>
      </c>
      <c r="N908" s="245" t="s">
        <v>218</v>
      </c>
      <c r="O908" s="241">
        <f>RESUMEN!$C$4</f>
        <v>44561</v>
      </c>
      <c r="P908" s="233">
        <v>2021</v>
      </c>
      <c r="Q908" s="233"/>
    </row>
    <row r="909" spans="1:17" ht="15.75" customHeight="1">
      <c r="A909" s="238" t="s">
        <v>51</v>
      </c>
      <c r="B909" s="238" t="s">
        <v>52</v>
      </c>
      <c r="C909" s="233" t="s">
        <v>78</v>
      </c>
      <c r="D909" s="233" t="s">
        <v>79</v>
      </c>
      <c r="E909" s="243" t="str">
        <f>'CUOTA INDUSTRIAL'!C43</f>
        <v>ORIZON S.A.</v>
      </c>
      <c r="F909" s="238" t="s">
        <v>54</v>
      </c>
      <c r="G909" s="238" t="s">
        <v>58</v>
      </c>
      <c r="H909" s="253">
        <f>'CUOTA INDUSTRIAL'!K43</f>
        <v>230.63319999999999</v>
      </c>
      <c r="I909" s="253">
        <f>'CUOTA INDUSTRIAL'!L43</f>
        <v>0</v>
      </c>
      <c r="J909" s="253">
        <f>'CUOTA INDUSTRIAL'!M43</f>
        <v>230.63319999999999</v>
      </c>
      <c r="K909" s="253">
        <f>'CUOTA INDUSTRIAL'!N43</f>
        <v>0</v>
      </c>
      <c r="L909" s="253">
        <f>'CUOTA INDUSTRIAL'!O43</f>
        <v>230.63319999999999</v>
      </c>
      <c r="M909" s="253">
        <f>'CUOTA INDUSTRIAL'!P43</f>
        <v>0</v>
      </c>
      <c r="N909" s="245" t="s">
        <v>218</v>
      </c>
      <c r="O909" s="241">
        <f>RESUMEN!$C$4</f>
        <v>44561</v>
      </c>
      <c r="P909" s="233">
        <v>2021</v>
      </c>
      <c r="Q909" s="233"/>
    </row>
    <row r="910" spans="1:17" ht="15.75" customHeight="1">
      <c r="A910" s="238" t="s">
        <v>51</v>
      </c>
      <c r="B910" s="238" t="s">
        <v>52</v>
      </c>
      <c r="C910" s="233" t="s">
        <v>78</v>
      </c>
      <c r="D910" s="233" t="s">
        <v>79</v>
      </c>
      <c r="E910" s="243" t="str">
        <f>'CUOTA INDUSTRIAL'!C45</f>
        <v>PACIFICBLU SpA.</v>
      </c>
      <c r="F910" s="238" t="s">
        <v>54</v>
      </c>
      <c r="G910" s="238" t="s">
        <v>57</v>
      </c>
      <c r="H910" s="253">
        <f>'CUOTA INDUSTRIAL'!E45</f>
        <v>11513.036099999999</v>
      </c>
      <c r="I910" s="253">
        <f>'CUOTA INDUSTRIAL'!F45</f>
        <v>-561.85500000000002</v>
      </c>
      <c r="J910" s="253">
        <f>'CUOTA INDUSTRIAL'!G45</f>
        <v>10951.1811</v>
      </c>
      <c r="K910" s="253">
        <f>'CUOTA INDUSTRIAL'!H45</f>
        <v>9498.4169999999995</v>
      </c>
      <c r="L910" s="253">
        <f>'CUOTA INDUSTRIAL'!I45</f>
        <v>1452.7641000000003</v>
      </c>
      <c r="M910" s="253">
        <f>'CUOTA INDUSTRIAL'!J45</f>
        <v>0.8673417883665534</v>
      </c>
      <c r="N910" s="245" t="s">
        <v>218</v>
      </c>
      <c r="O910" s="241">
        <f>RESUMEN!$C$4</f>
        <v>44561</v>
      </c>
      <c r="P910" s="233">
        <v>2021</v>
      </c>
      <c r="Q910" s="233"/>
    </row>
    <row r="911" spans="1:17" ht="15.75" customHeight="1">
      <c r="A911" s="238" t="s">
        <v>51</v>
      </c>
      <c r="B911" s="238" t="s">
        <v>52</v>
      </c>
      <c r="C911" s="233" t="s">
        <v>78</v>
      </c>
      <c r="D911" s="233" t="s">
        <v>79</v>
      </c>
      <c r="E911" s="243" t="str">
        <f>'CUOTA INDUSTRIAL'!C45</f>
        <v>PACIFICBLU SpA.</v>
      </c>
      <c r="F911" s="243" t="s">
        <v>62</v>
      </c>
      <c r="G911" s="238" t="s">
        <v>58</v>
      </c>
      <c r="H911" s="253">
        <f>'CUOTA INDUSTRIAL'!E46</f>
        <v>3837.6790999999998</v>
      </c>
      <c r="I911" s="253">
        <f>'CUOTA INDUSTRIAL'!F46</f>
        <v>672.67499999999995</v>
      </c>
      <c r="J911" s="253">
        <f>'CUOTA INDUSTRIAL'!G46</f>
        <v>5963.1181999999999</v>
      </c>
      <c r="K911" s="253">
        <f>'CUOTA INDUSTRIAL'!H46</f>
        <v>5963.1180000000004</v>
      </c>
      <c r="L911" s="253">
        <f>'CUOTA INDUSTRIAL'!I46</f>
        <v>1.9999999949504854E-4</v>
      </c>
      <c r="M911" s="253">
        <f>'CUOTA INDUSTRIAL'!J46</f>
        <v>0.9999999664605006</v>
      </c>
      <c r="N911" s="245" t="s">
        <v>218</v>
      </c>
      <c r="O911" s="241">
        <f>RESUMEN!$C$4</f>
        <v>44561</v>
      </c>
      <c r="P911" s="233">
        <v>2021</v>
      </c>
      <c r="Q911" s="233"/>
    </row>
    <row r="912" spans="1:17" ht="15.75" customHeight="1">
      <c r="A912" s="238" t="s">
        <v>51</v>
      </c>
      <c r="B912" s="238" t="s">
        <v>52</v>
      </c>
      <c r="C912" s="233" t="s">
        <v>78</v>
      </c>
      <c r="D912" s="233" t="s">
        <v>79</v>
      </c>
      <c r="E912" s="243" t="str">
        <f>'CUOTA INDUSTRIAL'!C45</f>
        <v>PACIFICBLU SpA.</v>
      </c>
      <c r="F912" s="238" t="s">
        <v>54</v>
      </c>
      <c r="G912" s="238" t="s">
        <v>58</v>
      </c>
      <c r="H912" s="253">
        <f>'CUOTA INDUSTRIAL'!K45</f>
        <v>15350.715199999999</v>
      </c>
      <c r="I912" s="253">
        <f>'CUOTA INDUSTRIAL'!L45</f>
        <v>110.81999999999994</v>
      </c>
      <c r="J912" s="253">
        <f>'CUOTA INDUSTRIAL'!M45</f>
        <v>15461.535199999998</v>
      </c>
      <c r="K912" s="253">
        <f>'CUOTA INDUSTRIAL'!N45</f>
        <v>15461.535</v>
      </c>
      <c r="L912" s="253">
        <f>'CUOTA INDUSTRIAL'!O45</f>
        <v>1.9999999858555384E-4</v>
      </c>
      <c r="M912" s="253">
        <f>'CUOTA INDUSTRIAL'!P45</f>
        <v>0.99999998706467397</v>
      </c>
      <c r="N912" s="245" t="s">
        <v>218</v>
      </c>
      <c r="O912" s="241">
        <f>RESUMEN!$C$4</f>
        <v>44561</v>
      </c>
      <c r="P912" s="233">
        <v>2021</v>
      </c>
      <c r="Q912" s="233"/>
    </row>
    <row r="913" spans="1:17" ht="15.75" customHeight="1">
      <c r="A913" s="238" t="s">
        <v>51</v>
      </c>
      <c r="B913" s="238" t="s">
        <v>52</v>
      </c>
      <c r="C913" s="233" t="s">
        <v>78</v>
      </c>
      <c r="D913" s="243" t="s">
        <v>79</v>
      </c>
      <c r="E913" s="243" t="str">
        <f>'CUOTA INDUSTRIAL'!C47</f>
        <v>QUINTERO S.A. PESQ.</v>
      </c>
      <c r="F913" s="238" t="s">
        <v>54</v>
      </c>
      <c r="G913" s="238" t="s">
        <v>57</v>
      </c>
      <c r="H913" s="253">
        <f>'CUOTA INDUSTRIAL'!E47</f>
        <v>27.283200000000001</v>
      </c>
      <c r="I913" s="253">
        <f>'CUOTA INDUSTRIAL'!F47</f>
        <v>0</v>
      </c>
      <c r="J913" s="253">
        <f>'CUOTA INDUSTRIAL'!G47</f>
        <v>27.283200000000001</v>
      </c>
      <c r="K913" s="253">
        <f>'CUOTA INDUSTRIAL'!H47</f>
        <v>4.7729999999999997</v>
      </c>
      <c r="L913" s="253">
        <f>'CUOTA INDUSTRIAL'!I47</f>
        <v>22.510200000000001</v>
      </c>
      <c r="M913" s="253">
        <f>'CUOTA INDUSTRIAL'!J47</f>
        <v>0.17494282195636873</v>
      </c>
      <c r="N913" s="245" t="s">
        <v>218</v>
      </c>
      <c r="O913" s="241">
        <f>RESUMEN!$C$4</f>
        <v>44561</v>
      </c>
      <c r="P913" s="233">
        <v>2021</v>
      </c>
      <c r="Q913" s="233"/>
    </row>
    <row r="914" spans="1:17" ht="15.75" customHeight="1">
      <c r="A914" s="238" t="s">
        <v>51</v>
      </c>
      <c r="B914" s="238" t="s">
        <v>52</v>
      </c>
      <c r="C914" s="233" t="s">
        <v>78</v>
      </c>
      <c r="D914" s="233" t="s">
        <v>79</v>
      </c>
      <c r="E914" s="243" t="str">
        <f>'CUOTA INDUSTRIAL'!C47</f>
        <v>QUINTERO S.A. PESQ.</v>
      </c>
      <c r="F914" s="243" t="s">
        <v>62</v>
      </c>
      <c r="G914" s="238" t="s">
        <v>58</v>
      </c>
      <c r="H914" s="253">
        <f>'CUOTA INDUSTRIAL'!E48</f>
        <v>9.0944000000000003</v>
      </c>
      <c r="I914" s="253">
        <f>'CUOTA INDUSTRIAL'!F48</f>
        <v>0</v>
      </c>
      <c r="J914" s="253">
        <f>'CUOTA INDUSTRIAL'!G48</f>
        <v>31.604600000000001</v>
      </c>
      <c r="K914" s="253">
        <f>'CUOTA INDUSTRIAL'!H48</f>
        <v>6.4660000000000002</v>
      </c>
      <c r="L914" s="253">
        <f>'CUOTA INDUSTRIAL'!I48</f>
        <v>25.1386</v>
      </c>
      <c r="M914" s="253">
        <f>'CUOTA INDUSTRIAL'!J48</f>
        <v>0.20459047100738501</v>
      </c>
      <c r="N914" s="245" t="s">
        <v>218</v>
      </c>
      <c r="O914" s="241">
        <f>RESUMEN!$C$4</f>
        <v>44561</v>
      </c>
      <c r="P914" s="233">
        <v>2021</v>
      </c>
      <c r="Q914" s="233"/>
    </row>
    <row r="915" spans="1:17" ht="15.75" customHeight="1">
      <c r="A915" s="238" t="s">
        <v>51</v>
      </c>
      <c r="B915" s="238" t="s">
        <v>52</v>
      </c>
      <c r="C915" s="233" t="s">
        <v>78</v>
      </c>
      <c r="D915" s="233" t="s">
        <v>79</v>
      </c>
      <c r="E915" s="243" t="str">
        <f>'CUOTA INDUSTRIAL'!C47</f>
        <v>QUINTERO S.A. PESQ.</v>
      </c>
      <c r="F915" s="238" t="s">
        <v>54</v>
      </c>
      <c r="G915" s="238" t="s">
        <v>58</v>
      </c>
      <c r="H915" s="253">
        <f>'CUOTA INDUSTRIAL'!K47</f>
        <v>36.377600000000001</v>
      </c>
      <c r="I915" s="253">
        <f>'CUOTA INDUSTRIAL'!L47</f>
        <v>0</v>
      </c>
      <c r="J915" s="253">
        <f>'CUOTA INDUSTRIAL'!M47</f>
        <v>36.377600000000001</v>
      </c>
      <c r="K915" s="253">
        <f>'CUOTA INDUSTRIAL'!N47</f>
        <v>11.239000000000001</v>
      </c>
      <c r="L915" s="253">
        <f>'CUOTA INDUSTRIAL'!O47</f>
        <v>25.1386</v>
      </c>
      <c r="M915" s="253">
        <f>'CUOTA INDUSTRIAL'!P47</f>
        <v>0.30895386171710065</v>
      </c>
      <c r="N915" s="245" t="s">
        <v>218</v>
      </c>
      <c r="O915" s="241">
        <f>RESUMEN!$C$4</f>
        <v>44561</v>
      </c>
      <c r="P915" s="233">
        <v>2021</v>
      </c>
      <c r="Q915" s="233"/>
    </row>
    <row r="916" spans="1:17" ht="15.75" customHeight="1">
      <c r="A916" s="238" t="s">
        <v>51</v>
      </c>
      <c r="B916" s="238" t="s">
        <v>52</v>
      </c>
      <c r="C916" s="233" t="s">
        <v>78</v>
      </c>
      <c r="D916" s="233" t="s">
        <v>79</v>
      </c>
      <c r="E916" s="248" t="str">
        <f>'CUOTA INDUSTRIAL'!C49</f>
        <v>RUBIO Y MAUAD LTDA</v>
      </c>
      <c r="F916" s="238" t="s">
        <v>54</v>
      </c>
      <c r="G916" s="238" t="s">
        <v>57</v>
      </c>
      <c r="H916" s="253">
        <f>'CUOTA INDUSTRIAL'!E49</f>
        <v>23.272099999999998</v>
      </c>
      <c r="I916" s="253">
        <f>'CUOTA INDUSTRIAL'!F49</f>
        <v>0</v>
      </c>
      <c r="J916" s="253">
        <f>'CUOTA INDUSTRIAL'!G49</f>
        <v>23.272099999999998</v>
      </c>
      <c r="K916" s="253">
        <f>'CUOTA INDUSTRIAL'!H49</f>
        <v>0</v>
      </c>
      <c r="L916" s="253">
        <f>'CUOTA INDUSTRIAL'!I49</f>
        <v>23.272099999999998</v>
      </c>
      <c r="M916" s="253">
        <f>'CUOTA INDUSTRIAL'!J49</f>
        <v>0</v>
      </c>
      <c r="N916" s="245" t="s">
        <v>218</v>
      </c>
      <c r="O916" s="241">
        <f>RESUMEN!$C$4</f>
        <v>44561</v>
      </c>
      <c r="P916" s="233">
        <v>2022</v>
      </c>
      <c r="Q916" s="233"/>
    </row>
    <row r="917" spans="1:17" ht="15.75" customHeight="1">
      <c r="A917" s="238" t="s">
        <v>51</v>
      </c>
      <c r="B917" s="238" t="s">
        <v>52</v>
      </c>
      <c r="C917" s="233" t="s">
        <v>78</v>
      </c>
      <c r="D917" s="233" t="s">
        <v>79</v>
      </c>
      <c r="E917" s="248" t="str">
        <f>'CUOTA INDUSTRIAL'!C49</f>
        <v>RUBIO Y MAUAD LTDA</v>
      </c>
      <c r="F917" s="243" t="s">
        <v>62</v>
      </c>
      <c r="G917" s="238" t="s">
        <v>58</v>
      </c>
      <c r="H917" s="253">
        <f>'CUOTA INDUSTRIAL'!E50</f>
        <v>7.7573999999999996</v>
      </c>
      <c r="I917" s="253">
        <f>'CUOTA INDUSTRIAL'!F50</f>
        <v>0</v>
      </c>
      <c r="J917" s="253">
        <f>'CUOTA INDUSTRIAL'!G50</f>
        <v>31.029499999999999</v>
      </c>
      <c r="K917" s="253">
        <f>'CUOTA INDUSTRIAL'!H50</f>
        <v>0</v>
      </c>
      <c r="L917" s="253">
        <f>'CUOTA INDUSTRIAL'!I50</f>
        <v>31.029499999999999</v>
      </c>
      <c r="M917" s="253">
        <f>'CUOTA INDUSTRIAL'!J50</f>
        <v>0</v>
      </c>
      <c r="N917" s="245" t="s">
        <v>218</v>
      </c>
      <c r="O917" s="241">
        <f>RESUMEN!$C$4</f>
        <v>44561</v>
      </c>
      <c r="P917" s="233">
        <v>2023</v>
      </c>
      <c r="Q917" s="233"/>
    </row>
    <row r="918" spans="1:17" ht="15.75" customHeight="1">
      <c r="A918" s="238" t="s">
        <v>51</v>
      </c>
      <c r="B918" s="238" t="s">
        <v>52</v>
      </c>
      <c r="C918" s="233" t="s">
        <v>78</v>
      </c>
      <c r="D918" s="233" t="s">
        <v>79</v>
      </c>
      <c r="E918" s="248" t="str">
        <f>'CUOTA INDUSTRIAL'!C49</f>
        <v>RUBIO Y MAUAD LTDA</v>
      </c>
      <c r="F918" s="238" t="s">
        <v>54</v>
      </c>
      <c r="G918" s="238" t="s">
        <v>58</v>
      </c>
      <c r="H918" s="253">
        <f>'CUOTA INDUSTRIAL'!K49</f>
        <v>31.029499999999999</v>
      </c>
      <c r="I918" s="253">
        <f>'CUOTA INDUSTRIAL'!L49</f>
        <v>0</v>
      </c>
      <c r="J918" s="253">
        <f>'CUOTA INDUSTRIAL'!M49</f>
        <v>31.029499999999999</v>
      </c>
      <c r="K918" s="253">
        <f>'CUOTA INDUSTRIAL'!N49</f>
        <v>0</v>
      </c>
      <c r="L918" s="253">
        <f>'CUOTA INDUSTRIAL'!O49</f>
        <v>31.029499999999999</v>
      </c>
      <c r="M918" s="253">
        <f>'CUOTA INDUSTRIAL'!P49</f>
        <v>0</v>
      </c>
      <c r="N918" s="245" t="s">
        <v>218</v>
      </c>
      <c r="O918" s="241">
        <f>RESUMEN!$C$4</f>
        <v>44561</v>
      </c>
      <c r="P918" s="233">
        <v>2024</v>
      </c>
      <c r="Q918" s="233"/>
    </row>
    <row r="919" spans="1:17" ht="15.75" customHeight="1">
      <c r="A919" s="238" t="s">
        <v>51</v>
      </c>
      <c r="B919" s="238" t="s">
        <v>52</v>
      </c>
      <c r="C919" s="233" t="s">
        <v>78</v>
      </c>
      <c r="D919" s="233" t="s">
        <v>79</v>
      </c>
      <c r="E919" s="248" t="str">
        <f>'CUOTA INDUSTRIAL'!C51</f>
        <v>SUR AUSTRAL S.A</v>
      </c>
      <c r="F919" s="238" t="s">
        <v>54</v>
      </c>
      <c r="G919" s="238" t="s">
        <v>57</v>
      </c>
      <c r="H919" s="253">
        <f>'CUOTA INDUSTRIAL'!E51</f>
        <v>0.56520000000000004</v>
      </c>
      <c r="I919" s="253">
        <f>'CUOTA INDUSTRIAL'!F51</f>
        <v>0</v>
      </c>
      <c r="J919" s="253">
        <f>'CUOTA INDUSTRIAL'!G51</f>
        <v>0.56520000000000004</v>
      </c>
      <c r="K919" s="253">
        <f>'CUOTA INDUSTRIAL'!H51</f>
        <v>0</v>
      </c>
      <c r="L919" s="253">
        <f>'CUOTA INDUSTRIAL'!I51</f>
        <v>0.56520000000000004</v>
      </c>
      <c r="M919" s="253">
        <f>'CUOTA INDUSTRIAL'!J51</f>
        <v>0</v>
      </c>
      <c r="N919" s="245" t="s">
        <v>218</v>
      </c>
      <c r="O919" s="241">
        <f>RESUMEN!$C$4</f>
        <v>44561</v>
      </c>
      <c r="P919" s="233">
        <v>2025</v>
      </c>
      <c r="Q919" s="233"/>
    </row>
    <row r="920" spans="1:17" ht="15.75" customHeight="1">
      <c r="A920" s="238" t="s">
        <v>51</v>
      </c>
      <c r="B920" s="238" t="s">
        <v>52</v>
      </c>
      <c r="C920" s="233" t="s">
        <v>78</v>
      </c>
      <c r="D920" s="233" t="s">
        <v>79</v>
      </c>
      <c r="E920" s="248" t="str">
        <f>'CUOTA INDUSTRIAL'!C51</f>
        <v>SUR AUSTRAL S.A</v>
      </c>
      <c r="F920" s="243" t="s">
        <v>62</v>
      </c>
      <c r="G920" s="238" t="s">
        <v>58</v>
      </c>
      <c r="H920" s="253">
        <f>'CUOTA INDUSTRIAL'!E52</f>
        <v>0.18840000000000001</v>
      </c>
      <c r="I920" s="253">
        <f>'CUOTA INDUSTRIAL'!F52</f>
        <v>0</v>
      </c>
      <c r="J920" s="253">
        <f>'CUOTA INDUSTRIAL'!G52</f>
        <v>0.75360000000000005</v>
      </c>
      <c r="K920" s="253">
        <f>'CUOTA INDUSTRIAL'!H52</f>
        <v>0.109</v>
      </c>
      <c r="L920" s="253">
        <f>'CUOTA INDUSTRIAL'!I52</f>
        <v>0.64460000000000006</v>
      </c>
      <c r="M920" s="253">
        <f>'CUOTA INDUSTRIAL'!J52</f>
        <v>0.14463906581740976</v>
      </c>
      <c r="N920" s="245" t="s">
        <v>218</v>
      </c>
      <c r="O920" s="241">
        <f>RESUMEN!$C$4</f>
        <v>44561</v>
      </c>
      <c r="P920" s="233">
        <v>2026</v>
      </c>
      <c r="Q920" s="233"/>
    </row>
    <row r="921" spans="1:17" ht="15.75" customHeight="1">
      <c r="A921" s="238" t="s">
        <v>51</v>
      </c>
      <c r="B921" s="238" t="s">
        <v>52</v>
      </c>
      <c r="C921" s="233" t="s">
        <v>78</v>
      </c>
      <c r="D921" s="233" t="s">
        <v>79</v>
      </c>
      <c r="E921" s="248" t="str">
        <f>'CUOTA INDUSTRIAL'!C51</f>
        <v>SUR AUSTRAL S.A</v>
      </c>
      <c r="F921" s="238" t="s">
        <v>54</v>
      </c>
      <c r="G921" s="238" t="s">
        <v>58</v>
      </c>
      <c r="H921" s="253">
        <f>'CUOTA INDUSTRIAL'!K51</f>
        <v>0.75360000000000005</v>
      </c>
      <c r="I921" s="253">
        <f>'CUOTA INDUSTRIAL'!L51</f>
        <v>0</v>
      </c>
      <c r="J921" s="253">
        <f>'CUOTA INDUSTRIAL'!M51</f>
        <v>0.75360000000000005</v>
      </c>
      <c r="K921" s="253">
        <f>'CUOTA INDUSTRIAL'!N51</f>
        <v>0.109</v>
      </c>
      <c r="L921" s="253">
        <f>'CUOTA INDUSTRIAL'!O51</f>
        <v>0.64460000000000006</v>
      </c>
      <c r="M921" s="253">
        <f>'CUOTA INDUSTRIAL'!P51</f>
        <v>0.14463906581740976</v>
      </c>
      <c r="N921" s="245" t="s">
        <v>218</v>
      </c>
      <c r="O921" s="241">
        <f>RESUMEN!$C$4</f>
        <v>44561</v>
      </c>
      <c r="P921" s="233">
        <v>2027</v>
      </c>
      <c r="Q921" s="233"/>
    </row>
    <row r="922" spans="1:17" ht="15.75" customHeight="1">
      <c r="A922" s="238" t="s">
        <v>51</v>
      </c>
      <c r="B922" s="238" t="s">
        <v>52</v>
      </c>
      <c r="C922" s="233" t="s">
        <v>78</v>
      </c>
      <c r="D922" s="233" t="s">
        <v>79</v>
      </c>
      <c r="E922" s="248" t="str">
        <f>'CUOTA INDUSTRIAL'!C53</f>
        <v>JORGE COFRE TOLEDO</v>
      </c>
      <c r="F922" s="238" t="s">
        <v>54</v>
      </c>
      <c r="G922" s="238" t="s">
        <v>57</v>
      </c>
      <c r="H922" s="253">
        <f>'CUOTA INDUSTRIAL'!E53</f>
        <v>0</v>
      </c>
      <c r="I922" s="253">
        <f>'CUOTA INDUSTRIAL'!F53</f>
        <v>2.2160000000000002</v>
      </c>
      <c r="J922" s="253">
        <f>'CUOTA INDUSTRIAL'!G53</f>
        <v>2.2160000000000002</v>
      </c>
      <c r="K922" s="253">
        <f>'CUOTA INDUSTRIAL'!H53</f>
        <v>0</v>
      </c>
      <c r="L922" s="253">
        <f>'CUOTA INDUSTRIAL'!I53</f>
        <v>2.2160000000000002</v>
      </c>
      <c r="M922" s="253">
        <f>'CUOTA INDUSTRIAL'!J53</f>
        <v>0</v>
      </c>
      <c r="N922" s="245" t="s">
        <v>218</v>
      </c>
      <c r="O922" s="241">
        <f>RESUMEN!$C$4</f>
        <v>44561</v>
      </c>
      <c r="P922" s="233">
        <v>2028</v>
      </c>
      <c r="Q922" s="233"/>
    </row>
    <row r="923" spans="1:17" ht="15.75" customHeight="1">
      <c r="A923" s="238" t="s">
        <v>51</v>
      </c>
      <c r="B923" s="238" t="s">
        <v>52</v>
      </c>
      <c r="C923" s="233" t="s">
        <v>78</v>
      </c>
      <c r="D923" s="233" t="s">
        <v>79</v>
      </c>
      <c r="E923" s="248" t="str">
        <f>'CUOTA INDUSTRIAL'!C53</f>
        <v>JORGE COFRE TOLEDO</v>
      </c>
      <c r="F923" s="243" t="s">
        <v>62</v>
      </c>
      <c r="G923" s="238" t="s">
        <v>58</v>
      </c>
      <c r="H923" s="253">
        <f>'CUOTA INDUSTRIAL'!E54</f>
        <v>0</v>
      </c>
      <c r="I923" s="253">
        <f>'CUOTA INDUSTRIAL'!F54</f>
        <v>0</v>
      </c>
      <c r="J923" s="253">
        <f>'CUOTA INDUSTRIAL'!G54</f>
        <v>2.2160000000000002</v>
      </c>
      <c r="K923" s="253">
        <f>'CUOTA INDUSTRIAL'!H54</f>
        <v>0.193</v>
      </c>
      <c r="L923" s="253">
        <f>'CUOTA INDUSTRIAL'!I54</f>
        <v>2.0230000000000001</v>
      </c>
      <c r="M923" s="253">
        <f>'CUOTA INDUSTRIAL'!J54</f>
        <v>8.7093862815884465E-2</v>
      </c>
      <c r="N923" s="245" t="s">
        <v>218</v>
      </c>
      <c r="O923" s="241">
        <f>RESUMEN!$C$4</f>
        <v>44561</v>
      </c>
      <c r="P923" s="233">
        <v>2029</v>
      </c>
      <c r="Q923" s="233"/>
    </row>
    <row r="924" spans="1:17" ht="15.75" customHeight="1">
      <c r="A924" s="238" t="s">
        <v>51</v>
      </c>
      <c r="B924" s="238" t="s">
        <v>52</v>
      </c>
      <c r="C924" s="233" t="s">
        <v>78</v>
      </c>
      <c r="D924" s="233" t="s">
        <v>79</v>
      </c>
      <c r="E924" s="248" t="str">
        <f>'CUOTA INDUSTRIAL'!C53</f>
        <v>JORGE COFRE TOLEDO</v>
      </c>
      <c r="F924" s="238" t="s">
        <v>54</v>
      </c>
      <c r="G924" s="238" t="s">
        <v>58</v>
      </c>
      <c r="H924" s="253">
        <f>'CUOTA INDUSTRIAL'!K53</f>
        <v>0</v>
      </c>
      <c r="I924" s="253">
        <f>'CUOTA INDUSTRIAL'!L53</f>
        <v>2.2160000000000002</v>
      </c>
      <c r="J924" s="253">
        <f>'CUOTA INDUSTRIAL'!M53</f>
        <v>2.2160000000000002</v>
      </c>
      <c r="K924" s="253">
        <f>'CUOTA INDUSTRIAL'!N53</f>
        <v>0.193</v>
      </c>
      <c r="L924" s="253">
        <f>'CUOTA INDUSTRIAL'!O53</f>
        <v>2.0230000000000001</v>
      </c>
      <c r="M924" s="253">
        <f>'CUOTA INDUSTRIAL'!P53</f>
        <v>8.7093862815884465E-2</v>
      </c>
      <c r="N924" s="245" t="s">
        <v>218</v>
      </c>
      <c r="O924" s="241">
        <f>RESUMEN!$C$4</f>
        <v>44561</v>
      </c>
      <c r="P924" s="233">
        <v>2030</v>
      </c>
      <c r="Q924" s="233"/>
    </row>
    <row r="925" spans="1:17" ht="15.75" customHeight="1">
      <c r="A925" s="238" t="s">
        <v>51</v>
      </c>
      <c r="B925" s="238" t="s">
        <v>52</v>
      </c>
      <c r="C925" s="233" t="s">
        <v>78</v>
      </c>
      <c r="D925" s="233" t="s">
        <v>79</v>
      </c>
      <c r="E925" s="248" t="str">
        <f>'CUOTA INDUSTRIAL'!C55</f>
        <v>COMERCIALIZADORA SIMON SEAFOOD LTDA.</v>
      </c>
      <c r="F925" s="238" t="s">
        <v>54</v>
      </c>
      <c r="G925" s="238" t="s">
        <v>57</v>
      </c>
      <c r="H925" s="253">
        <f>'CUOTA INDUSTRIAL'!E55</f>
        <v>83.114699999999999</v>
      </c>
      <c r="I925" s="253">
        <f>'CUOTA INDUSTRIAL'!F55</f>
        <v>1142.6610000000001</v>
      </c>
      <c r="J925" s="253">
        <f>'CUOTA INDUSTRIAL'!G55</f>
        <v>1225.7757000000001</v>
      </c>
      <c r="K925" s="253">
        <f>'CUOTA INDUSTRIAL'!H55</f>
        <v>800.31899999999996</v>
      </c>
      <c r="L925" s="253">
        <f>'CUOTA INDUSTRIAL'!I55</f>
        <v>425.45670000000018</v>
      </c>
      <c r="M925" s="253">
        <f>'CUOTA INDUSTRIAL'!J55</f>
        <v>0.65290819519427568</v>
      </c>
      <c r="N925" s="245" t="s">
        <v>218</v>
      </c>
      <c r="O925" s="241">
        <f>RESUMEN!$C$4</f>
        <v>44561</v>
      </c>
      <c r="P925" s="233">
        <v>2031</v>
      </c>
      <c r="Q925" s="233"/>
    </row>
    <row r="926" spans="1:17" ht="15.75" customHeight="1">
      <c r="A926" s="238" t="s">
        <v>51</v>
      </c>
      <c r="B926" s="238" t="s">
        <v>52</v>
      </c>
      <c r="C926" s="233" t="s">
        <v>78</v>
      </c>
      <c r="D926" s="233" t="s">
        <v>79</v>
      </c>
      <c r="E926" s="248" t="str">
        <f>'CUOTA INDUSTRIAL'!C55</f>
        <v>COMERCIALIZADORA SIMON SEAFOOD LTDA.</v>
      </c>
      <c r="F926" s="243" t="s">
        <v>62</v>
      </c>
      <c r="G926" s="238" t="s">
        <v>58</v>
      </c>
      <c r="H926" s="253">
        <f>'CUOTA INDUSTRIAL'!E56</f>
        <v>27.704899999999999</v>
      </c>
      <c r="I926" s="253">
        <f>'CUOTA INDUSTRIAL'!F56</f>
        <v>52.475000000000001</v>
      </c>
      <c r="J926" s="253">
        <f>'CUOTA INDUSTRIAL'!G56</f>
        <v>505.63660000000016</v>
      </c>
      <c r="K926" s="253">
        <f>'CUOTA INDUSTRIAL'!H56</f>
        <v>484.34800000000001</v>
      </c>
      <c r="L926" s="253">
        <f>'CUOTA INDUSTRIAL'!I56</f>
        <v>21.288600000000145</v>
      </c>
      <c r="M926" s="253">
        <f>'CUOTA INDUSTRIAL'!J56</f>
        <v>0.95789743068440825</v>
      </c>
      <c r="N926" s="245" t="s">
        <v>218</v>
      </c>
      <c r="O926" s="241">
        <f>RESUMEN!$C$4</f>
        <v>44561</v>
      </c>
      <c r="P926" s="233">
        <v>2032</v>
      </c>
      <c r="Q926" s="233"/>
    </row>
    <row r="927" spans="1:17" ht="15.75" customHeight="1">
      <c r="A927" s="238" t="s">
        <v>51</v>
      </c>
      <c r="B927" s="238" t="s">
        <v>52</v>
      </c>
      <c r="C927" s="233" t="s">
        <v>78</v>
      </c>
      <c r="D927" s="233" t="s">
        <v>79</v>
      </c>
      <c r="E927" s="248" t="str">
        <f>'CUOTA INDUSTRIAL'!C55</f>
        <v>COMERCIALIZADORA SIMON SEAFOOD LTDA.</v>
      </c>
      <c r="F927" s="238" t="s">
        <v>54</v>
      </c>
      <c r="G927" s="238" t="s">
        <v>58</v>
      </c>
      <c r="H927" s="253">
        <f>'CUOTA INDUSTRIAL'!K55</f>
        <v>110.81959999999999</v>
      </c>
      <c r="I927" s="253">
        <f>'CUOTA INDUSTRIAL'!L55</f>
        <v>1195.136</v>
      </c>
      <c r="J927" s="253">
        <f>'CUOTA INDUSTRIAL'!M55</f>
        <v>1305.9556</v>
      </c>
      <c r="K927" s="253">
        <f>'CUOTA INDUSTRIAL'!N55</f>
        <v>1284.6669999999999</v>
      </c>
      <c r="L927" s="253">
        <f>'CUOTA INDUSTRIAL'!O55</f>
        <v>21.288600000000088</v>
      </c>
      <c r="M927" s="253">
        <f>'CUOTA INDUSTRIAL'!P55</f>
        <v>0.98369883325283025</v>
      </c>
      <c r="N927" s="245" t="s">
        <v>218</v>
      </c>
      <c r="O927" s="241">
        <f>RESUMEN!$C$4</f>
        <v>44561</v>
      </c>
      <c r="P927" s="233">
        <v>2033</v>
      </c>
      <c r="Q927" s="233"/>
    </row>
    <row r="928" spans="1:17" ht="15.75" customHeight="1">
      <c r="A928" s="238" t="s">
        <v>51</v>
      </c>
      <c r="B928" s="238" t="s">
        <v>52</v>
      </c>
      <c r="C928" s="233" t="s">
        <v>78</v>
      </c>
      <c r="D928" s="233" t="s">
        <v>79</v>
      </c>
      <c r="E928" s="248" t="str">
        <f>'CUOTA INDUSTRIAL'!C57</f>
        <v>PESQUERA CMK LTDA.</v>
      </c>
      <c r="F928" s="238" t="s">
        <v>54</v>
      </c>
      <c r="G928" s="238" t="s">
        <v>57</v>
      </c>
      <c r="H928" s="253">
        <f>'CUOTA INDUSTRIAL'!E57</f>
        <v>0</v>
      </c>
      <c r="I928" s="253">
        <f>'CUOTA INDUSTRIAL'!F57</f>
        <v>1.3298000000000001</v>
      </c>
      <c r="J928" s="253">
        <f>'CUOTA INDUSTRIAL'!G57</f>
        <v>1.3298000000000001</v>
      </c>
      <c r="K928" s="253">
        <f>'CUOTA INDUSTRIAL'!H57</f>
        <v>0.32600000000000001</v>
      </c>
      <c r="L928" s="253">
        <f>'CUOTA INDUSTRIAL'!I57</f>
        <v>1.0038</v>
      </c>
      <c r="M928" s="253">
        <f>'CUOTA INDUSTRIAL'!J57</f>
        <v>0.24514964656339297</v>
      </c>
      <c r="N928" s="245" t="s">
        <v>218</v>
      </c>
      <c r="O928" s="241">
        <f>RESUMEN!$C$4</f>
        <v>44561</v>
      </c>
      <c r="P928" s="233">
        <v>2034</v>
      </c>
      <c r="Q928" s="233"/>
    </row>
    <row r="929" spans="1:17" ht="15.75" customHeight="1">
      <c r="A929" s="238" t="s">
        <v>51</v>
      </c>
      <c r="B929" s="238" t="s">
        <v>52</v>
      </c>
      <c r="C929" s="233" t="s">
        <v>78</v>
      </c>
      <c r="D929" s="233" t="s">
        <v>79</v>
      </c>
      <c r="E929" s="248" t="str">
        <f>'CUOTA INDUSTRIAL'!C57</f>
        <v>PESQUERA CMK LTDA.</v>
      </c>
      <c r="F929" s="243" t="s">
        <v>62</v>
      </c>
      <c r="G929" s="238" t="s">
        <v>58</v>
      </c>
      <c r="H929" s="253">
        <f>'CUOTA INDUSTRIAL'!E58</f>
        <v>0</v>
      </c>
      <c r="I929" s="253">
        <f>'CUOTA INDUSTRIAL'!F58</f>
        <v>0</v>
      </c>
      <c r="J929" s="253">
        <f>'CUOTA INDUSTRIAL'!G58</f>
        <v>1.0038</v>
      </c>
      <c r="K929" s="253">
        <f>'CUOTA INDUSTRIAL'!H58</f>
        <v>9.4E-2</v>
      </c>
      <c r="L929" s="253">
        <f>'CUOTA INDUSTRIAL'!I58</f>
        <v>0.90980000000000005</v>
      </c>
      <c r="M929" s="253">
        <f>'CUOTA INDUSTRIAL'!J58</f>
        <v>9.3644152221558072E-2</v>
      </c>
      <c r="N929" s="245" t="s">
        <v>218</v>
      </c>
      <c r="O929" s="241">
        <f>RESUMEN!$C$4</f>
        <v>44561</v>
      </c>
      <c r="P929" s="233">
        <v>2035</v>
      </c>
      <c r="Q929" s="233"/>
    </row>
    <row r="930" spans="1:17" ht="15.75" customHeight="1">
      <c r="A930" s="238" t="s">
        <v>51</v>
      </c>
      <c r="B930" s="238" t="s">
        <v>52</v>
      </c>
      <c r="C930" s="233" t="s">
        <v>78</v>
      </c>
      <c r="D930" s="233" t="s">
        <v>79</v>
      </c>
      <c r="E930" s="248" t="str">
        <f>'CUOTA INDUSTRIAL'!C57</f>
        <v>PESQUERA CMK LTDA.</v>
      </c>
      <c r="F930" s="238" t="s">
        <v>54</v>
      </c>
      <c r="G930" s="238" t="s">
        <v>58</v>
      </c>
      <c r="H930" s="253">
        <f>'CUOTA INDUSTRIAL'!K57</f>
        <v>0</v>
      </c>
      <c r="I930" s="253">
        <f>'CUOTA INDUSTRIAL'!L57</f>
        <v>1.3298000000000001</v>
      </c>
      <c r="J930" s="253">
        <f>'CUOTA INDUSTRIAL'!M57</f>
        <v>1.3298000000000001</v>
      </c>
      <c r="K930" s="253">
        <f>'CUOTA INDUSTRIAL'!N57</f>
        <v>0.42000000000000004</v>
      </c>
      <c r="L930" s="253">
        <f>'CUOTA INDUSTRIAL'!O57</f>
        <v>0.90980000000000005</v>
      </c>
      <c r="M930" s="253">
        <f>'CUOTA INDUSTRIAL'!P57</f>
        <v>0.31583696796510752</v>
      </c>
      <c r="N930" s="245" t="s">
        <v>218</v>
      </c>
      <c r="O930" s="241">
        <f>RESUMEN!$C$4</f>
        <v>44561</v>
      </c>
      <c r="P930" s="233">
        <v>2036</v>
      </c>
      <c r="Q930" s="233"/>
    </row>
    <row r="931" spans="1:17" ht="15.75" customHeight="1">
      <c r="A931" s="238" t="s">
        <v>51</v>
      </c>
      <c r="B931" s="238" t="s">
        <v>52</v>
      </c>
      <c r="C931" s="233" t="s">
        <v>78</v>
      </c>
      <c r="D931" s="233" t="s">
        <v>79</v>
      </c>
      <c r="E931" s="248" t="str">
        <f>'CUOTA INDUSTRIAL'!C59</f>
        <v>PILAR DEL ROSARIO PLAZA ALFARO</v>
      </c>
      <c r="F931" s="238" t="s">
        <v>54</v>
      </c>
      <c r="G931" s="238" t="s">
        <v>57</v>
      </c>
      <c r="H931" s="253">
        <f>'CUOTA INDUSTRIAL'!E59</f>
        <v>249.34399999999999</v>
      </c>
      <c r="I931" s="253">
        <f>'CUOTA INDUSTRIAL'!F59</f>
        <v>131.33000000000001</v>
      </c>
      <c r="J931" s="253">
        <f>'CUOTA INDUSTRIAL'!G59</f>
        <v>380.67399999999998</v>
      </c>
      <c r="K931" s="253">
        <f>'CUOTA INDUSTRIAL'!H59</f>
        <v>0</v>
      </c>
      <c r="L931" s="253">
        <f>'CUOTA INDUSTRIAL'!I59</f>
        <v>380.67399999999998</v>
      </c>
      <c r="M931" s="253">
        <f>'CUOTA INDUSTRIAL'!J59</f>
        <v>0</v>
      </c>
      <c r="N931" s="245" t="s">
        <v>218</v>
      </c>
      <c r="O931" s="241">
        <f>RESUMEN!$C$4</f>
        <v>44561</v>
      </c>
      <c r="P931" s="233">
        <v>2037</v>
      </c>
      <c r="Q931" s="233"/>
    </row>
    <row r="932" spans="1:17" ht="15.75" customHeight="1">
      <c r="A932" s="238" t="s">
        <v>51</v>
      </c>
      <c r="B932" s="238" t="s">
        <v>52</v>
      </c>
      <c r="C932" s="233" t="s">
        <v>78</v>
      </c>
      <c r="D932" s="233" t="s">
        <v>79</v>
      </c>
      <c r="E932" s="248" t="str">
        <f>'CUOTA INDUSTRIAL'!C59</f>
        <v>PILAR DEL ROSARIO PLAZA ALFARO</v>
      </c>
      <c r="F932" s="243" t="s">
        <v>62</v>
      </c>
      <c r="G932" s="238" t="s">
        <v>58</v>
      </c>
      <c r="H932" s="253">
        <f>'CUOTA INDUSTRIAL'!E60</f>
        <v>83.114699999999999</v>
      </c>
      <c r="I932" s="253">
        <f>'CUOTA INDUSTRIAL'!F60</f>
        <v>-463.78899999999999</v>
      </c>
      <c r="J932" s="253">
        <f>'CUOTA INDUSTRIAL'!G60</f>
        <v>-3.0000000003838068E-4</v>
      </c>
      <c r="K932" s="253">
        <f>'CUOTA INDUSTRIAL'!H60</f>
        <v>0</v>
      </c>
      <c r="L932" s="253">
        <f>'CUOTA INDUSTRIAL'!I60</f>
        <v>-3.0000000003838068E-4</v>
      </c>
      <c r="M932" s="253">
        <f>'CUOTA INDUSTRIAL'!J60</f>
        <v>0</v>
      </c>
      <c r="N932" s="245" t="s">
        <v>218</v>
      </c>
      <c r="O932" s="241">
        <f>RESUMEN!$C$4</f>
        <v>44561</v>
      </c>
      <c r="P932" s="233">
        <v>2038</v>
      </c>
      <c r="Q932" s="233"/>
    </row>
    <row r="933" spans="1:17" ht="15.75" customHeight="1">
      <c r="A933" s="238" t="s">
        <v>51</v>
      </c>
      <c r="B933" s="238" t="s">
        <v>52</v>
      </c>
      <c r="C933" s="233" t="s">
        <v>78</v>
      </c>
      <c r="D933" s="233" t="s">
        <v>79</v>
      </c>
      <c r="E933" s="248" t="str">
        <f>'CUOTA INDUSTRIAL'!C59</f>
        <v>PILAR DEL ROSARIO PLAZA ALFARO</v>
      </c>
      <c r="F933" s="238" t="s">
        <v>54</v>
      </c>
      <c r="G933" s="238" t="s">
        <v>58</v>
      </c>
      <c r="H933" s="253">
        <f>'CUOTA INDUSTRIAL'!K59</f>
        <v>332.45870000000002</v>
      </c>
      <c r="I933" s="253">
        <f>'CUOTA INDUSTRIAL'!L59</f>
        <v>-332.45899999999995</v>
      </c>
      <c r="J933" s="253">
        <f>'CUOTA INDUSTRIAL'!M59</f>
        <v>-2.9999999992469384E-4</v>
      </c>
      <c r="K933" s="253">
        <f>'CUOTA INDUSTRIAL'!N59</f>
        <v>0</v>
      </c>
      <c r="L933" s="253">
        <f>'CUOTA INDUSTRIAL'!O59</f>
        <v>-2.9999999992469384E-4</v>
      </c>
      <c r="M933" s="253">
        <f>'CUOTA INDUSTRIAL'!P59</f>
        <v>0</v>
      </c>
      <c r="N933" s="245" t="s">
        <v>218</v>
      </c>
      <c r="O933" s="241">
        <f>RESUMEN!$C$4</f>
        <v>44561</v>
      </c>
      <c r="P933" s="233">
        <v>2039</v>
      </c>
      <c r="Q933" s="233"/>
    </row>
    <row r="934" spans="1:17" ht="15.75" customHeight="1">
      <c r="A934" s="238" t="s">
        <v>51</v>
      </c>
      <c r="B934" s="238" t="s">
        <v>52</v>
      </c>
      <c r="C934" s="233" t="s">
        <v>78</v>
      </c>
      <c r="D934" s="233" t="s">
        <v>79</v>
      </c>
      <c r="E934" s="248" t="str">
        <f>'CUOTA INDUSTRIAL'!C61</f>
        <v>SOCIEDAD PESQUERA NORDIOMAR SpA</v>
      </c>
      <c r="F934" s="238" t="s">
        <v>54</v>
      </c>
      <c r="G934" s="238" t="s">
        <v>57</v>
      </c>
      <c r="H934" s="253">
        <f>'CUOTA INDUSTRIAL'!E61</f>
        <v>0</v>
      </c>
      <c r="I934" s="253">
        <f>'CUOTA INDUSTRIAL'!F61</f>
        <v>352.39499999999998</v>
      </c>
      <c r="J934" s="253">
        <f>'CUOTA INDUSTRIAL'!G61</f>
        <v>352.39499999999998</v>
      </c>
      <c r="K934" s="253">
        <f>'CUOTA INDUSTRIAL'!H61</f>
        <v>0</v>
      </c>
      <c r="L934" s="253">
        <f>'CUOTA INDUSTRIAL'!I61</f>
        <v>352.39499999999998</v>
      </c>
      <c r="M934" s="253">
        <f>'CUOTA INDUSTRIAL'!J61</f>
        <v>0</v>
      </c>
      <c r="N934" s="245" t="s">
        <v>218</v>
      </c>
      <c r="O934" s="241">
        <f>RESUMEN!$C$4</f>
        <v>44561</v>
      </c>
      <c r="P934" s="233">
        <v>2040</v>
      </c>
      <c r="Q934" s="233"/>
    </row>
    <row r="935" spans="1:17" ht="15.75" customHeight="1">
      <c r="A935" s="238" t="s">
        <v>51</v>
      </c>
      <c r="B935" s="238" t="s">
        <v>52</v>
      </c>
      <c r="C935" s="233" t="s">
        <v>78</v>
      </c>
      <c r="D935" s="233" t="s">
        <v>79</v>
      </c>
      <c r="E935" s="248" t="str">
        <f>'CUOTA INDUSTRIAL'!C61</f>
        <v>SOCIEDAD PESQUERA NORDIOMAR SpA</v>
      </c>
      <c r="F935" s="243" t="s">
        <v>62</v>
      </c>
      <c r="G935" s="238" t="s">
        <v>58</v>
      </c>
      <c r="H935" s="253">
        <f>'CUOTA INDUSTRIAL'!E62</f>
        <v>0</v>
      </c>
      <c r="I935" s="253">
        <f>'CUOTA INDUSTRIAL'!F62</f>
        <v>427.72400000000005</v>
      </c>
      <c r="J935" s="253">
        <f>'CUOTA INDUSTRIAL'!G62</f>
        <v>780.11900000000003</v>
      </c>
      <c r="K935" s="253">
        <f>'CUOTA INDUSTRIAL'!H62</f>
        <v>684.76900000000001</v>
      </c>
      <c r="L935" s="253">
        <f>'CUOTA INDUSTRIAL'!I62</f>
        <v>95.350000000000023</v>
      </c>
      <c r="M935" s="253">
        <f>'CUOTA INDUSTRIAL'!J62</f>
        <v>0.87777505739508965</v>
      </c>
      <c r="N935" s="245" t="s">
        <v>218</v>
      </c>
      <c r="O935" s="241">
        <f>RESUMEN!$C$4</f>
        <v>44561</v>
      </c>
      <c r="P935" s="233">
        <v>2041</v>
      </c>
      <c r="Q935" s="233"/>
    </row>
    <row r="936" spans="1:17" ht="15.75" customHeight="1">
      <c r="A936" s="238" t="s">
        <v>51</v>
      </c>
      <c r="B936" s="238" t="s">
        <v>52</v>
      </c>
      <c r="C936" s="233" t="s">
        <v>78</v>
      </c>
      <c r="D936" s="233" t="s">
        <v>79</v>
      </c>
      <c r="E936" s="248" t="str">
        <f>'CUOTA INDUSTRIAL'!C61</f>
        <v>SOCIEDAD PESQUERA NORDIOMAR SpA</v>
      </c>
      <c r="F936" s="238" t="s">
        <v>54</v>
      </c>
      <c r="G936" s="238" t="s">
        <v>58</v>
      </c>
      <c r="H936" s="253">
        <f>'CUOTA INDUSTRIAL'!K61</f>
        <v>0</v>
      </c>
      <c r="I936" s="253">
        <f>'CUOTA INDUSTRIAL'!L61</f>
        <v>780.11900000000003</v>
      </c>
      <c r="J936" s="253">
        <f>'CUOTA INDUSTRIAL'!M61</f>
        <v>780.11900000000003</v>
      </c>
      <c r="K936" s="253">
        <f>'CUOTA INDUSTRIAL'!N61</f>
        <v>684.76900000000001</v>
      </c>
      <c r="L936" s="253">
        <f>'CUOTA INDUSTRIAL'!O61</f>
        <v>95.350000000000023</v>
      </c>
      <c r="M936" s="253">
        <f>'CUOTA INDUSTRIAL'!P61</f>
        <v>0.87777505739508965</v>
      </c>
      <c r="N936" s="245" t="s">
        <v>218</v>
      </c>
      <c r="O936" s="241">
        <f>RESUMEN!$C$4</f>
        <v>44561</v>
      </c>
      <c r="P936" s="233">
        <v>2042</v>
      </c>
      <c r="Q936" s="233"/>
    </row>
    <row r="937" spans="1:17" ht="15.75" customHeight="1">
      <c r="A937" s="238" t="s">
        <v>51</v>
      </c>
      <c r="B937" s="238" t="s">
        <v>52</v>
      </c>
      <c r="C937" s="233" t="s">
        <v>78</v>
      </c>
      <c r="D937" s="233" t="s">
        <v>79</v>
      </c>
      <c r="E937" s="249" t="str">
        <f>'CUOTA INDUSTRIAL'!C63</f>
        <v>MARIELA DE LOS ANGELES PINO LEIVA</v>
      </c>
      <c r="F937" s="238" t="s">
        <v>54</v>
      </c>
      <c r="G937" s="238" t="s">
        <v>57</v>
      </c>
      <c r="H937" s="253">
        <f>'CUOTA INDUSTRIAL'!E63</f>
        <v>249.34399999999999</v>
      </c>
      <c r="I937" s="253">
        <f>'CUOTA INDUSTRIAL'!F63</f>
        <v>0</v>
      </c>
      <c r="J937" s="253">
        <f>'CUOTA INDUSTRIAL'!G63</f>
        <v>249.34399999999999</v>
      </c>
      <c r="K937" s="253">
        <f>'CUOTA INDUSTRIAL'!H63</f>
        <v>0</v>
      </c>
      <c r="L937" s="253">
        <f>'CUOTA INDUSTRIAL'!I63</f>
        <v>249.34399999999999</v>
      </c>
      <c r="M937" s="253">
        <f>'CUOTA INDUSTRIAL'!J63</f>
        <v>0</v>
      </c>
      <c r="N937" s="245" t="s">
        <v>218</v>
      </c>
      <c r="O937" s="241">
        <f>RESUMEN!$C$4</f>
        <v>44561</v>
      </c>
      <c r="P937" s="233">
        <v>2021</v>
      </c>
      <c r="Q937" s="233"/>
    </row>
    <row r="938" spans="1:17" ht="15.75" customHeight="1">
      <c r="A938" s="238" t="s">
        <v>51</v>
      </c>
      <c r="B938" s="238" t="s">
        <v>52</v>
      </c>
      <c r="C938" s="233" t="s">
        <v>78</v>
      </c>
      <c r="D938" s="233" t="s">
        <v>79</v>
      </c>
      <c r="E938" s="249" t="str">
        <f>'CUOTA INDUSTRIAL'!C63</f>
        <v>MARIELA DE LOS ANGELES PINO LEIVA</v>
      </c>
      <c r="F938" s="243" t="s">
        <v>62</v>
      </c>
      <c r="G938" s="238" t="s">
        <v>58</v>
      </c>
      <c r="H938" s="253">
        <f>'CUOTA INDUSTRIAL'!E64</f>
        <v>83.114699999999999</v>
      </c>
      <c r="I938" s="253">
        <f>'CUOTA INDUSTRIAL'!F64</f>
        <v>-332.4588</v>
      </c>
      <c r="J938" s="253">
        <f>'CUOTA INDUSTRIAL'!G64</f>
        <v>-1.0000000000331966E-4</v>
      </c>
      <c r="K938" s="253">
        <f>'CUOTA INDUSTRIAL'!H64</f>
        <v>0</v>
      </c>
      <c r="L938" s="253">
        <f>'CUOTA INDUSTRIAL'!I64</f>
        <v>-1.0000000000331966E-4</v>
      </c>
      <c r="M938" s="253">
        <f>'CUOTA INDUSTRIAL'!J64</f>
        <v>0</v>
      </c>
      <c r="N938" s="245" t="s">
        <v>218</v>
      </c>
      <c r="O938" s="241">
        <f>RESUMEN!$C$4</f>
        <v>44561</v>
      </c>
      <c r="P938" s="233">
        <v>2021</v>
      </c>
      <c r="Q938" s="233"/>
    </row>
    <row r="939" spans="1:17" ht="15.75" customHeight="1">
      <c r="A939" s="238" t="s">
        <v>51</v>
      </c>
      <c r="B939" s="238" t="s">
        <v>52</v>
      </c>
      <c r="C939" s="233" t="s">
        <v>78</v>
      </c>
      <c r="D939" s="233" t="s">
        <v>79</v>
      </c>
      <c r="E939" s="249" t="str">
        <f>'CUOTA INDUSTRIAL'!C63</f>
        <v>MARIELA DE LOS ANGELES PINO LEIVA</v>
      </c>
      <c r="F939" s="238" t="s">
        <v>54</v>
      </c>
      <c r="G939" s="238" t="s">
        <v>58</v>
      </c>
      <c r="H939" s="253">
        <f>'CUOTA INDUSTRIAL'!K63</f>
        <v>332.45870000000002</v>
      </c>
      <c r="I939" s="253">
        <f>'CUOTA INDUSTRIAL'!L63</f>
        <v>-332.4588</v>
      </c>
      <c r="J939" s="253">
        <f>'CUOTA INDUSTRIAL'!M63</f>
        <v>-9.9999999974897946E-5</v>
      </c>
      <c r="K939" s="253">
        <f>'CUOTA INDUSTRIAL'!N63</f>
        <v>0</v>
      </c>
      <c r="L939" s="253">
        <f>'CUOTA INDUSTRIAL'!O63</f>
        <v>-9.9999999974897946E-5</v>
      </c>
      <c r="M939" s="253">
        <f>'CUOTA INDUSTRIAL'!P63</f>
        <v>0</v>
      </c>
      <c r="N939" s="245" t="s">
        <v>218</v>
      </c>
      <c r="O939" s="241">
        <f>RESUMEN!$C$4</f>
        <v>44561</v>
      </c>
      <c r="P939" s="233">
        <v>2021</v>
      </c>
      <c r="Q939" s="233"/>
    </row>
    <row r="940" spans="1:17" ht="15.75" customHeight="1">
      <c r="A940" s="238" t="s">
        <v>51</v>
      </c>
      <c r="B940" s="238" t="s">
        <v>52</v>
      </c>
      <c r="C940" s="233" t="s">
        <v>78</v>
      </c>
      <c r="D940" s="233" t="s">
        <v>79</v>
      </c>
      <c r="E940" s="249" t="s">
        <v>682</v>
      </c>
      <c r="F940" s="238" t="s">
        <v>54</v>
      </c>
      <c r="G940" s="238" t="s">
        <v>57</v>
      </c>
      <c r="H940" s="253">
        <f>'CUOTA INDUSTRIAL'!E65</f>
        <v>0</v>
      </c>
      <c r="I940" s="253">
        <f>'CUOTA INDUSTRIAL'!F65</f>
        <v>0</v>
      </c>
      <c r="J940" s="253">
        <f>'CUOTA INDUSTRIAL'!G65</f>
        <v>0</v>
      </c>
      <c r="K940" s="253">
        <f>'CUOTA INDUSTRIAL'!H65</f>
        <v>0</v>
      </c>
      <c r="L940" s="253">
        <f>'CUOTA INDUSTRIAL'!I65</f>
        <v>0</v>
      </c>
      <c r="M940" s="253" t="e">
        <f>'CUOTA INDUSTRIAL'!J65</f>
        <v>#DIV/0!</v>
      </c>
      <c r="N940" s="245" t="s">
        <v>218</v>
      </c>
      <c r="O940" s="241">
        <f>RESUMEN!$C$4</f>
        <v>44561</v>
      </c>
      <c r="P940" s="233">
        <v>2021</v>
      </c>
      <c r="Q940" s="233"/>
    </row>
    <row r="941" spans="1:17" ht="15.75" customHeight="1">
      <c r="A941" s="238" t="s">
        <v>51</v>
      </c>
      <c r="B941" s="238" t="s">
        <v>52</v>
      </c>
      <c r="C941" s="233" t="s">
        <v>78</v>
      </c>
      <c r="D941" s="233" t="s">
        <v>79</v>
      </c>
      <c r="E941" s="249" t="s">
        <v>682</v>
      </c>
      <c r="F941" s="243" t="s">
        <v>62</v>
      </c>
      <c r="G941" s="238" t="s">
        <v>58</v>
      </c>
      <c r="H941" s="253">
        <f>'CUOTA INDUSTRIAL'!E66</f>
        <v>0</v>
      </c>
      <c r="I941" s="253">
        <f>'CUOTA INDUSTRIAL'!F66</f>
        <v>155.16730999999999</v>
      </c>
      <c r="J941" s="253">
        <f>'CUOTA INDUSTRIAL'!G66</f>
        <v>155.16730999999999</v>
      </c>
      <c r="K941" s="253">
        <f>'CUOTA INDUSTRIAL'!H66</f>
        <v>0</v>
      </c>
      <c r="L941" s="253">
        <f>'CUOTA INDUSTRIAL'!I66</f>
        <v>155.16730999999999</v>
      </c>
      <c r="M941" s="253">
        <f>'CUOTA INDUSTRIAL'!J66</f>
        <v>0</v>
      </c>
      <c r="N941" s="245" t="s">
        <v>218</v>
      </c>
      <c r="O941" s="241">
        <f>RESUMEN!$C$4</f>
        <v>44561</v>
      </c>
      <c r="P941" s="233">
        <v>2021</v>
      </c>
      <c r="Q941" s="233"/>
    </row>
    <row r="942" spans="1:17" ht="15.75" customHeight="1">
      <c r="A942" s="238" t="s">
        <v>51</v>
      </c>
      <c r="B942" s="238" t="s">
        <v>52</v>
      </c>
      <c r="C942" s="233" t="s">
        <v>78</v>
      </c>
      <c r="D942" s="233" t="s">
        <v>79</v>
      </c>
      <c r="E942" s="249" t="s">
        <v>682</v>
      </c>
      <c r="F942" s="238" t="s">
        <v>54</v>
      </c>
      <c r="G942" s="238" t="s">
        <v>58</v>
      </c>
      <c r="H942" s="253">
        <f>'CUOTA INDUSTRIAL'!K65</f>
        <v>0</v>
      </c>
      <c r="I942" s="253">
        <f>'CUOTA INDUSTRIAL'!L65</f>
        <v>155.16730999999999</v>
      </c>
      <c r="J942" s="253">
        <f>'CUOTA INDUSTRIAL'!M65</f>
        <v>155.16730999999999</v>
      </c>
      <c r="K942" s="253">
        <f>'CUOTA INDUSTRIAL'!N65</f>
        <v>0</v>
      </c>
      <c r="L942" s="253">
        <f>'CUOTA INDUSTRIAL'!O65</f>
        <v>155.16730999999999</v>
      </c>
      <c r="M942" s="253">
        <f>'CUOTA INDUSTRIAL'!P65</f>
        <v>0</v>
      </c>
      <c r="N942" s="245" t="s">
        <v>218</v>
      </c>
      <c r="O942" s="241">
        <f>RESUMEN!$C$4</f>
        <v>44561</v>
      </c>
      <c r="P942" s="233">
        <v>2021</v>
      </c>
      <c r="Q942" s="233"/>
    </row>
    <row r="943" spans="1:17" s="280" customFormat="1" ht="15.75" customHeight="1">
      <c r="A943" s="230" t="s">
        <v>51</v>
      </c>
      <c r="B943" s="230" t="s">
        <v>52</v>
      </c>
      <c r="C943" s="269" t="s">
        <v>78</v>
      </c>
      <c r="D943" s="269" t="s">
        <v>80</v>
      </c>
      <c r="E943" s="269" t="s">
        <v>81</v>
      </c>
      <c r="F943" s="230" t="s">
        <v>54</v>
      </c>
      <c r="G943" s="230" t="s">
        <v>58</v>
      </c>
      <c r="H943" s="272">
        <f>'CUOTA INDUSTRIAL'!K67</f>
        <v>22163.910399999997</v>
      </c>
      <c r="I943" s="272">
        <f>'CUOTA INDUSTRIAL'!L67</f>
        <v>904.50000000000011</v>
      </c>
      <c r="J943" s="272">
        <f>'CUOTA INDUSTRIAL'!M67</f>
        <v>23068.410399999997</v>
      </c>
      <c r="K943" s="272">
        <f>'CUOTA INDUSTRIAL'!N67</f>
        <v>21057.030999999999</v>
      </c>
      <c r="L943" s="272">
        <f>'CUOTA INDUSTRIAL'!O67</f>
        <v>2011.379399999998</v>
      </c>
      <c r="M943" s="273">
        <f>'CUOTA INDUSTRIAL'!P67</f>
        <v>0.91280806240554835</v>
      </c>
      <c r="N943" s="279" t="s">
        <v>218</v>
      </c>
      <c r="O943" s="232">
        <f>RESUMEN!$C$4</f>
        <v>44561</v>
      </c>
      <c r="P943" s="269">
        <v>2021</v>
      </c>
      <c r="Q943" s="269"/>
    </row>
  </sheetData>
  <autoFilter ref="A1:Q1"/>
  <phoneticPr fontId="43" type="noConversion"/>
  <pageMargins left="0.7" right="0.7" top="0.75" bottom="0.75" header="0.3" footer="0.3"/>
  <pageSetup paperSize="17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0"/>
  <sheetViews>
    <sheetView topLeftCell="C58" zoomScale="80" zoomScaleNormal="80" workbookViewId="0">
      <selection activeCell="O79" sqref="O79"/>
    </sheetView>
  </sheetViews>
  <sheetFormatPr baseColWidth="10" defaultRowHeight="15"/>
  <cols>
    <col min="1" max="1" width="11.85546875" customWidth="1"/>
    <col min="2" max="2" width="46.85546875" customWidth="1"/>
    <col min="4" max="4" width="14.85546875" customWidth="1"/>
    <col min="5" max="5" width="24.5703125" customWidth="1"/>
    <col min="6" max="6" width="25" customWidth="1"/>
    <col min="7" max="7" width="16.42578125" customWidth="1"/>
    <col min="8" max="8" width="12.28515625" bestFit="1" customWidth="1"/>
    <col min="9" max="9" width="17.28515625" customWidth="1"/>
    <col min="11" max="11" width="16.28515625" customWidth="1"/>
    <col min="13" max="13" width="15.140625" customWidth="1"/>
    <col min="14" max="14" width="16.28515625" customWidth="1"/>
  </cols>
  <sheetData>
    <row r="1" spans="1:14" ht="24">
      <c r="A1" s="26" t="s">
        <v>122</v>
      </c>
      <c r="H1" s="6"/>
    </row>
    <row r="2" spans="1:14">
      <c r="A2" s="27">
        <v>14760</v>
      </c>
    </row>
    <row r="3" spans="1:14">
      <c r="A3" s="25"/>
    </row>
    <row r="4" spans="1:14" ht="24">
      <c r="B4" s="21" t="s">
        <v>119</v>
      </c>
      <c r="C4" s="22" t="s">
        <v>120</v>
      </c>
      <c r="D4" s="23"/>
      <c r="E4" s="429" t="s">
        <v>126</v>
      </c>
      <c r="F4" s="429"/>
      <c r="G4" s="20" t="s">
        <v>121</v>
      </c>
      <c r="H4" s="8" t="s">
        <v>123</v>
      </c>
      <c r="J4" s="6"/>
      <c r="N4" s="7"/>
    </row>
    <row r="5" spans="1:14">
      <c r="B5" s="28" t="s">
        <v>88</v>
      </c>
      <c r="C5" s="31">
        <v>91584000</v>
      </c>
      <c r="D5" s="30">
        <v>0</v>
      </c>
      <c r="E5" s="9" t="s">
        <v>124</v>
      </c>
      <c r="F5" s="9" t="s">
        <v>129</v>
      </c>
      <c r="G5" s="9">
        <v>8.4811999999999995E-3</v>
      </c>
      <c r="H5" s="9">
        <f>G5*$A$2</f>
        <v>125.18251199999999</v>
      </c>
      <c r="I5" t="s">
        <v>135</v>
      </c>
    </row>
    <row r="6" spans="1:14">
      <c r="B6" s="16"/>
      <c r="C6" s="10"/>
      <c r="D6" s="12"/>
      <c r="E6" s="9"/>
      <c r="F6" s="9"/>
      <c r="G6" s="9"/>
      <c r="H6" s="9"/>
    </row>
    <row r="7" spans="1:14">
      <c r="B7" s="16"/>
      <c r="C7" s="10"/>
      <c r="D7" s="12"/>
      <c r="E7" s="9"/>
      <c r="F7" s="9"/>
      <c r="G7" s="9"/>
      <c r="H7" s="9"/>
    </row>
    <row r="8" spans="1:14">
      <c r="B8" s="16"/>
      <c r="C8" s="10"/>
      <c r="D8" s="12"/>
      <c r="E8" s="9"/>
      <c r="F8" s="9"/>
      <c r="G8" s="2"/>
      <c r="H8" s="9"/>
    </row>
    <row r="9" spans="1:14">
      <c r="B9" s="16"/>
      <c r="C9" s="10"/>
      <c r="D9" s="12"/>
      <c r="E9" s="9"/>
      <c r="F9" s="9"/>
      <c r="G9" s="9"/>
      <c r="H9" s="9"/>
    </row>
    <row r="10" spans="1:14">
      <c r="B10" s="17"/>
      <c r="C10" s="13"/>
      <c r="D10" s="15"/>
      <c r="E10" s="9"/>
      <c r="F10" s="9"/>
      <c r="G10" s="9"/>
      <c r="H10" s="9"/>
    </row>
    <row r="11" spans="1:14">
      <c r="B11" s="428" t="s">
        <v>87</v>
      </c>
      <c r="C11" s="428"/>
      <c r="D11" s="428"/>
      <c r="E11" s="428"/>
      <c r="F11" s="428"/>
      <c r="G11" s="19">
        <f>SUM(G5:G10)</f>
        <v>8.4811999999999995E-3</v>
      </c>
      <c r="H11" s="19">
        <f>SUM(H5:H10)</f>
        <v>125.18251199999999</v>
      </c>
    </row>
    <row r="12" spans="1:14">
      <c r="B12" s="6"/>
      <c r="C12" s="6"/>
      <c r="D12" s="6"/>
      <c r="E12" s="6"/>
      <c r="F12" s="6"/>
      <c r="G12" s="6"/>
    </row>
    <row r="13" spans="1:14">
      <c r="B13" s="6"/>
      <c r="C13" s="6"/>
      <c r="D13" s="6"/>
      <c r="E13" s="6"/>
      <c r="F13" s="6"/>
      <c r="G13" s="6"/>
    </row>
    <row r="14" spans="1:14">
      <c r="B14" s="6"/>
      <c r="C14" s="6"/>
      <c r="D14" s="6"/>
      <c r="E14" s="6"/>
      <c r="F14" s="6"/>
      <c r="G14" s="6"/>
    </row>
    <row r="15" spans="1:14">
      <c r="B15" s="6"/>
      <c r="C15" s="6"/>
      <c r="D15" s="6"/>
      <c r="E15" s="6"/>
      <c r="F15" s="6"/>
      <c r="G15" s="6"/>
    </row>
    <row r="16" spans="1:14" ht="24">
      <c r="B16" s="21" t="s">
        <v>119</v>
      </c>
      <c r="C16" s="22" t="s">
        <v>120</v>
      </c>
      <c r="D16" s="23"/>
      <c r="E16" s="429" t="s">
        <v>126</v>
      </c>
      <c r="F16" s="429"/>
      <c r="G16" s="20" t="s">
        <v>121</v>
      </c>
      <c r="H16" s="8" t="s">
        <v>123</v>
      </c>
    </row>
    <row r="17" spans="2:9">
      <c r="B17" s="28" t="s">
        <v>89</v>
      </c>
      <c r="C17" s="29">
        <v>76014281</v>
      </c>
      <c r="D17" s="30">
        <v>6</v>
      </c>
      <c r="E17" s="9" t="s">
        <v>124</v>
      </c>
      <c r="F17" s="9" t="s">
        <v>127</v>
      </c>
      <c r="G17" s="9">
        <v>7.47E-5</v>
      </c>
      <c r="H17" s="9">
        <f>G17*$A$2</f>
        <v>1.1025719999999999</v>
      </c>
      <c r="I17" t="s">
        <v>135</v>
      </c>
    </row>
    <row r="18" spans="2:9">
      <c r="B18" s="16"/>
      <c r="C18" s="11"/>
      <c r="D18" s="12"/>
      <c r="E18" s="9" t="s">
        <v>125</v>
      </c>
      <c r="F18" s="9" t="s">
        <v>128</v>
      </c>
      <c r="G18" s="9">
        <v>2.3E-3</v>
      </c>
      <c r="H18" s="9">
        <f>G18*A2</f>
        <v>33.948</v>
      </c>
      <c r="I18" s="6" t="s">
        <v>135</v>
      </c>
    </row>
    <row r="19" spans="2:9">
      <c r="B19" s="16"/>
      <c r="C19" s="11"/>
      <c r="D19" s="12"/>
      <c r="E19" s="9"/>
      <c r="F19" s="9"/>
      <c r="G19" s="9"/>
      <c r="H19" s="9"/>
      <c r="I19" s="6"/>
    </row>
    <row r="20" spans="2:9">
      <c r="B20" s="16"/>
      <c r="C20" s="11"/>
      <c r="D20" s="12"/>
      <c r="E20" s="9"/>
      <c r="F20" s="9"/>
      <c r="G20" s="9"/>
      <c r="H20" s="9"/>
      <c r="I20" s="6"/>
    </row>
    <row r="21" spans="2:9">
      <c r="B21" s="16"/>
      <c r="C21" s="11"/>
      <c r="D21" s="12"/>
      <c r="E21" s="9"/>
      <c r="F21" s="9"/>
      <c r="G21" s="9"/>
      <c r="H21" s="9"/>
      <c r="I21" s="6"/>
    </row>
    <row r="22" spans="2:9">
      <c r="B22" s="16"/>
      <c r="C22" s="11"/>
      <c r="D22" s="12"/>
      <c r="E22" s="9"/>
      <c r="F22" s="9"/>
      <c r="G22" s="9"/>
      <c r="H22" s="9"/>
      <c r="I22" s="6"/>
    </row>
    <row r="23" spans="2:9">
      <c r="B23" s="17"/>
      <c r="C23" s="14"/>
      <c r="D23" s="15"/>
      <c r="E23" s="9"/>
      <c r="F23" s="9"/>
      <c r="G23" s="9"/>
      <c r="H23" s="9"/>
      <c r="I23" s="6"/>
    </row>
    <row r="24" spans="2:9">
      <c r="B24" s="428" t="s">
        <v>87</v>
      </c>
      <c r="C24" s="428"/>
      <c r="D24" s="428"/>
      <c r="E24" s="428"/>
      <c r="F24" s="428"/>
      <c r="G24" s="19">
        <f>SUM(G17:G23)</f>
        <v>2.3747E-3</v>
      </c>
      <c r="H24" s="19">
        <f>SUM(H17:H23)</f>
        <v>35.050572000000003</v>
      </c>
      <c r="I24" s="6"/>
    </row>
    <row r="25" spans="2:9">
      <c r="B25" s="6"/>
      <c r="C25" s="6"/>
      <c r="D25" s="6"/>
      <c r="E25" s="6"/>
      <c r="F25" s="6"/>
      <c r="G25" s="6"/>
      <c r="H25" s="6"/>
    </row>
    <row r="26" spans="2:9">
      <c r="B26" s="6"/>
      <c r="C26" s="6"/>
      <c r="D26" s="6"/>
      <c r="E26" s="6"/>
      <c r="F26" s="18"/>
      <c r="G26" s="6"/>
      <c r="H26" s="6"/>
    </row>
    <row r="27" spans="2:9">
      <c r="B27" s="6"/>
      <c r="C27" s="6"/>
      <c r="D27" s="6"/>
      <c r="E27" s="6"/>
      <c r="F27" s="18"/>
      <c r="G27" s="6"/>
      <c r="H27" s="6"/>
    </row>
    <row r="28" spans="2:9" ht="24">
      <c r="B28" s="21" t="s">
        <v>119</v>
      </c>
      <c r="C28" s="22" t="s">
        <v>120</v>
      </c>
      <c r="D28" s="23"/>
      <c r="E28" s="429" t="s">
        <v>126</v>
      </c>
      <c r="F28" s="429"/>
      <c r="G28" s="20" t="s">
        <v>121</v>
      </c>
      <c r="H28" s="8" t="s">
        <v>123</v>
      </c>
    </row>
    <row r="29" spans="2:9">
      <c r="B29" s="28" t="s">
        <v>90</v>
      </c>
      <c r="C29" s="36">
        <v>76189335</v>
      </c>
      <c r="D29" s="36">
        <v>1</v>
      </c>
      <c r="E29" s="9" t="s">
        <v>124</v>
      </c>
      <c r="F29" s="32" t="s">
        <v>130</v>
      </c>
      <c r="G29" s="33">
        <v>6.6588000000000003E-3</v>
      </c>
      <c r="H29" s="32">
        <f>G29*$A$2</f>
        <v>98.283888000000005</v>
      </c>
      <c r="I29" t="s">
        <v>135</v>
      </c>
    </row>
    <row r="30" spans="2:9">
      <c r="B30" s="16"/>
      <c r="C30" s="6"/>
      <c r="D30" s="6"/>
      <c r="E30" s="9" t="s">
        <v>134</v>
      </c>
      <c r="F30" s="32" t="s">
        <v>133</v>
      </c>
      <c r="G30" s="32">
        <v>-3.0000000000000001E-5</v>
      </c>
      <c r="H30" s="32">
        <f>G30*$A$2</f>
        <v>-0.44280000000000003</v>
      </c>
      <c r="I30" t="s">
        <v>135</v>
      </c>
    </row>
    <row r="31" spans="2:9">
      <c r="B31" s="16"/>
      <c r="C31" s="6"/>
      <c r="D31" s="6"/>
      <c r="E31" s="9" t="s">
        <v>124</v>
      </c>
      <c r="F31" s="32" t="s">
        <v>131</v>
      </c>
      <c r="G31" s="32">
        <v>6.6287999999999998E-3</v>
      </c>
      <c r="H31" s="32">
        <f>G31*$A$2</f>
        <v>97.841087999999999</v>
      </c>
      <c r="I31" t="s">
        <v>135</v>
      </c>
    </row>
    <row r="32" spans="2:9">
      <c r="B32" s="34"/>
      <c r="E32" s="9" t="s">
        <v>125</v>
      </c>
      <c r="F32" s="32" t="s">
        <v>132</v>
      </c>
      <c r="G32" s="32">
        <v>1.7503E-3</v>
      </c>
      <c r="H32" s="32">
        <f>G32*$A$2</f>
        <v>25.834427999999999</v>
      </c>
      <c r="I32" t="s">
        <v>135</v>
      </c>
    </row>
    <row r="33" spans="2:9">
      <c r="B33" s="34"/>
      <c r="E33" s="2"/>
      <c r="F33" s="2"/>
      <c r="G33" s="9"/>
      <c r="H33" s="9"/>
    </row>
    <row r="34" spans="2:9">
      <c r="B34" s="34"/>
      <c r="E34" s="2"/>
      <c r="F34" s="2"/>
      <c r="G34" s="2"/>
      <c r="H34" s="2"/>
    </row>
    <row r="35" spans="2:9">
      <c r="B35" s="34"/>
      <c r="E35" s="2"/>
      <c r="F35" s="2"/>
      <c r="G35" s="2"/>
      <c r="H35" s="2"/>
    </row>
    <row r="36" spans="2:9">
      <c r="B36" s="35"/>
      <c r="E36" s="2"/>
      <c r="F36" s="2"/>
      <c r="G36" s="2"/>
      <c r="H36" s="2"/>
    </row>
    <row r="37" spans="2:9">
      <c r="B37" s="428" t="s">
        <v>87</v>
      </c>
      <c r="C37" s="428"/>
      <c r="D37" s="428"/>
      <c r="E37" s="428"/>
      <c r="F37" s="428"/>
      <c r="G37" s="19">
        <f>G29+G30+G32</f>
        <v>8.3791000000000004E-3</v>
      </c>
      <c r="H37" s="19">
        <f>H29+H30+H32</f>
        <v>123.675516</v>
      </c>
    </row>
    <row r="40" spans="2:9" ht="24">
      <c r="B40" s="24" t="s">
        <v>119</v>
      </c>
      <c r="C40" s="22" t="s">
        <v>120</v>
      </c>
      <c r="D40" s="23"/>
      <c r="E40" s="429" t="s">
        <v>126</v>
      </c>
      <c r="F40" s="429"/>
      <c r="G40" s="20" t="s">
        <v>121</v>
      </c>
      <c r="H40" s="8" t="s">
        <v>123</v>
      </c>
    </row>
    <row r="41" spans="2:9">
      <c r="B41" s="28" t="s">
        <v>91</v>
      </c>
      <c r="C41" s="36">
        <v>5226590</v>
      </c>
      <c r="D41" s="36">
        <v>8</v>
      </c>
      <c r="E41" s="9" t="s">
        <v>124</v>
      </c>
      <c r="F41" s="9" t="s">
        <v>136</v>
      </c>
      <c r="G41" s="32">
        <v>8.4489000000000005E-3</v>
      </c>
      <c r="H41" s="32">
        <f>G41*$A$2</f>
        <v>124.705764</v>
      </c>
      <c r="I41" t="s">
        <v>135</v>
      </c>
    </row>
    <row r="42" spans="2:9">
      <c r="B42" s="34"/>
      <c r="E42" s="9" t="s">
        <v>125</v>
      </c>
      <c r="F42" s="9" t="s">
        <v>139</v>
      </c>
      <c r="G42" s="32">
        <v>1.033E-4</v>
      </c>
      <c r="H42" s="32">
        <f>G42*$A$2</f>
        <v>1.524708</v>
      </c>
      <c r="I42" t="s">
        <v>135</v>
      </c>
    </row>
    <row r="43" spans="2:9">
      <c r="B43" s="34"/>
      <c r="E43" s="9" t="s">
        <v>137</v>
      </c>
      <c r="F43" s="9" t="s">
        <v>138</v>
      </c>
      <c r="G43" s="32">
        <v>-2.0029999999999999E-4</v>
      </c>
      <c r="H43" s="32">
        <f>G43*$A$2</f>
        <v>-2.9564279999999998</v>
      </c>
      <c r="I43" t="s">
        <v>135</v>
      </c>
    </row>
    <row r="44" spans="2:9">
      <c r="B44" s="34"/>
      <c r="E44" s="9"/>
      <c r="F44" s="9"/>
      <c r="G44" s="32"/>
      <c r="H44" s="32"/>
    </row>
    <row r="45" spans="2:9">
      <c r="B45" s="34"/>
      <c r="E45" s="9"/>
      <c r="F45" s="9"/>
      <c r="G45" s="32"/>
      <c r="H45" s="32"/>
    </row>
    <row r="46" spans="2:9">
      <c r="B46" s="35"/>
      <c r="E46" s="9"/>
      <c r="F46" s="9"/>
      <c r="G46" s="32"/>
      <c r="H46" s="32"/>
    </row>
    <row r="47" spans="2:9">
      <c r="B47" s="428" t="s">
        <v>87</v>
      </c>
      <c r="C47" s="428"/>
      <c r="D47" s="428"/>
      <c r="E47" s="428"/>
      <c r="F47" s="428"/>
      <c r="G47" s="19">
        <f>SUM(G41:G46)</f>
        <v>8.3519000000000006E-3</v>
      </c>
      <c r="H47" s="19">
        <f>SUM(H41:H46)</f>
        <v>123.274044</v>
      </c>
    </row>
    <row r="48" spans="2:9">
      <c r="E48" s="6"/>
    </row>
    <row r="49" spans="2:12">
      <c r="E49" s="6"/>
    </row>
    <row r="50" spans="2:12" ht="24">
      <c r="B50" s="24" t="s">
        <v>119</v>
      </c>
      <c r="C50" s="22" t="s">
        <v>120</v>
      </c>
      <c r="D50" s="23"/>
      <c r="E50" s="429" t="s">
        <v>126</v>
      </c>
      <c r="F50" s="429"/>
      <c r="G50" s="20" t="s">
        <v>121</v>
      </c>
      <c r="H50" s="8" t="s">
        <v>123</v>
      </c>
      <c r="I50">
        <v>1.0000000000000001E-5</v>
      </c>
    </row>
    <row r="51" spans="2:12">
      <c r="B51" s="28" t="s">
        <v>92</v>
      </c>
      <c r="C51" s="36">
        <v>76346240</v>
      </c>
      <c r="D51" s="36">
        <v>4</v>
      </c>
      <c r="E51" s="9" t="s">
        <v>124</v>
      </c>
      <c r="F51" s="9" t="s">
        <v>140</v>
      </c>
      <c r="G51" s="32">
        <v>1.05576E-2</v>
      </c>
      <c r="H51" s="32">
        <f t="shared" ref="H51:H56" si="0">G51*$A$2</f>
        <v>155.83017599999999</v>
      </c>
    </row>
    <row r="52" spans="2:12">
      <c r="B52" s="34"/>
      <c r="E52" s="9" t="s">
        <v>137</v>
      </c>
      <c r="F52" s="9" t="s">
        <v>147</v>
      </c>
      <c r="G52" s="32">
        <f>-I50*30</f>
        <v>-3.0000000000000003E-4</v>
      </c>
      <c r="H52" s="32">
        <f t="shared" si="0"/>
        <v>-4.4280000000000008</v>
      </c>
      <c r="I52">
        <v>1.02574E-2</v>
      </c>
      <c r="J52">
        <f>I52*$A$2</f>
        <v>151.399224</v>
      </c>
      <c r="K52">
        <f>G51-I52</f>
        <v>3.0020000000000047E-4</v>
      </c>
      <c r="L52" t="s">
        <v>146</v>
      </c>
    </row>
    <row r="53" spans="2:12">
      <c r="B53" s="34"/>
      <c r="E53" s="9" t="s">
        <v>137</v>
      </c>
      <c r="F53" s="9" t="s">
        <v>145</v>
      </c>
      <c r="G53" s="32">
        <f>-I50*8</f>
        <v>-8.0000000000000007E-5</v>
      </c>
      <c r="H53" s="32">
        <f t="shared" si="0"/>
        <v>-1.1808000000000001</v>
      </c>
      <c r="I53">
        <v>1.01773E-2</v>
      </c>
      <c r="J53">
        <f>I53*$A$2</f>
        <v>150.216948</v>
      </c>
      <c r="K53" s="37">
        <f>I52-I53</f>
        <v>8.0099999999999616E-5</v>
      </c>
      <c r="L53" t="s">
        <v>144</v>
      </c>
    </row>
    <row r="54" spans="2:12">
      <c r="B54" s="34"/>
      <c r="E54" s="9" t="s">
        <v>125</v>
      </c>
      <c r="F54" s="9" t="s">
        <v>141</v>
      </c>
      <c r="G54" s="32">
        <v>1.3550299999999999E-2</v>
      </c>
      <c r="H54" s="32">
        <f t="shared" si="0"/>
        <v>200.00242799999998</v>
      </c>
    </row>
    <row r="55" spans="2:12">
      <c r="B55" s="34"/>
      <c r="E55" s="9" t="s">
        <v>125</v>
      </c>
      <c r="F55" s="9" t="s">
        <v>176</v>
      </c>
      <c r="G55" s="32">
        <v>6.9709000000000004E-3</v>
      </c>
      <c r="H55" s="32">
        <f t="shared" si="0"/>
        <v>102.890484</v>
      </c>
    </row>
    <row r="56" spans="2:12">
      <c r="B56" s="34"/>
      <c r="E56" s="9" t="s">
        <v>143</v>
      </c>
      <c r="F56" s="9" t="s">
        <v>142</v>
      </c>
      <c r="G56" s="32">
        <v>-1.3550299999999999E-2</v>
      </c>
      <c r="H56" s="32">
        <f t="shared" si="0"/>
        <v>-200.00242799999998</v>
      </c>
    </row>
    <row r="57" spans="2:12">
      <c r="B57" s="34"/>
      <c r="E57" s="9"/>
      <c r="G57" s="32"/>
      <c r="H57" s="32"/>
    </row>
    <row r="58" spans="2:12">
      <c r="B58" s="35"/>
      <c r="E58" s="9"/>
      <c r="F58" s="9"/>
      <c r="G58" s="32"/>
      <c r="H58" s="32"/>
    </row>
    <row r="59" spans="2:12">
      <c r="B59" s="428" t="s">
        <v>87</v>
      </c>
      <c r="C59" s="428"/>
      <c r="D59" s="428"/>
      <c r="E59" s="428"/>
      <c r="F59" s="428"/>
      <c r="G59" s="58">
        <f>SUM(G51:G58)</f>
        <v>1.7148499999999997E-2</v>
      </c>
      <c r="H59" s="58">
        <f>SUM(H51:H58)</f>
        <v>253.11186000000001</v>
      </c>
    </row>
    <row r="60" spans="2:12">
      <c r="E60" s="6"/>
      <c r="F60" s="6"/>
      <c r="G60" s="6">
        <f>SUM(G51:G55)</f>
        <v>3.0698799999999998E-2</v>
      </c>
      <c r="H60" s="6">
        <f>SUM(H51:H55)</f>
        <v>453.11428799999999</v>
      </c>
    </row>
    <row r="61" spans="2:12">
      <c r="E61" s="6"/>
      <c r="F61" s="6"/>
      <c r="G61" s="6"/>
    </row>
    <row r="62" spans="2:12">
      <c r="E62" s="6"/>
      <c r="F62" s="6"/>
      <c r="G62" s="6"/>
    </row>
    <row r="63" spans="2:12">
      <c r="E63" s="6"/>
      <c r="F63" s="6"/>
      <c r="G63" s="6"/>
    </row>
    <row r="64" spans="2:12" ht="24">
      <c r="B64" s="24" t="s">
        <v>119</v>
      </c>
      <c r="C64" s="22" t="s">
        <v>120</v>
      </c>
      <c r="D64" s="23"/>
      <c r="E64" s="429" t="s">
        <v>126</v>
      </c>
      <c r="F64" s="429"/>
      <c r="G64" s="24" t="s">
        <v>121</v>
      </c>
      <c r="H64" s="8" t="s">
        <v>123</v>
      </c>
    </row>
    <row r="65" spans="2:8">
      <c r="B65" s="28" t="s">
        <v>93</v>
      </c>
      <c r="C65" s="31">
        <v>77318350</v>
      </c>
      <c r="D65" s="30">
        <v>3</v>
      </c>
      <c r="E65" s="9" t="s">
        <v>124</v>
      </c>
      <c r="F65" s="9" t="s">
        <v>177</v>
      </c>
      <c r="G65" s="32">
        <v>1.72724E-2</v>
      </c>
      <c r="H65" s="32">
        <f>G65*A2</f>
        <v>254.94062400000001</v>
      </c>
    </row>
    <row r="66" spans="2:8">
      <c r="B66" s="16"/>
      <c r="C66" s="10"/>
      <c r="D66" s="12"/>
      <c r="E66" s="9"/>
      <c r="F66" s="9"/>
      <c r="G66" s="32"/>
      <c r="H66" s="32"/>
    </row>
    <row r="67" spans="2:8">
      <c r="B67" s="16"/>
      <c r="C67" s="10"/>
      <c r="D67" s="12"/>
      <c r="E67" s="9"/>
      <c r="F67" s="9"/>
      <c r="G67" s="32"/>
      <c r="H67" s="32"/>
    </row>
    <row r="68" spans="2:8">
      <c r="B68" s="16"/>
      <c r="C68" s="10"/>
      <c r="D68" s="12"/>
      <c r="E68" s="9"/>
      <c r="F68" s="9"/>
      <c r="G68" s="32"/>
      <c r="H68" s="32"/>
    </row>
    <row r="69" spans="2:8">
      <c r="B69" s="16"/>
      <c r="C69" s="10"/>
      <c r="D69" s="12"/>
      <c r="E69" s="9"/>
      <c r="F69" s="9"/>
      <c r="G69" s="32"/>
      <c r="H69" s="32"/>
    </row>
    <row r="70" spans="2:8">
      <c r="B70" s="17"/>
      <c r="C70" s="13"/>
      <c r="D70" s="15"/>
      <c r="E70" s="9"/>
      <c r="F70" s="9"/>
      <c r="G70" s="32"/>
      <c r="H70" s="32"/>
    </row>
    <row r="71" spans="2:8">
      <c r="B71" s="428" t="s">
        <v>87</v>
      </c>
      <c r="C71" s="428"/>
      <c r="D71" s="428"/>
      <c r="E71" s="428"/>
      <c r="F71" s="428"/>
      <c r="G71" s="58">
        <f>SUM(G65:G70)</f>
        <v>1.72724E-2</v>
      </c>
      <c r="H71" s="58">
        <f>SUM(H65:H70)</f>
        <v>254.94062400000001</v>
      </c>
    </row>
    <row r="72" spans="2:8">
      <c r="B72" s="6"/>
      <c r="C72" s="6"/>
      <c r="D72" s="6"/>
      <c r="E72" s="6"/>
      <c r="F72" s="6"/>
      <c r="G72" s="6"/>
    </row>
    <row r="73" spans="2:8">
      <c r="B73" s="6"/>
      <c r="C73" s="6"/>
      <c r="D73" s="6"/>
      <c r="E73" s="6"/>
      <c r="F73" s="6"/>
      <c r="G73" s="6"/>
    </row>
    <row r="74" spans="2:8">
      <c r="B74" s="6"/>
      <c r="C74" s="6"/>
      <c r="D74" s="6"/>
      <c r="E74" s="6"/>
      <c r="F74" s="6"/>
      <c r="G74" s="6"/>
    </row>
    <row r="75" spans="2:8">
      <c r="B75" s="6"/>
      <c r="C75" s="6"/>
      <c r="D75" s="6"/>
      <c r="E75" s="6"/>
      <c r="F75" s="6"/>
      <c r="G75" s="6"/>
    </row>
    <row r="76" spans="2:8" ht="24">
      <c r="B76" s="24" t="s">
        <v>119</v>
      </c>
      <c r="C76" s="22" t="s">
        <v>120</v>
      </c>
      <c r="D76" s="23"/>
      <c r="E76" s="429" t="s">
        <v>126</v>
      </c>
      <c r="F76" s="429"/>
      <c r="G76" s="24" t="s">
        <v>121</v>
      </c>
      <c r="H76" s="8" t="s">
        <v>123</v>
      </c>
    </row>
    <row r="77" spans="2:8">
      <c r="B77" s="28" t="s">
        <v>76</v>
      </c>
      <c r="C77" s="36">
        <v>6322197</v>
      </c>
      <c r="D77" s="36" t="s">
        <v>94</v>
      </c>
      <c r="E77" s="9" t="s">
        <v>124</v>
      </c>
      <c r="F77" s="32" t="s">
        <v>178</v>
      </c>
      <c r="G77" s="32">
        <v>2.95681E-2</v>
      </c>
      <c r="H77" s="32">
        <f>G77*A2</f>
        <v>436.42515600000002</v>
      </c>
    </row>
    <row r="78" spans="2:8">
      <c r="B78" s="16"/>
      <c r="C78" s="6"/>
      <c r="D78" s="6"/>
      <c r="E78" s="9"/>
      <c r="F78" s="32"/>
      <c r="G78" s="9"/>
      <c r="H78" s="2"/>
    </row>
    <row r="79" spans="2:8">
      <c r="B79" s="16"/>
      <c r="C79" s="6"/>
      <c r="D79" s="6"/>
      <c r="E79" s="9"/>
      <c r="F79" s="9"/>
      <c r="G79" s="9"/>
      <c r="H79" s="2"/>
    </row>
    <row r="80" spans="2:8">
      <c r="B80" s="16"/>
      <c r="C80" s="6"/>
      <c r="D80" s="6"/>
      <c r="E80" s="9"/>
      <c r="F80" s="9"/>
      <c r="G80" s="9"/>
      <c r="H80" s="2"/>
    </row>
    <row r="81" spans="2:13">
      <c r="B81" s="16"/>
      <c r="C81" s="6"/>
      <c r="D81" s="6"/>
      <c r="E81" s="9"/>
      <c r="F81" s="9"/>
      <c r="G81" s="9"/>
      <c r="H81" s="2"/>
    </row>
    <row r="82" spans="2:13">
      <c r="B82" s="16"/>
      <c r="C82" s="6"/>
      <c r="D82" s="6"/>
      <c r="E82" s="9"/>
      <c r="F82" s="9"/>
      <c r="G82" s="9"/>
      <c r="H82" s="2"/>
    </row>
    <row r="83" spans="2:13">
      <c r="B83" s="17"/>
      <c r="C83" s="6"/>
      <c r="D83" s="6"/>
      <c r="E83" s="9"/>
      <c r="F83" s="9"/>
      <c r="G83" s="9"/>
      <c r="H83" s="2"/>
    </row>
    <row r="84" spans="2:13">
      <c r="B84" s="428" t="s">
        <v>87</v>
      </c>
      <c r="C84" s="428"/>
      <c r="D84" s="428"/>
      <c r="E84" s="428"/>
      <c r="F84" s="428"/>
      <c r="G84" s="58">
        <f>SUM(G77:G83)</f>
        <v>2.95681E-2</v>
      </c>
      <c r="H84" s="58">
        <f>SUM(H77:H83)</f>
        <v>436.42515600000002</v>
      </c>
    </row>
    <row r="85" spans="2:13">
      <c r="B85" s="6"/>
      <c r="C85" s="6"/>
      <c r="D85" s="6"/>
      <c r="E85" s="6"/>
      <c r="F85" s="6"/>
      <c r="G85" s="6"/>
      <c r="I85">
        <v>76.478999999999999</v>
      </c>
    </row>
    <row r="86" spans="2:13">
      <c r="B86" s="6"/>
      <c r="C86" s="6"/>
      <c r="D86" s="6"/>
      <c r="E86" s="6"/>
      <c r="F86" s="6"/>
      <c r="G86" s="6"/>
      <c r="I86" s="2" t="s">
        <v>193</v>
      </c>
      <c r="J86" s="2" t="s">
        <v>194</v>
      </c>
      <c r="K86" s="61" t="s">
        <v>191</v>
      </c>
      <c r="L86" s="61" t="s">
        <v>192</v>
      </c>
    </row>
    <row r="87" spans="2:13" ht="24">
      <c r="B87" s="24" t="s">
        <v>119</v>
      </c>
      <c r="C87" s="22" t="s">
        <v>120</v>
      </c>
      <c r="D87" s="23"/>
      <c r="E87" s="429" t="s">
        <v>126</v>
      </c>
      <c r="F87" s="429"/>
      <c r="G87" s="24" t="s">
        <v>121</v>
      </c>
      <c r="H87" s="62" t="s">
        <v>123</v>
      </c>
      <c r="I87" s="2">
        <v>1.0000000000000001E-5</v>
      </c>
      <c r="J87" s="2">
        <v>1.5999999999999999E-5</v>
      </c>
      <c r="K87" s="35"/>
      <c r="L87" s="35"/>
    </row>
    <row r="88" spans="2:13">
      <c r="B88" s="6" t="s">
        <v>95</v>
      </c>
      <c r="C88" s="6">
        <v>96962720</v>
      </c>
      <c r="D88" s="6">
        <v>5</v>
      </c>
      <c r="E88" s="9" t="s">
        <v>124</v>
      </c>
      <c r="F88" s="32" t="s">
        <v>179</v>
      </c>
      <c r="G88" s="32">
        <v>0.17089589999999999</v>
      </c>
      <c r="H88" s="32">
        <f t="shared" ref="H88:H93" si="1">G88*$A$2</f>
        <v>2522.4234839999999</v>
      </c>
      <c r="I88">
        <v>17089</v>
      </c>
      <c r="J88">
        <v>1</v>
      </c>
      <c r="K88">
        <f>(I88*I87)+(J88*J87)</f>
        <v>0.170906</v>
      </c>
      <c r="L88">
        <f>K88</f>
        <v>0.170906</v>
      </c>
      <c r="M88">
        <f>L88*$A$2</f>
        <v>2522.5725600000001</v>
      </c>
    </row>
    <row r="89" spans="2:13">
      <c r="B89" s="6"/>
      <c r="C89" s="6"/>
      <c r="D89" s="6"/>
      <c r="E89" s="65" t="s">
        <v>137</v>
      </c>
      <c r="F89" s="65" t="s">
        <v>187</v>
      </c>
      <c r="G89" s="65">
        <v>-7.3849999999999999E-2</v>
      </c>
      <c r="H89" s="66">
        <f t="shared" si="1"/>
        <v>-1090.0260000000001</v>
      </c>
      <c r="I89">
        <v>-7385</v>
      </c>
      <c r="J89">
        <v>0</v>
      </c>
      <c r="K89">
        <f>I87*I89</f>
        <v>-7.3850000000000013E-2</v>
      </c>
      <c r="L89">
        <f>L88+K89</f>
        <v>9.705599999999999E-2</v>
      </c>
      <c r="M89">
        <f t="shared" ref="M89:M97" si="2">L89*$A$2</f>
        <v>1432.5465599999998</v>
      </c>
    </row>
    <row r="90" spans="2:13">
      <c r="B90" s="6"/>
      <c r="C90" s="6"/>
      <c r="D90" s="6"/>
      <c r="E90" s="9" t="s">
        <v>125</v>
      </c>
      <c r="F90" s="9" t="s">
        <v>190</v>
      </c>
      <c r="G90" s="9">
        <v>0</v>
      </c>
      <c r="H90" s="32">
        <f t="shared" si="1"/>
        <v>0</v>
      </c>
      <c r="I90" s="63">
        <v>1625</v>
      </c>
      <c r="J90">
        <v>0</v>
      </c>
      <c r="K90" s="63">
        <f>0*I87</f>
        <v>0</v>
      </c>
      <c r="L90">
        <f>L89+K90</f>
        <v>9.705599999999999E-2</v>
      </c>
      <c r="M90">
        <f t="shared" si="2"/>
        <v>1432.5465599999998</v>
      </c>
    </row>
    <row r="91" spans="2:13">
      <c r="B91" s="6"/>
      <c r="C91" s="6"/>
      <c r="D91" s="6"/>
      <c r="E91" s="9" t="s">
        <v>125</v>
      </c>
      <c r="F91" s="9" t="s">
        <v>180</v>
      </c>
      <c r="G91" s="9">
        <v>5.1713999999999996E-3</v>
      </c>
      <c r="H91" s="32">
        <f t="shared" si="1"/>
        <v>76.329864000000001</v>
      </c>
      <c r="I91">
        <v>517</v>
      </c>
      <c r="J91">
        <v>0</v>
      </c>
      <c r="K91">
        <f>I91*$I$87</f>
        <v>5.1700000000000001E-3</v>
      </c>
      <c r="L91">
        <f>L90+K91</f>
        <v>0.10222599999999998</v>
      </c>
      <c r="M91">
        <f t="shared" si="2"/>
        <v>1508.8557599999997</v>
      </c>
    </row>
    <row r="92" spans="2:13">
      <c r="B92" s="6"/>
      <c r="C92" s="6"/>
      <c r="D92" s="6"/>
      <c r="E92" s="9" t="s">
        <v>182</v>
      </c>
      <c r="F92" s="9" t="s">
        <v>181</v>
      </c>
      <c r="G92" s="9">
        <v>-5.1713999999999996E-3</v>
      </c>
      <c r="H92" s="32">
        <f t="shared" si="1"/>
        <v>-76.329864000000001</v>
      </c>
      <c r="I92">
        <v>0</v>
      </c>
      <c r="J92">
        <v>0</v>
      </c>
      <c r="K92">
        <f>I92*$I$87</f>
        <v>0</v>
      </c>
      <c r="L92">
        <f>L91+K92</f>
        <v>0.10222599999999998</v>
      </c>
      <c r="M92">
        <f t="shared" si="2"/>
        <v>1508.8557599999997</v>
      </c>
    </row>
    <row r="93" spans="2:13">
      <c r="B93" s="6"/>
      <c r="C93" s="6"/>
      <c r="D93" s="6"/>
      <c r="E93" s="9" t="s">
        <v>184</v>
      </c>
      <c r="F93" s="9" t="s">
        <v>183</v>
      </c>
      <c r="G93" s="9">
        <v>5.1713999999999996E-3</v>
      </c>
      <c r="H93" s="32">
        <f t="shared" si="1"/>
        <v>76.329864000000001</v>
      </c>
      <c r="I93">
        <v>0</v>
      </c>
      <c r="J93">
        <v>0</v>
      </c>
      <c r="K93">
        <f>I93*$I$87</f>
        <v>0</v>
      </c>
      <c r="L93">
        <f>L92+K93</f>
        <v>0.10222599999999998</v>
      </c>
      <c r="M93">
        <f t="shared" si="2"/>
        <v>1508.8557599999997</v>
      </c>
    </row>
    <row r="94" spans="2:13">
      <c r="B94" s="6"/>
      <c r="C94" s="6"/>
      <c r="D94" s="6"/>
      <c r="E94" s="9" t="s">
        <v>186</v>
      </c>
      <c r="F94" s="9" t="s">
        <v>185</v>
      </c>
      <c r="G94" s="59" t="s">
        <v>12</v>
      </c>
      <c r="H94" s="60" t="s">
        <v>12</v>
      </c>
      <c r="I94">
        <v>0</v>
      </c>
      <c r="J94">
        <v>0</v>
      </c>
      <c r="K94">
        <f t="shared" ref="K94" si="3">I94*$I$87</f>
        <v>0</v>
      </c>
      <c r="L94">
        <f t="shared" ref="L94:L96" si="4">L93+K94</f>
        <v>0.10222599999999998</v>
      </c>
      <c r="M94">
        <f t="shared" si="2"/>
        <v>1508.8557599999997</v>
      </c>
    </row>
    <row r="95" spans="2:13">
      <c r="B95" s="6"/>
      <c r="C95" s="6"/>
      <c r="D95" s="6"/>
      <c r="E95" s="9" t="s">
        <v>137</v>
      </c>
      <c r="F95" s="9" t="s">
        <v>188</v>
      </c>
      <c r="G95" s="9">
        <v>-0.1053169</v>
      </c>
      <c r="H95" s="32">
        <f>G95*$A$2</f>
        <v>-1554.4774440000001</v>
      </c>
      <c r="I95">
        <v>-10531</v>
      </c>
      <c r="J95">
        <v>0</v>
      </c>
      <c r="K95">
        <f>I95*$I$87</f>
        <v>-0.10531000000000001</v>
      </c>
      <c r="L95">
        <f>L94+K95</f>
        <v>-3.0840000000000312E-3</v>
      </c>
      <c r="M95">
        <f t="shared" si="2"/>
        <v>-45.519840000000457</v>
      </c>
    </row>
    <row r="96" spans="2:13">
      <c r="B96" s="6"/>
      <c r="C96" s="6"/>
      <c r="D96" s="6"/>
      <c r="E96" s="9" t="s">
        <v>137</v>
      </c>
      <c r="F96" s="9" t="s">
        <v>189</v>
      </c>
      <c r="G96" s="9">
        <v>-7.9705000000000002E-3</v>
      </c>
      <c r="H96" s="32">
        <f>G96*$A$2</f>
        <v>-117.64458</v>
      </c>
      <c r="I96">
        <v>-797</v>
      </c>
      <c r="J96">
        <v>0</v>
      </c>
      <c r="K96">
        <f>I96*$I$87</f>
        <v>-7.9700000000000014E-3</v>
      </c>
      <c r="L96">
        <f t="shared" si="4"/>
        <v>-1.1054000000000033E-2</v>
      </c>
      <c r="M96">
        <f t="shared" si="2"/>
        <v>-163.15704000000048</v>
      </c>
    </row>
    <row r="97" spans="2:16">
      <c r="B97" s="6"/>
      <c r="C97" s="6"/>
      <c r="D97" s="6"/>
      <c r="E97" s="9" t="s">
        <v>196</v>
      </c>
      <c r="F97" s="9" t="s">
        <v>195</v>
      </c>
      <c r="G97" s="9">
        <v>8.2799999999999992E-3</v>
      </c>
      <c r="H97" s="32">
        <f>G97*$A$2</f>
        <v>122.21279999999999</v>
      </c>
      <c r="I97">
        <v>828</v>
      </c>
      <c r="J97">
        <v>0</v>
      </c>
      <c r="K97">
        <f>I97*$I$87</f>
        <v>8.2800000000000009E-3</v>
      </c>
      <c r="L97">
        <f>L96+K97</f>
        <v>-2.7740000000000316E-3</v>
      </c>
      <c r="M97">
        <f t="shared" si="2"/>
        <v>-40.94424000000047</v>
      </c>
    </row>
    <row r="98" spans="2:16">
      <c r="B98" s="6"/>
      <c r="C98" s="6"/>
      <c r="D98" s="6"/>
      <c r="E98" s="9"/>
      <c r="F98" s="9"/>
      <c r="G98" s="9"/>
      <c r="H98" s="32"/>
    </row>
    <row r="99" spans="2:16">
      <c r="B99" s="6"/>
      <c r="C99" s="6"/>
      <c r="D99" s="6"/>
      <c r="F99" s="6"/>
      <c r="G99" s="6">
        <f>SUM(G88:G98)</f>
        <v>-2.7901000000000228E-3</v>
      </c>
      <c r="H99" s="6">
        <f>SUM(H88:H98)</f>
        <v>-41.181876000000244</v>
      </c>
    </row>
    <row r="100" spans="2:16">
      <c r="B100" s="6"/>
      <c r="C100" s="6"/>
      <c r="D100" s="6"/>
      <c r="E100" s="6"/>
      <c r="F100" s="6" t="s">
        <v>197</v>
      </c>
    </row>
    <row r="101" spans="2:16">
      <c r="B101" s="6"/>
      <c r="C101" s="6"/>
      <c r="D101" s="6"/>
      <c r="E101" s="6"/>
      <c r="F101" s="6"/>
      <c r="G101" s="6"/>
    </row>
    <row r="102" spans="2:16">
      <c r="B102" s="6"/>
      <c r="C102" s="6"/>
      <c r="D102" s="6"/>
      <c r="E102" s="6"/>
      <c r="F102" s="6"/>
      <c r="G102" s="6"/>
    </row>
    <row r="103" spans="2:16">
      <c r="B103" s="6"/>
      <c r="C103" s="6"/>
      <c r="D103" s="6"/>
      <c r="E103" s="6"/>
      <c r="F103" s="6"/>
      <c r="G103" s="6"/>
    </row>
    <row r="104" spans="2:16">
      <c r="B104" s="6"/>
      <c r="C104" s="6"/>
      <c r="D104" s="6"/>
      <c r="E104" s="6"/>
      <c r="F104" s="6"/>
      <c r="G104" s="6"/>
    </row>
    <row r="105" spans="2:16">
      <c r="B105" s="6"/>
      <c r="C105" s="6"/>
      <c r="D105" s="6"/>
      <c r="E105" s="6"/>
      <c r="F105" s="6"/>
      <c r="G105" s="6"/>
      <c r="J105" s="69" t="s">
        <v>193</v>
      </c>
      <c r="K105" s="69" t="s">
        <v>194</v>
      </c>
      <c r="L105" s="70" t="s">
        <v>191</v>
      </c>
      <c r="M105" s="72" t="s">
        <v>192</v>
      </c>
      <c r="N105" s="431" t="s">
        <v>199</v>
      </c>
      <c r="O105" s="432"/>
      <c r="P105" s="433"/>
    </row>
    <row r="106" spans="2:16" ht="24">
      <c r="B106" s="64" t="s">
        <v>119</v>
      </c>
      <c r="C106" s="22" t="s">
        <v>120</v>
      </c>
      <c r="D106" s="23"/>
      <c r="E106" s="429" t="s">
        <v>126</v>
      </c>
      <c r="F106" s="429"/>
      <c r="G106" s="64" t="s">
        <v>121</v>
      </c>
      <c r="H106" s="8" t="s">
        <v>123</v>
      </c>
      <c r="I106" s="74"/>
      <c r="J106" s="61">
        <v>1.0000000000000001E-5</v>
      </c>
      <c r="K106" s="61"/>
      <c r="L106" s="34"/>
      <c r="M106" s="71"/>
      <c r="N106" s="434" t="s">
        <v>193</v>
      </c>
      <c r="O106" s="434"/>
      <c r="P106" s="3" t="s">
        <v>194</v>
      </c>
    </row>
    <row r="107" spans="2:16">
      <c r="B107" s="19" t="s">
        <v>96</v>
      </c>
      <c r="C107" s="67">
        <v>5583535</v>
      </c>
      <c r="D107" s="68">
        <v>7</v>
      </c>
      <c r="E107" s="9" t="s">
        <v>124</v>
      </c>
      <c r="F107" s="2" t="s">
        <v>198</v>
      </c>
      <c r="G107" s="9">
        <v>1.7503E-3</v>
      </c>
      <c r="H107" s="9">
        <f>G107*A2</f>
        <v>25.834427999999999</v>
      </c>
      <c r="I107" s="9"/>
      <c r="J107" s="2">
        <v>175</v>
      </c>
      <c r="K107" s="2">
        <v>0</v>
      </c>
      <c r="L107" s="2">
        <f>(J107*J106)+(K107*K106)</f>
        <v>1.75E-3</v>
      </c>
      <c r="M107" s="2">
        <f>L107</f>
        <v>1.75E-3</v>
      </c>
      <c r="N107" s="35">
        <v>85957</v>
      </c>
      <c r="O107" s="35">
        <v>96131</v>
      </c>
      <c r="P107" s="2" t="s">
        <v>12</v>
      </c>
    </row>
    <row r="108" spans="2:16">
      <c r="B108" s="428" t="s">
        <v>87</v>
      </c>
      <c r="C108" s="428"/>
      <c r="D108" s="428"/>
      <c r="E108" s="428"/>
      <c r="F108" s="428"/>
      <c r="G108" s="58">
        <f>SUM(G107)</f>
        <v>1.7503E-3</v>
      </c>
      <c r="H108" s="58">
        <f>SUM(H107)</f>
        <v>25.834427999999999</v>
      </c>
      <c r="I108" s="77"/>
    </row>
    <row r="109" spans="2:16">
      <c r="B109" s="6"/>
      <c r="C109" s="6"/>
      <c r="D109" s="6"/>
      <c r="E109" s="6"/>
      <c r="F109" s="6"/>
      <c r="G109" s="6"/>
    </row>
    <row r="110" spans="2:16">
      <c r="B110" s="6"/>
      <c r="C110" s="6"/>
      <c r="D110" s="6"/>
      <c r="E110" s="6"/>
      <c r="F110" s="6"/>
      <c r="G110" s="6"/>
    </row>
    <row r="111" spans="2:16">
      <c r="B111" s="6"/>
      <c r="C111" s="6"/>
      <c r="D111" s="6"/>
      <c r="E111" s="6"/>
      <c r="F111" s="6"/>
      <c r="G111" s="6"/>
      <c r="J111" s="69" t="s">
        <v>193</v>
      </c>
      <c r="K111" s="69" t="s">
        <v>194</v>
      </c>
      <c r="L111" s="70" t="s">
        <v>191</v>
      </c>
      <c r="M111" s="70" t="s">
        <v>192</v>
      </c>
      <c r="N111" s="431" t="s">
        <v>199</v>
      </c>
      <c r="O111" s="432"/>
      <c r="P111" s="433"/>
    </row>
    <row r="112" spans="2:16" ht="24">
      <c r="B112" s="64" t="s">
        <v>119</v>
      </c>
      <c r="C112" s="22" t="s">
        <v>120</v>
      </c>
      <c r="D112" s="23"/>
      <c r="E112" s="430" t="s">
        <v>126</v>
      </c>
      <c r="F112" s="430"/>
      <c r="G112" s="73" t="s">
        <v>121</v>
      </c>
      <c r="H112" s="74" t="s">
        <v>123</v>
      </c>
      <c r="I112" s="74"/>
      <c r="J112" s="61">
        <v>1.0000000000000001E-5</v>
      </c>
      <c r="K112" s="61">
        <v>1.9000000000000001E-5</v>
      </c>
      <c r="L112" s="34"/>
      <c r="M112" s="34"/>
      <c r="N112" s="434" t="s">
        <v>193</v>
      </c>
      <c r="O112" s="434"/>
      <c r="P112" s="3" t="s">
        <v>194</v>
      </c>
    </row>
    <row r="113" spans="2:16">
      <c r="B113" s="9" t="s">
        <v>97</v>
      </c>
      <c r="C113" s="75">
        <v>96603620</v>
      </c>
      <c r="D113" s="76">
        <v>6</v>
      </c>
      <c r="E113" s="9" t="s">
        <v>124</v>
      </c>
      <c r="F113" s="9" t="s">
        <v>200</v>
      </c>
      <c r="G113" s="9">
        <v>2.789E-4</v>
      </c>
      <c r="H113" s="2">
        <f>G113*$A$2</f>
        <v>4.1165640000000003</v>
      </c>
      <c r="I113" s="2"/>
      <c r="J113" s="2">
        <v>26</v>
      </c>
      <c r="K113" s="2">
        <v>1</v>
      </c>
      <c r="L113" s="2">
        <f>(J113*J112)+(K113*K112)</f>
        <v>2.7900000000000006E-4</v>
      </c>
      <c r="M113" s="2">
        <f>L113</f>
        <v>2.7900000000000006E-4</v>
      </c>
      <c r="N113" s="35">
        <v>86132</v>
      </c>
      <c r="O113" s="35">
        <v>86157</v>
      </c>
      <c r="P113" s="2">
        <v>86158</v>
      </c>
    </row>
    <row r="114" spans="2:16">
      <c r="B114" s="6"/>
      <c r="C114" s="6"/>
      <c r="D114" s="6"/>
      <c r="E114" s="9" t="s">
        <v>202</v>
      </c>
      <c r="F114" s="9" t="s">
        <v>201</v>
      </c>
      <c r="G114" s="9">
        <v>1.7899999999999999E-4</v>
      </c>
      <c r="H114" s="2">
        <f>G114*$A$2</f>
        <v>2.6420399999999997</v>
      </c>
      <c r="I114" s="2" t="s">
        <v>203</v>
      </c>
      <c r="J114" s="2">
        <v>16</v>
      </c>
      <c r="K114" s="2">
        <v>1</v>
      </c>
      <c r="L114" s="2">
        <f>(J114*J112)+(K114*K112)</f>
        <v>1.7900000000000001E-4</v>
      </c>
      <c r="M114" s="2">
        <f>L114</f>
        <v>1.7900000000000001E-4</v>
      </c>
      <c r="N114" s="2">
        <v>86142</v>
      </c>
      <c r="O114" s="2">
        <v>86157</v>
      </c>
      <c r="P114" s="2">
        <v>86158</v>
      </c>
    </row>
    <row r="115" spans="2:16">
      <c r="E115" s="9" t="s">
        <v>204</v>
      </c>
      <c r="F115" s="2" t="s">
        <v>138</v>
      </c>
      <c r="G115" s="2">
        <v>2.0029999999999999E-4</v>
      </c>
      <c r="H115" s="2">
        <f>G115*$A$2</f>
        <v>2.9564279999999998</v>
      </c>
      <c r="I115" s="2"/>
      <c r="J115" s="4">
        <v>20</v>
      </c>
      <c r="K115" s="4">
        <v>0</v>
      </c>
      <c r="L115" s="2">
        <f>(J115*J112)+(K115*K112)</f>
        <v>2.0000000000000001E-4</v>
      </c>
      <c r="M115" s="2">
        <f>M114+L115</f>
        <v>3.79E-4</v>
      </c>
      <c r="N115" s="2">
        <v>62286</v>
      </c>
      <c r="O115" s="2">
        <v>62305</v>
      </c>
      <c r="P115" s="2"/>
    </row>
    <row r="116" spans="2:16">
      <c r="E116" s="9" t="s">
        <v>206</v>
      </c>
      <c r="F116" s="9" t="s">
        <v>205</v>
      </c>
      <c r="G116" s="32">
        <v>2.3700000000000001E-3</v>
      </c>
      <c r="H116" s="2">
        <f>G116*$A$2</f>
        <v>34.981200000000001</v>
      </c>
      <c r="I116" s="9"/>
      <c r="J116" s="4">
        <v>237</v>
      </c>
      <c r="K116" s="4">
        <v>0</v>
      </c>
      <c r="L116" s="2">
        <f>(J116*J112)+(K116*K112)</f>
        <v>2.3700000000000001E-3</v>
      </c>
      <c r="M116" s="2">
        <f>M115+L116</f>
        <v>2.7490000000000001E-3</v>
      </c>
      <c r="N116" s="4">
        <v>1424</v>
      </c>
      <c r="O116" s="4">
        <v>1660</v>
      </c>
      <c r="P116" s="2"/>
    </row>
    <row r="117" spans="2:16">
      <c r="E117" s="6"/>
      <c r="F117" s="6"/>
      <c r="G117" s="6"/>
    </row>
    <row r="118" spans="2:16">
      <c r="E118" s="6"/>
      <c r="F118" s="6"/>
      <c r="G118" s="6"/>
    </row>
    <row r="119" spans="2:16">
      <c r="E119" s="6"/>
      <c r="F119" s="6"/>
      <c r="G119" s="6">
        <v>2.7458999999999999E-3</v>
      </c>
      <c r="H119" s="6">
        <f>G119*$A$2</f>
        <v>40.529483999999997</v>
      </c>
    </row>
    <row r="120" spans="2:16">
      <c r="E120" s="6"/>
      <c r="F120" s="6"/>
      <c r="G120" s="6"/>
    </row>
    <row r="121" spans="2:16">
      <c r="E121" s="6"/>
      <c r="F121" s="6"/>
      <c r="G121" s="6"/>
    </row>
    <row r="122" spans="2:16">
      <c r="E122" s="6"/>
      <c r="F122" s="6"/>
      <c r="G122" s="6"/>
    </row>
    <row r="123" spans="2:16">
      <c r="E123" s="6"/>
      <c r="F123" s="6"/>
      <c r="G123" s="6"/>
    </row>
    <row r="124" spans="2:16">
      <c r="E124" s="6"/>
      <c r="F124" s="6"/>
      <c r="G124" s="6"/>
    </row>
    <row r="125" spans="2:16">
      <c r="E125" s="6"/>
      <c r="F125" s="6"/>
      <c r="G125" s="6"/>
    </row>
    <row r="126" spans="2:16">
      <c r="B126" s="6" t="s">
        <v>98</v>
      </c>
      <c r="C126" s="6">
        <v>92387000</v>
      </c>
      <c r="D126" s="6">
        <v>8</v>
      </c>
      <c r="E126" s="6"/>
      <c r="F126" s="6">
        <v>6.6251500000000005E-2</v>
      </c>
      <c r="G126" s="6">
        <f t="shared" ref="G126:G141" si="5">F126*$A$2</f>
        <v>977.87214000000006</v>
      </c>
    </row>
    <row r="127" spans="2:16">
      <c r="B127" s="6" t="s">
        <v>99</v>
      </c>
      <c r="C127" s="6">
        <v>77307850</v>
      </c>
      <c r="D127" s="6">
        <v>5</v>
      </c>
      <c r="E127" s="6"/>
      <c r="F127" s="6">
        <v>1.6967300000000001E-2</v>
      </c>
      <c r="G127" s="6">
        <f t="shared" si="5"/>
        <v>250.43734800000001</v>
      </c>
    </row>
    <row r="128" spans="2:16">
      <c r="B128" s="6" t="s">
        <v>100</v>
      </c>
      <c r="C128" s="6">
        <v>76000200</v>
      </c>
      <c r="D128" s="6">
        <v>3</v>
      </c>
      <c r="E128" s="6"/>
      <c r="F128" s="6">
        <v>5.3163000000000004E-3</v>
      </c>
      <c r="G128" s="6">
        <f t="shared" si="5"/>
        <v>78.468588000000011</v>
      </c>
    </row>
    <row r="129" spans="2:10">
      <c r="B129" s="6" t="s">
        <v>101</v>
      </c>
      <c r="C129" s="6">
        <v>96929960</v>
      </c>
      <c r="D129" s="6">
        <v>7</v>
      </c>
      <c r="E129" s="6"/>
      <c r="F129" s="6">
        <v>1.2242100000000001E-2</v>
      </c>
      <c r="G129" s="6">
        <f t="shared" si="5"/>
        <v>180.69339600000001</v>
      </c>
    </row>
    <row r="130" spans="2:10">
      <c r="B130" s="6" t="s">
        <v>102</v>
      </c>
      <c r="C130" s="6">
        <v>96808510</v>
      </c>
      <c r="D130" s="6">
        <v>7</v>
      </c>
      <c r="E130" s="6"/>
      <c r="F130" s="6">
        <v>5.7010000000000003E-4</v>
      </c>
      <c r="G130" s="6">
        <f t="shared" si="5"/>
        <v>8.414676</v>
      </c>
    </row>
    <row r="131" spans="2:10">
      <c r="B131" s="6" t="s">
        <v>103</v>
      </c>
      <c r="C131" s="6">
        <v>96542880</v>
      </c>
      <c r="D131" s="6">
        <v>1</v>
      </c>
      <c r="E131" s="6"/>
      <c r="F131" s="6">
        <v>4.0000000000000003E-5</v>
      </c>
      <c r="G131" s="6">
        <f t="shared" si="5"/>
        <v>0.59040000000000004</v>
      </c>
    </row>
    <row r="132" spans="2:10">
      <c r="B132" s="6" t="s">
        <v>104</v>
      </c>
      <c r="C132" s="6">
        <v>91374000</v>
      </c>
      <c r="D132" s="6">
        <v>9</v>
      </c>
      <c r="E132" s="6"/>
      <c r="F132" s="6">
        <v>3.0102000000000002E-3</v>
      </c>
      <c r="G132" s="6">
        <f t="shared" si="5"/>
        <v>44.430552000000006</v>
      </c>
    </row>
    <row r="133" spans="2:10">
      <c r="B133" s="6" t="s">
        <v>105</v>
      </c>
      <c r="C133" s="6">
        <v>99520490</v>
      </c>
      <c r="D133" s="6">
        <v>8</v>
      </c>
      <c r="E133" s="6"/>
      <c r="F133" s="6">
        <v>3.2001E-3</v>
      </c>
      <c r="G133" s="6">
        <f t="shared" si="5"/>
        <v>47.233476000000003</v>
      </c>
    </row>
    <row r="134" spans="2:10">
      <c r="B134" s="6" t="s">
        <v>106</v>
      </c>
      <c r="C134" s="6">
        <v>77333980</v>
      </c>
      <c r="D134" s="6">
        <v>5</v>
      </c>
      <c r="E134" s="6"/>
      <c r="F134" s="6">
        <v>3.0000000000000001E-5</v>
      </c>
      <c r="G134" s="6">
        <f t="shared" si="5"/>
        <v>0.44280000000000003</v>
      </c>
    </row>
    <row r="135" spans="2:10">
      <c r="B135" s="6" t="s">
        <v>107</v>
      </c>
      <c r="C135" s="6">
        <v>76299375</v>
      </c>
      <c r="D135" s="6">
        <v>9</v>
      </c>
      <c r="E135" s="6"/>
      <c r="F135" s="6">
        <v>0.78278820000000005</v>
      </c>
      <c r="G135" s="6">
        <f t="shared" si="5"/>
        <v>11553.953832000001</v>
      </c>
      <c r="H135" s="6">
        <v>2.3E-3</v>
      </c>
      <c r="J135">
        <f>H135*A2</f>
        <v>33.948</v>
      </c>
    </row>
    <row r="136" spans="2:10">
      <c r="B136" s="6" t="s">
        <v>108</v>
      </c>
      <c r="C136" s="6">
        <v>76143821</v>
      </c>
      <c r="D136" s="6">
        <v>2</v>
      </c>
      <c r="E136" s="6"/>
      <c r="F136" s="6">
        <v>1.3600000000000001E-3</v>
      </c>
      <c r="G136" s="6">
        <f t="shared" si="5"/>
        <v>20.073600000000003</v>
      </c>
    </row>
    <row r="137" spans="2:10">
      <c r="B137" s="6" t="s">
        <v>109</v>
      </c>
      <c r="C137" s="6">
        <v>76171414</v>
      </c>
      <c r="D137" s="6">
        <v>7</v>
      </c>
      <c r="E137" s="6"/>
      <c r="F137" s="6">
        <v>6.9709000000000004E-3</v>
      </c>
      <c r="G137" s="6">
        <f t="shared" si="5"/>
        <v>102.890484</v>
      </c>
    </row>
    <row r="138" spans="2:10">
      <c r="B138" s="6" t="s">
        <v>110</v>
      </c>
      <c r="C138" s="6">
        <v>6649498</v>
      </c>
      <c r="D138" s="6">
        <v>5</v>
      </c>
      <c r="E138" s="6"/>
      <c r="F138" s="6">
        <v>0</v>
      </c>
      <c r="G138" s="6">
        <f t="shared" si="5"/>
        <v>0</v>
      </c>
    </row>
    <row r="139" spans="2:10">
      <c r="B139" s="6" t="s">
        <v>111</v>
      </c>
      <c r="C139" s="6">
        <v>88912500</v>
      </c>
      <c r="D139" s="6">
        <v>4</v>
      </c>
      <c r="E139" s="6"/>
      <c r="F139" s="6">
        <v>0</v>
      </c>
      <c r="G139" s="6">
        <f t="shared" si="5"/>
        <v>0</v>
      </c>
    </row>
    <row r="140" spans="2:10">
      <c r="B140" s="6" t="s">
        <v>112</v>
      </c>
      <c r="C140" s="6">
        <v>76015307</v>
      </c>
      <c r="D140" s="6">
        <v>9</v>
      </c>
      <c r="E140" s="6"/>
      <c r="F140" s="6">
        <v>0</v>
      </c>
      <c r="G140" s="6">
        <f t="shared" si="5"/>
        <v>0</v>
      </c>
    </row>
    <row r="141" spans="2:10">
      <c r="B141" s="6" t="s">
        <v>113</v>
      </c>
      <c r="C141" s="6">
        <v>7868473</v>
      </c>
      <c r="D141" s="6">
        <v>9</v>
      </c>
      <c r="E141" s="6"/>
      <c r="F141" s="6">
        <v>0</v>
      </c>
      <c r="G141" s="6">
        <f t="shared" si="5"/>
        <v>0</v>
      </c>
    </row>
    <row r="142" spans="2:10">
      <c r="B142" s="6" t="s">
        <v>114</v>
      </c>
      <c r="C142" s="6">
        <v>84902900</v>
      </c>
      <c r="D142" s="6">
        <v>2</v>
      </c>
      <c r="E142" s="6"/>
      <c r="F142" s="6">
        <v>0</v>
      </c>
      <c r="G142" s="6">
        <v>0</v>
      </c>
    </row>
    <row r="143" spans="2:10">
      <c r="B143" s="6" t="s">
        <v>115</v>
      </c>
      <c r="C143" s="6">
        <v>80860400</v>
      </c>
      <c r="D143" s="6">
        <v>0</v>
      </c>
      <c r="E143" s="6"/>
      <c r="F143" s="6">
        <v>0</v>
      </c>
      <c r="G143" s="6">
        <v>0</v>
      </c>
    </row>
    <row r="144" spans="2:10">
      <c r="B144" s="6" t="s">
        <v>116</v>
      </c>
      <c r="C144" s="6">
        <v>77295860</v>
      </c>
      <c r="D144" s="6">
        <v>9</v>
      </c>
      <c r="E144" s="6"/>
      <c r="F144" s="6">
        <v>0</v>
      </c>
      <c r="G144" s="6">
        <v>0</v>
      </c>
    </row>
    <row r="145" spans="2:7">
      <c r="B145" s="6" t="s">
        <v>117</v>
      </c>
      <c r="C145" s="6">
        <v>76596549</v>
      </c>
      <c r="D145" s="6">
        <v>7</v>
      </c>
      <c r="E145" s="6"/>
      <c r="F145" s="6">
        <v>0</v>
      </c>
      <c r="G145" s="6">
        <v>0</v>
      </c>
    </row>
    <row r="146" spans="2:7">
      <c r="B146" s="6" t="s">
        <v>118</v>
      </c>
      <c r="C146" s="6">
        <v>10273896</v>
      </c>
      <c r="D146" s="6">
        <v>9</v>
      </c>
      <c r="E146" s="6"/>
      <c r="F146" s="6">
        <v>0</v>
      </c>
      <c r="G146" s="6">
        <v>0</v>
      </c>
    </row>
    <row r="154" spans="2:7" ht="25.5">
      <c r="B154" s="44" t="s">
        <v>148</v>
      </c>
      <c r="C154" s="45" t="s">
        <v>149</v>
      </c>
      <c r="D154" s="45" t="s">
        <v>150</v>
      </c>
      <c r="E154" s="48" t="s">
        <v>151</v>
      </c>
      <c r="F154" s="46" t="s">
        <v>152</v>
      </c>
    </row>
    <row r="155" spans="2:7">
      <c r="B155" s="39" t="s">
        <v>153</v>
      </c>
      <c r="C155" s="40">
        <v>8.4811999999999995E-3</v>
      </c>
      <c r="D155" s="41">
        <v>93.887</v>
      </c>
      <c r="E155" s="41">
        <v>31.295999999999999</v>
      </c>
      <c r="F155" s="41">
        <v>125.18300000000001</v>
      </c>
    </row>
    <row r="156" spans="2:7">
      <c r="B156" s="39" t="s">
        <v>154</v>
      </c>
      <c r="C156" s="40">
        <v>7.47E-5</v>
      </c>
      <c r="D156" s="41">
        <v>0.82699999999999996</v>
      </c>
      <c r="E156" s="41">
        <v>0.27600000000000002</v>
      </c>
      <c r="F156" s="41">
        <v>1.103</v>
      </c>
    </row>
    <row r="157" spans="2:7">
      <c r="B157" s="39" t="s">
        <v>155</v>
      </c>
      <c r="C157" s="40">
        <v>8.3791000000000004E-3</v>
      </c>
      <c r="D157" s="41">
        <v>92.757000000000005</v>
      </c>
      <c r="E157" s="41">
        <v>30.919</v>
      </c>
      <c r="F157" s="41">
        <v>123.676</v>
      </c>
    </row>
    <row r="158" spans="2:7">
      <c r="B158" s="50" t="s">
        <v>156</v>
      </c>
      <c r="C158" s="51">
        <v>6.9709000000000004E-3</v>
      </c>
      <c r="D158" s="52">
        <v>77.168000000000006</v>
      </c>
      <c r="E158" s="52">
        <v>25.722999999999999</v>
      </c>
      <c r="F158" s="53">
        <v>102.89</v>
      </c>
    </row>
    <row r="159" spans="2:7">
      <c r="B159" s="39" t="s">
        <v>157</v>
      </c>
      <c r="C159" s="40">
        <v>8.0099999999999995E-5</v>
      </c>
      <c r="D159" s="41">
        <v>0.88700000000000001</v>
      </c>
      <c r="E159" s="41">
        <v>0.29599999999999999</v>
      </c>
      <c r="F159" s="41">
        <v>1.1819999999999999</v>
      </c>
    </row>
    <row r="160" spans="2:7">
      <c r="B160" s="39" t="s">
        <v>158</v>
      </c>
      <c r="C160" s="40">
        <v>1.3600000000000001E-3</v>
      </c>
      <c r="D160" s="41">
        <v>15.055</v>
      </c>
      <c r="E160" s="41">
        <v>5.0179999999999998</v>
      </c>
      <c r="F160" s="41">
        <v>20.074000000000002</v>
      </c>
    </row>
    <row r="161" spans="2:7">
      <c r="B161" s="39" t="s">
        <v>159</v>
      </c>
      <c r="C161" s="40">
        <v>0.58079139999999996</v>
      </c>
      <c r="D161" s="43">
        <v>6429.3609999999999</v>
      </c>
      <c r="E161" s="47">
        <v>2143.12</v>
      </c>
      <c r="F161" s="43">
        <v>8572.4809999999998</v>
      </c>
    </row>
    <row r="162" spans="2:7">
      <c r="B162" s="39" t="s">
        <v>160</v>
      </c>
      <c r="C162" s="40">
        <v>8.3519000000000006E-3</v>
      </c>
      <c r="D162" s="41">
        <v>92.456000000000003</v>
      </c>
      <c r="E162" s="41">
        <v>30.818999999999999</v>
      </c>
      <c r="F162" s="41">
        <v>123.274</v>
      </c>
    </row>
    <row r="163" spans="2:7">
      <c r="B163" s="39" t="s">
        <v>161</v>
      </c>
      <c r="C163" s="40">
        <v>5.7010000000000003E-4</v>
      </c>
      <c r="D163" s="41">
        <v>6.3109999999999999</v>
      </c>
      <c r="E163" s="41">
        <v>2.1040000000000001</v>
      </c>
      <c r="F163" s="41">
        <v>8.4149999999999991</v>
      </c>
    </row>
    <row r="164" spans="2:7">
      <c r="B164" s="54" t="s">
        <v>162</v>
      </c>
      <c r="C164" s="55">
        <v>1.01773E-2</v>
      </c>
      <c r="D164" s="56">
        <v>112.663</v>
      </c>
      <c r="E164" s="56">
        <v>37.554000000000002</v>
      </c>
      <c r="F164" s="56">
        <v>150.21700000000001</v>
      </c>
    </row>
    <row r="165" spans="2:7">
      <c r="B165" s="54" t="s">
        <v>162</v>
      </c>
      <c r="C165" s="55">
        <v>1.3550299999999999E-2</v>
      </c>
      <c r="D165" s="56">
        <v>150.00200000000001</v>
      </c>
      <c r="E165" s="56">
        <v>50.000999999999998</v>
      </c>
      <c r="F165" s="56">
        <v>200.00200000000001</v>
      </c>
    </row>
    <row r="166" spans="2:7">
      <c r="B166" s="54" t="s">
        <v>162</v>
      </c>
      <c r="C166" s="55">
        <v>6.9709000000000004E-3</v>
      </c>
      <c r="D166" s="56">
        <v>77.168000000000006</v>
      </c>
      <c r="E166" s="56">
        <v>25.722999999999999</v>
      </c>
      <c r="F166" s="57">
        <v>102.89</v>
      </c>
      <c r="G166" s="38">
        <f>SUM(F164:F166)</f>
        <v>453.10900000000004</v>
      </c>
    </row>
    <row r="167" spans="2:7">
      <c r="B167" s="39" t="s">
        <v>163</v>
      </c>
      <c r="C167" s="40">
        <v>1.72724E-2</v>
      </c>
      <c r="D167" s="41">
        <v>191.20500000000001</v>
      </c>
      <c r="E167" s="41">
        <v>63.734999999999999</v>
      </c>
      <c r="F167" s="41">
        <v>254.941</v>
      </c>
    </row>
    <row r="168" spans="2:7">
      <c r="B168" s="39" t="s">
        <v>164</v>
      </c>
      <c r="C168" s="40">
        <v>2.95681E-2</v>
      </c>
      <c r="D168" s="41">
        <v>327.31900000000002</v>
      </c>
      <c r="E168" s="41">
        <v>109.10599999999999</v>
      </c>
      <c r="F168" s="41">
        <v>436.42500000000001</v>
      </c>
    </row>
    <row r="169" spans="2:7">
      <c r="B169" s="39" t="s">
        <v>165</v>
      </c>
      <c r="C169" s="40">
        <v>5.1815000000000003E-3</v>
      </c>
      <c r="D169" s="41">
        <v>57.359000000000002</v>
      </c>
      <c r="E169" s="49">
        <v>19.12</v>
      </c>
      <c r="F169" s="41">
        <v>76.478999999999999</v>
      </c>
    </row>
    <row r="170" spans="2:7">
      <c r="B170" s="39" t="s">
        <v>166</v>
      </c>
      <c r="C170" s="40">
        <v>1.7503E-3</v>
      </c>
      <c r="D170" s="41">
        <v>19.376000000000001</v>
      </c>
      <c r="E170" s="41">
        <v>6.4589999999999996</v>
      </c>
      <c r="F170" s="41">
        <v>25.834</v>
      </c>
    </row>
    <row r="171" spans="2:7">
      <c r="B171" s="39" t="s">
        <v>167</v>
      </c>
      <c r="C171" s="40">
        <v>3.7589999999999998E-4</v>
      </c>
      <c r="D171" s="41">
        <v>4.1609999999999996</v>
      </c>
      <c r="E171" s="41">
        <v>1.387</v>
      </c>
      <c r="F171" s="41">
        <v>5.548</v>
      </c>
    </row>
    <row r="172" spans="2:7">
      <c r="B172" s="39" t="s">
        <v>168</v>
      </c>
      <c r="C172" s="40">
        <v>5.2701199999999997E-2</v>
      </c>
      <c r="D172" s="41">
        <v>583.40200000000004</v>
      </c>
      <c r="E172" s="41">
        <v>194.46700000000001</v>
      </c>
      <c r="F172" s="42">
        <v>777.87</v>
      </c>
    </row>
    <row r="173" spans="2:7">
      <c r="B173" s="39" t="s">
        <v>169</v>
      </c>
      <c r="C173" s="40">
        <v>1.6967300000000001E-2</v>
      </c>
      <c r="D173" s="41">
        <v>187.828</v>
      </c>
      <c r="E173" s="41">
        <v>62.609000000000002</v>
      </c>
      <c r="F173" s="41">
        <v>250.43700000000001</v>
      </c>
    </row>
    <row r="174" spans="2:7">
      <c r="B174" s="39" t="s">
        <v>170</v>
      </c>
      <c r="C174" s="40">
        <v>5.3163000000000004E-3</v>
      </c>
      <c r="D174" s="41">
        <v>58.850999999999999</v>
      </c>
      <c r="E174" s="41">
        <v>19.617000000000001</v>
      </c>
      <c r="F174" s="41">
        <v>78.468999999999994</v>
      </c>
    </row>
    <row r="175" spans="2:7">
      <c r="B175" s="39" t="s">
        <v>171</v>
      </c>
      <c r="C175" s="40">
        <v>1.2242100000000001E-2</v>
      </c>
      <c r="D175" s="42">
        <v>135.52000000000001</v>
      </c>
      <c r="E175" s="41">
        <v>45.173000000000002</v>
      </c>
      <c r="F175" s="41">
        <v>180.69300000000001</v>
      </c>
    </row>
    <row r="176" spans="2:7">
      <c r="B176" s="39" t="s">
        <v>172</v>
      </c>
      <c r="C176" s="40">
        <v>0.21249680000000001</v>
      </c>
      <c r="D176" s="47">
        <v>2352.34</v>
      </c>
      <c r="E176" s="41">
        <v>784.11300000000006</v>
      </c>
      <c r="F176" s="43">
        <v>3136.453</v>
      </c>
    </row>
    <row r="177" spans="2:6">
      <c r="B177" s="39" t="s">
        <v>173</v>
      </c>
      <c r="C177" s="40">
        <v>3.0019999999999998E-4</v>
      </c>
      <c r="D177" s="41">
        <v>3.323</v>
      </c>
      <c r="E177" s="41">
        <v>1.1080000000000001</v>
      </c>
      <c r="F177" s="41">
        <v>4.431</v>
      </c>
    </row>
    <row r="178" spans="2:6">
      <c r="B178" s="39" t="s">
        <v>174</v>
      </c>
      <c r="C178" s="40">
        <v>3.0000000000000001E-5</v>
      </c>
      <c r="D178" s="41">
        <v>0.33200000000000002</v>
      </c>
      <c r="E178" s="41">
        <v>0.111</v>
      </c>
      <c r="F178" s="41">
        <v>0.443</v>
      </c>
    </row>
    <row r="179" spans="2:6">
      <c r="B179" s="39" t="s">
        <v>175</v>
      </c>
      <c r="C179" s="40">
        <v>4.0000000000000003E-5</v>
      </c>
      <c r="D179" s="41">
        <v>0.443</v>
      </c>
      <c r="E179" s="41">
        <v>0.14799999999999999</v>
      </c>
      <c r="F179" s="41">
        <v>0.59</v>
      </c>
    </row>
    <row r="180" spans="2:6">
      <c r="D180" s="38">
        <f t="shared" ref="D180:E180" si="6">SUM(D155:D179)</f>
        <v>11070.001000000002</v>
      </c>
      <c r="E180" s="38">
        <f t="shared" si="6"/>
        <v>3690.0020000000004</v>
      </c>
      <c r="F180" s="38">
        <f>SUM(F155:F179)</f>
        <v>14760</v>
      </c>
    </row>
  </sheetData>
  <mergeCells count="22">
    <mergeCell ref="E106:F106"/>
    <mergeCell ref="E112:F112"/>
    <mergeCell ref="B108:F108"/>
    <mergeCell ref="N105:P105"/>
    <mergeCell ref="N106:O106"/>
    <mergeCell ref="N111:P111"/>
    <mergeCell ref="N112:O112"/>
    <mergeCell ref="E64:F64"/>
    <mergeCell ref="B71:F71"/>
    <mergeCell ref="E76:F76"/>
    <mergeCell ref="B84:F84"/>
    <mergeCell ref="E87:F87"/>
    <mergeCell ref="B37:F37"/>
    <mergeCell ref="E40:F40"/>
    <mergeCell ref="B47:F47"/>
    <mergeCell ref="E50:F50"/>
    <mergeCell ref="B59:F59"/>
    <mergeCell ref="B24:F24"/>
    <mergeCell ref="E16:F16"/>
    <mergeCell ref="E4:F4"/>
    <mergeCell ref="B11:F11"/>
    <mergeCell ref="E28:F28"/>
  </mergeCells>
  <pageMargins left="0.7" right="0.7" top="0.75" bottom="0.75" header="0.3" footer="0.3"/>
  <pageSetup paperSize="17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115"/>
  <sheetViews>
    <sheetView topLeftCell="A22" zoomScale="70" zoomScaleNormal="70" workbookViewId="0">
      <selection activeCell="I28" sqref="I28"/>
    </sheetView>
  </sheetViews>
  <sheetFormatPr baseColWidth="10" defaultRowHeight="15"/>
  <cols>
    <col min="1" max="1" width="46.42578125" customWidth="1"/>
    <col min="2" max="4" width="17.140625" customWidth="1"/>
    <col min="5" max="5" width="57.7109375" customWidth="1"/>
    <col min="6" max="6" width="18.28515625" style="5" bestFit="1" customWidth="1"/>
    <col min="7" max="7" width="18.28515625" bestFit="1" customWidth="1"/>
    <col min="8" max="8" width="16" bestFit="1" customWidth="1"/>
  </cols>
  <sheetData>
    <row r="4" spans="1:8" ht="56.25">
      <c r="A4" s="80" t="s">
        <v>1</v>
      </c>
      <c r="B4" s="80" t="s">
        <v>2</v>
      </c>
      <c r="C4" s="80"/>
      <c r="D4" s="80"/>
      <c r="E4" s="80" t="s">
        <v>3</v>
      </c>
      <c r="F4" s="80" t="s">
        <v>4</v>
      </c>
      <c r="G4" s="80" t="s">
        <v>5</v>
      </c>
      <c r="H4" s="80" t="s">
        <v>6</v>
      </c>
    </row>
    <row r="5" spans="1:8">
      <c r="A5" s="5"/>
      <c r="B5" s="5"/>
      <c r="C5" s="5"/>
      <c r="D5" s="5"/>
      <c r="E5" s="5"/>
      <c r="G5" s="5"/>
      <c r="H5" s="5"/>
    </row>
    <row r="6" spans="1:8" ht="23.25">
      <c r="A6" s="465" t="s">
        <v>49</v>
      </c>
      <c r="B6" s="459" t="s">
        <v>26</v>
      </c>
      <c r="C6" s="82"/>
      <c r="D6" s="82"/>
      <c r="E6" s="79" t="s">
        <v>8</v>
      </c>
      <c r="F6" s="78" t="e">
        <f>'CUOTA ARTESANAL'!#REF!+'CUOTA ARTESANAL'!G500+'CUOTA ARTESANAL'!G502+'CUOTA ARTESANAL'!G504+'CUOTA ARTESANAL'!G506+'CUOTA ARTESANAL'!G508+'CUOTA ARTESANAL'!G510+'CUOTA ARTESANAL'!G512+'CUOTA ARTESANAL'!G514+'CUOTA ARTESANAL'!G516+'CUOTA ARTESANAL'!G518+'CUOTA ARTESANAL'!#REF!+'CUOTA ARTESANAL'!G520+'CUOTA ARTESANAL'!G522+'CUOTA ARTESANAL'!G524+'CUOTA ARTESANAL'!G526+'CUOTA ARTESANAL'!G528+'CUOTA ARTESANAL'!G530+'CUOTA ARTESANAL'!G532+'CUOTA ARTESANAL'!G534+'CUOTA ARTESANAL'!G536+'CUOTA ARTESANAL'!G538+'CUOTA ARTESANAL'!G540+'CUOTA ARTESANAL'!G542+'CUOTA ARTESANAL'!G544+'CUOTA ARTESANAL'!G546+'CUOTA ARTESANAL'!G548+'CUOTA ARTESANAL'!G550</f>
        <v>#REF!</v>
      </c>
      <c r="G6" s="78" t="e">
        <f>'CUOTA ARTESANAL'!#REF!+'CUOTA ARTESANAL'!H500+'CUOTA ARTESANAL'!H502+'CUOTA ARTESANAL'!H504+'CUOTA ARTESANAL'!H506+'CUOTA ARTESANAL'!H508+'CUOTA ARTESANAL'!H510+'CUOTA ARTESANAL'!H512+'CUOTA ARTESANAL'!H514+'CUOTA ARTESANAL'!H516+'CUOTA ARTESANAL'!H518+'CUOTA ARTESANAL'!#REF!+'CUOTA ARTESANAL'!H520+'CUOTA ARTESANAL'!H522+'CUOTA ARTESANAL'!H524+'CUOTA ARTESANAL'!H526+'CUOTA ARTESANAL'!H528+'CUOTA ARTESANAL'!H530+'CUOTA ARTESANAL'!H532+'CUOTA ARTESANAL'!H534+'CUOTA ARTESANAL'!H536+'CUOTA ARTESANAL'!H538+'CUOTA ARTESANAL'!H540+'CUOTA ARTESANAL'!H542+'CUOTA ARTESANAL'!H544+'CUOTA ARTESANAL'!H546+'CUOTA ARTESANAL'!H548+'CUOTA ARTESANAL'!H550</f>
        <v>#REF!</v>
      </c>
      <c r="H6" s="78" t="e">
        <f>F6+G6</f>
        <v>#REF!</v>
      </c>
    </row>
    <row r="7" spans="1:8" ht="23.25">
      <c r="A7" s="466"/>
      <c r="B7" s="460"/>
      <c r="C7" s="83"/>
      <c r="D7" s="83"/>
      <c r="E7" s="79" t="s">
        <v>9</v>
      </c>
      <c r="F7" s="78" t="e">
        <f>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</f>
        <v>#REF!</v>
      </c>
      <c r="G7" s="78" t="e">
        <f>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</f>
        <v>#REF!</v>
      </c>
      <c r="H7" s="78" t="e">
        <f t="shared" ref="H7:H14" si="0">F7+G7</f>
        <v>#REF!</v>
      </c>
    </row>
    <row r="8" spans="1:8" ht="23.25">
      <c r="A8" s="466"/>
      <c r="B8" s="461"/>
      <c r="C8" s="84"/>
      <c r="D8" s="84"/>
      <c r="E8" s="79" t="s">
        <v>10</v>
      </c>
      <c r="F8" s="78" t="e">
        <f>'CUOTA ARTESANAL'!G499+'CUOTA ARTESANAL'!G501+'CUOTA ARTESANAL'!G503+'CUOTA ARTESANAL'!G505+'CUOTA ARTESANAL'!G507+'CUOTA ARTESANAL'!G509+'CUOTA ARTESANAL'!G511+'CUOTA ARTESANAL'!G513+'CUOTA ARTESANAL'!G515+'CUOTA ARTESANAL'!G517+'CUOTA ARTESANAL'!G519+'CUOTA ARTESANAL'!#REF!+'CUOTA ARTESANAL'!G521+'CUOTA ARTESANAL'!G523+'CUOTA ARTESANAL'!G525+'CUOTA ARTESANAL'!G527+'CUOTA ARTESANAL'!G529+'CUOTA ARTESANAL'!G531+'CUOTA ARTESANAL'!G533+'CUOTA ARTESANAL'!G535+'CUOTA ARTESANAL'!G537+'CUOTA ARTESANAL'!G539+'CUOTA ARTESANAL'!G541+'CUOTA ARTESANAL'!G543+'CUOTA ARTESANAL'!G545+'CUOTA ARTESANAL'!G547+'CUOTA ARTESANAL'!G549+'CUOTA ARTESANAL'!G551</f>
        <v>#REF!</v>
      </c>
      <c r="G8" s="78" t="e">
        <f>'CUOTA ARTESANAL'!H499+'CUOTA ARTESANAL'!H501+'CUOTA ARTESANAL'!H503+'CUOTA ARTESANAL'!H505+'CUOTA ARTESANAL'!H507+'CUOTA ARTESANAL'!H509+'CUOTA ARTESANAL'!H511+'CUOTA ARTESANAL'!H513+'CUOTA ARTESANAL'!H515+'CUOTA ARTESANAL'!H517+'CUOTA ARTESANAL'!H519+'CUOTA ARTESANAL'!#REF!+'CUOTA ARTESANAL'!H521+'CUOTA ARTESANAL'!H523+'CUOTA ARTESANAL'!H525+'CUOTA ARTESANAL'!H527+'CUOTA ARTESANAL'!H529+'CUOTA ARTESANAL'!H531+'CUOTA ARTESANAL'!H533+'CUOTA ARTESANAL'!H535+'CUOTA ARTESANAL'!H537+'CUOTA ARTESANAL'!H539+'CUOTA ARTESANAL'!H541+'CUOTA ARTESANAL'!H543+'CUOTA ARTESANAL'!H545+'CUOTA ARTESANAL'!H547+'CUOTA ARTESANAL'!H549+'CUOTA ARTESANAL'!H551</f>
        <v>#REF!</v>
      </c>
      <c r="H8" s="78" t="e">
        <f t="shared" si="0"/>
        <v>#REF!</v>
      </c>
    </row>
    <row r="9" spans="1:8" ht="23.25">
      <c r="A9" s="466"/>
      <c r="B9" s="459" t="s">
        <v>11</v>
      </c>
      <c r="C9" s="82"/>
      <c r="D9" s="82"/>
      <c r="E9" s="79" t="s">
        <v>8</v>
      </c>
      <c r="F9" s="78">
        <f>'CUOTA ARTESANAL'!G560+'CUOTA ARTESANAL'!G562+'CUOTA ARTESANAL'!G564+'CUOTA ARTESANAL'!G566+'CUOTA ARTESANAL'!G568+'CUOTA ARTESANAL'!G570+'CUOTA ARTESANAL'!G572+'CUOTA ARTESANAL'!G574+'CUOTA ARTESANAL'!G576+'CUOTA ARTESANAL'!G578+'CUOTA ARTESANAL'!G580+'CUOTA ARTESANAL'!G582+'CUOTA ARTESANAL'!G584+'CUOTA ARTESANAL'!G586+'CUOTA ARTESANAL'!G588+'CUOTA ARTESANAL'!G590+'CUOTA ARTESANAL'!G592+'CUOTA ARTESANAL'!G606</f>
        <v>817.48300000000006</v>
      </c>
      <c r="G9" s="78">
        <f>'CUOTA ARTESANAL'!H560+'CUOTA ARTESANAL'!H562+'CUOTA ARTESANAL'!H564+'CUOTA ARTESANAL'!H566+'CUOTA ARTESANAL'!H568+'CUOTA ARTESANAL'!H570+'CUOTA ARTESANAL'!H572+'CUOTA ARTESANAL'!H574+'CUOTA ARTESANAL'!H576+'CUOTA ARTESANAL'!H578+'CUOTA ARTESANAL'!H580+'CUOTA ARTESANAL'!H582+'CUOTA ARTESANAL'!H584+'CUOTA ARTESANAL'!H586+'CUOTA ARTESANAL'!H588+'CUOTA ARTESANAL'!H590+'CUOTA ARTESANAL'!H592+'CUOTA ARTESANAL'!H606</f>
        <v>-350.77</v>
      </c>
      <c r="H9" s="78">
        <f t="shared" si="0"/>
        <v>466.71300000000008</v>
      </c>
    </row>
    <row r="10" spans="1:8" ht="23.25">
      <c r="A10" s="466"/>
      <c r="B10" s="460"/>
      <c r="C10" s="83"/>
      <c r="D10" s="83"/>
      <c r="E10" s="79" t="s">
        <v>9</v>
      </c>
      <c r="F10" s="78" t="e">
        <f>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</f>
        <v>#REF!</v>
      </c>
      <c r="G10" s="78" t="e">
        <f>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</f>
        <v>#REF!</v>
      </c>
      <c r="H10" s="78" t="e">
        <f t="shared" si="0"/>
        <v>#REF!</v>
      </c>
    </row>
    <row r="11" spans="1:8" ht="23.25">
      <c r="A11" s="466"/>
      <c r="B11" s="460"/>
      <c r="C11" s="83"/>
      <c r="D11" s="83"/>
      <c r="E11" s="79" t="s">
        <v>10</v>
      </c>
      <c r="F11" s="78">
        <f>'CUOTA ARTESANAL'!G561+'CUOTA ARTESANAL'!G563+'CUOTA ARTESANAL'!G565+'CUOTA ARTESANAL'!G567+'CUOTA ARTESANAL'!G569+'CUOTA ARTESANAL'!G571+'CUOTA ARTESANAL'!G573+'CUOTA ARTESANAL'!G575+'CUOTA ARTESANAL'!G577+'CUOTA ARTESANAL'!G579+'CUOTA ARTESANAL'!G581+'CUOTA ARTESANAL'!G583+'CUOTA ARTESANAL'!G585+'CUOTA ARTESANAL'!G587+'CUOTA ARTESANAL'!G589+'CUOTA ARTESANAL'!G591+'CUOTA ARTESANAL'!G593+'CUOTA ARTESANAL'!G607</f>
        <v>457.48299999999995</v>
      </c>
      <c r="G11" s="78">
        <f>'CUOTA ARTESANAL'!H561+'CUOTA ARTESANAL'!H563+'CUOTA ARTESANAL'!H565+'CUOTA ARTESANAL'!H567+'CUOTA ARTESANAL'!H569+'CUOTA ARTESANAL'!H571+'CUOTA ARTESANAL'!H573+'CUOTA ARTESANAL'!H575+'CUOTA ARTESANAL'!H577+'CUOTA ARTESANAL'!H579+'CUOTA ARTESANAL'!H581+'CUOTA ARTESANAL'!H583+'CUOTA ARTESANAL'!H585+'CUOTA ARTESANAL'!H587+'CUOTA ARTESANAL'!H589+'CUOTA ARTESANAL'!H591+'CUOTA ARTESANAL'!H593+'CUOTA ARTESANAL'!H607</f>
        <v>-357.5</v>
      </c>
      <c r="H11" s="78">
        <f t="shared" si="0"/>
        <v>99.982999999999947</v>
      </c>
    </row>
    <row r="12" spans="1:8" ht="23.25">
      <c r="A12" s="466"/>
      <c r="B12" s="459" t="s">
        <v>27</v>
      </c>
      <c r="C12" s="82"/>
      <c r="D12" s="82"/>
      <c r="E12" s="79" t="s">
        <v>8</v>
      </c>
      <c r="F12" s="78">
        <f>'CUOTA ARTESANAL'!G608+'CUOTA ARTESANAL'!G610+'CUOTA ARTESANAL'!G612+'CUOTA ARTESANAL'!G614</f>
        <v>344.45300000000003</v>
      </c>
      <c r="G12" s="78">
        <f>'CUOTA ARTESANAL'!H608+'CUOTA ARTESANAL'!H610+'CUOTA ARTESANAL'!H612+'CUOTA ARTESANAL'!H614</f>
        <v>0</v>
      </c>
      <c r="H12" s="78">
        <f t="shared" si="0"/>
        <v>344.45300000000003</v>
      </c>
    </row>
    <row r="13" spans="1:8" ht="23.25">
      <c r="A13" s="466"/>
      <c r="B13" s="460"/>
      <c r="C13" s="83"/>
      <c r="D13" s="83"/>
      <c r="E13" s="79" t="s">
        <v>9</v>
      </c>
      <c r="F13" s="78" t="e">
        <f>'CUOTA ARTESANAL'!#REF!+'CUOTA ARTESANAL'!#REF!+'CUOTA ARTESANAL'!#REF!+'CUOTA ARTESANAL'!#REF!</f>
        <v>#REF!</v>
      </c>
      <c r="G13" s="78" t="e">
        <f>'CUOTA ARTESANAL'!#REF!+'CUOTA ARTESANAL'!#REF!+'CUOTA ARTESANAL'!#REF!+'CUOTA ARTESANAL'!#REF!</f>
        <v>#REF!</v>
      </c>
      <c r="H13" s="78" t="e">
        <f t="shared" si="0"/>
        <v>#REF!</v>
      </c>
    </row>
    <row r="14" spans="1:8" ht="23.25">
      <c r="A14" s="467"/>
      <c r="B14" s="461"/>
      <c r="C14" s="84"/>
      <c r="D14" s="84"/>
      <c r="E14" s="79" t="s">
        <v>10</v>
      </c>
      <c r="F14" s="78">
        <f>'CUOTA ARTESANAL'!G609+'CUOTA ARTESANAL'!G611+'CUOTA ARTESANAL'!G613+'CUOTA ARTESANAL'!G615</f>
        <v>84.452999999999989</v>
      </c>
      <c r="G14" s="78">
        <f>'CUOTA ARTESANAL'!H609+'CUOTA ARTESANAL'!H611+'CUOTA ARTESANAL'!H613+'CUOTA ARTESANAL'!H615</f>
        <v>0</v>
      </c>
      <c r="H14" s="78">
        <f t="shared" si="0"/>
        <v>84.452999999999989</v>
      </c>
    </row>
    <row r="17" spans="1:8" ht="15" customHeight="1">
      <c r="A17" s="462" t="s">
        <v>242</v>
      </c>
      <c r="B17" s="459" t="s">
        <v>26</v>
      </c>
      <c r="C17" s="82"/>
      <c r="D17" s="82"/>
      <c r="E17" s="79" t="s">
        <v>8</v>
      </c>
      <c r="F17" s="81" t="e">
        <f>'CUOTA ARTESANAL'!#REF!</f>
        <v>#REF!</v>
      </c>
      <c r="G17" s="81" t="e">
        <f>'CUOTA ARTESANAL'!#REF!</f>
        <v>#REF!</v>
      </c>
      <c r="H17" s="2" t="e">
        <f>F17+G17</f>
        <v>#REF!</v>
      </c>
    </row>
    <row r="18" spans="1:8" ht="15" customHeight="1">
      <c r="A18" s="463"/>
      <c r="B18" s="460"/>
      <c r="C18" s="83"/>
      <c r="D18" s="83"/>
      <c r="E18" s="79" t="s">
        <v>9</v>
      </c>
      <c r="F18" s="81" t="e">
        <f>'CUOTA ARTESANAL'!#REF!</f>
        <v>#REF!</v>
      </c>
      <c r="G18" s="81" t="e">
        <f>'CUOTA ARTESANAL'!#REF!</f>
        <v>#REF!</v>
      </c>
      <c r="H18" s="2" t="e">
        <f t="shared" ref="H18:H19" si="1">F18+G18</f>
        <v>#REF!</v>
      </c>
    </row>
    <row r="19" spans="1:8" ht="15" customHeight="1">
      <c r="A19" s="463"/>
      <c r="B19" s="461"/>
      <c r="C19" s="84"/>
      <c r="D19" s="84"/>
      <c r="E19" s="79" t="s">
        <v>10</v>
      </c>
      <c r="F19" s="81" t="e">
        <f>'CUOTA ARTESANAL'!#REF!</f>
        <v>#REF!</v>
      </c>
      <c r="G19" s="81" t="e">
        <f>'CUOTA ARTESANAL'!#REF!</f>
        <v>#REF!</v>
      </c>
      <c r="H19" s="2" t="e">
        <f t="shared" si="1"/>
        <v>#REF!</v>
      </c>
    </row>
    <row r="20" spans="1:8" ht="15" customHeight="1">
      <c r="A20" s="463"/>
      <c r="B20" s="459" t="s">
        <v>27</v>
      </c>
      <c r="C20" s="82"/>
      <c r="D20" s="82"/>
      <c r="E20" s="79" t="s">
        <v>8</v>
      </c>
      <c r="F20" s="81" t="e">
        <f>'CUOTA ARTESANAL'!#REF!+'CUOTA ARTESANAL'!#REF!+'CUOTA ARTESANAL'!#REF!+'CUOTA ARTESANAL'!#REF!+'CUOTA ARTESANAL'!#REF!+'CUOTA ARTESANAL'!#REF!+'CUOTA ARTESANAL'!#REF!+'CUOTA ARTESANAL'!G60+'CUOTA ARTESANAL'!#REF!+'CUOTA ARTESANAL'!#REF!+'CUOTA ARTESANAL'!G66+'CUOTA ARTESANAL'!#REF!+'CUOTA ARTESANAL'!#REF!+'CUOTA ARTESANAL'!#REF!+'CUOTA ARTESANAL'!#REF!+'CUOTA ARTESANAL'!#REF!+'CUOTA ARTESANAL'!#REF!+'CUOTA ARTESANAL'!#REF!+'CUOTA ARTESANAL'!#REF!+'CUOTA ARTESANAL'!#REF!</f>
        <v>#REF!</v>
      </c>
      <c r="G20" s="81" t="e">
        <f>'CUOTA ARTESANAL'!#REF!+'CUOTA ARTESANAL'!#REF!+'CUOTA ARTESANAL'!#REF!+'CUOTA ARTESANAL'!#REF!+'CUOTA ARTESANAL'!#REF!+'CUOTA ARTESANAL'!#REF!+'CUOTA ARTESANAL'!#REF!+'CUOTA ARTESANAL'!H60+'CUOTA ARTESANAL'!#REF!+'CUOTA ARTESANAL'!#REF!+'CUOTA ARTESANAL'!H66+'CUOTA ARTESANAL'!#REF!+'CUOTA ARTESANAL'!#REF!+'CUOTA ARTESANAL'!#REF!+'CUOTA ARTESANAL'!#REF!+'CUOTA ARTESANAL'!#REF!+'CUOTA ARTESANAL'!#REF!+'CUOTA ARTESANAL'!#REF!+'CUOTA ARTESANAL'!#REF!+'CUOTA ARTESANAL'!#REF!</f>
        <v>#REF!</v>
      </c>
      <c r="H20" s="81" t="e">
        <f>F20+G20</f>
        <v>#REF!</v>
      </c>
    </row>
    <row r="21" spans="1:8" ht="15" customHeight="1">
      <c r="A21" s="463"/>
      <c r="B21" s="460"/>
      <c r="C21" s="83"/>
      <c r="D21" s="83"/>
      <c r="E21" s="79" t="s">
        <v>9</v>
      </c>
      <c r="F21" s="81" t="e">
        <f>'CUOTA ARTESANAL'!G50+'CUOTA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</f>
        <v>#REF!</v>
      </c>
      <c r="G21" s="81" t="e">
        <f>'CUOTA ARTESANAL'!H50+'CUOTA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</f>
        <v>#REF!</v>
      </c>
      <c r="H21" s="81" t="e">
        <f t="shared" ref="H21:H22" si="2">F21+G21</f>
        <v>#REF!</v>
      </c>
    </row>
    <row r="22" spans="1:8" ht="15" customHeight="1">
      <c r="A22" s="464"/>
      <c r="B22" s="461"/>
      <c r="C22" s="84"/>
      <c r="D22" s="84"/>
      <c r="E22" s="79" t="s">
        <v>10</v>
      </c>
      <c r="F22" s="81" t="e">
        <f>'CUOTA ARTESANAL'!G51+'CUOTA ARTESANAL'!#REF!+'CUOTA ARTESANAL'!#REF!+'CUOTA ARTESANAL'!#REF!+'CUOTA ARTESANAL'!#REF!+'CUOTA ARTESANAL'!#REF!+'CUOTA ARTESANAL'!#REF!+'CUOTA ARTESANAL'!G61+'CUOTA ARTESANAL'!#REF!+'CUOTA ARTESANAL'!#REF!+'CUOTA ARTESANAL'!G67+'CUOTA ARTESANAL'!#REF!+'CUOTA ARTESANAL'!#REF!+'CUOTA ARTESANAL'!#REF!+'CUOTA ARTESANAL'!#REF!+'CUOTA ARTESANAL'!#REF!+'CUOTA ARTESANAL'!#REF!+'CUOTA ARTESANAL'!#REF!+'CUOTA ARTESANAL'!#REF!+'CUOTA ARTESANAL'!#REF!</f>
        <v>#REF!</v>
      </c>
      <c r="G22" s="81" t="e">
        <f>'CUOTA ARTESANAL'!H51+'CUOTA ARTESANAL'!#REF!+'CUOTA ARTESANAL'!#REF!+'CUOTA ARTESANAL'!#REF!+'CUOTA ARTESANAL'!#REF!+'CUOTA ARTESANAL'!#REF!+'CUOTA ARTESANAL'!#REF!+'CUOTA ARTESANAL'!H61+'CUOTA ARTESANAL'!#REF!+'CUOTA ARTESANAL'!#REF!+'CUOTA ARTESANAL'!H67+'CUOTA ARTESANAL'!#REF!+'CUOTA ARTESANAL'!#REF!+'CUOTA ARTESANAL'!#REF!+'CUOTA ARTESANAL'!#REF!+'CUOTA ARTESANAL'!#REF!+'CUOTA ARTESANAL'!#REF!+'CUOTA ARTESANAL'!#REF!+'CUOTA ARTESANAL'!#REF!+'CUOTA ARTESANAL'!#REF!</f>
        <v>#REF!</v>
      </c>
      <c r="H22" s="81" t="e">
        <f t="shared" si="2"/>
        <v>#REF!</v>
      </c>
    </row>
    <row r="28" spans="1:8" ht="75">
      <c r="A28" s="1" t="s">
        <v>2</v>
      </c>
      <c r="B28" s="1" t="s">
        <v>246</v>
      </c>
      <c r="C28" s="80" t="s">
        <v>3</v>
      </c>
      <c r="D28" s="80" t="s">
        <v>247</v>
      </c>
      <c r="E28" s="80" t="s">
        <v>244</v>
      </c>
      <c r="F28" s="80" t="s">
        <v>245</v>
      </c>
      <c r="G28" s="80" t="s">
        <v>3</v>
      </c>
      <c r="H28" s="80" t="s">
        <v>247</v>
      </c>
    </row>
    <row r="29" spans="1:8">
      <c r="A29" s="453" t="s">
        <v>23</v>
      </c>
      <c r="B29" s="447">
        <f>D29+D34+D39</f>
        <v>241.76600000000002</v>
      </c>
      <c r="C29" s="441" t="s">
        <v>8</v>
      </c>
      <c r="D29" s="444">
        <f>H29+H32+H35+H38+H41</f>
        <v>21.275000000000002</v>
      </c>
      <c r="E29" s="450" t="s">
        <v>220</v>
      </c>
      <c r="F29" s="447">
        <f>H29+H30+H31</f>
        <v>110.83199999999999</v>
      </c>
      <c r="G29" s="79" t="s">
        <v>8</v>
      </c>
      <c r="H29" s="86">
        <v>9.7530000000000001</v>
      </c>
    </row>
    <row r="30" spans="1:8">
      <c r="A30" s="454"/>
      <c r="B30" s="448"/>
      <c r="C30" s="442"/>
      <c r="D30" s="445"/>
      <c r="E30" s="451"/>
      <c r="F30" s="448"/>
      <c r="G30" s="79" t="s">
        <v>9</v>
      </c>
      <c r="H30" s="86">
        <v>45.663000000000004</v>
      </c>
    </row>
    <row r="31" spans="1:8">
      <c r="A31" s="454"/>
      <c r="B31" s="448"/>
      <c r="C31" s="442"/>
      <c r="D31" s="445"/>
      <c r="E31" s="452"/>
      <c r="F31" s="449"/>
      <c r="G31" s="79" t="s">
        <v>10</v>
      </c>
      <c r="H31" s="86">
        <v>55.415999999999997</v>
      </c>
    </row>
    <row r="32" spans="1:8">
      <c r="A32" s="454"/>
      <c r="B32" s="448"/>
      <c r="C32" s="442"/>
      <c r="D32" s="445"/>
      <c r="E32" s="450" t="s">
        <v>219</v>
      </c>
      <c r="F32" s="447">
        <f>H32+H33+H34</f>
        <v>60.448999999999998</v>
      </c>
      <c r="G32" s="79" t="s">
        <v>8</v>
      </c>
      <c r="H32" s="86">
        <v>5.3190000000000008</v>
      </c>
    </row>
    <row r="33" spans="1:8">
      <c r="A33" s="454"/>
      <c r="B33" s="448"/>
      <c r="C33" s="443"/>
      <c r="D33" s="446"/>
      <c r="E33" s="451"/>
      <c r="F33" s="448"/>
      <c r="G33" s="79" t="s">
        <v>9</v>
      </c>
      <c r="H33" s="86">
        <v>24.905000000000001</v>
      </c>
    </row>
    <row r="34" spans="1:8">
      <c r="A34" s="454"/>
      <c r="B34" s="448"/>
      <c r="C34" s="441" t="s">
        <v>9</v>
      </c>
      <c r="D34" s="444">
        <f>H30+H33+H36+H39+H42</f>
        <v>99.608000000000018</v>
      </c>
      <c r="E34" s="452"/>
      <c r="F34" s="449"/>
      <c r="G34" s="79" t="s">
        <v>10</v>
      </c>
      <c r="H34" s="86">
        <v>30.224999999999994</v>
      </c>
    </row>
    <row r="35" spans="1:8">
      <c r="A35" s="454"/>
      <c r="B35" s="448"/>
      <c r="C35" s="442"/>
      <c r="D35" s="445"/>
      <c r="E35" s="450" t="s">
        <v>221</v>
      </c>
      <c r="F35" s="447">
        <f>H35+H36+H37</f>
        <v>20.134</v>
      </c>
      <c r="G35" s="79" t="s">
        <v>8</v>
      </c>
      <c r="H35" s="86">
        <v>1.772</v>
      </c>
    </row>
    <row r="36" spans="1:8">
      <c r="A36" s="454"/>
      <c r="B36" s="448"/>
      <c r="C36" s="442"/>
      <c r="D36" s="445"/>
      <c r="E36" s="451"/>
      <c r="F36" s="448"/>
      <c r="G36" s="79" t="s">
        <v>9</v>
      </c>
      <c r="H36" s="86">
        <v>8.2949999999999999</v>
      </c>
    </row>
    <row r="37" spans="1:8">
      <c r="A37" s="454"/>
      <c r="B37" s="448"/>
      <c r="C37" s="442"/>
      <c r="D37" s="445"/>
      <c r="E37" s="452"/>
      <c r="F37" s="449"/>
      <c r="G37" s="79" t="s">
        <v>10</v>
      </c>
      <c r="H37" s="86">
        <v>10.067</v>
      </c>
    </row>
    <row r="38" spans="1:8">
      <c r="A38" s="454"/>
      <c r="B38" s="448"/>
      <c r="C38" s="443"/>
      <c r="D38" s="446"/>
      <c r="E38" s="450" t="s">
        <v>222</v>
      </c>
      <c r="F38" s="447">
        <f>H38+H39+H40</f>
        <v>20.147999999999996</v>
      </c>
      <c r="G38" s="79" t="s">
        <v>8</v>
      </c>
      <c r="H38" s="86">
        <v>1.7730000000000001</v>
      </c>
    </row>
    <row r="39" spans="1:8">
      <c r="A39" s="454"/>
      <c r="B39" s="448"/>
      <c r="C39" s="441" t="s">
        <v>10</v>
      </c>
      <c r="D39" s="444">
        <f>H31+H34+H37+H40+H43</f>
        <v>120.883</v>
      </c>
      <c r="E39" s="451"/>
      <c r="F39" s="448"/>
      <c r="G39" s="79" t="s">
        <v>9</v>
      </c>
      <c r="H39" s="86">
        <v>8.3009999999999984</v>
      </c>
    </row>
    <row r="40" spans="1:8">
      <c r="A40" s="454"/>
      <c r="B40" s="448"/>
      <c r="C40" s="442"/>
      <c r="D40" s="445"/>
      <c r="E40" s="452"/>
      <c r="F40" s="449"/>
      <c r="G40" s="79" t="s">
        <v>10</v>
      </c>
      <c r="H40" s="86">
        <v>10.074</v>
      </c>
    </row>
    <row r="41" spans="1:8">
      <c r="A41" s="454"/>
      <c r="B41" s="448"/>
      <c r="C41" s="442"/>
      <c r="D41" s="445"/>
      <c r="E41" s="450" t="s">
        <v>223</v>
      </c>
      <c r="F41" s="447">
        <f>H41+H42+H43</f>
        <v>30.203000000000003</v>
      </c>
      <c r="G41" s="79" t="s">
        <v>8</v>
      </c>
      <c r="H41" s="86">
        <v>2.6579999999999999</v>
      </c>
    </row>
    <row r="42" spans="1:8">
      <c r="A42" s="454"/>
      <c r="B42" s="448"/>
      <c r="C42" s="442"/>
      <c r="D42" s="445"/>
      <c r="E42" s="451"/>
      <c r="F42" s="448"/>
      <c r="G42" s="79" t="s">
        <v>9</v>
      </c>
      <c r="H42" s="86">
        <v>12.444000000000001</v>
      </c>
    </row>
    <row r="43" spans="1:8">
      <c r="A43" s="455"/>
      <c r="B43" s="449"/>
      <c r="C43" s="443"/>
      <c r="D43" s="446"/>
      <c r="E43" s="452"/>
      <c r="F43" s="449"/>
      <c r="G43" s="79" t="s">
        <v>10</v>
      </c>
      <c r="H43" s="86">
        <v>15.101000000000001</v>
      </c>
    </row>
    <row r="44" spans="1:8">
      <c r="A44" s="453" t="s">
        <v>24</v>
      </c>
      <c r="B44" s="447">
        <f>D44+D51+D58</f>
        <v>1240.7380000000001</v>
      </c>
      <c r="C44" s="441" t="s">
        <v>8</v>
      </c>
      <c r="D44" s="447">
        <f>H44+H47+H50+H53+H56+H59+H62</f>
        <v>109.185</v>
      </c>
      <c r="E44" s="450" t="s">
        <v>224</v>
      </c>
      <c r="F44" s="447">
        <f>H44+H45+H46</f>
        <v>338.38799999999998</v>
      </c>
      <c r="G44" s="79" t="s">
        <v>8</v>
      </c>
      <c r="H44" s="86">
        <v>29.777999999999999</v>
      </c>
    </row>
    <row r="45" spans="1:8">
      <c r="A45" s="454"/>
      <c r="B45" s="448"/>
      <c r="C45" s="442"/>
      <c r="D45" s="448"/>
      <c r="E45" s="451"/>
      <c r="F45" s="448"/>
      <c r="G45" s="79" t="s">
        <v>9</v>
      </c>
      <c r="H45" s="86">
        <v>139.416</v>
      </c>
    </row>
    <row r="46" spans="1:8">
      <c r="A46" s="454"/>
      <c r="B46" s="448"/>
      <c r="C46" s="442"/>
      <c r="D46" s="448"/>
      <c r="E46" s="452"/>
      <c r="F46" s="449"/>
      <c r="G46" s="79" t="s">
        <v>10</v>
      </c>
      <c r="H46" s="86">
        <v>169.19399999999999</v>
      </c>
    </row>
    <row r="47" spans="1:8">
      <c r="A47" s="454"/>
      <c r="B47" s="448"/>
      <c r="C47" s="442"/>
      <c r="D47" s="448"/>
      <c r="E47" s="450" t="s">
        <v>225</v>
      </c>
      <c r="F47" s="447">
        <f>H47+H48+H49</f>
        <v>620.37199999999996</v>
      </c>
      <c r="G47" s="79" t="s">
        <v>8</v>
      </c>
      <c r="H47" s="86">
        <v>54.593000000000004</v>
      </c>
    </row>
    <row r="48" spans="1:8">
      <c r="A48" s="454"/>
      <c r="B48" s="448"/>
      <c r="C48" s="442"/>
      <c r="D48" s="448"/>
      <c r="E48" s="451"/>
      <c r="F48" s="448"/>
      <c r="G48" s="79" t="s">
        <v>9</v>
      </c>
      <c r="H48" s="86">
        <v>255.59299999999999</v>
      </c>
    </row>
    <row r="49" spans="1:8">
      <c r="A49" s="454"/>
      <c r="B49" s="448"/>
      <c r="C49" s="442"/>
      <c r="D49" s="448"/>
      <c r="E49" s="452"/>
      <c r="F49" s="449"/>
      <c r="G49" s="79" t="s">
        <v>10</v>
      </c>
      <c r="H49" s="86">
        <v>310.18599999999998</v>
      </c>
    </row>
    <row r="50" spans="1:8">
      <c r="A50" s="454"/>
      <c r="B50" s="448"/>
      <c r="C50" s="443"/>
      <c r="D50" s="449"/>
      <c r="E50" s="450" t="s">
        <v>226</v>
      </c>
      <c r="F50" s="447">
        <f>H50+H51+H52</f>
        <v>183.28700000000001</v>
      </c>
      <c r="G50" s="79" t="s">
        <v>8</v>
      </c>
      <c r="H50" s="86">
        <v>16.129000000000001</v>
      </c>
    </row>
    <row r="51" spans="1:8">
      <c r="A51" s="454"/>
      <c r="B51" s="448"/>
      <c r="C51" s="441" t="s">
        <v>9</v>
      </c>
      <c r="D51" s="447">
        <f>H45+H48+H51+H54+H57+H60+H63</f>
        <v>511.18400000000003</v>
      </c>
      <c r="E51" s="451"/>
      <c r="F51" s="448"/>
      <c r="G51" s="79" t="s">
        <v>9</v>
      </c>
      <c r="H51" s="86">
        <v>75.513999999999996</v>
      </c>
    </row>
    <row r="52" spans="1:8">
      <c r="A52" s="454"/>
      <c r="B52" s="448"/>
      <c r="C52" s="442"/>
      <c r="D52" s="448"/>
      <c r="E52" s="452"/>
      <c r="F52" s="449"/>
      <c r="G52" s="79" t="s">
        <v>10</v>
      </c>
      <c r="H52" s="86">
        <v>91.644000000000005</v>
      </c>
    </row>
    <row r="53" spans="1:8">
      <c r="A53" s="454"/>
      <c r="B53" s="448"/>
      <c r="C53" s="442"/>
      <c r="D53" s="448"/>
      <c r="E53" s="450" t="s">
        <v>230</v>
      </c>
      <c r="F53" s="447">
        <f>H53+H54+H55</f>
        <v>28.198</v>
      </c>
      <c r="G53" s="79" t="s">
        <v>8</v>
      </c>
      <c r="H53" s="86">
        <v>2.4809999999999999</v>
      </c>
    </row>
    <row r="54" spans="1:8">
      <c r="A54" s="454"/>
      <c r="B54" s="448"/>
      <c r="C54" s="442"/>
      <c r="D54" s="448"/>
      <c r="E54" s="451"/>
      <c r="F54" s="448"/>
      <c r="G54" s="79" t="s">
        <v>9</v>
      </c>
      <c r="H54" s="86">
        <v>11.618</v>
      </c>
    </row>
    <row r="55" spans="1:8">
      <c r="A55" s="454"/>
      <c r="B55" s="448"/>
      <c r="C55" s="442"/>
      <c r="D55" s="448"/>
      <c r="E55" s="452"/>
      <c r="F55" s="449"/>
      <c r="G55" s="79" t="s">
        <v>10</v>
      </c>
      <c r="H55" s="86">
        <v>14.099</v>
      </c>
    </row>
    <row r="56" spans="1:8">
      <c r="A56" s="454"/>
      <c r="B56" s="448"/>
      <c r="C56" s="442"/>
      <c r="D56" s="448"/>
      <c r="E56" s="450" t="s">
        <v>227</v>
      </c>
      <c r="F56" s="447">
        <f>H56+H57+H58</f>
        <v>14.097999999999999</v>
      </c>
      <c r="G56" s="79" t="s">
        <v>8</v>
      </c>
      <c r="H56" s="86">
        <v>1.2410000000000001</v>
      </c>
    </row>
    <row r="57" spans="1:8">
      <c r="A57" s="454"/>
      <c r="B57" s="448"/>
      <c r="C57" s="443"/>
      <c r="D57" s="449"/>
      <c r="E57" s="451"/>
      <c r="F57" s="448"/>
      <c r="G57" s="79" t="s">
        <v>9</v>
      </c>
      <c r="H57" s="86">
        <v>5.8079999999999998</v>
      </c>
    </row>
    <row r="58" spans="1:8">
      <c r="A58" s="454"/>
      <c r="B58" s="448"/>
      <c r="C58" s="441" t="s">
        <v>10</v>
      </c>
      <c r="D58" s="447">
        <f>H46+H49+H52+H55+H58+H61+H64</f>
        <v>620.36900000000003</v>
      </c>
      <c r="E58" s="452"/>
      <c r="F58" s="449"/>
      <c r="G58" s="79" t="s">
        <v>10</v>
      </c>
      <c r="H58" s="86">
        <v>7.0490000000000004</v>
      </c>
    </row>
    <row r="59" spans="1:8">
      <c r="A59" s="454"/>
      <c r="B59" s="448"/>
      <c r="C59" s="442"/>
      <c r="D59" s="448"/>
      <c r="E59" s="450" t="s">
        <v>228</v>
      </c>
      <c r="F59" s="447">
        <f>H59+H60+H61</f>
        <v>14.100000000000001</v>
      </c>
      <c r="G59" s="79" t="s">
        <v>8</v>
      </c>
      <c r="H59" s="86">
        <v>1.2410000000000001</v>
      </c>
    </row>
    <row r="60" spans="1:8">
      <c r="A60" s="454"/>
      <c r="B60" s="448"/>
      <c r="C60" s="442"/>
      <c r="D60" s="448"/>
      <c r="E60" s="451"/>
      <c r="F60" s="448"/>
      <c r="G60" s="79" t="s">
        <v>9</v>
      </c>
      <c r="H60" s="86">
        <v>5.8090000000000002</v>
      </c>
    </row>
    <row r="61" spans="1:8">
      <c r="A61" s="454"/>
      <c r="B61" s="448"/>
      <c r="C61" s="442"/>
      <c r="D61" s="448"/>
      <c r="E61" s="452"/>
      <c r="F61" s="449"/>
      <c r="G61" s="79" t="s">
        <v>10</v>
      </c>
      <c r="H61" s="86">
        <v>7.05</v>
      </c>
    </row>
    <row r="62" spans="1:8">
      <c r="A62" s="454"/>
      <c r="B62" s="448"/>
      <c r="C62" s="442"/>
      <c r="D62" s="448"/>
      <c r="E62" s="450" t="s">
        <v>229</v>
      </c>
      <c r="F62" s="447">
        <f>H62+H63+H64</f>
        <v>42.295000000000002</v>
      </c>
      <c r="G62" s="79" t="s">
        <v>8</v>
      </c>
      <c r="H62" s="86">
        <v>3.722</v>
      </c>
    </row>
    <row r="63" spans="1:8">
      <c r="A63" s="454"/>
      <c r="B63" s="448"/>
      <c r="C63" s="442"/>
      <c r="D63" s="448"/>
      <c r="E63" s="451"/>
      <c r="F63" s="448"/>
      <c r="G63" s="79" t="s">
        <v>9</v>
      </c>
      <c r="H63" s="86">
        <v>17.425999999999998</v>
      </c>
    </row>
    <row r="64" spans="1:8">
      <c r="A64" s="455"/>
      <c r="B64" s="449"/>
      <c r="C64" s="443"/>
      <c r="D64" s="449"/>
      <c r="E64" s="452"/>
      <c r="F64" s="449"/>
      <c r="G64" s="79" t="s">
        <v>10</v>
      </c>
      <c r="H64" s="86">
        <v>21.146999999999998</v>
      </c>
    </row>
    <row r="65" spans="1:8">
      <c r="A65" s="456" t="s">
        <v>25</v>
      </c>
      <c r="B65" s="435">
        <f>F65</f>
        <v>58.245000000000005</v>
      </c>
      <c r="C65" s="79" t="s">
        <v>8</v>
      </c>
      <c r="D65" s="86">
        <v>5.1260000000000003</v>
      </c>
      <c r="E65" s="441" t="s">
        <v>243</v>
      </c>
      <c r="F65" s="447">
        <f>H65+H66+H67</f>
        <v>58.245000000000005</v>
      </c>
      <c r="G65" s="79" t="s">
        <v>8</v>
      </c>
      <c r="H65" s="86">
        <v>5.1260000000000003</v>
      </c>
    </row>
    <row r="66" spans="1:8">
      <c r="A66" s="457"/>
      <c r="B66" s="436"/>
      <c r="C66" s="79" t="s">
        <v>9</v>
      </c>
      <c r="D66" s="86">
        <v>23.997</v>
      </c>
      <c r="E66" s="442"/>
      <c r="F66" s="448"/>
      <c r="G66" s="79" t="s">
        <v>9</v>
      </c>
      <c r="H66" s="86">
        <v>23.997</v>
      </c>
    </row>
    <row r="67" spans="1:8">
      <c r="A67" s="458"/>
      <c r="B67" s="437"/>
      <c r="C67" s="79" t="s">
        <v>10</v>
      </c>
      <c r="D67" s="86">
        <v>29.122</v>
      </c>
      <c r="E67" s="443"/>
      <c r="F67" s="449"/>
      <c r="G67" s="79" t="s">
        <v>10</v>
      </c>
      <c r="H67" s="86">
        <v>29.122</v>
      </c>
    </row>
    <row r="68" spans="1:8">
      <c r="A68" s="453" t="s">
        <v>27</v>
      </c>
      <c r="B68" s="447">
        <f>D68+D78+D88</f>
        <v>1198.7179999999998</v>
      </c>
      <c r="C68" s="441" t="s">
        <v>8</v>
      </c>
      <c r="D68" s="447">
        <f>H68+H71+H74+H77+H80+H83+H86+H89+H92+H95</f>
        <v>105.48700000000001</v>
      </c>
      <c r="E68" s="450" t="s">
        <v>231</v>
      </c>
      <c r="F68" s="447">
        <f>H68+H69+H70</f>
        <v>101.19200000000001</v>
      </c>
      <c r="G68" s="79" t="s">
        <v>8</v>
      </c>
      <c r="H68" s="86">
        <v>8.9049999999999994</v>
      </c>
    </row>
    <row r="69" spans="1:8">
      <c r="A69" s="454"/>
      <c r="B69" s="448"/>
      <c r="C69" s="442"/>
      <c r="D69" s="448"/>
      <c r="E69" s="451"/>
      <c r="F69" s="448"/>
      <c r="G69" s="79" t="s">
        <v>9</v>
      </c>
      <c r="H69" s="86">
        <v>41.691000000000003</v>
      </c>
    </row>
    <row r="70" spans="1:8">
      <c r="A70" s="454"/>
      <c r="B70" s="448"/>
      <c r="C70" s="442"/>
      <c r="D70" s="448"/>
      <c r="E70" s="452"/>
      <c r="F70" s="449"/>
      <c r="G70" s="79" t="s">
        <v>10</v>
      </c>
      <c r="H70" s="86">
        <v>50.595999999999997</v>
      </c>
    </row>
    <row r="71" spans="1:8">
      <c r="A71" s="454"/>
      <c r="B71" s="448"/>
      <c r="C71" s="442"/>
      <c r="D71" s="448"/>
      <c r="E71" s="450" t="s">
        <v>239</v>
      </c>
      <c r="F71" s="447">
        <f>H71+H72+H73</f>
        <v>50.532000000000004</v>
      </c>
      <c r="G71" s="79" t="s">
        <v>8</v>
      </c>
      <c r="H71" s="86">
        <v>4.4469999999999992</v>
      </c>
    </row>
    <row r="72" spans="1:8">
      <c r="A72" s="454"/>
      <c r="B72" s="448"/>
      <c r="C72" s="442"/>
      <c r="D72" s="448"/>
      <c r="E72" s="451"/>
      <c r="F72" s="448"/>
      <c r="G72" s="79" t="s">
        <v>9</v>
      </c>
      <c r="H72" s="86">
        <v>20.818999999999999</v>
      </c>
    </row>
    <row r="73" spans="1:8">
      <c r="A73" s="454"/>
      <c r="B73" s="448"/>
      <c r="C73" s="442"/>
      <c r="D73" s="448"/>
      <c r="E73" s="452"/>
      <c r="F73" s="449"/>
      <c r="G73" s="79" t="s">
        <v>10</v>
      </c>
      <c r="H73" s="86">
        <v>25.266000000000005</v>
      </c>
    </row>
    <row r="74" spans="1:8">
      <c r="A74" s="454"/>
      <c r="B74" s="448"/>
      <c r="C74" s="442"/>
      <c r="D74" s="448"/>
      <c r="E74" s="450" t="s">
        <v>232</v>
      </c>
      <c r="F74" s="447">
        <f>H74+H75+H76</f>
        <v>137.18699999999998</v>
      </c>
      <c r="G74" s="79" t="s">
        <v>8</v>
      </c>
      <c r="H74" s="86">
        <v>12.071999999999997</v>
      </c>
    </row>
    <row r="75" spans="1:8">
      <c r="A75" s="454"/>
      <c r="B75" s="448"/>
      <c r="C75" s="442"/>
      <c r="D75" s="448"/>
      <c r="E75" s="451"/>
      <c r="F75" s="448"/>
      <c r="G75" s="79" t="s">
        <v>9</v>
      </c>
      <c r="H75" s="86">
        <v>56.521000000000001</v>
      </c>
    </row>
    <row r="76" spans="1:8">
      <c r="A76" s="454"/>
      <c r="B76" s="448"/>
      <c r="C76" s="442"/>
      <c r="D76" s="448"/>
      <c r="E76" s="452"/>
      <c r="F76" s="449"/>
      <c r="G76" s="79" t="s">
        <v>10</v>
      </c>
      <c r="H76" s="86">
        <v>68.59399999999998</v>
      </c>
    </row>
    <row r="77" spans="1:8">
      <c r="A77" s="454"/>
      <c r="B77" s="448"/>
      <c r="C77" s="443"/>
      <c r="D77" s="449"/>
      <c r="E77" s="450" t="s">
        <v>240</v>
      </c>
      <c r="F77" s="447">
        <f>H77+H78+H79</f>
        <v>252.79699999999997</v>
      </c>
      <c r="G77" s="79" t="s">
        <v>8</v>
      </c>
      <c r="H77" s="86">
        <v>22.245999999999999</v>
      </c>
    </row>
    <row r="78" spans="1:8">
      <c r="A78" s="454"/>
      <c r="B78" s="448"/>
      <c r="C78" s="441" t="s">
        <v>9</v>
      </c>
      <c r="D78" s="447">
        <f>H69+H72+H75+H78+H81+H84+H87+H90+H93+H96</f>
        <v>493.87200000000007</v>
      </c>
      <c r="E78" s="451"/>
      <c r="F78" s="448"/>
      <c r="G78" s="79" t="s">
        <v>9</v>
      </c>
      <c r="H78" s="86">
        <v>104.15200000000002</v>
      </c>
    </row>
    <row r="79" spans="1:8">
      <c r="A79" s="454"/>
      <c r="B79" s="448"/>
      <c r="C79" s="442"/>
      <c r="D79" s="448"/>
      <c r="E79" s="452"/>
      <c r="F79" s="449"/>
      <c r="G79" s="79" t="s">
        <v>10</v>
      </c>
      <c r="H79" s="86">
        <v>126.39899999999997</v>
      </c>
    </row>
    <row r="80" spans="1:8">
      <c r="A80" s="454"/>
      <c r="B80" s="448"/>
      <c r="C80" s="442"/>
      <c r="D80" s="448"/>
      <c r="E80" s="450" t="s">
        <v>233</v>
      </c>
      <c r="F80" s="447">
        <f>H80+H81+H82</f>
        <v>101.056</v>
      </c>
      <c r="G80" s="79" t="s">
        <v>8</v>
      </c>
      <c r="H80" s="86">
        <v>8.8929999999999989</v>
      </c>
    </row>
    <row r="81" spans="1:8">
      <c r="A81" s="454"/>
      <c r="B81" s="448"/>
      <c r="C81" s="442"/>
      <c r="D81" s="448"/>
      <c r="E81" s="451"/>
      <c r="F81" s="448"/>
      <c r="G81" s="79" t="s">
        <v>9</v>
      </c>
      <c r="H81" s="86">
        <v>41.634999999999998</v>
      </c>
    </row>
    <row r="82" spans="1:8">
      <c r="A82" s="454"/>
      <c r="B82" s="448"/>
      <c r="C82" s="442"/>
      <c r="D82" s="448"/>
      <c r="E82" s="452"/>
      <c r="F82" s="449"/>
      <c r="G82" s="79" t="s">
        <v>10</v>
      </c>
      <c r="H82" s="86">
        <v>50.527999999999999</v>
      </c>
    </row>
    <row r="83" spans="1:8">
      <c r="A83" s="454"/>
      <c r="B83" s="448"/>
      <c r="C83" s="442"/>
      <c r="D83" s="448"/>
      <c r="E83" s="450" t="s">
        <v>234</v>
      </c>
      <c r="F83" s="447">
        <f>H83+H84+H85</f>
        <v>101.07</v>
      </c>
      <c r="G83" s="79" t="s">
        <v>8</v>
      </c>
      <c r="H83" s="86">
        <v>8.8939999999999984</v>
      </c>
    </row>
    <row r="84" spans="1:8">
      <c r="A84" s="454"/>
      <c r="B84" s="448"/>
      <c r="C84" s="442"/>
      <c r="D84" s="448"/>
      <c r="E84" s="451"/>
      <c r="F84" s="448"/>
      <c r="G84" s="79" t="s">
        <v>9</v>
      </c>
      <c r="H84" s="86">
        <v>41.640999999999991</v>
      </c>
    </row>
    <row r="85" spans="1:8">
      <c r="A85" s="454"/>
      <c r="B85" s="448"/>
      <c r="C85" s="442"/>
      <c r="D85" s="448"/>
      <c r="E85" s="452"/>
      <c r="F85" s="449"/>
      <c r="G85" s="79" t="s">
        <v>10</v>
      </c>
      <c r="H85" s="86">
        <v>50.535000000000004</v>
      </c>
    </row>
    <row r="86" spans="1:8">
      <c r="A86" s="454"/>
      <c r="B86" s="448"/>
      <c r="C86" s="442"/>
      <c r="D86" s="448"/>
      <c r="E86" s="450" t="s">
        <v>235</v>
      </c>
      <c r="F86" s="447">
        <f>H86+H87+H88</f>
        <v>288.83799999999997</v>
      </c>
      <c r="G86" s="79" t="s">
        <v>8</v>
      </c>
      <c r="H86" s="86">
        <v>25.418000000000003</v>
      </c>
    </row>
    <row r="87" spans="1:8">
      <c r="A87" s="454"/>
      <c r="B87" s="448"/>
      <c r="C87" s="443"/>
      <c r="D87" s="449"/>
      <c r="E87" s="451"/>
      <c r="F87" s="448"/>
      <c r="G87" s="79" t="s">
        <v>9</v>
      </c>
      <c r="H87" s="86">
        <v>119.00099999999998</v>
      </c>
    </row>
    <row r="88" spans="1:8">
      <c r="A88" s="454"/>
      <c r="B88" s="448"/>
      <c r="C88" s="441" t="s">
        <v>10</v>
      </c>
      <c r="D88" s="447">
        <f>H70+H73+H76+H79+H82+H85+H88+H91+H94+H97</f>
        <v>599.35899999999992</v>
      </c>
      <c r="E88" s="452"/>
      <c r="F88" s="449"/>
      <c r="G88" s="79" t="s">
        <v>10</v>
      </c>
      <c r="H88" s="86">
        <v>144.41899999999998</v>
      </c>
    </row>
    <row r="89" spans="1:8">
      <c r="A89" s="454"/>
      <c r="B89" s="448"/>
      <c r="C89" s="442"/>
      <c r="D89" s="448"/>
      <c r="E89" s="450" t="s">
        <v>236</v>
      </c>
      <c r="F89" s="447">
        <f>H89+H90+H91</f>
        <v>101.08699999999999</v>
      </c>
      <c r="G89" s="79" t="s">
        <v>8</v>
      </c>
      <c r="H89" s="86">
        <v>8.895999999999999</v>
      </c>
    </row>
    <row r="90" spans="1:8">
      <c r="A90" s="454"/>
      <c r="B90" s="448"/>
      <c r="C90" s="442"/>
      <c r="D90" s="448"/>
      <c r="E90" s="451"/>
      <c r="F90" s="448"/>
      <c r="G90" s="79" t="s">
        <v>9</v>
      </c>
      <c r="H90" s="86">
        <v>41.647999999999996</v>
      </c>
    </row>
    <row r="91" spans="1:8">
      <c r="A91" s="454"/>
      <c r="B91" s="448"/>
      <c r="C91" s="442"/>
      <c r="D91" s="448"/>
      <c r="E91" s="452"/>
      <c r="F91" s="449"/>
      <c r="G91" s="79" t="s">
        <v>10</v>
      </c>
      <c r="H91" s="86">
        <v>50.542999999999999</v>
      </c>
    </row>
    <row r="92" spans="1:8">
      <c r="A92" s="454"/>
      <c r="B92" s="448"/>
      <c r="C92" s="442"/>
      <c r="D92" s="448"/>
      <c r="E92" s="450" t="s">
        <v>237</v>
      </c>
      <c r="F92" s="447">
        <f>H92+H93+H94</f>
        <v>7.2140000000000004</v>
      </c>
      <c r="G92" s="79" t="s">
        <v>8</v>
      </c>
      <c r="H92" s="86">
        <v>0.63500000000000001</v>
      </c>
    </row>
    <row r="93" spans="1:8">
      <c r="A93" s="454"/>
      <c r="B93" s="448"/>
      <c r="C93" s="442"/>
      <c r="D93" s="448"/>
      <c r="E93" s="451"/>
      <c r="F93" s="448"/>
      <c r="G93" s="79" t="s">
        <v>9</v>
      </c>
      <c r="H93" s="86">
        <v>2.972</v>
      </c>
    </row>
    <row r="94" spans="1:8">
      <c r="A94" s="454"/>
      <c r="B94" s="448"/>
      <c r="C94" s="442"/>
      <c r="D94" s="448"/>
      <c r="E94" s="452"/>
      <c r="F94" s="449"/>
      <c r="G94" s="79" t="s">
        <v>10</v>
      </c>
      <c r="H94" s="86">
        <v>3.6070000000000002</v>
      </c>
    </row>
    <row r="95" spans="1:8">
      <c r="A95" s="454"/>
      <c r="B95" s="448"/>
      <c r="C95" s="442"/>
      <c r="D95" s="448"/>
      <c r="E95" s="450" t="s">
        <v>238</v>
      </c>
      <c r="F95" s="447">
        <f>H95+H96+H97</f>
        <v>57.745000000000005</v>
      </c>
      <c r="G95" s="79" t="s">
        <v>8</v>
      </c>
      <c r="H95" s="86">
        <v>5.0810000000000004</v>
      </c>
    </row>
    <row r="96" spans="1:8">
      <c r="A96" s="454"/>
      <c r="B96" s="448"/>
      <c r="C96" s="442"/>
      <c r="D96" s="448"/>
      <c r="E96" s="451"/>
      <c r="F96" s="448"/>
      <c r="G96" s="79" t="s">
        <v>9</v>
      </c>
      <c r="H96" s="86">
        <v>23.792000000000002</v>
      </c>
    </row>
    <row r="97" spans="1:8">
      <c r="A97" s="455"/>
      <c r="B97" s="449"/>
      <c r="C97" s="443"/>
      <c r="D97" s="449"/>
      <c r="E97" s="452"/>
      <c r="F97" s="449"/>
      <c r="G97" s="79" t="s">
        <v>10</v>
      </c>
      <c r="H97" s="86">
        <v>28.872</v>
      </c>
    </row>
    <row r="99" spans="1:8" ht="24.75" customHeight="1">
      <c r="A99" s="438" t="s">
        <v>241</v>
      </c>
      <c r="B99" s="435">
        <f>D99+D100+D101</f>
        <v>2739.4670000000001</v>
      </c>
      <c r="C99" s="79" t="s">
        <v>8</v>
      </c>
      <c r="D99" s="86">
        <f>D29+D44+D65+D68</f>
        <v>241.07300000000004</v>
      </c>
    </row>
    <row r="100" spans="1:8">
      <c r="A100" s="439"/>
      <c r="B100" s="436"/>
      <c r="C100" s="79" t="s">
        <v>9</v>
      </c>
      <c r="D100" s="86">
        <f>D34+D51+D66+D78</f>
        <v>1128.6610000000001</v>
      </c>
    </row>
    <row r="101" spans="1:8">
      <c r="A101" s="440"/>
      <c r="B101" s="437"/>
      <c r="C101" s="79" t="s">
        <v>10</v>
      </c>
      <c r="D101" s="86">
        <f>D39+D58+D67+D88</f>
        <v>1369.7329999999999</v>
      </c>
    </row>
    <row r="102" spans="1:8">
      <c r="B102" s="85"/>
      <c r="C102" s="85"/>
      <c r="D102" s="85"/>
    </row>
    <row r="103" spans="1:8">
      <c r="B103" s="85"/>
      <c r="C103" s="85"/>
      <c r="D103" s="85"/>
    </row>
    <row r="104" spans="1:8">
      <c r="B104" s="85"/>
      <c r="C104" s="85"/>
      <c r="D104" s="85"/>
    </row>
    <row r="105" spans="1:8">
      <c r="B105" s="85"/>
      <c r="C105" s="85"/>
      <c r="D105" s="85"/>
    </row>
    <row r="106" spans="1:8">
      <c r="B106" s="85"/>
      <c r="C106" s="85"/>
      <c r="D106" s="85"/>
    </row>
    <row r="107" spans="1:8">
      <c r="B107" s="85"/>
      <c r="C107" s="85"/>
      <c r="D107" s="85"/>
    </row>
    <row r="108" spans="1:8">
      <c r="B108" s="85"/>
      <c r="C108" s="85"/>
      <c r="D108" s="85"/>
    </row>
    <row r="109" spans="1:8">
      <c r="B109" s="85"/>
      <c r="C109" s="85"/>
      <c r="D109" s="85"/>
    </row>
    <row r="110" spans="1:8">
      <c r="B110" s="85"/>
      <c r="C110" s="85"/>
      <c r="D110" s="85"/>
    </row>
    <row r="111" spans="1:8">
      <c r="B111" s="85"/>
      <c r="C111" s="85"/>
      <c r="D111" s="85"/>
    </row>
    <row r="112" spans="1:8">
      <c r="B112" s="85"/>
      <c r="C112" s="85"/>
      <c r="D112" s="85"/>
    </row>
    <row r="113" spans="2:4">
      <c r="B113" s="85"/>
      <c r="C113" s="85"/>
      <c r="D113" s="85"/>
    </row>
    <row r="114" spans="2:4">
      <c r="B114" s="85"/>
      <c r="C114" s="85"/>
      <c r="D114" s="85"/>
    </row>
    <row r="115" spans="2:4">
      <c r="B115" s="85"/>
      <c r="C115" s="85"/>
      <c r="D115" s="85"/>
    </row>
  </sheetData>
  <mergeCells count="81">
    <mergeCell ref="B17:B19"/>
    <mergeCell ref="B20:B22"/>
    <mergeCell ref="A17:A22"/>
    <mergeCell ref="A6:A14"/>
    <mergeCell ref="B6:B8"/>
    <mergeCell ref="B9:B11"/>
    <mergeCell ref="B12:B14"/>
    <mergeCell ref="E68:E70"/>
    <mergeCell ref="A29:A43"/>
    <mergeCell ref="E44:E46"/>
    <mergeCell ref="E47:E49"/>
    <mergeCell ref="E50:E52"/>
    <mergeCell ref="E53:E55"/>
    <mergeCell ref="E29:E31"/>
    <mergeCell ref="E32:E34"/>
    <mergeCell ref="E35:E37"/>
    <mergeCell ref="E38:E40"/>
    <mergeCell ref="E41:E43"/>
    <mergeCell ref="E86:E88"/>
    <mergeCell ref="E89:E91"/>
    <mergeCell ref="E92:E94"/>
    <mergeCell ref="E95:E97"/>
    <mergeCell ref="A44:A64"/>
    <mergeCell ref="A65:A67"/>
    <mergeCell ref="A68:A97"/>
    <mergeCell ref="E71:E73"/>
    <mergeCell ref="E74:E76"/>
    <mergeCell ref="E77:E79"/>
    <mergeCell ref="E80:E82"/>
    <mergeCell ref="E83:E85"/>
    <mergeCell ref="E56:E58"/>
    <mergeCell ref="E59:E61"/>
    <mergeCell ref="E62:E64"/>
    <mergeCell ref="E65:E67"/>
    <mergeCell ref="F29:F31"/>
    <mergeCell ref="F32:F34"/>
    <mergeCell ref="F35:F37"/>
    <mergeCell ref="F38:F40"/>
    <mergeCell ref="F41:F43"/>
    <mergeCell ref="F44:F46"/>
    <mergeCell ref="F47:F49"/>
    <mergeCell ref="F50:F52"/>
    <mergeCell ref="F53:F55"/>
    <mergeCell ref="F56:F58"/>
    <mergeCell ref="F59:F61"/>
    <mergeCell ref="F62:F64"/>
    <mergeCell ref="F65:F67"/>
    <mergeCell ref="F68:F70"/>
    <mergeCell ref="F71:F73"/>
    <mergeCell ref="F89:F91"/>
    <mergeCell ref="F92:F94"/>
    <mergeCell ref="F95:F97"/>
    <mergeCell ref="B29:B43"/>
    <mergeCell ref="B44:B64"/>
    <mergeCell ref="B65:B67"/>
    <mergeCell ref="B68:B97"/>
    <mergeCell ref="C78:C87"/>
    <mergeCell ref="D78:D87"/>
    <mergeCell ref="C88:C97"/>
    <mergeCell ref="D88:D97"/>
    <mergeCell ref="F74:F76"/>
    <mergeCell ref="F77:F79"/>
    <mergeCell ref="F80:F82"/>
    <mergeCell ref="F83:F85"/>
    <mergeCell ref="F86:F88"/>
    <mergeCell ref="B99:B101"/>
    <mergeCell ref="A99:A101"/>
    <mergeCell ref="C29:C33"/>
    <mergeCell ref="D29:D33"/>
    <mergeCell ref="C34:C38"/>
    <mergeCell ref="C39:C43"/>
    <mergeCell ref="D34:D38"/>
    <mergeCell ref="D39:D43"/>
    <mergeCell ref="C44:C50"/>
    <mergeCell ref="D44:D50"/>
    <mergeCell ref="C51:C57"/>
    <mergeCell ref="C58:C64"/>
    <mergeCell ref="D51:D57"/>
    <mergeCell ref="D58:D64"/>
    <mergeCell ref="C68:C77"/>
    <mergeCell ref="D68:D7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RESUMEN</vt:lpstr>
      <vt:lpstr>CUOTA ARTESANAL</vt:lpstr>
      <vt:lpstr>CUOTA INDUSTRIAL</vt:lpstr>
      <vt:lpstr>CESIONES INDIVIDUALES</vt:lpstr>
      <vt:lpstr>FUP Y PESC. INVESTIGACION</vt:lpstr>
      <vt:lpstr>Publicacion Web</vt:lpstr>
      <vt:lpstr>coeficientes LTP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dcatalan</dc:creator>
  <cp:lastModifiedBy>CEA TELLO, MARIO ANDRES</cp:lastModifiedBy>
  <dcterms:created xsi:type="dcterms:W3CDTF">2018-02-08T19:35:52Z</dcterms:created>
  <dcterms:modified xsi:type="dcterms:W3CDTF">2022-02-28T19:56:47Z</dcterms:modified>
</cp:coreProperties>
</file>