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330" tabRatio="89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r:id="rId6"/>
    <sheet name="Pag. Web" sheetId="9" r:id="rId7"/>
  </sheets>
  <externalReferences>
    <externalReference r:id="rId8"/>
  </externalReferences>
  <definedNames>
    <definedName name="_xlnm._FilterDatabase" localSheetId="6" hidden="1">'Pag. Web'!$A$1:$O$113</definedName>
    <definedName name="_xlnm._FilterDatabase" localSheetId="1" hidden="1">'Resumen Periodo Congrio dorado'!$B$6:$K$36</definedName>
  </definedNames>
  <calcPr calcId="125725"/>
</workbook>
</file>

<file path=xl/calcChain.xml><?xml version="1.0" encoding="utf-8"?>
<calcChain xmlns="http://schemas.openxmlformats.org/spreadsheetml/2006/main">
  <c r="O3" i="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2"/>
  <c r="B3" i="5"/>
  <c r="B3" i="4"/>
  <c r="H40" i="2"/>
  <c r="H30"/>
  <c r="E36" i="6" l="1"/>
  <c r="H36"/>
  <c r="G35"/>
  <c r="H35"/>
  <c r="F34"/>
  <c r="H34"/>
  <c r="F33"/>
  <c r="G33"/>
  <c r="H33"/>
  <c r="E35"/>
  <c r="E34"/>
  <c r="E33"/>
  <c r="I46" i="9"/>
  <c r="J46"/>
  <c r="K46"/>
  <c r="L46"/>
  <c r="M46"/>
  <c r="H46"/>
  <c r="I45"/>
  <c r="J45"/>
  <c r="K45"/>
  <c r="L45"/>
  <c r="M45"/>
  <c r="H45"/>
  <c r="I44"/>
  <c r="J44"/>
  <c r="K44"/>
  <c r="L44"/>
  <c r="M44"/>
  <c r="H44"/>
  <c r="I43"/>
  <c r="J43"/>
  <c r="K43"/>
  <c r="L43"/>
  <c r="M43"/>
  <c r="H43"/>
  <c r="I42"/>
  <c r="J42"/>
  <c r="K42"/>
  <c r="L42"/>
  <c r="M42"/>
  <c r="H42"/>
  <c r="I41"/>
  <c r="J41"/>
  <c r="K41"/>
  <c r="L41"/>
  <c r="M41"/>
  <c r="H41"/>
  <c r="I25"/>
  <c r="J25"/>
  <c r="K25"/>
  <c r="L25"/>
  <c r="M25"/>
  <c r="H25"/>
  <c r="I24"/>
  <c r="J24"/>
  <c r="K24"/>
  <c r="L24"/>
  <c r="M24"/>
  <c r="H24"/>
  <c r="I23"/>
  <c r="J23"/>
  <c r="K23"/>
  <c r="L23"/>
  <c r="M23"/>
  <c r="H23"/>
  <c r="I22"/>
  <c r="J22"/>
  <c r="K22"/>
  <c r="L22"/>
  <c r="M22"/>
  <c r="H22"/>
  <c r="I21"/>
  <c r="J21"/>
  <c r="K21"/>
  <c r="L21"/>
  <c r="M21"/>
  <c r="H21"/>
  <c r="I20"/>
  <c r="J20"/>
  <c r="K20"/>
  <c r="L20"/>
  <c r="M20"/>
  <c r="H20"/>
  <c r="L43" i="4" l="1"/>
  <c r="M43"/>
  <c r="K43"/>
  <c r="K41"/>
  <c r="M41" s="1"/>
  <c r="O41" s="1"/>
  <c r="L41"/>
  <c r="N41"/>
  <c r="K39"/>
  <c r="M39" s="1"/>
  <c r="O39" s="1"/>
  <c r="L39"/>
  <c r="N39"/>
  <c r="P39" s="1"/>
  <c r="J41"/>
  <c r="J42"/>
  <c r="J39"/>
  <c r="J40"/>
  <c r="I41"/>
  <c r="I42"/>
  <c r="I39"/>
  <c r="G41"/>
  <c r="G42"/>
  <c r="G39"/>
  <c r="G40"/>
  <c r="I40" s="1"/>
  <c r="L23"/>
  <c r="M23"/>
  <c r="K23"/>
  <c r="K21"/>
  <c r="M21" s="1"/>
  <c r="O21" s="1"/>
  <c r="L21"/>
  <c r="N21"/>
  <c r="K19"/>
  <c r="M19"/>
  <c r="O19" s="1"/>
  <c r="L19"/>
  <c r="N19"/>
  <c r="P19" s="1"/>
  <c r="J21"/>
  <c r="J22"/>
  <c r="J19"/>
  <c r="J20"/>
  <c r="I21"/>
  <c r="G22" s="1"/>
  <c r="I22" s="1"/>
  <c r="I19"/>
  <c r="G20" s="1"/>
  <c r="I20" s="1"/>
  <c r="G21"/>
  <c r="G19"/>
  <c r="G17"/>
  <c r="F43"/>
  <c r="H43"/>
  <c r="E43"/>
  <c r="E36"/>
  <c r="E35"/>
  <c r="E30"/>
  <c r="E29"/>
  <c r="E14"/>
  <c r="E13"/>
  <c r="P41" l="1"/>
  <c r="P21"/>
  <c r="E23" l="1"/>
  <c r="E8"/>
  <c r="E7"/>
  <c r="F23"/>
  <c r="H23"/>
  <c r="E20"/>
  <c r="E19"/>
  <c r="I90" i="9" l="1"/>
  <c r="J90"/>
  <c r="K90"/>
  <c r="L90"/>
  <c r="M90"/>
  <c r="N90"/>
  <c r="H90"/>
  <c r="Q47" i="2"/>
  <c r="P47"/>
  <c r="O47"/>
  <c r="O45"/>
  <c r="P45" s="1"/>
  <c r="N47"/>
  <c r="N45"/>
  <c r="M47"/>
  <c r="M45"/>
  <c r="L47"/>
  <c r="J48"/>
  <c r="I48"/>
  <c r="G48"/>
  <c r="N85" i="9"/>
  <c r="N79"/>
  <c r="I18"/>
  <c r="K18"/>
  <c r="I17"/>
  <c r="K17"/>
  <c r="H18"/>
  <c r="H17"/>
  <c r="F36" i="6"/>
  <c r="F35"/>
  <c r="F17" l="1"/>
  <c r="H17"/>
  <c r="E18"/>
  <c r="E17"/>
  <c r="E16"/>
  <c r="D9" i="7" s="1"/>
  <c r="E11" i="6"/>
  <c r="E10"/>
  <c r="E8"/>
  <c r="E7"/>
  <c r="J17" l="1"/>
  <c r="G17"/>
  <c r="I17" s="1"/>
  <c r="B3" i="8"/>
  <c r="B3" i="2"/>
  <c r="B4" i="6"/>
  <c r="I9" i="5" l="1"/>
  <c r="I10"/>
  <c r="K17" i="4" l="1"/>
  <c r="H19" i="9" s="1"/>
  <c r="L17" i="4"/>
  <c r="I19" i="9" s="1"/>
  <c r="N17" i="4"/>
  <c r="K19" i="9" s="1"/>
  <c r="J17" i="4" l="1"/>
  <c r="M17" i="9" s="1"/>
  <c r="J17"/>
  <c r="M17" i="4"/>
  <c r="I17"/>
  <c r="G18" l="1"/>
  <c r="J18" i="9" s="1"/>
  <c r="L17"/>
  <c r="O17" i="4"/>
  <c r="L19" i="9" s="1"/>
  <c r="J19"/>
  <c r="I18" i="4"/>
  <c r="L18" i="9" s="1"/>
  <c r="J18" i="4"/>
  <c r="M18" i="9" s="1"/>
  <c r="P17" i="4"/>
  <c r="M19" i="9" s="1"/>
  <c r="I9" i="8"/>
  <c r="H9"/>
  <c r="H7"/>
  <c r="I7"/>
  <c r="F8" i="5" l="1"/>
  <c r="F10"/>
  <c r="F7"/>
  <c r="L35" i="2" l="1"/>
  <c r="G35"/>
  <c r="O35"/>
  <c r="K10" i="5" l="1"/>
  <c r="I8"/>
  <c r="K8" s="1"/>
  <c r="H31" i="2" l="1"/>
  <c r="I60" i="9"/>
  <c r="G24" i="7" l="1"/>
  <c r="G7" i="4" l="1"/>
  <c r="N112" i="9"/>
  <c r="N111"/>
  <c r="H113"/>
  <c r="J113" s="1"/>
  <c r="H112"/>
  <c r="H111"/>
  <c r="J111" s="1"/>
  <c r="N84" l="1"/>
  <c r="N81"/>
  <c r="N80"/>
  <c r="N74"/>
  <c r="N69"/>
  <c r="N68"/>
  <c r="N66"/>
  <c r="N65"/>
  <c r="N63"/>
  <c r="N62"/>
  <c r="N60"/>
  <c r="N59"/>
  <c r="N57"/>
  <c r="N54"/>
  <c r="N53"/>
  <c r="N51"/>
  <c r="N50"/>
  <c r="N48"/>
  <c r="N47"/>
  <c r="N86" l="1"/>
  <c r="N83"/>
  <c r="N78"/>
  <c r="N77"/>
  <c r="N75"/>
  <c r="N72"/>
  <c r="N71"/>
  <c r="N56"/>
  <c r="H94" l="1"/>
  <c r="I94"/>
  <c r="K94"/>
  <c r="H95"/>
  <c r="I95"/>
  <c r="K95"/>
  <c r="H96"/>
  <c r="I96"/>
  <c r="K96"/>
  <c r="H97"/>
  <c r="I97"/>
  <c r="K97"/>
  <c r="H98"/>
  <c r="I98"/>
  <c r="K98"/>
  <c r="H99"/>
  <c r="I99"/>
  <c r="K99"/>
  <c r="H100"/>
  <c r="I100"/>
  <c r="K100"/>
  <c r="H101"/>
  <c r="I101"/>
  <c r="K101"/>
  <c r="H102"/>
  <c r="I102"/>
  <c r="K102"/>
  <c r="H103"/>
  <c r="I103"/>
  <c r="K103"/>
  <c r="H104"/>
  <c r="I104"/>
  <c r="K104"/>
  <c r="I93"/>
  <c r="K93"/>
  <c r="H93"/>
  <c r="H87"/>
  <c r="I87"/>
  <c r="K87"/>
  <c r="H89"/>
  <c r="I89"/>
  <c r="K89"/>
  <c r="H91"/>
  <c r="I91"/>
  <c r="K91"/>
  <c r="I86"/>
  <c r="K86"/>
  <c r="H86"/>
  <c r="H81"/>
  <c r="I81"/>
  <c r="K81"/>
  <c r="H83"/>
  <c r="I83"/>
  <c r="K83"/>
  <c r="H84"/>
  <c r="I84"/>
  <c r="K84"/>
  <c r="I80"/>
  <c r="K80"/>
  <c r="H80"/>
  <c r="H48"/>
  <c r="I48"/>
  <c r="K48"/>
  <c r="H50"/>
  <c r="I50"/>
  <c r="K50"/>
  <c r="H51"/>
  <c r="I51"/>
  <c r="K51"/>
  <c r="H53"/>
  <c r="I53"/>
  <c r="K53"/>
  <c r="H54"/>
  <c r="I54"/>
  <c r="K54"/>
  <c r="H56"/>
  <c r="I56"/>
  <c r="K56"/>
  <c r="H57"/>
  <c r="I57"/>
  <c r="K57"/>
  <c r="H59"/>
  <c r="I59"/>
  <c r="K59"/>
  <c r="H60"/>
  <c r="K60"/>
  <c r="H62"/>
  <c r="I62"/>
  <c r="K62"/>
  <c r="H63"/>
  <c r="I63"/>
  <c r="K63"/>
  <c r="H65"/>
  <c r="I65"/>
  <c r="K65"/>
  <c r="H66"/>
  <c r="I66"/>
  <c r="K66"/>
  <c r="H68"/>
  <c r="I68"/>
  <c r="K68"/>
  <c r="H69"/>
  <c r="I69"/>
  <c r="K69"/>
  <c r="H71"/>
  <c r="I71"/>
  <c r="K71"/>
  <c r="H72"/>
  <c r="I72"/>
  <c r="K72"/>
  <c r="H74"/>
  <c r="I74"/>
  <c r="K74"/>
  <c r="H75"/>
  <c r="I75"/>
  <c r="K75"/>
  <c r="H77"/>
  <c r="I77"/>
  <c r="K77"/>
  <c r="H78"/>
  <c r="I78"/>
  <c r="K78"/>
  <c r="I47"/>
  <c r="K47"/>
  <c r="H47"/>
  <c r="I38"/>
  <c r="K38"/>
  <c r="I39"/>
  <c r="K39"/>
  <c r="H39"/>
  <c r="H38"/>
  <c r="I32"/>
  <c r="K32"/>
  <c r="I33"/>
  <c r="K33"/>
  <c r="I35"/>
  <c r="K35"/>
  <c r="I36"/>
  <c r="K36"/>
  <c r="H33"/>
  <c r="H35"/>
  <c r="H36"/>
  <c r="H32"/>
  <c r="K30"/>
  <c r="K29"/>
  <c r="I30"/>
  <c r="I29"/>
  <c r="H30"/>
  <c r="H29"/>
  <c r="K27"/>
  <c r="K26"/>
  <c r="I27"/>
  <c r="I26"/>
  <c r="H27"/>
  <c r="H26"/>
  <c r="K15"/>
  <c r="K14"/>
  <c r="I16"/>
  <c r="I15"/>
  <c r="I14"/>
  <c r="H15"/>
  <c r="H14"/>
  <c r="K12"/>
  <c r="K11"/>
  <c r="I12"/>
  <c r="I11"/>
  <c r="H12"/>
  <c r="H11"/>
  <c r="K9"/>
  <c r="K8"/>
  <c r="I9"/>
  <c r="I8"/>
  <c r="H9"/>
  <c r="H8"/>
  <c r="K6"/>
  <c r="K5"/>
  <c r="I6"/>
  <c r="I5"/>
  <c r="H6"/>
  <c r="H5"/>
  <c r="K3"/>
  <c r="K2"/>
  <c r="J2"/>
  <c r="I3"/>
  <c r="I2"/>
  <c r="H3"/>
  <c r="H2"/>
  <c r="L57" i="2" l="1"/>
  <c r="H105" i="9" s="1"/>
  <c r="H15" i="6" l="1"/>
  <c r="G26" i="7"/>
  <c r="G25"/>
  <c r="D26"/>
  <c r="D25"/>
  <c r="F25" s="1"/>
  <c r="D24"/>
  <c r="H32" i="6"/>
  <c r="H31"/>
  <c r="H30"/>
  <c r="H29"/>
  <c r="H28"/>
  <c r="H27"/>
  <c r="H26"/>
  <c r="H25"/>
  <c r="H24"/>
  <c r="H23"/>
  <c r="H22"/>
  <c r="H21"/>
  <c r="H20"/>
  <c r="F32"/>
  <c r="E15" i="7" s="1"/>
  <c r="F31" i="6"/>
  <c r="F30"/>
  <c r="F29"/>
  <c r="F28"/>
  <c r="F27"/>
  <c r="F26"/>
  <c r="F25"/>
  <c r="F24"/>
  <c r="F23"/>
  <c r="F22"/>
  <c r="F21"/>
  <c r="F20"/>
  <c r="E32"/>
  <c r="E22"/>
  <c r="E23"/>
  <c r="E24"/>
  <c r="E25"/>
  <c r="E26"/>
  <c r="E27"/>
  <c r="E28"/>
  <c r="E29"/>
  <c r="E30"/>
  <c r="E31"/>
  <c r="E21"/>
  <c r="E20"/>
  <c r="D10" i="7" s="1"/>
  <c r="H19" i="6"/>
  <c r="H18"/>
  <c r="H16"/>
  <c r="F19"/>
  <c r="E14" i="7" s="1"/>
  <c r="F18" i="6"/>
  <c r="F16"/>
  <c r="E19"/>
  <c r="E15"/>
  <c r="D13" i="7" s="1"/>
  <c r="H14" i="6"/>
  <c r="H13"/>
  <c r="F14"/>
  <c r="F13"/>
  <c r="E14"/>
  <c r="E13"/>
  <c r="H12"/>
  <c r="F12"/>
  <c r="E12" i="7" s="1"/>
  <c r="E12" i="6"/>
  <c r="H9"/>
  <c r="G11" i="7" s="1"/>
  <c r="F9" i="6"/>
  <c r="E11" i="7" s="1"/>
  <c r="E9" i="6"/>
  <c r="D11" i="7" s="1"/>
  <c r="D15" l="1"/>
  <c r="G32" i="6"/>
  <c r="D12" i="7"/>
  <c r="G12" i="6"/>
  <c r="J12" s="1"/>
  <c r="D14" i="7"/>
  <c r="G19" i="6"/>
  <c r="F24" i="7"/>
  <c r="I24"/>
  <c r="G15"/>
  <c r="G12"/>
  <c r="G14"/>
  <c r="G13"/>
  <c r="I26"/>
  <c r="H26"/>
  <c r="G9"/>
  <c r="E9"/>
  <c r="G13" i="6"/>
  <c r="G10" i="7"/>
  <c r="K110" i="9" s="1"/>
  <c r="H110"/>
  <c r="E10" i="7"/>
  <c r="I110" i="9" s="1"/>
  <c r="E8" i="7"/>
  <c r="D8"/>
  <c r="G8"/>
  <c r="F26"/>
  <c r="I25"/>
  <c r="H24"/>
  <c r="H25"/>
  <c r="H109" i="9" l="1"/>
  <c r="I109"/>
  <c r="K109"/>
  <c r="F14" i="7"/>
  <c r="H14" s="1"/>
  <c r="F12"/>
  <c r="H12" s="1"/>
  <c r="F10"/>
  <c r="J110" i="9" s="1"/>
  <c r="F8" i="7"/>
  <c r="I8" s="1"/>
  <c r="I32" i="6"/>
  <c r="J32"/>
  <c r="G20"/>
  <c r="I19"/>
  <c r="J19"/>
  <c r="I15"/>
  <c r="F15"/>
  <c r="I12"/>
  <c r="E13" i="7" l="1"/>
  <c r="G15" i="6"/>
  <c r="J15" s="1"/>
  <c r="I13"/>
  <c r="G14" s="1"/>
  <c r="J14" s="1"/>
  <c r="F11" i="7"/>
  <c r="H11" s="1"/>
  <c r="H10"/>
  <c r="L110" i="9" s="1"/>
  <c r="F15" i="7"/>
  <c r="H15" s="1"/>
  <c r="H8"/>
  <c r="F13"/>
  <c r="H13" s="1"/>
  <c r="F9"/>
  <c r="H9" s="1"/>
  <c r="I12"/>
  <c r="I14"/>
  <c r="I10"/>
  <c r="M110" i="9" s="1"/>
  <c r="G9" i="6"/>
  <c r="J9" s="1"/>
  <c r="G16"/>
  <c r="I16" s="1"/>
  <c r="G18" s="1"/>
  <c r="I18" s="1"/>
  <c r="J20"/>
  <c r="I20"/>
  <c r="G21" s="1"/>
  <c r="I21" s="1"/>
  <c r="G22" s="1"/>
  <c r="J13"/>
  <c r="J109" i="9" l="1"/>
  <c r="M109" s="1"/>
  <c r="L109"/>
  <c r="I15" i="7"/>
  <c r="I11"/>
  <c r="I14" i="6"/>
  <c r="I9"/>
  <c r="I9" i="7"/>
  <c r="I13"/>
  <c r="J16" i="6"/>
  <c r="J21"/>
  <c r="J18"/>
  <c r="I22"/>
  <c r="G23" s="1"/>
  <c r="J22"/>
  <c r="I23" l="1"/>
  <c r="G24" s="1"/>
  <c r="J23"/>
  <c r="I24" l="1"/>
  <c r="G25" s="1"/>
  <c r="J24"/>
  <c r="I25" l="1"/>
  <c r="G26" s="1"/>
  <c r="J25"/>
  <c r="I26" l="1"/>
  <c r="G27" s="1"/>
  <c r="J26"/>
  <c r="I27" l="1"/>
  <c r="G28" s="1"/>
  <c r="J27"/>
  <c r="I28" l="1"/>
  <c r="G29" s="1"/>
  <c r="J28"/>
  <c r="I29" l="1"/>
  <c r="G30" s="1"/>
  <c r="J29"/>
  <c r="I30" l="1"/>
  <c r="G31" s="1"/>
  <c r="J30"/>
  <c r="I31" l="1"/>
  <c r="J31"/>
  <c r="H7" l="1"/>
  <c r="L27" i="2"/>
  <c r="H79" i="9" s="1"/>
  <c r="J10" i="5" l="1"/>
  <c r="J7"/>
  <c r="I7"/>
  <c r="K7" s="1"/>
  <c r="N37" i="4"/>
  <c r="K40" i="9" s="1"/>
  <c r="L37" i="4"/>
  <c r="I40" i="9" s="1"/>
  <c r="K37" i="4"/>
  <c r="H40" i="9" s="1"/>
  <c r="G37" i="4"/>
  <c r="N35"/>
  <c r="K37" i="9" s="1"/>
  <c r="L35" i="4"/>
  <c r="I37" i="9" s="1"/>
  <c r="K35" i="4"/>
  <c r="H37" i="9" s="1"/>
  <c r="G35" i="4"/>
  <c r="N33"/>
  <c r="L33"/>
  <c r="I34" i="9" s="1"/>
  <c r="K33" i="4"/>
  <c r="H34" i="9" s="1"/>
  <c r="G33" i="4"/>
  <c r="N31"/>
  <c r="K31" i="9" s="1"/>
  <c r="L31" i="4"/>
  <c r="I31" i="9" s="1"/>
  <c r="K31" i="4"/>
  <c r="H31" i="9" s="1"/>
  <c r="G31" i="4"/>
  <c r="N29"/>
  <c r="L29"/>
  <c r="K29"/>
  <c r="G29"/>
  <c r="N15"/>
  <c r="L15"/>
  <c r="K15"/>
  <c r="H16" i="9" s="1"/>
  <c r="G15" i="4"/>
  <c r="N13"/>
  <c r="K13" i="9" s="1"/>
  <c r="L13" i="4"/>
  <c r="I13" i="9" s="1"/>
  <c r="K13" i="4"/>
  <c r="H13" i="9" s="1"/>
  <c r="G13" i="4"/>
  <c r="N11"/>
  <c r="K10" i="9" s="1"/>
  <c r="L11" i="4"/>
  <c r="I10" i="9" s="1"/>
  <c r="K11" i="4"/>
  <c r="H10" i="9" s="1"/>
  <c r="G11" i="4"/>
  <c r="D16" i="7"/>
  <c r="H106" i="9" s="1"/>
  <c r="N9" i="4"/>
  <c r="L9"/>
  <c r="I7" i="9" s="1"/>
  <c r="K9" i="4"/>
  <c r="H7" i="9" s="1"/>
  <c r="G9" i="4"/>
  <c r="N7"/>
  <c r="L7"/>
  <c r="K7"/>
  <c r="K34" i="9" l="1"/>
  <c r="N43" i="4"/>
  <c r="P43" s="1"/>
  <c r="K7" i="9"/>
  <c r="N23" i="4"/>
  <c r="P23" s="1"/>
  <c r="K28" i="9"/>
  <c r="I28"/>
  <c r="K4"/>
  <c r="H4"/>
  <c r="I29" i="4"/>
  <c r="J26" i="9"/>
  <c r="J31" i="4"/>
  <c r="M29" i="9" s="1"/>
  <c r="J29"/>
  <c r="D17" i="7"/>
  <c r="H107" i="9" s="1"/>
  <c r="K112"/>
  <c r="J9" i="4"/>
  <c r="M5" i="9" s="1"/>
  <c r="J5"/>
  <c r="I11" i="4"/>
  <c r="L8" i="9" s="1"/>
  <c r="J8"/>
  <c r="I13" i="4"/>
  <c r="L11" i="9" s="1"/>
  <c r="J11"/>
  <c r="I15" i="4"/>
  <c r="L14" i="9" s="1"/>
  <c r="J14"/>
  <c r="H28"/>
  <c r="M31" i="4"/>
  <c r="J31" i="9" s="1"/>
  <c r="J33" i="4"/>
  <c r="J32" i="9"/>
  <c r="J35" i="4"/>
  <c r="M35" i="9" s="1"/>
  <c r="J35"/>
  <c r="J37" i="4"/>
  <c r="M38" i="9" s="1"/>
  <c r="J38"/>
  <c r="I4"/>
  <c r="K16"/>
  <c r="K113"/>
  <c r="K111"/>
  <c r="M111"/>
  <c r="J8" i="5"/>
  <c r="G17" i="7"/>
  <c r="K107" i="9" s="1"/>
  <c r="E16" i="7"/>
  <c r="E17"/>
  <c r="M9" i="4"/>
  <c r="M11"/>
  <c r="J10" i="9" s="1"/>
  <c r="M13" i="4"/>
  <c r="M15"/>
  <c r="M33"/>
  <c r="J34" i="9" s="1"/>
  <c r="M35" i="4"/>
  <c r="P35" s="1"/>
  <c r="M37" i="9" s="1"/>
  <c r="M37" i="4"/>
  <c r="G16" i="7"/>
  <c r="K106" i="9" s="1"/>
  <c r="O33" i="4"/>
  <c r="O11"/>
  <c r="L10" i="9" s="1"/>
  <c r="I31" i="4"/>
  <c r="I7"/>
  <c r="M7"/>
  <c r="I9"/>
  <c r="J11"/>
  <c r="M8" i="9" s="1"/>
  <c r="J13" i="4"/>
  <c r="M11" i="9" s="1"/>
  <c r="J15" i="4"/>
  <c r="M14" i="9" s="1"/>
  <c r="J29" i="4"/>
  <c r="M26" i="9" s="1"/>
  <c r="I33" i="4"/>
  <c r="I35"/>
  <c r="I37"/>
  <c r="J7"/>
  <c r="M2" i="9" s="1"/>
  <c r="M29" i="4"/>
  <c r="I35" i="6" l="1"/>
  <c r="L34" i="9"/>
  <c r="O43" i="4"/>
  <c r="M32" i="9"/>
  <c r="J35" i="6"/>
  <c r="I33"/>
  <c r="L26" i="9"/>
  <c r="J28"/>
  <c r="P33" i="4"/>
  <c r="M34" i="9" s="1"/>
  <c r="P11" i="4"/>
  <c r="M10" i="9" s="1"/>
  <c r="G30" i="4"/>
  <c r="L111" i="9"/>
  <c r="J112" s="1"/>
  <c r="F9" i="5"/>
  <c r="P31" i="4"/>
  <c r="M31" i="9" s="1"/>
  <c r="O31" i="4"/>
  <c r="L31" i="9" s="1"/>
  <c r="G14" i="4"/>
  <c r="J12" i="9" s="1"/>
  <c r="G16" i="4"/>
  <c r="J15" i="9" s="1"/>
  <c r="O13" i="4"/>
  <c r="L13" i="9" s="1"/>
  <c r="J13"/>
  <c r="G38" i="4"/>
  <c r="J39" i="9" s="1"/>
  <c r="L38"/>
  <c r="G12" i="4"/>
  <c r="J9" i="9" s="1"/>
  <c r="O9" i="4"/>
  <c r="J7" i="9"/>
  <c r="O35" i="4"/>
  <c r="L37" i="9" s="1"/>
  <c r="J37"/>
  <c r="G34" i="4"/>
  <c r="L32" i="9"/>
  <c r="G8" i="4"/>
  <c r="L2" i="9"/>
  <c r="P9" i="4"/>
  <c r="M7" i="9" s="1"/>
  <c r="P13" i="4"/>
  <c r="M13" i="9" s="1"/>
  <c r="O37" i="4"/>
  <c r="L40" i="9" s="1"/>
  <c r="J40"/>
  <c r="O15" i="4"/>
  <c r="L16" i="9" s="1"/>
  <c r="J16"/>
  <c r="F17" i="7"/>
  <c r="J107" i="9" s="1"/>
  <c r="I107"/>
  <c r="P15" i="4"/>
  <c r="M16" i="9" s="1"/>
  <c r="P7" i="4"/>
  <c r="M4" i="9" s="1"/>
  <c r="J4"/>
  <c r="F16" i="7"/>
  <c r="J106" i="9" s="1"/>
  <c r="I106"/>
  <c r="M113"/>
  <c r="L113"/>
  <c r="G32" i="4"/>
  <c r="L29" i="9"/>
  <c r="G10" i="4"/>
  <c r="L5" i="9"/>
  <c r="G36" i="4"/>
  <c r="J36" i="9" s="1"/>
  <c r="L35"/>
  <c r="I12" i="4"/>
  <c r="L9" i="9" s="1"/>
  <c r="J33" i="6"/>
  <c r="P37" i="4"/>
  <c r="M40" i="9" s="1"/>
  <c r="O29" i="4"/>
  <c r="O7"/>
  <c r="J30"/>
  <c r="M27" i="9" s="1"/>
  <c r="P29" i="4"/>
  <c r="M28" i="9" s="1"/>
  <c r="J33" l="1"/>
  <c r="G36" i="6"/>
  <c r="G43" i="4"/>
  <c r="J43" s="1"/>
  <c r="G34" i="6"/>
  <c r="L7" i="9"/>
  <c r="O23" i="4"/>
  <c r="G23"/>
  <c r="J23" s="1"/>
  <c r="J27" i="9"/>
  <c r="I14" i="4"/>
  <c r="L12" i="9" s="1"/>
  <c r="I10" i="4"/>
  <c r="J14"/>
  <c r="M12" i="9" s="1"/>
  <c r="I30" i="4"/>
  <c r="J16"/>
  <c r="M15" i="9" s="1"/>
  <c r="I16" i="4"/>
  <c r="L15" i="9" s="1"/>
  <c r="J9" i="5"/>
  <c r="L112" i="9" s="1"/>
  <c r="K9" i="5"/>
  <c r="M112" i="9" s="1"/>
  <c r="I34" i="4"/>
  <c r="J12"/>
  <c r="M9" i="9" s="1"/>
  <c r="J34" i="4"/>
  <c r="I17" i="7"/>
  <c r="M107" i="9" s="1"/>
  <c r="J38" i="4"/>
  <c r="M39" i="9" s="1"/>
  <c r="I38" i="4"/>
  <c r="L39" i="9" s="1"/>
  <c r="H17" i="7"/>
  <c r="L107" i="9" s="1"/>
  <c r="I36" i="4"/>
  <c r="L36" i="9" s="1"/>
  <c r="I8" i="4"/>
  <c r="J3" i="9"/>
  <c r="L4"/>
  <c r="I16" i="7"/>
  <c r="M106" i="9" s="1"/>
  <c r="H16" i="7"/>
  <c r="L106" i="9" s="1"/>
  <c r="J32" i="4"/>
  <c r="M30" i="9" s="1"/>
  <c r="J30"/>
  <c r="I32" i="4"/>
  <c r="L30" i="9" s="1"/>
  <c r="L28"/>
  <c r="J36" i="4"/>
  <c r="M36" i="9" s="1"/>
  <c r="J6"/>
  <c r="J10" i="4"/>
  <c r="J8"/>
  <c r="M3" i="9" s="1"/>
  <c r="M33" l="1"/>
  <c r="J36" i="6"/>
  <c r="L33" i="9"/>
  <c r="I36" i="6"/>
  <c r="I43" i="4"/>
  <c r="L6" i="9"/>
  <c r="I34" i="6"/>
  <c r="M6" i="9"/>
  <c r="J34" i="6"/>
  <c r="I23" i="4"/>
  <c r="L27" i="9"/>
  <c r="L3"/>
  <c r="O70" i="2" l="1"/>
  <c r="L70"/>
  <c r="O80"/>
  <c r="M80"/>
  <c r="L80"/>
  <c r="G80"/>
  <c r="N80" s="1"/>
  <c r="O79"/>
  <c r="M79"/>
  <c r="L79"/>
  <c r="G79"/>
  <c r="J79" s="1"/>
  <c r="Q79" s="1"/>
  <c r="O78"/>
  <c r="M78"/>
  <c r="L78"/>
  <c r="G78"/>
  <c r="N78" s="1"/>
  <c r="O77"/>
  <c r="M77"/>
  <c r="L77"/>
  <c r="G77"/>
  <c r="J77" s="1"/>
  <c r="Q77" s="1"/>
  <c r="O76"/>
  <c r="M76"/>
  <c r="L76"/>
  <c r="G76"/>
  <c r="I76" s="1"/>
  <c r="M70"/>
  <c r="O57"/>
  <c r="K105" i="9" s="1"/>
  <c r="M57" i="2"/>
  <c r="G57"/>
  <c r="E53"/>
  <c r="E51"/>
  <c r="K92" i="9"/>
  <c r="I92"/>
  <c r="H92"/>
  <c r="G47" i="2"/>
  <c r="K88" i="9"/>
  <c r="I88"/>
  <c r="L45" i="2"/>
  <c r="H88" i="9" s="1"/>
  <c r="G45" i="2"/>
  <c r="H11" i="6"/>
  <c r="F11"/>
  <c r="O37" i="2"/>
  <c r="K85" i="9" s="1"/>
  <c r="M37" i="2"/>
  <c r="I85" i="9" s="1"/>
  <c r="L37" i="2"/>
  <c r="H85" i="9" s="1"/>
  <c r="G37" i="2"/>
  <c r="K82" i="9"/>
  <c r="M35" i="2"/>
  <c r="I82" i="9" s="1"/>
  <c r="H82"/>
  <c r="H8" i="6"/>
  <c r="F8"/>
  <c r="O27" i="2"/>
  <c r="K79" i="9" s="1"/>
  <c r="M27" i="2"/>
  <c r="G27"/>
  <c r="J27" s="1"/>
  <c r="O25"/>
  <c r="K76" i="9" s="1"/>
  <c r="M25" i="2"/>
  <c r="I76" i="9" s="1"/>
  <c r="L25" i="2"/>
  <c r="H76" i="9" s="1"/>
  <c r="G25" i="2"/>
  <c r="O23"/>
  <c r="K73" i="9" s="1"/>
  <c r="M23" i="2"/>
  <c r="I73" i="9" s="1"/>
  <c r="L23" i="2"/>
  <c r="H73" i="9" s="1"/>
  <c r="G23" i="2"/>
  <c r="O21"/>
  <c r="K70" i="9" s="1"/>
  <c r="M21" i="2"/>
  <c r="I70" i="9" s="1"/>
  <c r="L21" i="2"/>
  <c r="H70" i="9" s="1"/>
  <c r="G21" i="2"/>
  <c r="O19"/>
  <c r="K67" i="9" s="1"/>
  <c r="M19" i="2"/>
  <c r="I67" i="9" s="1"/>
  <c r="L19" i="2"/>
  <c r="H67" i="9" s="1"/>
  <c r="G19" i="2"/>
  <c r="O17"/>
  <c r="K64" i="9" s="1"/>
  <c r="M17" i="2"/>
  <c r="I64" i="9" s="1"/>
  <c r="L17" i="2"/>
  <c r="H64" i="9" s="1"/>
  <c r="G17" i="2"/>
  <c r="O15"/>
  <c r="K61" i="9" s="1"/>
  <c r="M15" i="2"/>
  <c r="I61" i="9" s="1"/>
  <c r="L15" i="2"/>
  <c r="H61" i="9" s="1"/>
  <c r="G15" i="2"/>
  <c r="O13"/>
  <c r="K58" i="9" s="1"/>
  <c r="M13" i="2"/>
  <c r="I58" i="9" s="1"/>
  <c r="L13" i="2"/>
  <c r="H58" i="9" s="1"/>
  <c r="G13" i="2"/>
  <c r="O11"/>
  <c r="K55" i="9" s="1"/>
  <c r="M11" i="2"/>
  <c r="I55" i="9" s="1"/>
  <c r="L11" i="2"/>
  <c r="H55" i="9" s="1"/>
  <c r="G11" i="2"/>
  <c r="O9"/>
  <c r="K52" i="9" s="1"/>
  <c r="M9" i="2"/>
  <c r="I52" i="9" s="1"/>
  <c r="L9" i="2"/>
  <c r="H52" i="9" s="1"/>
  <c r="G9" i="2"/>
  <c r="O7"/>
  <c r="K49" i="9" s="1"/>
  <c r="M7" i="2"/>
  <c r="I49" i="9" s="1"/>
  <c r="L7" i="2"/>
  <c r="H49" i="9" s="1"/>
  <c r="G7" i="2"/>
  <c r="J7" l="1"/>
  <c r="M47" i="9" s="1"/>
  <c r="J47"/>
  <c r="J13" i="2"/>
  <c r="M56" i="9" s="1"/>
  <c r="J56"/>
  <c r="J19" i="2"/>
  <c r="M65" i="9" s="1"/>
  <c r="J65"/>
  <c r="J25" i="2"/>
  <c r="M74" i="9" s="1"/>
  <c r="J74"/>
  <c r="N27" i="2"/>
  <c r="J79" i="9" s="1"/>
  <c r="I79"/>
  <c r="J45" i="2"/>
  <c r="M86" i="9" s="1"/>
  <c r="J86"/>
  <c r="J47" i="2"/>
  <c r="M89" i="9" s="1"/>
  <c r="J89"/>
  <c r="G51" i="2"/>
  <c r="J51" s="1"/>
  <c r="J9"/>
  <c r="M50" i="9" s="1"/>
  <c r="J50"/>
  <c r="J17" i="2"/>
  <c r="M62" i="9" s="1"/>
  <c r="J62"/>
  <c r="J23" i="2"/>
  <c r="M71" i="9" s="1"/>
  <c r="J71"/>
  <c r="M77"/>
  <c r="J77"/>
  <c r="I57" i="2"/>
  <c r="G58" s="1"/>
  <c r="J93" i="9"/>
  <c r="J11" i="2"/>
  <c r="M53" i="9" s="1"/>
  <c r="J53"/>
  <c r="J21" i="2"/>
  <c r="M68" i="9" s="1"/>
  <c r="J68"/>
  <c r="J35" i="2"/>
  <c r="M80" i="9" s="1"/>
  <c r="J80"/>
  <c r="J37" i="2"/>
  <c r="M83" i="9" s="1"/>
  <c r="J83"/>
  <c r="N57" i="2"/>
  <c r="J105" i="9" s="1"/>
  <c r="I105"/>
  <c r="J15" i="2"/>
  <c r="M59" i="9" s="1"/>
  <c r="J59"/>
  <c r="J88"/>
  <c r="N7" i="2"/>
  <c r="J49" i="9" s="1"/>
  <c r="I9" i="2"/>
  <c r="I21"/>
  <c r="G53"/>
  <c r="I53" s="1"/>
  <c r="N23"/>
  <c r="J73" i="9" s="1"/>
  <c r="I25" i="2"/>
  <c r="I17"/>
  <c r="N11"/>
  <c r="I13"/>
  <c r="O30"/>
  <c r="N15"/>
  <c r="N19"/>
  <c r="J67" i="9" s="1"/>
  <c r="N76" i="2"/>
  <c r="Q76" s="1"/>
  <c r="O40"/>
  <c r="H10" i="6"/>
  <c r="G7" i="7" s="1"/>
  <c r="I7" i="2"/>
  <c r="N13"/>
  <c r="I15"/>
  <c r="N21"/>
  <c r="J70" i="9" s="1"/>
  <c r="I23" i="2"/>
  <c r="G31"/>
  <c r="I31" s="1"/>
  <c r="I35"/>
  <c r="G36" s="1"/>
  <c r="N35" s="1"/>
  <c r="P35" s="1"/>
  <c r="G41"/>
  <c r="I41" s="1"/>
  <c r="I45"/>
  <c r="L30"/>
  <c r="I37"/>
  <c r="L40"/>
  <c r="I47"/>
  <c r="G70"/>
  <c r="I70" s="1"/>
  <c r="N9"/>
  <c r="I11"/>
  <c r="L53" i="9" s="1"/>
  <c r="N17" i="2"/>
  <c r="I19"/>
  <c r="N25"/>
  <c r="Q25" s="1"/>
  <c r="M76" i="9" s="1"/>
  <c r="I27" i="2"/>
  <c r="M30"/>
  <c r="F7" i="6"/>
  <c r="E6" i="7" s="1"/>
  <c r="G6"/>
  <c r="M40" i="2"/>
  <c r="F10" i="6"/>
  <c r="E7" i="7" s="1"/>
  <c r="M51" i="2"/>
  <c r="P21"/>
  <c r="L70" i="9" s="1"/>
  <c r="O51" i="2"/>
  <c r="P27"/>
  <c r="L79" i="9" s="1"/>
  <c r="P19" i="2"/>
  <c r="L67" i="9" s="1"/>
  <c r="Q21" i="2"/>
  <c r="M70" i="9" s="1"/>
  <c r="N70" i="2"/>
  <c r="P70" s="1"/>
  <c r="Q7"/>
  <c r="M49" i="9" s="1"/>
  <c r="Q19" i="2"/>
  <c r="M67" i="9" s="1"/>
  <c r="Q27" i="2"/>
  <c r="M79" i="9" s="1"/>
  <c r="G30" i="2"/>
  <c r="I30" s="1"/>
  <c r="G40"/>
  <c r="I40" s="1"/>
  <c r="L51"/>
  <c r="J57"/>
  <c r="M93" i="9" s="1"/>
  <c r="J76" i="2"/>
  <c r="I77"/>
  <c r="N77"/>
  <c r="J78"/>
  <c r="I79"/>
  <c r="N79"/>
  <c r="J80"/>
  <c r="I78"/>
  <c r="I80"/>
  <c r="Q23" l="1"/>
  <c r="M73" i="9" s="1"/>
  <c r="P7" i="2"/>
  <c r="L49" i="9" s="1"/>
  <c r="Q57" i="2"/>
  <c r="M105" i="9" s="1"/>
  <c r="Q45" i="2"/>
  <c r="M88" i="9" s="1"/>
  <c r="J53" i="2"/>
  <c r="J41"/>
  <c r="J94" i="9"/>
  <c r="I58" i="2"/>
  <c r="G59" s="1"/>
  <c r="J95" i="9" s="1"/>
  <c r="I108"/>
  <c r="G38" i="2"/>
  <c r="N37" s="1"/>
  <c r="P37" s="1"/>
  <c r="L85" i="9" s="1"/>
  <c r="L83"/>
  <c r="J70" i="2"/>
  <c r="P23"/>
  <c r="L73" i="9" s="1"/>
  <c r="P17" i="2"/>
  <c r="L64" i="9" s="1"/>
  <c r="J64"/>
  <c r="L82"/>
  <c r="J82"/>
  <c r="L93"/>
  <c r="P13" i="2"/>
  <c r="L58" i="9" s="1"/>
  <c r="J58"/>
  <c r="L88"/>
  <c r="L92"/>
  <c r="J92"/>
  <c r="K108"/>
  <c r="P25" i="2"/>
  <c r="L76" i="9" s="1"/>
  <c r="J76"/>
  <c r="Q9" i="2"/>
  <c r="M52" i="9" s="1"/>
  <c r="J52"/>
  <c r="Q11" i="2"/>
  <c r="M55" i="9" s="1"/>
  <c r="J55"/>
  <c r="P57" i="2"/>
  <c r="L105" i="9" s="1"/>
  <c r="Q15" i="2"/>
  <c r="M61" i="9" s="1"/>
  <c r="J61"/>
  <c r="G26" i="2"/>
  <c r="I26" s="1"/>
  <c r="L75" i="9" s="1"/>
  <c r="L74"/>
  <c r="G8" i="2"/>
  <c r="L47" i="9"/>
  <c r="G49" i="2"/>
  <c r="I49" s="1"/>
  <c r="L91" i="9" s="1"/>
  <c r="L89"/>
  <c r="G22" i="2"/>
  <c r="L68" i="9"/>
  <c r="G20" i="2"/>
  <c r="J20" s="1"/>
  <c r="M66" i="9" s="1"/>
  <c r="L65"/>
  <c r="G16" i="2"/>
  <c r="J16" s="1"/>
  <c r="M60" i="9" s="1"/>
  <c r="L59"/>
  <c r="J58" i="2"/>
  <c r="M94" i="9" s="1"/>
  <c r="G46" i="2"/>
  <c r="I46" s="1"/>
  <c r="L87" i="9" s="1"/>
  <c r="L86"/>
  <c r="J36" i="2"/>
  <c r="M81" i="9" s="1"/>
  <c r="L80"/>
  <c r="G28" i="2"/>
  <c r="L77" i="9"/>
  <c r="G24" i="2"/>
  <c r="L71" i="9"/>
  <c r="G18" i="2"/>
  <c r="L62" i="9"/>
  <c r="G14" i="2"/>
  <c r="I14" s="1"/>
  <c r="L57" i="9" s="1"/>
  <c r="L56"/>
  <c r="G10" i="2"/>
  <c r="L50" i="9"/>
  <c r="Q13" i="2"/>
  <c r="M58" i="9" s="1"/>
  <c r="P76" i="2"/>
  <c r="M92" i="9"/>
  <c r="N51" i="2"/>
  <c r="P51" s="1"/>
  <c r="P9"/>
  <c r="L52" i="9" s="1"/>
  <c r="I51" i="2"/>
  <c r="N40"/>
  <c r="P40" s="1"/>
  <c r="N30"/>
  <c r="P30" s="1"/>
  <c r="P11"/>
  <c r="L55" i="9" s="1"/>
  <c r="J30" i="2"/>
  <c r="Q35"/>
  <c r="M82" i="9" s="1"/>
  <c r="Q17" i="2"/>
  <c r="M64" i="9" s="1"/>
  <c r="P15" i="2"/>
  <c r="L61" i="9" s="1"/>
  <c r="G12" i="2"/>
  <c r="J40"/>
  <c r="D7" i="7"/>
  <c r="F7" s="1"/>
  <c r="H7" s="1"/>
  <c r="G10" i="6"/>
  <c r="D6" i="7"/>
  <c r="F6" s="1"/>
  <c r="I6" s="1"/>
  <c r="G7" i="6"/>
  <c r="J31" i="2"/>
  <c r="P80"/>
  <c r="Q80"/>
  <c r="P79"/>
  <c r="P78"/>
  <c r="Q78"/>
  <c r="P77"/>
  <c r="Q70"/>
  <c r="L94" i="9" l="1"/>
  <c r="I28" i="2"/>
  <c r="L78" i="9" s="1"/>
  <c r="J28" i="2"/>
  <c r="M78" i="9" s="1"/>
  <c r="Q51" i="2"/>
  <c r="Q37"/>
  <c r="M85" i="9" s="1"/>
  <c r="J85"/>
  <c r="J84"/>
  <c r="J38" i="2"/>
  <c r="M84" i="9" s="1"/>
  <c r="I38" i="2"/>
  <c r="L84" i="9" s="1"/>
  <c r="J59" i="2"/>
  <c r="M95" i="9" s="1"/>
  <c r="I59" i="2"/>
  <c r="L95" i="9" s="1"/>
  <c r="Q30" i="2"/>
  <c r="H108" i="9"/>
  <c r="J26" i="2"/>
  <c r="M75" i="9" s="1"/>
  <c r="J75"/>
  <c r="I12" i="2"/>
  <c r="L54" i="9" s="1"/>
  <c r="J54"/>
  <c r="I8" i="2"/>
  <c r="L48" i="9" s="1"/>
  <c r="J48"/>
  <c r="J8" i="2"/>
  <c r="M48" i="9" s="1"/>
  <c r="J49" i="2"/>
  <c r="M91" i="9" s="1"/>
  <c r="J91"/>
  <c r="J22" i="2"/>
  <c r="M69" i="9" s="1"/>
  <c r="J69"/>
  <c r="I22" i="2"/>
  <c r="L69" i="9" s="1"/>
  <c r="I20" i="2"/>
  <c r="L66" i="9" s="1"/>
  <c r="J66"/>
  <c r="I16" i="2"/>
  <c r="L60" i="9" s="1"/>
  <c r="J60"/>
  <c r="J46" i="2"/>
  <c r="M87" i="9" s="1"/>
  <c r="J87"/>
  <c r="I36" i="2"/>
  <c r="L81" i="9" s="1"/>
  <c r="J81"/>
  <c r="J78"/>
  <c r="J24" i="2"/>
  <c r="M72" i="9" s="1"/>
  <c r="J72"/>
  <c r="I24" i="2"/>
  <c r="L72" i="9" s="1"/>
  <c r="J18" i="2"/>
  <c r="M63" i="9" s="1"/>
  <c r="J63"/>
  <c r="I18" i="2"/>
  <c r="L63" i="9" s="1"/>
  <c r="J14" i="2"/>
  <c r="M57" i="9" s="1"/>
  <c r="J57"/>
  <c r="J51"/>
  <c r="J10" i="2"/>
  <c r="M51" i="9" s="1"/>
  <c r="I10" i="2"/>
  <c r="L51" i="9" s="1"/>
  <c r="Q40" i="2"/>
  <c r="J12"/>
  <c r="M54" i="9" s="1"/>
  <c r="I7" i="7"/>
  <c r="J10" i="6"/>
  <c r="I10"/>
  <c r="G11" s="1"/>
  <c r="I7"/>
  <c r="G8" s="1"/>
  <c r="J7"/>
  <c r="G60" i="2" l="1"/>
  <c r="J96" i="9" s="1"/>
  <c r="H6" i="7"/>
  <c r="L108" i="9" s="1"/>
  <c r="J108"/>
  <c r="M108" s="1"/>
  <c r="J11" i="6"/>
  <c r="I8"/>
  <c r="J8"/>
  <c r="J60" i="2" l="1"/>
  <c r="M96" i="9" s="1"/>
  <c r="I60" i="2"/>
  <c r="G61" s="1"/>
  <c r="L96" i="9"/>
  <c r="J97"/>
  <c r="J61" i="2"/>
  <c r="M97" i="9" s="1"/>
  <c r="I61" i="2"/>
  <c r="I11" i="6"/>
  <c r="G62" i="2" l="1"/>
  <c r="L97" i="9"/>
  <c r="J98" l="1"/>
  <c r="J62" i="2"/>
  <c r="M98" i="9" s="1"/>
  <c r="I62" i="2"/>
  <c r="G63" l="1"/>
  <c r="L98" i="9"/>
  <c r="J99" l="1"/>
  <c r="I63" i="2"/>
  <c r="J63"/>
  <c r="M99" i="9" s="1"/>
  <c r="G64" i="2" l="1"/>
  <c r="L99" i="9"/>
  <c r="J100" l="1"/>
  <c r="I64" i="2"/>
  <c r="J64"/>
  <c r="M100" i="9" s="1"/>
  <c r="G65" i="2" l="1"/>
  <c r="L100" i="9"/>
  <c r="J101" l="1"/>
  <c r="J65" i="2"/>
  <c r="M101" i="9" s="1"/>
  <c r="I65" i="2"/>
  <c r="G66" l="1"/>
  <c r="L101" i="9"/>
  <c r="J102" l="1"/>
  <c r="I66" i="2"/>
  <c r="J66"/>
  <c r="M102" i="9" s="1"/>
  <c r="G67" i="2" l="1"/>
  <c r="L102" i="9"/>
  <c r="J103" l="1"/>
  <c r="I67" i="2"/>
  <c r="J67"/>
  <c r="M103" i="9" s="1"/>
  <c r="G68" i="2" l="1"/>
  <c r="L103" i="9"/>
  <c r="J104" l="1"/>
  <c r="I68" i="2"/>
  <c r="L104" i="9" s="1"/>
  <c r="J68" i="2"/>
  <c r="M104" i="9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 (18-01-2019)
Apertura Periodo 55906  (31-01-2019)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anual 04-02-2019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124 (14-01-2019)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166 (18-01-2019)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45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17186-2019</t>
        </r>
      </text>
    </comment>
  </commentList>
</comments>
</file>

<file path=xl/sharedStrings.xml><?xml version="1.0" encoding="utf-8"?>
<sst xmlns="http://schemas.openxmlformats.org/spreadsheetml/2006/main" count="1313" uniqueCount="217">
  <si>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</si>
  <si>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</si>
  <si>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</si>
  <si>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</si>
  <si>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</si>
  <si>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</si>
  <si>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</si>
  <si>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</si>
  <si>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</si>
  <si>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</si>
  <si>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</si>
  <si>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</si>
  <si>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</si>
  <si>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</si>
  <si>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</si>
  <si>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</si>
  <si>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</si>
  <si>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</si>
  <si>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</si>
  <si>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</si>
  <si>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</si>
  <si>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</si>
  <si>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</si>
  <si>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</si>
  <si>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</si>
  <si>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</si>
  <si>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</si>
  <si>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</si>
  <si>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</si>
  <si>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</si>
  <si>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</si>
  <si>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</si>
  <si>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</si>
  <si>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</si>
  <si>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</si>
  <si>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</si>
  <si>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</si>
  <si>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</si>
  <si>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</si>
  <si>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</si>
  <si>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</si>
  <si>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</si>
  <si>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</si>
  <si>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</si>
  <si>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</si>
  <si>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</si>
  <si>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</si>
  <si>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</si>
  <si>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</si>
  <si>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</si>
  <si>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</si>
  <si>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</si>
  <si>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</si>
  <si>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</si>
  <si>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</si>
  <si>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</si>
  <si>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</si>
  <si>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</si>
  <si>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</si>
  <si>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</si>
  <si>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</si>
  <si>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</si>
  <si>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</si>
  <si>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</si>
  <si>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</si>
  <si>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</si>
  <si>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</si>
  <si>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</si>
  <si>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</si>
  <si>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</si>
  <si>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</si>
  <si>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</si>
  <si>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</si>
  <si>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</si>
  <si>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</si>
  <si>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</si>
  <si>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</si>
  <si>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</si>
  <si>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</si>
  <si>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</si>
  <si>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Congrio Dorado paralelo 41°28,6 al 47° L.S.</t>
  </si>
  <si>
    <t>Ene-Feb.</t>
  </si>
  <si>
    <t>Unidad de Pesquería</t>
  </si>
  <si>
    <t>Zona</t>
  </si>
  <si>
    <t>Fecha cierre</t>
  </si>
  <si>
    <t>Mar-Dic.</t>
  </si>
  <si>
    <t>Período</t>
  </si>
  <si>
    <t>UPN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</si>
  <si>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</si>
  <si>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</si>
  <si>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</si>
  <si>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</si>
  <si>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UPS</t>
  </si>
  <si>
    <t>DERIS S.A.                                96808510-7</t>
  </si>
  <si>
    <t>SUR AUSTRAL S.A. PESQ.     96542880-1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</si>
  <si>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</si>
  <si>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</si>
  <si>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</si>
  <si>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</si>
  <si>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</si>
  <si>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</si>
  <si>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</si>
  <si>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</si>
  <si>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</si>
  <si>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</si>
  <si>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</si>
  <si>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</si>
  <si>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</si>
  <si>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 ≤ 12 mts eslora</t>
  </si>
  <si>
    <t>Fauna acompañante X &gt; 12 mts eslora</t>
  </si>
  <si>
    <t>Fauna Acompañante XI UP NORTE</t>
  </si>
  <si>
    <t xml:space="preserve">Fauna Acompañante XI UP SUR </t>
  </si>
  <si>
    <t xml:space="preserve">Fauna Acompañante XII 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</si>
  <si>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</si>
  <si>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</si>
  <si>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</si>
  <si>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</si>
  <si>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</si>
  <si>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</si>
  <si>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</si>
  <si>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Fuera area</t>
  </si>
  <si>
    <t>Investigacion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</si>
  <si>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</si>
  <si>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</si>
  <si>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</si>
  <si>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</si>
  <si>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</si>
  <si>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</si>
  <si>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</si>
  <si>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</si>
  <si>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</si>
  <si>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</si>
  <si>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</si>
  <si>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</si>
  <si>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</si>
  <si>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</si>
  <si>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</si>
  <si>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</si>
  <si>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</si>
  <si>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</si>
  <si>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</si>
  <si>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</si>
  <si>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</si>
  <si>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</si>
  <si>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</si>
  <si>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</si>
  <si>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</si>
  <si>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</si>
  <si>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</si>
  <si>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</si>
  <si>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</si>
  <si>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</si>
  <si>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</si>
  <si>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</si>
  <si>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</si>
  <si>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</si>
  <si>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</si>
  <si>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</si>
  <si>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</si>
  <si>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</si>
  <si>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</si>
  <si>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</si>
  <si>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</si>
  <si>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</si>
  <si>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</si>
  <si>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</si>
  <si>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</si>
  <si>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</si>
  <si>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</si>
  <si>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</si>
  <si>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</si>
  <si>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</si>
  <si>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</si>
  <si>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</si>
  <si>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</si>
  <si>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</si>
  <si>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</si>
  <si>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</si>
  <si>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</si>
  <si>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</si>
  <si>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</si>
  <si>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</si>
  <si>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</si>
  <si>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</si>
  <si>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</si>
  <si>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</si>
  <si>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</si>
  <si>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</si>
  <si>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</si>
  <si>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</si>
  <si>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</si>
  <si>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</si>
  <si>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</si>
  <si>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</si>
  <si>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</si>
  <si>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</si>
  <si>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Congrio Dorado</t>
  </si>
  <si>
    <t>RPA</t>
  </si>
  <si>
    <t>Region Operación</t>
  </si>
  <si>
    <t xml:space="preserve">Fecha Termino Operación </t>
  </si>
  <si>
    <t>ISLA QUIHUA S.A. PESQ.  99546520-5</t>
  </si>
  <si>
    <t xml:space="preserve">Cuota Asignada </t>
  </si>
  <si>
    <t>Ene-Jul</t>
  </si>
  <si>
    <t>Ago</t>
  </si>
  <si>
    <t>Sep-Dic</t>
  </si>
  <si>
    <t>TOTAL</t>
  </si>
  <si>
    <t>ISLA QUIHUA S.A. PESQ</t>
  </si>
  <si>
    <t>RESUMEN  ANUAL CONSUMO DE CUOTA CONGRIO DORADO 2019</t>
  </si>
  <si>
    <t>RESUMEN ANUAL  CONSUMO CUOTA CONGRIO DORADO FUERA UNIDAD DE PESQUERÍAS AÑO 2019</t>
  </si>
  <si>
    <t>RESUMEN POR PERIODO DEL CONSUMO DE CUOTA  CONGRIO DORADO 2019</t>
  </si>
  <si>
    <t>CONTROL CUOTA CONGRIO DORADO ARTESANAL 2019</t>
  </si>
  <si>
    <t>CONTROL DE CUOTA CONGRIO DORADO LTP POR TITULAR 2019</t>
  </si>
  <si>
    <t>CONTROL CUOTA ANUAL DE CAPTURA CONGRIO DORADO FUERA DE UNIDADES DE PESQUERIA 2019</t>
  </si>
  <si>
    <t>PESCA DE INVESTIGACIÓN CONGRIO DORADO 2019</t>
  </si>
  <si>
    <t>CANAL AUSTRAL LTDA.</t>
  </si>
  <si>
    <t>MARCOS SALINAS CARRASCO</t>
  </si>
  <si>
    <t>Congrio Dorado Fuera de Unidad de Pesquería 41°28.6´LS al Norte</t>
  </si>
</sst>
</file>

<file path=xl/styles.xml><?xml version="1.0" encoding="utf-8"?>
<styleSheet xmlns="http://schemas.openxmlformats.org/spreadsheetml/2006/main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0.0%"/>
    <numFmt numFmtId="167" formatCode="_-* #,##0.00\ _p_t_a_-;\-* #,##0.00\ _p_t_a_-;_-* \-??\ _p_t_a_-;_-@_-"/>
    <numFmt numFmtId="168" formatCode="0.0"/>
    <numFmt numFmtId="169" formatCode="[$-F800]dddd\,\ mmmm\ dd\,\ yyyy"/>
    <numFmt numFmtId="170" formatCode="0.00_ ;[Red]\-0.00\ "/>
    <numFmt numFmtId="171" formatCode="0.000%"/>
    <numFmt numFmtId="172" formatCode="#,##0.000_ ;[Red]\-#,##0.000\ "/>
    <numFmt numFmtId="173" formatCode="yyyy/mm/dd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7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3" fontId="7" fillId="0" borderId="0" applyFont="0" applyFill="0" applyBorder="0" applyAlignment="0" applyProtection="0"/>
    <xf numFmtId="0" fontId="24" fillId="0" borderId="35" applyNumberFormat="0" applyFill="0" applyAlignment="0" applyProtection="0"/>
    <xf numFmtId="4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43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43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43" fontId="1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43" fontId="7" fillId="0" borderId="0" applyFont="0" applyFill="0" applyBorder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8" fillId="3" borderId="0" applyNumberFormat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43" fontId="1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44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506">
    <xf numFmtId="0" fontId="0" fillId="0" borderId="0" xfId="0"/>
    <xf numFmtId="0" fontId="0" fillId="29" borderId="0" xfId="0" applyFill="1"/>
    <xf numFmtId="0" fontId="25" fillId="29" borderId="0" xfId="0" applyFont="1" applyFill="1" applyAlignment="1">
      <alignment horizontal="center" vertical="center"/>
    </xf>
    <xf numFmtId="14" fontId="25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14" fontId="26" fillId="29" borderId="0" xfId="0" applyNumberFormat="1" applyFont="1" applyFill="1" applyAlignment="1">
      <alignment horizontal="center" vertical="center"/>
    </xf>
    <xf numFmtId="0" fontId="0" fillId="29" borderId="0" xfId="0" applyFill="1" applyBorder="1"/>
    <xf numFmtId="0" fontId="25" fillId="29" borderId="0" xfId="0" applyFont="1" applyFill="1" applyBorder="1" applyAlignment="1">
      <alignment horizontal="center" vertical="center"/>
    </xf>
    <xf numFmtId="14" fontId="25" fillId="29" borderId="0" xfId="0" applyNumberFormat="1" applyFont="1" applyFill="1" applyBorder="1" applyAlignment="1">
      <alignment horizontal="center" vertical="center"/>
    </xf>
    <xf numFmtId="9" fontId="25" fillId="29" borderId="0" xfId="1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vertical="center"/>
    </xf>
    <xf numFmtId="164" fontId="28" fillId="29" borderId="0" xfId="0" applyNumberFormat="1" applyFont="1" applyFill="1" applyBorder="1" applyAlignment="1">
      <alignment horizontal="center" vertical="center"/>
    </xf>
    <xf numFmtId="0" fontId="28" fillId="29" borderId="0" xfId="0" applyFont="1" applyFill="1" applyAlignment="1">
      <alignment vertical="center"/>
    </xf>
    <xf numFmtId="0" fontId="25" fillId="29" borderId="0" xfId="0" applyFont="1" applyFill="1" applyAlignment="1">
      <alignment vertical="center" wrapText="1"/>
    </xf>
    <xf numFmtId="0" fontId="25" fillId="29" borderId="0" xfId="0" applyFont="1" applyFill="1" applyAlignment="1">
      <alignment horizontal="center" vertical="center" wrapText="1"/>
    </xf>
    <xf numFmtId="0" fontId="25" fillId="29" borderId="0" xfId="0" applyFont="1" applyFill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33" fillId="29" borderId="0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/>
    </xf>
    <xf numFmtId="10" fontId="0" fillId="29" borderId="0" xfId="1" applyNumberFormat="1" applyFont="1" applyFill="1" applyBorder="1" applyAlignment="1">
      <alignment horizontal="center" vertical="center"/>
    </xf>
    <xf numFmtId="171" fontId="30" fillId="29" borderId="0" xfId="1" applyNumberFormat="1" applyFont="1" applyFill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0" fillId="0" borderId="4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9" fontId="25" fillId="29" borderId="0" xfId="1" applyFont="1" applyFill="1" applyAlignment="1">
      <alignment vertical="center"/>
    </xf>
    <xf numFmtId="9" fontId="0" fillId="29" borderId="0" xfId="1" applyFont="1" applyFill="1"/>
    <xf numFmtId="0" fontId="37" fillId="28" borderId="54" xfId="0" applyFont="1" applyFill="1" applyBorder="1" applyAlignment="1">
      <alignment horizontal="center" vertical="center"/>
    </xf>
    <xf numFmtId="0" fontId="37" fillId="28" borderId="54" xfId="0" applyFont="1" applyFill="1" applyBorder="1" applyAlignment="1">
      <alignment horizontal="center" vertical="center" wrapText="1"/>
    </xf>
    <xf numFmtId="9" fontId="0" fillId="32" borderId="0" xfId="1" applyFont="1" applyFill="1"/>
    <xf numFmtId="0" fontId="32" fillId="0" borderId="36" xfId="0" applyFont="1" applyFill="1" applyBorder="1" applyAlignment="1">
      <alignment horizontal="center" vertical="center"/>
    </xf>
    <xf numFmtId="0" fontId="0" fillId="29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9" fontId="38" fillId="0" borderId="45" xfId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3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vertical="center" wrapText="1"/>
    </xf>
    <xf numFmtId="0" fontId="0" fillId="29" borderId="0" xfId="0" applyFont="1" applyFill="1" applyBorder="1" applyAlignment="1">
      <alignment horizontal="center" vertical="center"/>
    </xf>
    <xf numFmtId="10" fontId="0" fillId="29" borderId="0" xfId="0" applyNumberFormat="1" applyFont="1" applyFill="1" applyBorder="1" applyAlignment="1">
      <alignment horizontal="center" vertical="center"/>
    </xf>
    <xf numFmtId="14" fontId="0" fillId="29" borderId="0" xfId="0" applyNumberFormat="1" applyFont="1" applyFill="1" applyBorder="1" applyAlignment="1">
      <alignment horizontal="center" vertical="center"/>
    </xf>
    <xf numFmtId="9" fontId="0" fillId="29" borderId="0" xfId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2" fillId="30" borderId="3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4" fontId="2" fillId="29" borderId="0" xfId="0" applyNumberFormat="1" applyFont="1" applyFill="1" applyBorder="1" applyAlignment="1">
      <alignment horizontal="center" vertical="center"/>
    </xf>
    <xf numFmtId="164" fontId="2" fillId="29" borderId="0" xfId="0" applyNumberFormat="1" applyFont="1" applyFill="1" applyBorder="1" applyAlignment="1">
      <alignment horizontal="center" vertical="center"/>
    </xf>
    <xf numFmtId="9" fontId="0" fillId="29" borderId="0" xfId="0" applyNumberFormat="1" applyFont="1" applyFill="1" applyBorder="1" applyAlignment="1">
      <alignment horizontal="center" vertical="center"/>
    </xf>
    <xf numFmtId="14" fontId="2" fillId="29" borderId="0" xfId="1" applyNumberFormat="1" applyFont="1" applyFill="1" applyBorder="1" applyAlignment="1">
      <alignment horizontal="center" vertical="center"/>
    </xf>
    <xf numFmtId="14" fontId="41" fillId="28" borderId="36" xfId="0" applyNumberFormat="1" applyFont="1" applyFill="1" applyBorder="1" applyAlignment="1">
      <alignment horizontal="center" vertical="center" wrapText="1"/>
    </xf>
    <xf numFmtId="14" fontId="41" fillId="28" borderId="50" xfId="0" applyNumberFormat="1" applyFont="1" applyFill="1" applyBorder="1" applyAlignment="1">
      <alignment horizontal="center" vertical="center" wrapText="1"/>
    </xf>
    <xf numFmtId="14" fontId="41" fillId="28" borderId="5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14" fontId="30" fillId="29" borderId="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4" fontId="41" fillId="28" borderId="48" xfId="0" applyNumberFormat="1" applyFont="1" applyFill="1" applyBorder="1" applyAlignment="1">
      <alignment horizontal="center" vertical="center" wrapText="1"/>
    </xf>
    <xf numFmtId="14" fontId="0" fillId="0" borderId="71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50" xfId="0" applyFont="1" applyFill="1" applyBorder="1" applyAlignment="1">
      <alignment horizontal="center" vertical="center"/>
    </xf>
    <xf numFmtId="10" fontId="2" fillId="29" borderId="0" xfId="1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9" fontId="2" fillId="29" borderId="0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6" fontId="0" fillId="29" borderId="0" xfId="1" applyNumberFormat="1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4" fontId="2" fillId="0" borderId="25" xfId="1" applyNumberFormat="1" applyFont="1" applyFill="1" applyBorder="1" applyAlignment="1">
      <alignment horizontal="center" vertical="center"/>
    </xf>
    <xf numFmtId="0" fontId="41" fillId="28" borderId="38" xfId="0" applyFont="1" applyFill="1" applyBorder="1" applyAlignment="1">
      <alignment horizontal="center" vertical="center" wrapText="1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0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14" fontId="41" fillId="28" borderId="38" xfId="0" applyNumberFormat="1" applyFont="1" applyFill="1" applyBorder="1" applyAlignment="1">
      <alignment horizontal="center" vertical="center" wrapText="1"/>
    </xf>
    <xf numFmtId="14" fontId="41" fillId="28" borderId="72" xfId="0" applyNumberFormat="1" applyFont="1" applyFill="1" applyBorder="1" applyAlignment="1">
      <alignment horizontal="center" vertical="center" wrapText="1"/>
    </xf>
    <xf numFmtId="14" fontId="41" fillId="28" borderId="60" xfId="0" applyNumberFormat="1" applyFont="1" applyFill="1" applyBorder="1" applyAlignment="1">
      <alignment horizontal="center" vertical="center" wrapText="1"/>
    </xf>
    <xf numFmtId="14" fontId="41" fillId="28" borderId="6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0" fontId="0" fillId="31" borderId="66" xfId="0" applyFont="1" applyFill="1" applyBorder="1" applyAlignment="1">
      <alignment horizontal="center" vertical="center" wrapText="1"/>
    </xf>
    <xf numFmtId="0" fontId="0" fillId="31" borderId="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14" fontId="30" fillId="0" borderId="71" xfId="0" applyNumberFormat="1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45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4" fontId="30" fillId="0" borderId="70" xfId="0" applyNumberFormat="1" applyFont="1" applyFill="1" applyBorder="1" applyAlignment="1">
      <alignment horizontal="center" vertical="center" wrapText="1"/>
    </xf>
    <xf numFmtId="0" fontId="0" fillId="31" borderId="48" xfId="0" applyFont="1" applyFill="1" applyBorder="1" applyAlignment="1">
      <alignment horizontal="center" vertical="center" wrapText="1"/>
    </xf>
    <xf numFmtId="0" fontId="0" fillId="31" borderId="50" xfId="0" applyFont="1" applyFill="1" applyBorder="1" applyAlignment="1">
      <alignment horizontal="center" vertical="center" wrapText="1"/>
    </xf>
    <xf numFmtId="14" fontId="2" fillId="0" borderId="73" xfId="1" applyNumberFormat="1" applyFont="1" applyFill="1" applyBorder="1" applyAlignment="1">
      <alignment horizontal="center" vertical="center"/>
    </xf>
    <xf numFmtId="14" fontId="2" fillId="0" borderId="74" xfId="1" applyNumberFormat="1" applyFont="1" applyFill="1" applyBorder="1" applyAlignment="1">
      <alignment horizontal="center" vertical="center"/>
    </xf>
    <xf numFmtId="14" fontId="2" fillId="0" borderId="12" xfId="1" applyNumberFormat="1" applyFont="1" applyFill="1" applyBorder="1" applyAlignment="1">
      <alignment horizontal="center" vertical="center"/>
    </xf>
    <xf numFmtId="14" fontId="2" fillId="0" borderId="50" xfId="1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14" fontId="0" fillId="0" borderId="68" xfId="0" applyNumberFormat="1" applyFont="1" applyFill="1" applyBorder="1" applyAlignment="1">
      <alignment horizontal="center" vertical="center"/>
    </xf>
    <xf numFmtId="164" fontId="32" fillId="0" borderId="45" xfId="0" applyNumberFormat="1" applyFont="1" applyFill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45" xfId="41862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1" fillId="35" borderId="64" xfId="0" applyFont="1" applyFill="1" applyBorder="1" applyAlignment="1">
      <alignment horizontal="center" vertical="center"/>
    </xf>
    <xf numFmtId="164" fontId="30" fillId="0" borderId="45" xfId="0" applyNumberFormat="1" applyFont="1" applyFill="1" applyBorder="1" applyAlignment="1">
      <alignment horizontal="center" vertical="center"/>
    </xf>
    <xf numFmtId="172" fontId="2" fillId="0" borderId="45" xfId="0" applyNumberFormat="1" applyFon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/>
    </xf>
    <xf numFmtId="0" fontId="41" fillId="35" borderId="5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14" fontId="30" fillId="0" borderId="45" xfId="0" applyNumberFormat="1" applyFont="1" applyBorder="1" applyAlignment="1">
      <alignment horizontal="center"/>
    </xf>
    <xf numFmtId="0" fontId="0" fillId="38" borderId="45" xfId="0" applyFill="1" applyBorder="1"/>
    <xf numFmtId="0" fontId="0" fillId="39" borderId="45" xfId="0" applyFill="1" applyBorder="1"/>
    <xf numFmtId="0" fontId="0" fillId="38" borderId="45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8" borderId="45" xfId="0" applyFill="1" applyBorder="1" applyAlignment="1">
      <alignment horizontal="center" vertical="center"/>
    </xf>
    <xf numFmtId="0" fontId="0" fillId="38" borderId="54" xfId="0" applyFill="1" applyBorder="1"/>
    <xf numFmtId="0" fontId="0" fillId="38" borderId="5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14" fontId="30" fillId="0" borderId="5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9" fontId="30" fillId="0" borderId="51" xfId="1" applyFont="1" applyBorder="1" applyAlignment="1">
      <alignment horizontal="center"/>
    </xf>
    <xf numFmtId="0" fontId="0" fillId="39" borderId="50" xfId="0" applyFill="1" applyBorder="1"/>
    <xf numFmtId="0" fontId="30" fillId="0" borderId="62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38" borderId="3" xfId="0" applyFill="1" applyBorder="1"/>
    <xf numFmtId="169" fontId="30" fillId="29" borderId="0" xfId="0" applyNumberFormat="1" applyFont="1" applyFill="1"/>
    <xf numFmtId="2" fontId="30" fillId="29" borderId="0" xfId="0" applyNumberFormat="1" applyFont="1" applyFill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0" fillId="37" borderId="60" xfId="0" applyFont="1" applyFill="1" applyBorder="1" applyAlignment="1">
      <alignment horizontal="center" vertical="center"/>
    </xf>
    <xf numFmtId="0" fontId="30" fillId="37" borderId="61" xfId="0" applyFont="1" applyFill="1" applyBorder="1" applyAlignment="1">
      <alignment horizontal="center" vertical="center"/>
    </xf>
    <xf numFmtId="0" fontId="0" fillId="39" borderId="50" xfId="0" applyFill="1" applyBorder="1" applyAlignment="1">
      <alignment horizontal="center"/>
    </xf>
    <xf numFmtId="0" fontId="0" fillId="38" borderId="3" xfId="0" applyFill="1" applyBorder="1" applyAlignment="1">
      <alignment horizontal="center" vertical="center"/>
    </xf>
    <xf numFmtId="164" fontId="0" fillId="29" borderId="0" xfId="0" applyNumberFormat="1" applyFill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164" fontId="30" fillId="0" borderId="62" xfId="0" applyNumberFormat="1" applyFont="1" applyFill="1" applyBorder="1" applyAlignment="1">
      <alignment horizontal="center"/>
    </xf>
    <xf numFmtId="164" fontId="30" fillId="0" borderId="44" xfId="0" applyNumberFormat="1" applyFont="1" applyFill="1" applyBorder="1" applyAlignment="1">
      <alignment horizontal="center"/>
    </xf>
    <xf numFmtId="164" fontId="30" fillId="0" borderId="36" xfId="0" applyNumberFormat="1" applyFont="1" applyFill="1" applyBorder="1" applyAlignment="1">
      <alignment horizontal="center"/>
    </xf>
    <xf numFmtId="172" fontId="0" fillId="0" borderId="38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165" fontId="2" fillId="0" borderId="45" xfId="158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1" fontId="0" fillId="29" borderId="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31" borderId="59" xfId="0" applyNumberFormat="1" applyFont="1" applyFill="1" applyBorder="1" applyAlignment="1">
      <alignment horizontal="center" vertical="center"/>
    </xf>
    <xf numFmtId="1" fontId="2" fillId="31" borderId="60" xfId="0" applyNumberFormat="1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4" fontId="41" fillId="28" borderId="67" xfId="0" applyNumberFormat="1" applyFont="1" applyFill="1" applyBorder="1" applyAlignment="1">
      <alignment horizontal="center" vertical="center" wrapText="1"/>
    </xf>
    <xf numFmtId="14" fontId="41" fillId="28" borderId="13" xfId="0" applyNumberFormat="1" applyFont="1" applyFill="1" applyBorder="1" applyAlignment="1">
      <alignment horizontal="center" vertical="center" wrapText="1"/>
    </xf>
    <xf numFmtId="14" fontId="41" fillId="28" borderId="75" xfId="0" applyNumberFormat="1" applyFont="1" applyFill="1" applyBorder="1" applyAlignment="1">
      <alignment horizontal="center" vertical="center" wrapText="1"/>
    </xf>
    <xf numFmtId="10" fontId="30" fillId="0" borderId="63" xfId="1" applyNumberFormat="1" applyFont="1" applyFill="1" applyBorder="1" applyAlignment="1">
      <alignment horizontal="center" vertical="center"/>
    </xf>
    <xf numFmtId="10" fontId="30" fillId="0" borderId="46" xfId="1" applyNumberFormat="1" applyFont="1" applyFill="1" applyBorder="1" applyAlignment="1">
      <alignment horizontal="center" vertical="center"/>
    </xf>
    <xf numFmtId="10" fontId="30" fillId="0" borderId="51" xfId="1" applyNumberFormat="1" applyFont="1" applyFill="1" applyBorder="1" applyAlignment="1">
      <alignment horizontal="center" vertical="center"/>
    </xf>
    <xf numFmtId="10" fontId="2" fillId="0" borderId="45" xfId="208" applyNumberFormat="1" applyFont="1" applyFill="1" applyBorder="1" applyAlignment="1">
      <alignment horizontal="center"/>
    </xf>
    <xf numFmtId="10" fontId="30" fillId="0" borderId="14" xfId="0" applyNumberFormat="1" applyFont="1" applyFill="1" applyBorder="1" applyAlignment="1">
      <alignment horizontal="center" vertical="center"/>
    </xf>
    <xf numFmtId="10" fontId="30" fillId="0" borderId="52" xfId="0" applyNumberFormat="1" applyFont="1" applyFill="1" applyBorder="1" applyAlignment="1">
      <alignment horizontal="center" vertical="center"/>
    </xf>
    <xf numFmtId="10" fontId="30" fillId="0" borderId="52" xfId="1" applyNumberFormat="1" applyFont="1" applyFill="1" applyBorder="1" applyAlignment="1">
      <alignment horizontal="center" vertical="center"/>
    </xf>
    <xf numFmtId="10" fontId="32" fillId="0" borderId="52" xfId="0" applyNumberFormat="1" applyFont="1" applyFill="1" applyBorder="1" applyAlignment="1">
      <alignment horizontal="center" vertical="center"/>
    </xf>
    <xf numFmtId="9" fontId="30" fillId="0" borderId="7" xfId="0" applyNumberFormat="1" applyFont="1" applyFill="1" applyBorder="1" applyAlignment="1">
      <alignment horizontal="center" vertical="center"/>
    </xf>
    <xf numFmtId="9" fontId="30" fillId="0" borderId="51" xfId="0" applyNumberFormat="1" applyFont="1" applyFill="1" applyBorder="1" applyAlignment="1">
      <alignment horizontal="center" vertical="center"/>
    </xf>
    <xf numFmtId="10" fontId="32" fillId="0" borderId="12" xfId="1" applyNumberFormat="1" applyFont="1" applyFill="1" applyBorder="1" applyAlignment="1">
      <alignment horizontal="center" vertical="center"/>
    </xf>
    <xf numFmtId="10" fontId="32" fillId="0" borderId="2" xfId="1" applyNumberFormat="1" applyFont="1" applyFill="1" applyBorder="1" applyAlignment="1">
      <alignment horizontal="center" vertical="center"/>
    </xf>
    <xf numFmtId="10" fontId="32" fillId="0" borderId="50" xfId="1" applyNumberFormat="1" applyFont="1" applyFill="1" applyBorder="1" applyAlignment="1">
      <alignment horizontal="center" vertical="center"/>
    </xf>
    <xf numFmtId="9" fontId="32" fillId="0" borderId="61" xfId="1" applyFont="1" applyFill="1" applyBorder="1" applyAlignment="1">
      <alignment horizontal="center" vertical="center"/>
    </xf>
    <xf numFmtId="9" fontId="30" fillId="0" borderId="61" xfId="1" applyFont="1" applyFill="1" applyBorder="1" applyAlignment="1">
      <alignment horizontal="center" vertical="center"/>
    </xf>
    <xf numFmtId="10" fontId="30" fillId="0" borderId="63" xfId="0" applyNumberFormat="1" applyFont="1" applyFill="1" applyBorder="1" applyAlignment="1">
      <alignment horizontal="center" vertical="center" wrapText="1"/>
    </xf>
    <xf numFmtId="10" fontId="30" fillId="0" borderId="46" xfId="0" applyNumberFormat="1" applyFont="1" applyFill="1" applyBorder="1" applyAlignment="1">
      <alignment horizontal="center" vertical="center" wrapText="1"/>
    </xf>
    <xf numFmtId="10" fontId="30" fillId="0" borderId="51" xfId="0" applyNumberFormat="1" applyFont="1" applyFill="1" applyBorder="1" applyAlignment="1">
      <alignment horizontal="center" vertical="center" wrapText="1"/>
    </xf>
    <xf numFmtId="166" fontId="30" fillId="0" borderId="63" xfId="1" applyNumberFormat="1" applyFont="1" applyFill="1" applyBorder="1" applyAlignment="1">
      <alignment horizontal="center" vertical="center" wrapText="1"/>
    </xf>
    <xf numFmtId="166" fontId="30" fillId="0" borderId="46" xfId="1" applyNumberFormat="1" applyFont="1" applyFill="1" applyBorder="1" applyAlignment="1">
      <alignment horizontal="center" vertical="center" wrapText="1"/>
    </xf>
    <xf numFmtId="166" fontId="30" fillId="0" borderId="51" xfId="1" applyNumberFormat="1" applyFont="1" applyFill="1" applyBorder="1" applyAlignment="1">
      <alignment horizontal="center" vertical="center" wrapText="1"/>
    </xf>
    <xf numFmtId="10" fontId="2" fillId="0" borderId="38" xfId="208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44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0" fillId="2" borderId="36" xfId="0" applyNumberFormat="1" applyFont="1" applyFill="1" applyBorder="1" applyAlignment="1">
      <alignment horizontal="center" vertical="center"/>
    </xf>
    <xf numFmtId="164" fontId="0" fillId="2" borderId="62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44" xfId="0" applyNumberFormat="1" applyFont="1" applyFill="1" applyBorder="1" applyAlignment="1">
      <alignment horizontal="center" vertical="center" wrapText="1"/>
    </xf>
    <xf numFmtId="164" fontId="0" fillId="0" borderId="45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>
      <alignment horizontal="center" vertical="center" wrapText="1"/>
    </xf>
    <xf numFmtId="164" fontId="0" fillId="0" borderId="50" xfId="0" applyNumberFormat="1" applyFont="1" applyFill="1" applyBorder="1" applyAlignment="1">
      <alignment horizontal="center" vertical="center" wrapText="1"/>
    </xf>
    <xf numFmtId="171" fontId="30" fillId="0" borderId="46" xfId="1" applyNumberFormat="1" applyFont="1" applyFill="1" applyBorder="1" applyAlignment="1">
      <alignment horizontal="center" vertical="center"/>
    </xf>
    <xf numFmtId="171" fontId="30" fillId="0" borderId="51" xfId="1" applyNumberFormat="1" applyFont="1" applyFill="1" applyBorder="1" applyAlignment="1">
      <alignment horizontal="center" vertical="center"/>
    </xf>
    <xf numFmtId="171" fontId="30" fillId="0" borderId="63" xfId="1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5" xfId="200" applyFont="1" applyFill="1" applyBorder="1" applyAlignment="1">
      <alignment horizontal="center" vertical="center" wrapText="1"/>
    </xf>
    <xf numFmtId="0" fontId="36" fillId="33" borderId="45" xfId="41860" applyFont="1" applyFill="1" applyBorder="1" applyAlignment="1">
      <alignment horizontal="center" vertical="center" wrapText="1"/>
    </xf>
    <xf numFmtId="170" fontId="36" fillId="33" borderId="45" xfId="200" applyNumberFormat="1" applyFont="1" applyFill="1" applyBorder="1" applyAlignment="1">
      <alignment horizontal="center" vertical="center" wrapText="1"/>
    </xf>
    <xf numFmtId="10" fontId="36" fillId="33" borderId="45" xfId="200" applyNumberFormat="1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171" fontId="27" fillId="0" borderId="45" xfId="1" applyNumberFormat="1" applyFont="1" applyFill="1" applyBorder="1" applyAlignment="1">
      <alignment horizontal="center" vertical="center"/>
    </xf>
    <xf numFmtId="171" fontId="27" fillId="40" borderId="45" xfId="1" applyNumberFormat="1" applyFont="1" applyFill="1" applyBorder="1" applyAlignment="1">
      <alignment horizontal="center" vertical="center"/>
    </xf>
    <xf numFmtId="171" fontId="27" fillId="29" borderId="0" xfId="1" applyNumberFormat="1" applyFont="1" applyFill="1" applyBorder="1" applyAlignment="1">
      <alignment vertical="center"/>
    </xf>
    <xf numFmtId="0" fontId="30" fillId="40" borderId="45" xfId="0" applyFont="1" applyFill="1" applyBorder="1" applyAlignment="1">
      <alignment horizontal="center" vertical="center"/>
    </xf>
    <xf numFmtId="164" fontId="30" fillId="40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73" fontId="0" fillId="0" borderId="45" xfId="0" applyNumberFormat="1" applyFill="1" applyBorder="1" applyAlignment="1">
      <alignment horizontal="center" vertical="center"/>
    </xf>
    <xf numFmtId="164" fontId="0" fillId="2" borderId="6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2" borderId="53" xfId="0" applyNumberFormat="1" applyFont="1" applyFill="1" applyBorder="1" applyAlignment="1">
      <alignment horizontal="center" vertical="center"/>
    </xf>
    <xf numFmtId="171" fontId="32" fillId="0" borderId="65" xfId="1" applyNumberFormat="1" applyFont="1" applyFill="1" applyBorder="1" applyAlignment="1">
      <alignment horizontal="center" vertical="center"/>
    </xf>
    <xf numFmtId="171" fontId="30" fillId="0" borderId="52" xfId="1" applyNumberFormat="1" applyFont="1" applyFill="1" applyBorder="1" applyAlignment="1">
      <alignment horizontal="center" vertical="center"/>
    </xf>
    <xf numFmtId="164" fontId="0" fillId="2" borderId="56" xfId="0" applyNumberFormat="1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0" fillId="2" borderId="48" xfId="0" applyNumberFormat="1" applyFont="1" applyFill="1" applyBorder="1" applyAlignment="1">
      <alignment horizontal="center" vertical="center"/>
    </xf>
    <xf numFmtId="171" fontId="30" fillId="0" borderId="47" xfId="1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72" fontId="2" fillId="0" borderId="59" xfId="0" applyNumberFormat="1" applyFont="1" applyFill="1" applyBorder="1" applyAlignment="1">
      <alignment horizontal="center" vertical="center"/>
    </xf>
    <xf numFmtId="172" fontId="2" fillId="0" borderId="61" xfId="0" applyNumberFormat="1" applyFont="1" applyFill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7" xfId="0" applyNumberFormat="1" applyFont="1" applyFill="1" applyBorder="1" applyAlignment="1">
      <alignment horizontal="center" vertical="center"/>
    </xf>
    <xf numFmtId="172" fontId="2" fillId="0" borderId="36" xfId="0" applyNumberFormat="1" applyFont="1" applyFill="1" applyBorder="1" applyAlignment="1">
      <alignment horizontal="center" vertical="center"/>
    </xf>
    <xf numFmtId="172" fontId="2" fillId="0" borderId="51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172" fontId="2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 wrapText="1"/>
    </xf>
    <xf numFmtId="168" fontId="37" fillId="28" borderId="45" xfId="0" applyNumberFormat="1" applyFont="1" applyFill="1" applyBorder="1" applyAlignment="1">
      <alignment horizontal="center" vertical="center" wrapText="1"/>
    </xf>
    <xf numFmtId="164" fontId="37" fillId="28" borderId="45" xfId="0" applyNumberFormat="1" applyFont="1" applyFill="1" applyBorder="1" applyAlignment="1">
      <alignment horizontal="center" vertical="center" wrapText="1"/>
    </xf>
    <xf numFmtId="10" fontId="30" fillId="0" borderId="45" xfId="1" applyNumberFormat="1" applyFont="1" applyFill="1" applyBorder="1" applyAlignment="1">
      <alignment horizontal="center" vertical="center"/>
    </xf>
    <xf numFmtId="10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30" fillId="0" borderId="45" xfId="0" applyFont="1" applyFill="1" applyBorder="1" applyAlignment="1">
      <alignment horizontal="center" vertical="center"/>
    </xf>
    <xf numFmtId="14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4" fontId="0" fillId="0" borderId="74" xfId="0" applyNumberFormat="1" applyFont="1" applyFill="1" applyBorder="1" applyAlignment="1">
      <alignment horizontal="center" vertical="center"/>
    </xf>
    <xf numFmtId="164" fontId="2" fillId="0" borderId="3" xfId="158" applyNumberFormat="1" applyFont="1" applyFill="1" applyBorder="1" applyAlignment="1">
      <alignment horizontal="center" vertical="center"/>
    </xf>
    <xf numFmtId="164" fontId="2" fillId="0" borderId="45" xfId="158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43" fillId="0" borderId="45" xfId="41709" applyNumberFormat="1" applyFont="1" applyFill="1" applyBorder="1" applyAlignment="1">
      <alignment horizontal="center" vertical="center" wrapText="1"/>
    </xf>
    <xf numFmtId="0" fontId="0" fillId="30" borderId="2" xfId="0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40" fillId="28" borderId="19" xfId="0" applyFont="1" applyFill="1" applyBorder="1" applyAlignment="1">
      <alignment horizontal="center"/>
    </xf>
    <xf numFmtId="0" fontId="40" fillId="28" borderId="6" xfId="0" applyFont="1" applyFill="1" applyBorder="1" applyAlignment="1">
      <alignment horizontal="center"/>
    </xf>
    <xf numFmtId="0" fontId="40" fillId="28" borderId="23" xfId="0" applyFont="1" applyFill="1" applyBorder="1" applyAlignment="1">
      <alignment horizontal="center"/>
    </xf>
    <xf numFmtId="0" fontId="32" fillId="34" borderId="45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69" fontId="37" fillId="28" borderId="19" xfId="0" applyNumberFormat="1" applyFont="1" applyFill="1" applyBorder="1" applyAlignment="1">
      <alignment horizontal="center" vertical="center"/>
    </xf>
    <xf numFmtId="169" fontId="37" fillId="28" borderId="6" xfId="0" applyNumberFormat="1" applyFont="1" applyFill="1" applyBorder="1" applyAlignment="1">
      <alignment horizontal="center" vertical="center"/>
    </xf>
    <xf numFmtId="169" fontId="37" fillId="28" borderId="23" xfId="0" applyNumberFormat="1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/>
    </xf>
    <xf numFmtId="0" fontId="37" fillId="28" borderId="21" xfId="0" applyFont="1" applyFill="1" applyBorder="1" applyAlignment="1">
      <alignment horizontal="center"/>
    </xf>
    <xf numFmtId="0" fontId="37" fillId="28" borderId="22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vertical="center" wrapText="1"/>
    </xf>
    <xf numFmtId="0" fontId="30" fillId="34" borderId="45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left" vertical="center" wrapText="1"/>
    </xf>
    <xf numFmtId="0" fontId="30" fillId="30" borderId="46" xfId="0" applyFont="1" applyFill="1" applyBorder="1" applyAlignment="1">
      <alignment horizontal="left" vertical="center" wrapText="1"/>
    </xf>
    <xf numFmtId="0" fontId="30" fillId="30" borderId="36" xfId="0" applyFont="1" applyFill="1" applyBorder="1" applyAlignment="1">
      <alignment horizontal="left" vertical="center"/>
    </xf>
    <xf numFmtId="0" fontId="30" fillId="30" borderId="51" xfId="0" applyFont="1" applyFill="1" applyBorder="1" applyAlignment="1">
      <alignment horizontal="left" vertical="center"/>
    </xf>
    <xf numFmtId="171" fontId="30" fillId="0" borderId="63" xfId="1" applyNumberFormat="1" applyFont="1" applyFill="1" applyBorder="1" applyAlignment="1">
      <alignment horizontal="center" vertical="center"/>
    </xf>
    <xf numFmtId="171" fontId="30" fillId="0" borderId="46" xfId="1" applyNumberFormat="1" applyFont="1" applyFill="1" applyBorder="1" applyAlignment="1">
      <alignment horizontal="center" vertical="center"/>
    </xf>
    <xf numFmtId="171" fontId="30" fillId="0" borderId="51" xfId="1" applyNumberFormat="1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0" fontId="30" fillId="30" borderId="62" xfId="0" applyFont="1" applyFill="1" applyBorder="1" applyAlignment="1">
      <alignment horizontal="left" vertical="center" wrapText="1"/>
    </xf>
    <xf numFmtId="0" fontId="30" fillId="30" borderId="63" xfId="0" applyFont="1" applyFill="1" applyBorder="1" applyAlignment="1">
      <alignment horizontal="left" vertical="center" wrapText="1"/>
    </xf>
    <xf numFmtId="3" fontId="2" fillId="31" borderId="12" xfId="0" applyNumberFormat="1" applyFont="1" applyFill="1" applyBorder="1" applyAlignment="1">
      <alignment horizontal="center" vertical="center"/>
    </xf>
    <xf numFmtId="3" fontId="2" fillId="31" borderId="2" xfId="0" applyNumberFormat="1" applyFont="1" applyFill="1" applyBorder="1" applyAlignment="1">
      <alignment horizontal="center" vertical="center"/>
    </xf>
    <xf numFmtId="3" fontId="2" fillId="31" borderId="50" xfId="0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0" borderId="5" xfId="1" applyFont="1" applyFill="1" applyBorder="1" applyAlignment="1">
      <alignment horizontal="center" vertical="center"/>
    </xf>
    <xf numFmtId="9" fontId="32" fillId="0" borderId="51" xfId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7" xfId="0" applyFont="1" applyFill="1" applyBorder="1" applyAlignment="1">
      <alignment horizontal="center" vertical="center"/>
    </xf>
    <xf numFmtId="0" fontId="30" fillId="30" borderId="37" xfId="0" applyFont="1" applyFill="1" applyBorder="1" applyAlignment="1">
      <alignment horizontal="left" vertical="center" wrapText="1"/>
    </xf>
    <xf numFmtId="0" fontId="30" fillId="30" borderId="71" xfId="0" applyFont="1" applyFill="1" applyBorder="1" applyAlignment="1">
      <alignment horizontal="left" vertical="center" wrapText="1"/>
    </xf>
    <xf numFmtId="0" fontId="30" fillId="30" borderId="70" xfId="0" applyFont="1" applyFill="1" applyBorder="1" applyAlignment="1">
      <alignment horizontal="left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64" fontId="0" fillId="31" borderId="66" xfId="0" applyNumberFormat="1" applyFont="1" applyFill="1" applyBorder="1" applyAlignment="1">
      <alignment horizontal="center" vertical="center"/>
    </xf>
    <xf numFmtId="164" fontId="0" fillId="31" borderId="53" xfId="0" applyNumberFormat="1" applyFont="1" applyFill="1" applyBorder="1" applyAlignment="1">
      <alignment horizontal="center" vertical="center"/>
    </xf>
    <xf numFmtId="164" fontId="0" fillId="31" borderId="48" xfId="0" applyNumberFormat="1" applyFont="1" applyFill="1" applyBorder="1" applyAlignment="1">
      <alignment horizontal="center" vertical="center"/>
    </xf>
    <xf numFmtId="164" fontId="0" fillId="31" borderId="3" xfId="0" applyNumberFormat="1" applyFont="1" applyFill="1" applyBorder="1" applyAlignment="1">
      <alignment horizontal="center" vertical="center"/>
    </xf>
    <xf numFmtId="164" fontId="0" fillId="31" borderId="45" xfId="0" applyNumberFormat="1" applyFont="1" applyFill="1" applyBorder="1" applyAlignment="1">
      <alignment horizontal="center" vertical="center"/>
    </xf>
    <xf numFmtId="164" fontId="0" fillId="31" borderId="50" xfId="0" applyNumberFormat="1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 wrapText="1"/>
    </xf>
    <xf numFmtId="0" fontId="2" fillId="30" borderId="76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44" xfId="0" applyFont="1" applyFill="1" applyBorder="1" applyAlignment="1">
      <alignment horizontal="center" vertical="center"/>
    </xf>
    <xf numFmtId="0" fontId="44" fillId="28" borderId="45" xfId="0" applyFont="1" applyFill="1" applyBorder="1" applyAlignment="1">
      <alignment horizontal="center" vertical="center"/>
    </xf>
    <xf numFmtId="0" fontId="44" fillId="28" borderId="36" xfId="0" applyFont="1" applyFill="1" applyBorder="1" applyAlignment="1">
      <alignment horizontal="center" vertical="center"/>
    </xf>
    <xf numFmtId="0" fontId="44" fillId="28" borderId="50" xfId="0" applyFont="1" applyFill="1" applyBorder="1" applyAlignment="1">
      <alignment horizontal="center" vertical="center"/>
    </xf>
    <xf numFmtId="0" fontId="44" fillId="28" borderId="7" xfId="0" applyFont="1" applyFill="1" applyBorder="1" applyAlignment="1">
      <alignment horizontal="center" vertical="center"/>
    </xf>
    <xf numFmtId="0" fontId="44" fillId="28" borderId="46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1" fontId="0" fillId="31" borderId="7" xfId="0" applyNumberFormat="1" applyFont="1" applyFill="1" applyBorder="1" applyAlignment="1">
      <alignment horizontal="center" vertical="center"/>
    </xf>
    <xf numFmtId="1" fontId="0" fillId="31" borderId="51" xfId="0" applyNumberFormat="1" applyFont="1" applyFill="1" applyBorder="1" applyAlignment="1">
      <alignment horizontal="center" vertical="center"/>
    </xf>
    <xf numFmtId="9" fontId="30" fillId="0" borderId="39" xfId="1" applyFont="1" applyFill="1" applyBorder="1" applyAlignment="1">
      <alignment horizontal="center" vertical="center"/>
    </xf>
    <xf numFmtId="9" fontId="30" fillId="0" borderId="49" xfId="1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left" vertical="center" wrapText="1"/>
    </xf>
    <xf numFmtId="165" fontId="0" fillId="31" borderId="66" xfId="0" applyNumberFormat="1" applyFont="1" applyFill="1" applyBorder="1" applyAlignment="1">
      <alignment horizontal="center" vertical="center"/>
    </xf>
    <xf numFmtId="165" fontId="0" fillId="31" borderId="53" xfId="0" applyNumberFormat="1" applyFont="1" applyFill="1" applyBorder="1" applyAlignment="1">
      <alignment horizontal="center" vertical="center"/>
    </xf>
    <xf numFmtId="165" fontId="0" fillId="31" borderId="3" xfId="0" applyNumberFormat="1" applyFont="1" applyFill="1" applyBorder="1" applyAlignment="1">
      <alignment horizontal="center" vertical="center"/>
    </xf>
    <xf numFmtId="165" fontId="0" fillId="31" borderId="45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1" fontId="0" fillId="31" borderId="12" xfId="0" applyNumberFormat="1" applyFont="1" applyFill="1" applyBorder="1" applyAlignment="1">
      <alignment horizontal="center" vertical="center"/>
    </xf>
    <xf numFmtId="1" fontId="0" fillId="31" borderId="50" xfId="0" applyNumberFormat="1" applyFont="1" applyFill="1" applyBorder="1" applyAlignment="1">
      <alignment horizontal="center" vertical="center"/>
    </xf>
    <xf numFmtId="14" fontId="41" fillId="28" borderId="68" xfId="0" applyNumberFormat="1" applyFont="1" applyFill="1" applyBorder="1" applyAlignment="1">
      <alignment horizontal="center" vertical="center" wrapText="1"/>
    </xf>
    <xf numFmtId="14" fontId="41" fillId="28" borderId="70" xfId="0" applyNumberFormat="1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4" fontId="41" fillId="28" borderId="50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48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164" fontId="30" fillId="31" borderId="44" xfId="0" applyNumberFormat="1" applyFont="1" applyFill="1" applyBorder="1" applyAlignment="1">
      <alignment horizontal="center" vertical="center"/>
    </xf>
    <xf numFmtId="164" fontId="30" fillId="31" borderId="36" xfId="0" applyNumberFormat="1" applyFont="1" applyFill="1" applyBorder="1" applyAlignment="1">
      <alignment horizontal="center" vertical="center"/>
    </xf>
    <xf numFmtId="164" fontId="30" fillId="31" borderId="45" xfId="0" applyNumberFormat="1" applyFont="1" applyFill="1" applyBorder="1" applyAlignment="1">
      <alignment horizontal="center" vertical="center"/>
    </xf>
    <xf numFmtId="164" fontId="30" fillId="31" borderId="50" xfId="0" applyNumberFormat="1" applyFont="1" applyFill="1" applyBorder="1" applyAlignment="1">
      <alignment horizontal="center" vertical="center"/>
    </xf>
    <xf numFmtId="164" fontId="30" fillId="31" borderId="3" xfId="0" applyNumberFormat="1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64" fontId="30" fillId="31" borderId="62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9" fontId="30" fillId="0" borderId="7" xfId="1" applyFont="1" applyFill="1" applyBorder="1" applyAlignment="1">
      <alignment horizontal="center" vertical="center"/>
    </xf>
    <xf numFmtId="9" fontId="30" fillId="0" borderId="51" xfId="1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30" fillId="30" borderId="8" xfId="0" applyFont="1" applyFill="1" applyBorder="1" applyAlignment="1">
      <alignment horizontal="left" vertical="center" wrapText="1"/>
    </xf>
    <xf numFmtId="0" fontId="30" fillId="30" borderId="10" xfId="0" applyFont="1" applyFill="1" applyBorder="1" applyAlignment="1">
      <alignment horizontal="left" vertical="center" wrapText="1"/>
    </xf>
    <xf numFmtId="164" fontId="0" fillId="31" borderId="15" xfId="0" applyNumberFormat="1" applyFont="1" applyFill="1" applyBorder="1" applyAlignment="1">
      <alignment horizontal="center" vertical="center"/>
    </xf>
    <xf numFmtId="164" fontId="0" fillId="31" borderId="12" xfId="0" applyNumberFormat="1" applyFont="1" applyFill="1" applyBorder="1" applyAlignment="1">
      <alignment horizontal="center" vertical="center"/>
    </xf>
    <xf numFmtId="0" fontId="41" fillId="28" borderId="70" xfId="0" applyFont="1" applyFill="1" applyBorder="1" applyAlignment="1">
      <alignment horizontal="center" vertical="center" wrapText="1"/>
    </xf>
    <xf numFmtId="2" fontId="34" fillId="28" borderId="20" xfId="0" applyNumberFormat="1" applyFont="1" applyFill="1" applyBorder="1" applyAlignment="1">
      <alignment horizontal="center" vertical="center"/>
    </xf>
    <xf numFmtId="2" fontId="34" fillId="28" borderId="21" xfId="0" applyNumberFormat="1" applyFont="1" applyFill="1" applyBorder="1" applyAlignment="1">
      <alignment horizontal="center" vertical="center"/>
    </xf>
    <xf numFmtId="2" fontId="34" fillId="28" borderId="22" xfId="0" applyNumberFormat="1" applyFont="1" applyFill="1" applyBorder="1" applyAlignment="1">
      <alignment horizontal="center" vertical="center"/>
    </xf>
    <xf numFmtId="14" fontId="41" fillId="28" borderId="73" xfId="0" applyNumberFormat="1" applyFont="1" applyFill="1" applyBorder="1" applyAlignment="1">
      <alignment horizontal="center" vertical="center" wrapText="1"/>
    </xf>
    <xf numFmtId="14" fontId="41" fillId="28" borderId="74" xfId="0" applyNumberFormat="1" applyFont="1" applyFill="1" applyBorder="1" applyAlignment="1">
      <alignment horizontal="center" vertical="center" wrapText="1"/>
    </xf>
    <xf numFmtId="0" fontId="41" fillId="28" borderId="7" xfId="0" applyFont="1" applyFill="1" applyBorder="1" applyAlignment="1">
      <alignment horizontal="center" vertical="center" wrapText="1"/>
    </xf>
    <xf numFmtId="0" fontId="41" fillId="28" borderId="51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 wrapText="1"/>
    </xf>
    <xf numFmtId="171" fontId="30" fillId="0" borderId="7" xfId="1" applyNumberFormat="1" applyFont="1" applyFill="1" applyBorder="1" applyAlignment="1">
      <alignment horizontal="center" vertical="center"/>
    </xf>
    <xf numFmtId="165" fontId="0" fillId="31" borderId="56" xfId="0" applyNumberFormat="1" applyFont="1" applyFill="1" applyBorder="1" applyAlignment="1">
      <alignment horizontal="center" vertical="center"/>
    </xf>
    <xf numFmtId="165" fontId="0" fillId="31" borderId="48" xfId="0" applyNumberFormat="1" applyFont="1" applyFill="1" applyBorder="1" applyAlignment="1">
      <alignment horizontal="center" vertical="center"/>
    </xf>
    <xf numFmtId="165" fontId="0" fillId="31" borderId="54" xfId="0" applyNumberFormat="1" applyFont="1" applyFill="1" applyBorder="1" applyAlignment="1">
      <alignment horizontal="center" vertical="center"/>
    </xf>
    <xf numFmtId="165" fontId="0" fillId="31" borderId="50" xfId="0" applyNumberFormat="1" applyFont="1" applyFill="1" applyBorder="1" applyAlignment="1">
      <alignment horizontal="center" vertical="center"/>
    </xf>
    <xf numFmtId="171" fontId="30" fillId="0" borderId="77" xfId="1" applyNumberFormat="1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 wrapText="1"/>
    </xf>
    <xf numFmtId="171" fontId="27" fillId="0" borderId="45" xfId="1" applyNumberFormat="1" applyFont="1" applyFill="1" applyBorder="1" applyAlignment="1">
      <alignment horizontal="center" vertical="center"/>
    </xf>
    <xf numFmtId="164" fontId="0" fillId="27" borderId="45" xfId="0" applyNumberForma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 textRotation="90" wrapText="1"/>
    </xf>
    <xf numFmtId="0" fontId="33" fillId="26" borderId="2" xfId="0" applyFont="1" applyFill="1" applyBorder="1" applyAlignment="1">
      <alignment horizontal="center" vertical="center" textRotation="90" wrapText="1"/>
    </xf>
    <xf numFmtId="0" fontId="33" fillId="26" borderId="3" xfId="0" applyFont="1" applyFill="1" applyBorder="1" applyAlignment="1">
      <alignment horizontal="center" vertical="center" textRotation="90" wrapText="1"/>
    </xf>
    <xf numFmtId="0" fontId="30" fillId="40" borderId="52" xfId="0" applyFont="1" applyFill="1" applyBorder="1" applyAlignment="1">
      <alignment horizontal="center" vertical="center" wrapText="1"/>
    </xf>
    <xf numFmtId="0" fontId="30" fillId="40" borderId="53" xfId="0" applyFont="1" applyFill="1" applyBorder="1" applyAlignment="1">
      <alignment horizontal="center" vertical="center" wrapText="1"/>
    </xf>
    <xf numFmtId="0" fontId="0" fillId="26" borderId="54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6" fillId="33" borderId="45" xfId="193" applyFont="1" applyFill="1" applyBorder="1" applyAlignment="1">
      <alignment horizontal="center" vertical="center" wrapText="1"/>
    </xf>
    <xf numFmtId="0" fontId="36" fillId="33" borderId="45" xfId="194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left" vertical="center" wrapText="1"/>
    </xf>
    <xf numFmtId="0" fontId="35" fillId="33" borderId="45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 textRotation="90" wrapText="1"/>
    </xf>
    <xf numFmtId="0" fontId="30" fillId="40" borderId="45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9" fontId="34" fillId="28" borderId="20" xfId="0" applyNumberFormat="1" applyFont="1" applyFill="1" applyBorder="1" applyAlignment="1">
      <alignment horizontal="center" vertical="center"/>
    </xf>
    <xf numFmtId="169" fontId="34" fillId="28" borderId="21" xfId="0" applyNumberFormat="1" applyFont="1" applyFill="1" applyBorder="1" applyAlignment="1">
      <alignment horizontal="center" vertical="center"/>
    </xf>
    <xf numFmtId="169" fontId="34" fillId="28" borderId="22" xfId="0" applyNumberFormat="1" applyFont="1" applyFill="1" applyBorder="1" applyAlignment="1">
      <alignment horizontal="center" vertical="center"/>
    </xf>
    <xf numFmtId="169" fontId="42" fillId="28" borderId="19" xfId="0" applyNumberFormat="1" applyFont="1" applyFill="1" applyBorder="1" applyAlignment="1">
      <alignment horizontal="center" vertical="center"/>
    </xf>
    <xf numFmtId="169" fontId="42" fillId="28" borderId="6" xfId="0" applyNumberFormat="1" applyFont="1" applyFill="1" applyBorder="1" applyAlignment="1">
      <alignment horizontal="center" vertical="center"/>
    </xf>
    <xf numFmtId="169" fontId="42" fillId="28" borderId="23" xfId="0" applyNumberFormat="1" applyFont="1" applyFill="1" applyBorder="1" applyAlignment="1">
      <alignment horizontal="center" vertical="center"/>
    </xf>
    <xf numFmtId="3" fontId="41" fillId="35" borderId="17" xfId="0" applyNumberFormat="1" applyFont="1" applyFill="1" applyBorder="1" applyAlignment="1">
      <alignment horizontal="center" vertical="center" wrapText="1"/>
    </xf>
    <xf numFmtId="3" fontId="41" fillId="35" borderId="58" xfId="0" applyNumberFormat="1" applyFont="1" applyFill="1" applyBorder="1" applyAlignment="1">
      <alignment horizontal="center" vertical="center" wrapText="1"/>
    </xf>
    <xf numFmtId="3" fontId="41" fillId="35" borderId="68" xfId="0" applyNumberFormat="1" applyFont="1" applyFill="1" applyBorder="1" applyAlignment="1">
      <alignment horizontal="center" vertical="center" wrapText="1"/>
    </xf>
    <xf numFmtId="3" fontId="41" fillId="35" borderId="70" xfId="0" applyNumberFormat="1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3" fontId="41" fillId="35" borderId="11" xfId="0" applyNumberFormat="1" applyFont="1" applyFill="1" applyBorder="1" applyAlignment="1">
      <alignment horizontal="center" vertical="center" wrapText="1"/>
    </xf>
    <xf numFmtId="3" fontId="41" fillId="35" borderId="36" xfId="0" applyNumberFormat="1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/>
    </xf>
    <xf numFmtId="0" fontId="41" fillId="35" borderId="7" xfId="0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 wrapText="1"/>
    </xf>
    <xf numFmtId="0" fontId="41" fillId="35" borderId="8" xfId="0" applyFont="1" applyFill="1" applyBorder="1" applyAlignment="1">
      <alignment horizontal="center" vertical="center" wrapText="1"/>
    </xf>
    <xf numFmtId="3" fontId="41" fillId="35" borderId="9" xfId="0" applyNumberFormat="1" applyFont="1" applyFill="1" applyBorder="1" applyAlignment="1">
      <alignment horizontal="center" vertical="center"/>
    </xf>
    <xf numFmtId="3" fontId="41" fillId="35" borderId="8" xfId="0" applyNumberFormat="1" applyFont="1" applyFill="1" applyBorder="1" applyAlignment="1">
      <alignment horizontal="center" vertical="center"/>
    </xf>
    <xf numFmtId="3" fontId="41" fillId="35" borderId="69" xfId="0" applyNumberFormat="1" applyFont="1" applyFill="1" applyBorder="1" applyAlignment="1">
      <alignment horizontal="center" vertical="center" wrapText="1"/>
    </xf>
    <xf numFmtId="3" fontId="41" fillId="35" borderId="39" xfId="0" applyNumberFormat="1" applyFont="1" applyFill="1" applyBorder="1" applyAlignment="1">
      <alignment horizontal="center" vertical="center" wrapText="1"/>
    </xf>
    <xf numFmtId="3" fontId="41" fillId="35" borderId="57" xfId="0" applyNumberFormat="1" applyFont="1" applyFill="1" applyBorder="1" applyAlignment="1">
      <alignment horizontal="center" vertical="center" wrapText="1"/>
    </xf>
    <xf numFmtId="3" fontId="41" fillId="35" borderId="7" xfId="0" applyNumberFormat="1" applyFont="1" applyFill="1" applyBorder="1" applyAlignment="1">
      <alignment horizontal="center" vertical="center" wrapText="1"/>
    </xf>
    <xf numFmtId="3" fontId="41" fillId="35" borderId="51" xfId="0" applyNumberFormat="1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center"/>
    </xf>
    <xf numFmtId="0" fontId="30" fillId="36" borderId="22" xfId="0" applyFont="1" applyFill="1" applyBorder="1" applyAlignment="1">
      <alignment horizontal="center"/>
    </xf>
    <xf numFmtId="169" fontId="30" fillId="36" borderId="19" xfId="0" applyNumberFormat="1" applyFont="1" applyFill="1" applyBorder="1" applyAlignment="1">
      <alignment horizontal="center"/>
    </xf>
    <xf numFmtId="169" fontId="30" fillId="36" borderId="6" xfId="0" applyNumberFormat="1" applyFont="1" applyFill="1" applyBorder="1" applyAlignment="1">
      <alignment horizontal="center"/>
    </xf>
    <xf numFmtId="169" fontId="30" fillId="36" borderId="23" xfId="0" applyNumberFormat="1" applyFont="1" applyFill="1" applyBorder="1" applyAlignment="1">
      <alignment horizontal="center"/>
    </xf>
    <xf numFmtId="14" fontId="0" fillId="39" borderId="46" xfId="0" applyNumberForma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14" fontId="0" fillId="38" borderId="5" xfId="0" applyNumberFormat="1" applyFill="1" applyBorder="1" applyAlignment="1">
      <alignment horizontal="center" vertical="center"/>
    </xf>
    <xf numFmtId="14" fontId="0" fillId="38" borderId="63" xfId="0" applyNumberFormat="1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63" xfId="0" applyNumberFormat="1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3" xfId="1" applyFont="1" applyBorder="1" applyAlignment="1">
      <alignment horizontal="center" vertical="center"/>
    </xf>
    <xf numFmtId="0" fontId="30" fillId="0" borderId="45" xfId="0" applyFont="1" applyFill="1" applyBorder="1" applyAlignment="1">
      <alignment horizontal="left" vertical="center" wrapText="1"/>
    </xf>
    <xf numFmtId="172" fontId="2" fillId="0" borderId="45" xfId="0" applyNumberFormat="1" applyFont="1" applyFill="1" applyBorder="1" applyAlignment="1">
      <alignment horizontal="center" vertical="center" wrapText="1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" xfId="41860" builtinId="26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 2" xfId="5"/>
    <cellStyle name="Porcentaje 3" xfId="6"/>
    <cellStyle name="Porcentual" xfId="1" builtinId="5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1:I26"/>
  <sheetViews>
    <sheetView showGridLines="0" tabSelected="1" zoomScale="93" zoomScaleNormal="93" workbookViewId="0">
      <selection activeCell="G24" activeCellId="2" sqref="G6:G17 C6:C17 G24:G26"/>
    </sheetView>
  </sheetViews>
  <sheetFormatPr baseColWidth="10" defaultColWidth="11.42578125" defaultRowHeight="15"/>
  <cols>
    <col min="1" max="1" width="28.42578125" style="1" customWidth="1"/>
    <col min="2" max="2" width="21.7109375" style="1" customWidth="1"/>
    <col min="3" max="3" width="35" style="1" customWidth="1"/>
    <col min="4" max="4" width="16.28515625" style="1" customWidth="1"/>
    <col min="5" max="5" width="13.85546875" style="1" bestFit="1" customWidth="1"/>
    <col min="6" max="8" width="11.42578125" style="1"/>
    <col min="9" max="9" width="10" style="1" bestFit="1" customWidth="1"/>
    <col min="10" max="16384" width="11.42578125" style="1"/>
  </cols>
  <sheetData>
    <row r="1" spans="2:9" ht="15.75" thickBot="1"/>
    <row r="2" spans="2:9" ht="16.899999999999999" customHeight="1">
      <c r="B2" s="303" t="s">
        <v>207</v>
      </c>
      <c r="C2" s="304"/>
      <c r="D2" s="304"/>
      <c r="E2" s="304"/>
      <c r="F2" s="304"/>
      <c r="G2" s="304"/>
      <c r="H2" s="304"/>
      <c r="I2" s="305"/>
    </row>
    <row r="3" spans="2:9" ht="16.899999999999999" customHeight="1" thickBot="1">
      <c r="B3" s="306">
        <v>43508</v>
      </c>
      <c r="C3" s="307"/>
      <c r="D3" s="307"/>
      <c r="E3" s="307"/>
      <c r="F3" s="307"/>
      <c r="G3" s="307"/>
      <c r="H3" s="307"/>
      <c r="I3" s="308"/>
    </row>
    <row r="4" spans="2:9" ht="15.75" customHeight="1">
      <c r="B4" s="17"/>
      <c r="C4" s="17"/>
      <c r="D4" s="17"/>
      <c r="E4" s="17"/>
      <c r="F4" s="17"/>
      <c r="G4" s="17"/>
      <c r="H4" s="17"/>
      <c r="I4" s="17"/>
    </row>
    <row r="5" spans="2:9" ht="31.5">
      <c r="B5" s="278" t="s">
        <v>113</v>
      </c>
      <c r="C5" s="278" t="s">
        <v>1</v>
      </c>
      <c r="D5" s="279" t="s">
        <v>4</v>
      </c>
      <c r="E5" s="280" t="s">
        <v>5</v>
      </c>
      <c r="F5" s="278" t="s">
        <v>6</v>
      </c>
      <c r="G5" s="278" t="s">
        <v>7</v>
      </c>
      <c r="H5" s="278" t="s">
        <v>8</v>
      </c>
      <c r="I5" s="278" t="s">
        <v>9</v>
      </c>
    </row>
    <row r="6" spans="2:9">
      <c r="B6" s="302" t="s">
        <v>106</v>
      </c>
      <c r="C6" s="504" t="s">
        <v>53</v>
      </c>
      <c r="D6" s="126">
        <f>'Resumen Periodo Congrio dorado'!E7+'Resumen Periodo Congrio dorado'!E8</f>
        <v>202.46100000000001</v>
      </c>
      <c r="E6" s="126">
        <f>'Resumen Periodo Congrio dorado'!F7+'Resumen Periodo Congrio dorado'!F8</f>
        <v>0</v>
      </c>
      <c r="F6" s="133">
        <f>D6+E6</f>
        <v>202.46100000000001</v>
      </c>
      <c r="G6" s="126">
        <f>'Resumen Periodo Congrio dorado'!H7+'Resumen Periodo Congrio dorado'!H8</f>
        <v>63.717999999999996</v>
      </c>
      <c r="H6" s="133">
        <f t="shared" ref="H6:H15" si="0">F6-G6</f>
        <v>138.74300000000002</v>
      </c>
      <c r="I6" s="281">
        <f>G6/F6</f>
        <v>0.31471740236391205</v>
      </c>
    </row>
    <row r="7" spans="2:9" ht="18" customHeight="1">
      <c r="B7" s="302"/>
      <c r="C7" s="504" t="s">
        <v>55</v>
      </c>
      <c r="D7" s="133">
        <f>'Resumen Periodo Congrio dorado'!E10+'Resumen Periodo Congrio dorado'!E11</f>
        <v>134.56</v>
      </c>
      <c r="E7" s="133">
        <f>'Resumen Periodo Congrio dorado'!F10+'Resumen Periodo Congrio dorado'!F11</f>
        <v>0</v>
      </c>
      <c r="F7" s="133">
        <f t="shared" ref="F7:F17" si="1">D7+E7</f>
        <v>134.56</v>
      </c>
      <c r="G7" s="133">
        <f>'Resumen Periodo Congrio dorado'!H10+'Resumen Periodo Congrio dorado'!H11</f>
        <v>40.612000000000002</v>
      </c>
      <c r="H7" s="133">
        <f t="shared" si="0"/>
        <v>93.948000000000008</v>
      </c>
      <c r="I7" s="281">
        <f t="shared" ref="I7:I10" si="2">G7/F7</f>
        <v>0.30181331747919143</v>
      </c>
    </row>
    <row r="8" spans="2:9" ht="18" customHeight="1">
      <c r="B8" s="302"/>
      <c r="C8" s="504" t="s">
        <v>56</v>
      </c>
      <c r="D8" s="126">
        <f>'Resumen Periodo Congrio dorado'!E13+'Resumen Periodo Congrio dorado'!E14</f>
        <v>144.19999999999999</v>
      </c>
      <c r="E8" s="126">
        <f>'Resumen Periodo Congrio dorado'!F13+'Resumen Periodo Congrio dorado'!F14</f>
        <v>0</v>
      </c>
      <c r="F8" s="133">
        <f t="shared" si="1"/>
        <v>144.19999999999999</v>
      </c>
      <c r="G8" s="126">
        <f>'Resumen Periodo Congrio dorado'!H13+'Resumen Periodo Congrio dorado'!H14</f>
        <v>84.3</v>
      </c>
      <c r="H8" s="133">
        <f t="shared" si="0"/>
        <v>59.899999999999991</v>
      </c>
      <c r="I8" s="281">
        <f t="shared" si="2"/>
        <v>0.58460471567267691</v>
      </c>
    </row>
    <row r="9" spans="2:9" ht="18" customHeight="1">
      <c r="B9" s="302"/>
      <c r="C9" s="504" t="s">
        <v>57</v>
      </c>
      <c r="D9" s="133">
        <f>SUM('Resumen Periodo Congrio dorado'!E16+'Resumen Periodo Congrio dorado'!E17+'Resumen Periodo Congrio dorado'!E18)</f>
        <v>12.5</v>
      </c>
      <c r="E9" s="133">
        <f>'Resumen Periodo Congrio dorado'!F16+'Resumen Periodo Congrio dorado'!F18</f>
        <v>0</v>
      </c>
      <c r="F9" s="133">
        <f t="shared" si="1"/>
        <v>12.5</v>
      </c>
      <c r="G9" s="133">
        <f>'Resumen Periodo Congrio dorado'!H16+'Resumen Periodo Congrio dorado'!H18</f>
        <v>0</v>
      </c>
      <c r="H9" s="133">
        <f t="shared" si="0"/>
        <v>12.5</v>
      </c>
      <c r="I9" s="281">
        <f t="shared" si="2"/>
        <v>0</v>
      </c>
    </row>
    <row r="10" spans="2:9" ht="18" customHeight="1">
      <c r="B10" s="302"/>
      <c r="C10" s="504" t="s">
        <v>52</v>
      </c>
      <c r="D10" s="126">
        <f>SUM('Resumen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dorado'!E31)</f>
        <v>112.5</v>
      </c>
      <c r="E10" s="126">
        <f>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dorado'!F31+'Resumen Periodo Congrio dorado'!F32</f>
        <v>0</v>
      </c>
      <c r="F10" s="133">
        <f t="shared" si="1"/>
        <v>112.5</v>
      </c>
      <c r="G10" s="126">
        <f>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dorado'!H31+'Resumen Periodo Congrio dorado'!H32</f>
        <v>5.9940000000000007</v>
      </c>
      <c r="H10" s="133">
        <f t="shared" si="0"/>
        <v>106.506</v>
      </c>
      <c r="I10" s="281">
        <f t="shared" si="2"/>
        <v>5.3280000000000008E-2</v>
      </c>
    </row>
    <row r="11" spans="2:9" ht="18" customHeight="1">
      <c r="B11" s="302"/>
      <c r="C11" s="504" t="s">
        <v>108</v>
      </c>
      <c r="D11" s="133">
        <f>'Resumen Periodo Congrio dorado'!E9</f>
        <v>22</v>
      </c>
      <c r="E11" s="133">
        <f>'Resumen Periodo Congrio dorado'!F9</f>
        <v>0</v>
      </c>
      <c r="F11" s="133">
        <f t="shared" si="1"/>
        <v>22</v>
      </c>
      <c r="G11" s="133">
        <f>'Resumen Periodo Congrio dorado'!H9</f>
        <v>0.188</v>
      </c>
      <c r="H11" s="133">
        <f t="shared" si="0"/>
        <v>21.812000000000001</v>
      </c>
      <c r="I11" s="282">
        <f t="shared" ref="I11:I17" si="3">G11/F11</f>
        <v>8.5454545454545453E-3</v>
      </c>
    </row>
    <row r="12" spans="2:9" ht="18" customHeight="1">
      <c r="B12" s="302"/>
      <c r="C12" s="504" t="s">
        <v>109</v>
      </c>
      <c r="D12" s="126">
        <f>'Resumen Periodo Congrio dorado'!E12</f>
        <v>15</v>
      </c>
      <c r="E12" s="126">
        <f>'Resumen Periodo Congrio dorado'!F12</f>
        <v>0</v>
      </c>
      <c r="F12" s="133">
        <f t="shared" si="1"/>
        <v>15</v>
      </c>
      <c r="G12" s="126">
        <f>'Resumen Periodo Congrio dorado'!H12</f>
        <v>0</v>
      </c>
      <c r="H12" s="133">
        <f t="shared" si="0"/>
        <v>15</v>
      </c>
      <c r="I12" s="281">
        <f t="shared" si="3"/>
        <v>0</v>
      </c>
    </row>
    <row r="13" spans="2:9" ht="18" customHeight="1">
      <c r="B13" s="302"/>
      <c r="C13" s="504" t="s">
        <v>110</v>
      </c>
      <c r="D13" s="133">
        <f>'Resumen Periodo Congrio dorado'!E15</f>
        <v>16</v>
      </c>
      <c r="E13" s="133">
        <f>'Resumen Periodo Congrio dorado'!F15</f>
        <v>0</v>
      </c>
      <c r="F13" s="133">
        <f t="shared" si="1"/>
        <v>16</v>
      </c>
      <c r="G13" s="133">
        <f>'Resumen Periodo Congrio dorado'!H15</f>
        <v>0.626</v>
      </c>
      <c r="H13" s="133">
        <f t="shared" si="0"/>
        <v>15.374000000000001</v>
      </c>
      <c r="I13" s="281">
        <f t="shared" si="3"/>
        <v>3.9125E-2</v>
      </c>
    </row>
    <row r="14" spans="2:9" ht="18" customHeight="1">
      <c r="B14" s="302"/>
      <c r="C14" s="504" t="s">
        <v>111</v>
      </c>
      <c r="D14" s="126">
        <f>'Resumen Periodo Congrio dorado'!E19</f>
        <v>1.4</v>
      </c>
      <c r="E14" s="126">
        <f>'Resumen Periodo Congrio dorado'!F19</f>
        <v>0</v>
      </c>
      <c r="F14" s="133">
        <f t="shared" si="1"/>
        <v>1.4</v>
      </c>
      <c r="G14" s="126">
        <f>'Resumen Periodo Congrio dorado'!H19</f>
        <v>0</v>
      </c>
      <c r="H14" s="133">
        <f t="shared" si="0"/>
        <v>1.4</v>
      </c>
      <c r="I14" s="281">
        <f t="shared" si="3"/>
        <v>0</v>
      </c>
    </row>
    <row r="15" spans="2:9" ht="18" customHeight="1">
      <c r="B15" s="302"/>
      <c r="C15" s="504" t="s">
        <v>112</v>
      </c>
      <c r="D15" s="133">
        <f>'Resumen Periodo Congrio dorado'!E32</f>
        <v>12.6</v>
      </c>
      <c r="E15" s="133">
        <f>'Resumen Periodo Congrio dorado'!F32</f>
        <v>0</v>
      </c>
      <c r="F15" s="133">
        <f t="shared" si="1"/>
        <v>12.6</v>
      </c>
      <c r="G15" s="133">
        <f>'Resumen Periodo Congrio dorado'!H32</f>
        <v>0</v>
      </c>
      <c r="H15" s="133">
        <f t="shared" si="0"/>
        <v>12.6</v>
      </c>
      <c r="I15" s="281">
        <f t="shared" si="3"/>
        <v>0</v>
      </c>
    </row>
    <row r="16" spans="2:9" ht="18" customHeight="1">
      <c r="B16" s="309" t="s">
        <v>105</v>
      </c>
      <c r="C16" s="504" t="s">
        <v>114</v>
      </c>
      <c r="D16" s="126">
        <f>'Resumen Periodo Congrio dorado'!E33+'Resumen Periodo Congrio dorado'!E34</f>
        <v>533.99939999999992</v>
      </c>
      <c r="E16" s="126">
        <f>'Resumen Periodo Congrio dorado'!F33+'Resumen Periodo Congrio dorado'!F34</f>
        <v>0</v>
      </c>
      <c r="F16" s="133">
        <f t="shared" si="1"/>
        <v>533.99939999999992</v>
      </c>
      <c r="G16" s="126">
        <f>'Resumen Periodo Congrio dorado'!H33+'Resumen Periodo Congrio dorado'!H34</f>
        <v>3.5529999999999999</v>
      </c>
      <c r="H16" s="133">
        <f t="shared" ref="H16:H17" si="4">F16-G16</f>
        <v>530.44639999999993</v>
      </c>
      <c r="I16" s="281">
        <f t="shared" si="3"/>
        <v>6.6535655283507817E-3</v>
      </c>
    </row>
    <row r="17" spans="2:9">
      <c r="B17" s="309"/>
      <c r="C17" s="504" t="s">
        <v>115</v>
      </c>
      <c r="D17" s="133">
        <f>'Resumen Periodo Congrio dorado'!E35+'Resumen Periodo Congrio dorado'!E36</f>
        <v>139</v>
      </c>
      <c r="E17" s="133">
        <f>'Resumen Periodo Congrio dorado'!F35+'Resumen Periodo Congrio dorado'!F36</f>
        <v>0</v>
      </c>
      <c r="F17" s="133">
        <f t="shared" si="1"/>
        <v>139</v>
      </c>
      <c r="G17" s="133">
        <f>'Resumen Periodo Congrio dorado'!H35+'Resumen Periodo Congrio dorado'!H36</f>
        <v>4.056</v>
      </c>
      <c r="H17" s="133">
        <f t="shared" si="4"/>
        <v>134.94399999999999</v>
      </c>
      <c r="I17" s="281">
        <f t="shared" si="3"/>
        <v>2.9179856115107913E-2</v>
      </c>
    </row>
    <row r="18" spans="2:9" hidden="1">
      <c r="I18" s="32">
        <v>1</v>
      </c>
    </row>
    <row r="19" spans="2:9" ht="36" customHeight="1" thickBot="1"/>
    <row r="20" spans="2:9" ht="19.5" customHeight="1">
      <c r="B20" s="310" t="s">
        <v>208</v>
      </c>
      <c r="C20" s="311"/>
      <c r="D20" s="311"/>
      <c r="E20" s="311"/>
      <c r="F20" s="311"/>
      <c r="G20" s="311"/>
      <c r="H20" s="311"/>
      <c r="I20" s="312"/>
    </row>
    <row r="21" spans="2:9" ht="15.75" thickBot="1">
      <c r="B21" s="298"/>
      <c r="C21" s="299"/>
      <c r="D21" s="299"/>
      <c r="E21" s="299"/>
      <c r="F21" s="299"/>
      <c r="G21" s="299"/>
      <c r="H21" s="299"/>
      <c r="I21" s="300"/>
    </row>
    <row r="23" spans="2:9" ht="31.5">
      <c r="B23" s="30" t="s">
        <v>113</v>
      </c>
      <c r="C23" s="31" t="s">
        <v>117</v>
      </c>
      <c r="D23" s="31" t="s">
        <v>118</v>
      </c>
      <c r="E23" s="31" t="s">
        <v>5</v>
      </c>
      <c r="F23" s="31" t="s">
        <v>6</v>
      </c>
      <c r="G23" s="31" t="s">
        <v>7</v>
      </c>
      <c r="H23" s="31" t="s">
        <v>8</v>
      </c>
      <c r="I23" s="31" t="s">
        <v>119</v>
      </c>
    </row>
    <row r="24" spans="2:9" ht="14.25" customHeight="1">
      <c r="B24" s="301" t="s">
        <v>96</v>
      </c>
      <c r="C24" s="283" t="s">
        <v>120</v>
      </c>
      <c r="D24" s="134">
        <f>+'Fuera UP'!E8+'Fuera UP'!E9</f>
        <v>105</v>
      </c>
      <c r="E24" s="134">
        <v>0</v>
      </c>
      <c r="F24" s="134">
        <f>+D24+E24</f>
        <v>105</v>
      </c>
      <c r="G24" s="505">
        <f>+'Fuera UP'!G8+'Fuera UP'!H8+'Fuera UP'!G9+'Fuera UP'!H9</f>
        <v>54.395000000000003</v>
      </c>
      <c r="H24" s="134">
        <f t="shared" ref="H24:H26" si="5">D24-G24</f>
        <v>50.604999999999997</v>
      </c>
      <c r="I24" s="204">
        <f>G24/D24</f>
        <v>0.51804761904761909</v>
      </c>
    </row>
    <row r="25" spans="2:9">
      <c r="B25" s="301"/>
      <c r="C25" s="283" t="s">
        <v>99</v>
      </c>
      <c r="D25" s="134">
        <f>+'Fuera UP'!E10</f>
        <v>11</v>
      </c>
      <c r="E25" s="134">
        <v>0</v>
      </c>
      <c r="F25" s="134">
        <f>+D25+E25</f>
        <v>11</v>
      </c>
      <c r="G25" s="505">
        <f>+'Fuera UP'!G10+'Fuera UP'!H10</f>
        <v>0.28899999999999998</v>
      </c>
      <c r="H25" s="134">
        <f t="shared" si="5"/>
        <v>10.711</v>
      </c>
      <c r="I25" s="204">
        <f>G25/D25</f>
        <v>2.6272727272727271E-2</v>
      </c>
    </row>
    <row r="26" spans="2:9">
      <c r="B26" s="301"/>
      <c r="C26" s="284" t="s">
        <v>121</v>
      </c>
      <c r="D26" s="135">
        <f>+'Fuera UP'!E7</f>
        <v>2</v>
      </c>
      <c r="E26" s="134">
        <v>0</v>
      </c>
      <c r="F26" s="134">
        <f>+D26+E26</f>
        <v>2</v>
      </c>
      <c r="G26" s="135">
        <f>+'Fuera UP'!G7+'Fuera UP'!H7</f>
        <v>0</v>
      </c>
      <c r="H26" s="134">
        <f t="shared" si="5"/>
        <v>2</v>
      </c>
      <c r="I26" s="204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K36"/>
  <sheetViews>
    <sheetView showGridLines="0" zoomScale="90" zoomScaleNormal="90" workbookViewId="0">
      <selection activeCell="E45" sqref="E45"/>
    </sheetView>
  </sheetViews>
  <sheetFormatPr baseColWidth="10" defaultColWidth="11.42578125" defaultRowHeight="15"/>
  <cols>
    <col min="1" max="1" width="27.28515625" style="1" customWidth="1"/>
    <col min="2" max="2" width="11.42578125" style="1"/>
    <col min="3" max="3" width="19.5703125" style="1" customWidth="1"/>
    <col min="4" max="4" width="15.28515625" style="1" bestFit="1" customWidth="1"/>
    <col min="5" max="5" width="11.42578125" style="1"/>
    <col min="6" max="6" width="13.42578125" style="1" bestFit="1" customWidth="1"/>
    <col min="7" max="7" width="12" style="1" bestFit="1" customWidth="1"/>
    <col min="8" max="9" width="11.42578125" style="1"/>
    <col min="10" max="10" width="11" style="1" customWidth="1"/>
    <col min="11" max="11" width="32.140625" style="1" bestFit="1" customWidth="1"/>
    <col min="12" max="16384" width="11.42578125" style="1"/>
  </cols>
  <sheetData>
    <row r="1" spans="2:11" ht="15.75" thickBot="1"/>
    <row r="2" spans="2:11">
      <c r="B2" s="303" t="s">
        <v>209</v>
      </c>
      <c r="C2" s="304"/>
      <c r="D2" s="304"/>
      <c r="E2" s="304"/>
      <c r="F2" s="304"/>
      <c r="G2" s="304"/>
      <c r="H2" s="304"/>
      <c r="I2" s="304"/>
      <c r="J2" s="304"/>
      <c r="K2" s="305"/>
    </row>
    <row r="3" spans="2:11">
      <c r="B3" s="313"/>
      <c r="C3" s="314"/>
      <c r="D3" s="314"/>
      <c r="E3" s="314"/>
      <c r="F3" s="314"/>
      <c r="G3" s="314"/>
      <c r="H3" s="314"/>
      <c r="I3" s="314"/>
      <c r="J3" s="314"/>
      <c r="K3" s="315"/>
    </row>
    <row r="4" spans="2:11" ht="16.5" thickBot="1">
      <c r="B4" s="306">
        <f>'Resumen anual Congrio dorado'!B3:I3</f>
        <v>43508</v>
      </c>
      <c r="C4" s="307"/>
      <c r="D4" s="307"/>
      <c r="E4" s="307"/>
      <c r="F4" s="307"/>
      <c r="G4" s="307"/>
      <c r="H4" s="307"/>
      <c r="I4" s="307"/>
      <c r="J4" s="307"/>
      <c r="K4" s="307"/>
    </row>
    <row r="6" spans="2:11" ht="31.5">
      <c r="B6" s="278" t="s">
        <v>113</v>
      </c>
      <c r="C6" s="278" t="s">
        <v>1</v>
      </c>
      <c r="D6" s="278" t="s">
        <v>3</v>
      </c>
      <c r="E6" s="279" t="s">
        <v>4</v>
      </c>
      <c r="F6" s="280" t="s">
        <v>5</v>
      </c>
      <c r="G6" s="278" t="s">
        <v>6</v>
      </c>
      <c r="H6" s="278" t="s">
        <v>7</v>
      </c>
      <c r="I6" s="278" t="s">
        <v>8</v>
      </c>
      <c r="J6" s="278" t="s">
        <v>9</v>
      </c>
      <c r="K6" s="278" t="s">
        <v>10</v>
      </c>
    </row>
    <row r="7" spans="2:11">
      <c r="B7" s="302" t="s">
        <v>106</v>
      </c>
      <c r="C7" s="317" t="s">
        <v>53</v>
      </c>
      <c r="D7" s="285" t="s">
        <v>13</v>
      </c>
      <c r="E7" s="133">
        <f>SUM('Congrio dorado Artesanal'!E7+'Congrio dorado Artesanal'!E9+'Congrio dorado Artesanal'!E11+'Congrio dorado Artesanal'!E13+'Congrio dorado Artesanal'!E15+'Congrio dorado Artesanal'!E17+'Congrio dorado Artesanal'!E19+'Congrio dorado Artesanal'!E21+'Congrio dorado Artesanal'!E23+'Congrio dorado Artesanal'!E25+'Congrio dorado Artesanal'!E27)</f>
        <v>101.22900000000001</v>
      </c>
      <c r="F7" s="133">
        <f>'Congrio dorado Artesanal'!F30</f>
        <v>0</v>
      </c>
      <c r="G7" s="133">
        <f>E7+F7</f>
        <v>101.22900000000001</v>
      </c>
      <c r="H7" s="133">
        <f>'Congrio dorado Artesanal'!H30</f>
        <v>63.717999999999996</v>
      </c>
      <c r="I7" s="133">
        <f t="shared" ref="I7:I11" si="0">G7-H7</f>
        <v>37.511000000000017</v>
      </c>
      <c r="J7" s="281">
        <f t="shared" ref="J7:J32" si="1">H7/G7</f>
        <v>0.62944413162236101</v>
      </c>
      <c r="K7" s="285"/>
    </row>
    <row r="8" spans="2:11">
      <c r="B8" s="302"/>
      <c r="C8" s="317"/>
      <c r="D8" s="285" t="s">
        <v>14</v>
      </c>
      <c r="E8" s="133">
        <f>SUM('Congrio dorado Artesanal'!E8+'Congrio dorado Artesanal'!E10+'Congrio dorado Artesanal'!E12+'Congrio dorado Artesanal'!E14+'Congrio dorado Artesanal'!E16+'Congrio dorado Artesanal'!E18+'Congrio dorado Artesanal'!E20+'Congrio dorado Artesanal'!E22+'Congrio dorado Artesanal'!E24+'Congrio dorado Artesanal'!E26+'Congrio dorado Artesanal'!E28)</f>
        <v>101.232</v>
      </c>
      <c r="F8" s="133">
        <f>'Congrio dorado Artesanal'!F31</f>
        <v>0</v>
      </c>
      <c r="G8" s="133">
        <f>E8+F8+I7</f>
        <v>138.74300000000002</v>
      </c>
      <c r="H8" s="133">
        <f>'Congrio dorado Artesanal'!H31</f>
        <v>0</v>
      </c>
      <c r="I8" s="133">
        <f t="shared" si="0"/>
        <v>138.74300000000002</v>
      </c>
      <c r="J8" s="281">
        <f t="shared" si="1"/>
        <v>0</v>
      </c>
      <c r="K8" s="285"/>
    </row>
    <row r="9" spans="2:11">
      <c r="B9" s="302"/>
      <c r="C9" s="317"/>
      <c r="D9" s="285" t="s">
        <v>54</v>
      </c>
      <c r="E9" s="133">
        <f>'Congrio dorado Artesanal'!E76</f>
        <v>22</v>
      </c>
      <c r="F9" s="133">
        <f>'Congrio dorado Artesanal'!F76</f>
        <v>0</v>
      </c>
      <c r="G9" s="133">
        <f>E9+F9</f>
        <v>22</v>
      </c>
      <c r="H9" s="133">
        <f>'Congrio dorado Artesanal'!H76</f>
        <v>0.188</v>
      </c>
      <c r="I9" s="133">
        <f t="shared" si="0"/>
        <v>21.812000000000001</v>
      </c>
      <c r="J9" s="281">
        <f t="shared" si="1"/>
        <v>8.5454545454545453E-3</v>
      </c>
      <c r="K9" s="286"/>
    </row>
    <row r="10" spans="2:11">
      <c r="B10" s="302"/>
      <c r="C10" s="317" t="s">
        <v>55</v>
      </c>
      <c r="D10" s="285" t="s">
        <v>13</v>
      </c>
      <c r="E10" s="133">
        <f>SUM('Congrio dorado Artesanal'!E35+'Congrio dorado Artesanal'!E37)</f>
        <v>67.28</v>
      </c>
      <c r="F10" s="133">
        <f>'Congrio dorado Artesanal'!F40</f>
        <v>0</v>
      </c>
      <c r="G10" s="133">
        <f>E10+F10</f>
        <v>67.28</v>
      </c>
      <c r="H10" s="133">
        <f>'Congrio dorado Artesanal'!H40</f>
        <v>40.612000000000002</v>
      </c>
      <c r="I10" s="133">
        <f t="shared" si="0"/>
        <v>26.667999999999999</v>
      </c>
      <c r="J10" s="281">
        <f t="shared" si="1"/>
        <v>0.60362663495838287</v>
      </c>
      <c r="K10" s="286"/>
    </row>
    <row r="11" spans="2:11">
      <c r="B11" s="302"/>
      <c r="C11" s="317"/>
      <c r="D11" s="285" t="s">
        <v>14</v>
      </c>
      <c r="E11" s="133">
        <f>SUM('Congrio dorado Artesanal'!E36+'Congrio dorado Artesanal'!E38)</f>
        <v>67.28</v>
      </c>
      <c r="F11" s="133">
        <f>'Congrio dorado Artesanal'!F41</f>
        <v>0</v>
      </c>
      <c r="G11" s="133">
        <f>E11+F11+I10</f>
        <v>93.948000000000008</v>
      </c>
      <c r="H11" s="133">
        <f>'Congrio dorado Artesanal'!H41</f>
        <v>0</v>
      </c>
      <c r="I11" s="133">
        <f t="shared" si="0"/>
        <v>93.948000000000008</v>
      </c>
      <c r="J11" s="281">
        <f t="shared" si="1"/>
        <v>0</v>
      </c>
      <c r="K11" s="286"/>
    </row>
    <row r="12" spans="2:11">
      <c r="B12" s="302"/>
      <c r="C12" s="317"/>
      <c r="D12" s="285" t="s">
        <v>54</v>
      </c>
      <c r="E12" s="133">
        <f>'Congrio dorado Artesanal'!E77</f>
        <v>15</v>
      </c>
      <c r="F12" s="133">
        <f>'Congrio dorado Artesanal'!F77</f>
        <v>0</v>
      </c>
      <c r="G12" s="133">
        <f>E12+F12</f>
        <v>15</v>
      </c>
      <c r="H12" s="133">
        <f>'Congrio dorado Artesanal'!H77</f>
        <v>0</v>
      </c>
      <c r="I12" s="133">
        <f>'[1]CONGRIO DORADO'!H74</f>
        <v>0</v>
      </c>
      <c r="J12" s="281">
        <f>H12/G12</f>
        <v>0</v>
      </c>
      <c r="K12" s="286"/>
    </row>
    <row r="13" spans="2:11">
      <c r="B13" s="302"/>
      <c r="C13" s="317" t="s">
        <v>56</v>
      </c>
      <c r="D13" s="285" t="s">
        <v>97</v>
      </c>
      <c r="E13" s="133">
        <f>'Congrio dorado Artesanal'!E45</f>
        <v>72.099999999999994</v>
      </c>
      <c r="F13" s="133">
        <f>'Congrio dorado Artesanal'!F45</f>
        <v>0</v>
      </c>
      <c r="G13" s="133">
        <f>E13+F13</f>
        <v>72.099999999999994</v>
      </c>
      <c r="H13" s="133">
        <f>'Congrio dorado Artesanal'!H45</f>
        <v>84.3</v>
      </c>
      <c r="I13" s="133">
        <f>G13-H13</f>
        <v>-12.200000000000003</v>
      </c>
      <c r="J13" s="281">
        <f t="shared" si="1"/>
        <v>1.1692094313453538</v>
      </c>
      <c r="K13" s="286"/>
    </row>
    <row r="14" spans="2:11">
      <c r="B14" s="302"/>
      <c r="C14" s="317"/>
      <c r="D14" s="285" t="s">
        <v>98</v>
      </c>
      <c r="E14" s="133">
        <f>'Congrio dorado Artesanal'!E46</f>
        <v>72.099999999999994</v>
      </c>
      <c r="F14" s="133">
        <f>'Congrio dorado Artesanal'!F46</f>
        <v>0</v>
      </c>
      <c r="G14" s="133">
        <f>E14+F14+I13</f>
        <v>59.899999999999991</v>
      </c>
      <c r="H14" s="133">
        <f>'Congrio dorado Artesanal'!H46</f>
        <v>0</v>
      </c>
      <c r="I14" s="133">
        <f>G14-H14</f>
        <v>59.899999999999991</v>
      </c>
      <c r="J14" s="281">
        <f t="shared" si="1"/>
        <v>0</v>
      </c>
      <c r="K14" s="285"/>
    </row>
    <row r="15" spans="2:11">
      <c r="B15" s="302"/>
      <c r="C15" s="317"/>
      <c r="D15" s="287" t="s">
        <v>54</v>
      </c>
      <c r="E15" s="133">
        <f>'Congrio dorado Artesanal'!E78</f>
        <v>16</v>
      </c>
      <c r="F15" s="133">
        <f>'[1]CONGRIO DORADO'!E75</f>
        <v>0</v>
      </c>
      <c r="G15" s="133">
        <f>E15+F15</f>
        <v>16</v>
      </c>
      <c r="H15" s="133">
        <f>'Congrio dorado Artesanal'!H78</f>
        <v>0.626</v>
      </c>
      <c r="I15" s="133">
        <f>'[1]CONGRIO DORADO'!H75</f>
        <v>0</v>
      </c>
      <c r="J15" s="281">
        <f>H15/G15</f>
        <v>3.9125E-2</v>
      </c>
      <c r="K15" s="285"/>
    </row>
    <row r="16" spans="2:11">
      <c r="B16" s="302"/>
      <c r="C16" s="317" t="s">
        <v>57</v>
      </c>
      <c r="D16" s="285" t="s">
        <v>202</v>
      </c>
      <c r="E16" s="133">
        <f>'Congrio dorado Artesanal'!E47</f>
        <v>6</v>
      </c>
      <c r="F16" s="133">
        <f>'Congrio dorado Artesanal'!F47</f>
        <v>0</v>
      </c>
      <c r="G16" s="133">
        <f>E16+F16</f>
        <v>6</v>
      </c>
      <c r="H16" s="133">
        <f>'Congrio dorado Artesanal'!H47</f>
        <v>0</v>
      </c>
      <c r="I16" s="133">
        <f t="shared" ref="I16:I29" si="2">G16-H16</f>
        <v>6</v>
      </c>
      <c r="J16" s="281">
        <f t="shared" si="1"/>
        <v>0</v>
      </c>
      <c r="K16" s="285"/>
    </row>
    <row r="17" spans="2:11">
      <c r="B17" s="302"/>
      <c r="C17" s="317"/>
      <c r="D17" s="285" t="s">
        <v>65</v>
      </c>
      <c r="E17" s="133">
        <f>'Congrio dorado Artesanal'!E48</f>
        <v>0.1</v>
      </c>
      <c r="F17" s="133">
        <f>'Congrio dorado Artesanal'!F48</f>
        <v>0</v>
      </c>
      <c r="G17" s="133">
        <f>E17+F17</f>
        <v>0.1</v>
      </c>
      <c r="H17" s="133">
        <f>'Congrio dorado Artesanal'!H48</f>
        <v>0</v>
      </c>
      <c r="I17" s="133">
        <f t="shared" ref="I17" si="3">G17-H17</f>
        <v>0.1</v>
      </c>
      <c r="J17" s="281">
        <f>H17/G17</f>
        <v>0</v>
      </c>
      <c r="K17" s="285"/>
    </row>
    <row r="18" spans="2:11">
      <c r="B18" s="302"/>
      <c r="C18" s="317"/>
      <c r="D18" s="285" t="s">
        <v>204</v>
      </c>
      <c r="E18" s="133">
        <f>'Congrio dorado Artesanal'!E49</f>
        <v>6.4</v>
      </c>
      <c r="F18" s="133">
        <f>'Congrio dorado Artesanal'!F49</f>
        <v>0</v>
      </c>
      <c r="G18" s="133">
        <f>E18+F18+I16</f>
        <v>12.4</v>
      </c>
      <c r="H18" s="133">
        <f>'Congrio dorado Artesanal'!H49</f>
        <v>0</v>
      </c>
      <c r="I18" s="133">
        <f t="shared" si="2"/>
        <v>12.4</v>
      </c>
      <c r="J18" s="281">
        <f t="shared" si="1"/>
        <v>0</v>
      </c>
      <c r="K18" s="285"/>
    </row>
    <row r="19" spans="2:11">
      <c r="B19" s="302"/>
      <c r="C19" s="317"/>
      <c r="D19" s="287" t="s">
        <v>54</v>
      </c>
      <c r="E19" s="133">
        <f>'Congrio dorado Artesanal'!E79</f>
        <v>1.4</v>
      </c>
      <c r="F19" s="133">
        <f>'Congrio dorado Artesanal'!F79</f>
        <v>0</v>
      </c>
      <c r="G19" s="133">
        <f>E19+F19</f>
        <v>1.4</v>
      </c>
      <c r="H19" s="133">
        <f>'Congrio dorado Artesanal'!H79</f>
        <v>0</v>
      </c>
      <c r="I19" s="133">
        <f>'[1]CONGRIO DORADO'!H76</f>
        <v>0</v>
      </c>
      <c r="J19" s="281">
        <f t="shared" si="1"/>
        <v>0</v>
      </c>
      <c r="K19" s="285"/>
    </row>
    <row r="20" spans="2:11">
      <c r="B20" s="302"/>
      <c r="C20" s="317" t="s">
        <v>52</v>
      </c>
      <c r="D20" s="285" t="s">
        <v>58</v>
      </c>
      <c r="E20" s="133">
        <f>'Congrio dorado Artesanal'!E57</f>
        <v>10.3</v>
      </c>
      <c r="F20" s="133">
        <f>'Congrio dorado Artesanal'!F57</f>
        <v>0</v>
      </c>
      <c r="G20" s="133">
        <f>E20+F20</f>
        <v>10.3</v>
      </c>
      <c r="H20" s="133">
        <f>'Congrio dorado Artesanal'!H57</f>
        <v>4.9160000000000004</v>
      </c>
      <c r="I20" s="133">
        <f t="shared" si="2"/>
        <v>5.3840000000000003</v>
      </c>
      <c r="J20" s="281">
        <f t="shared" si="1"/>
        <v>0.47728155339805828</v>
      </c>
      <c r="K20" s="285"/>
    </row>
    <row r="21" spans="2:11">
      <c r="B21" s="302"/>
      <c r="C21" s="317"/>
      <c r="D21" s="285" t="s">
        <v>59</v>
      </c>
      <c r="E21" s="133">
        <f>'Congrio dorado Artesanal'!E58</f>
        <v>10.199999999999999</v>
      </c>
      <c r="F21" s="133">
        <f>'Congrio dorado Artesanal'!F58</f>
        <v>0</v>
      </c>
      <c r="G21" s="133">
        <f>E21+F21+I20</f>
        <v>15.584</v>
      </c>
      <c r="H21" s="133">
        <f>'Congrio dorado Artesanal'!H58</f>
        <v>1.0780000000000001</v>
      </c>
      <c r="I21" s="133">
        <f t="shared" si="2"/>
        <v>14.506</v>
      </c>
      <c r="J21" s="281">
        <f t="shared" si="1"/>
        <v>6.9173511293634499E-2</v>
      </c>
      <c r="K21" s="285"/>
    </row>
    <row r="22" spans="2:11">
      <c r="B22" s="302"/>
      <c r="C22" s="317"/>
      <c r="D22" s="285" t="s">
        <v>60</v>
      </c>
      <c r="E22" s="133">
        <f>'Congrio dorado Artesanal'!E59</f>
        <v>9</v>
      </c>
      <c r="F22" s="133">
        <f>'Congrio dorado Artesanal'!F59</f>
        <v>0</v>
      </c>
      <c r="G22" s="133">
        <f t="shared" ref="G22:G30" si="4">E22+F22+I21</f>
        <v>23.506</v>
      </c>
      <c r="H22" s="133">
        <f>'Congrio dorado Artesanal'!H59</f>
        <v>0</v>
      </c>
      <c r="I22" s="133">
        <f t="shared" si="2"/>
        <v>23.506</v>
      </c>
      <c r="J22" s="281">
        <f t="shared" si="1"/>
        <v>0</v>
      </c>
      <c r="K22" s="285"/>
    </row>
    <row r="23" spans="2:11">
      <c r="B23" s="302"/>
      <c r="C23" s="317"/>
      <c r="D23" s="285" t="s">
        <v>61</v>
      </c>
      <c r="E23" s="133">
        <f>'Congrio dorado Artesanal'!E60</f>
        <v>9</v>
      </c>
      <c r="F23" s="133">
        <f>'Congrio dorado Artesanal'!F60</f>
        <v>0</v>
      </c>
      <c r="G23" s="133">
        <f t="shared" si="4"/>
        <v>32.506</v>
      </c>
      <c r="H23" s="133">
        <f>'Congrio dorado Artesanal'!H60</f>
        <v>0</v>
      </c>
      <c r="I23" s="133">
        <f t="shared" si="2"/>
        <v>32.506</v>
      </c>
      <c r="J23" s="281">
        <f t="shared" si="1"/>
        <v>0</v>
      </c>
      <c r="K23" s="285"/>
    </row>
    <row r="24" spans="2:11">
      <c r="B24" s="302"/>
      <c r="C24" s="317"/>
      <c r="D24" s="285" t="s">
        <v>62</v>
      </c>
      <c r="E24" s="133">
        <f>'Congrio dorado Artesanal'!E61</f>
        <v>9</v>
      </c>
      <c r="F24" s="133">
        <f>'Congrio dorado Artesanal'!F61</f>
        <v>0</v>
      </c>
      <c r="G24" s="133">
        <f t="shared" si="4"/>
        <v>41.506</v>
      </c>
      <c r="H24" s="133">
        <f>'Congrio dorado Artesanal'!H61</f>
        <v>0</v>
      </c>
      <c r="I24" s="133">
        <f t="shared" si="2"/>
        <v>41.506</v>
      </c>
      <c r="J24" s="281">
        <f t="shared" si="1"/>
        <v>0</v>
      </c>
      <c r="K24" s="285"/>
    </row>
    <row r="25" spans="2:11">
      <c r="B25" s="302"/>
      <c r="C25" s="317"/>
      <c r="D25" s="285" t="s">
        <v>63</v>
      </c>
      <c r="E25" s="133">
        <f>'Congrio dorado Artesanal'!E62</f>
        <v>9</v>
      </c>
      <c r="F25" s="133">
        <f>'Congrio dorado Artesanal'!F62</f>
        <v>0</v>
      </c>
      <c r="G25" s="133">
        <f t="shared" si="4"/>
        <v>50.506</v>
      </c>
      <c r="H25" s="133">
        <f>'Congrio dorado Artesanal'!H62</f>
        <v>0</v>
      </c>
      <c r="I25" s="133">
        <f t="shared" si="2"/>
        <v>50.506</v>
      </c>
      <c r="J25" s="281">
        <f t="shared" si="1"/>
        <v>0</v>
      </c>
      <c r="K25" s="285"/>
    </row>
    <row r="26" spans="2:11">
      <c r="B26" s="302"/>
      <c r="C26" s="317"/>
      <c r="D26" s="285" t="s">
        <v>64</v>
      </c>
      <c r="E26" s="133">
        <f>'Congrio dorado Artesanal'!E63</f>
        <v>9</v>
      </c>
      <c r="F26" s="133">
        <f>'Congrio dorado Artesanal'!F63</f>
        <v>0</v>
      </c>
      <c r="G26" s="133">
        <f t="shared" si="4"/>
        <v>59.506</v>
      </c>
      <c r="H26" s="133">
        <f>'Congrio dorado Artesanal'!H63</f>
        <v>0</v>
      </c>
      <c r="I26" s="133">
        <f t="shared" si="2"/>
        <v>59.506</v>
      </c>
      <c r="J26" s="281">
        <f t="shared" si="1"/>
        <v>0</v>
      </c>
      <c r="K26" s="285"/>
    </row>
    <row r="27" spans="2:11">
      <c r="B27" s="302"/>
      <c r="C27" s="317"/>
      <c r="D27" s="285" t="s">
        <v>65</v>
      </c>
      <c r="E27" s="133">
        <f>'Congrio dorado Artesanal'!E64</f>
        <v>9</v>
      </c>
      <c r="F27" s="133">
        <f>'Congrio dorado Artesanal'!F64</f>
        <v>0</v>
      </c>
      <c r="G27" s="133">
        <f t="shared" si="4"/>
        <v>68.506</v>
      </c>
      <c r="H27" s="133">
        <f>'Congrio dorado Artesanal'!H64</f>
        <v>0</v>
      </c>
      <c r="I27" s="133">
        <f t="shared" si="2"/>
        <v>68.506</v>
      </c>
      <c r="J27" s="281">
        <f t="shared" si="1"/>
        <v>0</v>
      </c>
      <c r="K27" s="285"/>
    </row>
    <row r="28" spans="2:11">
      <c r="B28" s="302"/>
      <c r="C28" s="317"/>
      <c r="D28" s="285" t="s">
        <v>66</v>
      </c>
      <c r="E28" s="133">
        <f>'Congrio dorado Artesanal'!E65</f>
        <v>9</v>
      </c>
      <c r="F28" s="133">
        <f>'Congrio dorado Artesanal'!F65</f>
        <v>0</v>
      </c>
      <c r="G28" s="133">
        <f t="shared" si="4"/>
        <v>77.506</v>
      </c>
      <c r="H28" s="133">
        <f>'Congrio dorado Artesanal'!H65</f>
        <v>0</v>
      </c>
      <c r="I28" s="133">
        <f t="shared" si="2"/>
        <v>77.506</v>
      </c>
      <c r="J28" s="281">
        <f t="shared" si="1"/>
        <v>0</v>
      </c>
      <c r="K28" s="285"/>
    </row>
    <row r="29" spans="2:11">
      <c r="B29" s="302"/>
      <c r="C29" s="317"/>
      <c r="D29" s="285" t="s">
        <v>67</v>
      </c>
      <c r="E29" s="133">
        <f>'Congrio dorado Artesanal'!E66</f>
        <v>9</v>
      </c>
      <c r="F29" s="133">
        <f>'Congrio dorado Artesanal'!F66</f>
        <v>0</v>
      </c>
      <c r="G29" s="133">
        <f t="shared" si="4"/>
        <v>86.506</v>
      </c>
      <c r="H29" s="133">
        <f>'Congrio dorado Artesanal'!H66</f>
        <v>0</v>
      </c>
      <c r="I29" s="133">
        <f t="shared" si="2"/>
        <v>86.506</v>
      </c>
      <c r="J29" s="281">
        <f t="shared" si="1"/>
        <v>0</v>
      </c>
      <c r="K29" s="285"/>
    </row>
    <row r="30" spans="2:11">
      <c r="B30" s="302"/>
      <c r="C30" s="317"/>
      <c r="D30" s="285" t="s">
        <v>68</v>
      </c>
      <c r="E30" s="133">
        <f>'Congrio dorado Artesanal'!E67</f>
        <v>10</v>
      </c>
      <c r="F30" s="133">
        <f>'Congrio dorado Artesanal'!F67</f>
        <v>0</v>
      </c>
      <c r="G30" s="133">
        <f t="shared" si="4"/>
        <v>96.506</v>
      </c>
      <c r="H30" s="133">
        <f>'Congrio dorado Artesanal'!H67</f>
        <v>0</v>
      </c>
      <c r="I30" s="133">
        <f>G30-H30</f>
        <v>96.506</v>
      </c>
      <c r="J30" s="281">
        <f t="shared" si="1"/>
        <v>0</v>
      </c>
      <c r="K30" s="285"/>
    </row>
    <row r="31" spans="2:11">
      <c r="B31" s="302"/>
      <c r="C31" s="317"/>
      <c r="D31" s="285" t="s">
        <v>69</v>
      </c>
      <c r="E31" s="133">
        <f>'Congrio dorado Artesanal'!E68</f>
        <v>10</v>
      </c>
      <c r="F31" s="133">
        <f>'Congrio dorado Artesanal'!F68</f>
        <v>0</v>
      </c>
      <c r="G31" s="133">
        <f>E31+F31+I30</f>
        <v>106.506</v>
      </c>
      <c r="H31" s="133">
        <f>'Congrio dorado Artesanal'!H68</f>
        <v>0</v>
      </c>
      <c r="I31" s="133">
        <f>G31-H31</f>
        <v>106.506</v>
      </c>
      <c r="J31" s="281">
        <f t="shared" si="1"/>
        <v>0</v>
      </c>
      <c r="K31" s="285"/>
    </row>
    <row r="32" spans="2:11">
      <c r="B32" s="302"/>
      <c r="C32" s="317"/>
      <c r="D32" s="285" t="s">
        <v>70</v>
      </c>
      <c r="E32" s="133">
        <f>'Congrio dorado Artesanal'!E80</f>
        <v>12.6</v>
      </c>
      <c r="F32" s="133">
        <f>'Congrio dorado Artesanal'!F80</f>
        <v>0</v>
      </c>
      <c r="G32" s="133">
        <f>E32+F32</f>
        <v>12.6</v>
      </c>
      <c r="H32" s="133">
        <f>'Congrio dorado Artesanal'!H80</f>
        <v>0</v>
      </c>
      <c r="I32" s="133">
        <f>'[1]CONGRIO DORADO'!H77</f>
        <v>0</v>
      </c>
      <c r="J32" s="281">
        <f t="shared" si="1"/>
        <v>0</v>
      </c>
      <c r="K32" s="285"/>
    </row>
    <row r="33" spans="2:11">
      <c r="B33" s="309" t="s">
        <v>105</v>
      </c>
      <c r="C33" s="302" t="s">
        <v>114</v>
      </c>
      <c r="D33" s="285" t="s">
        <v>81</v>
      </c>
      <c r="E33" s="133">
        <f>SUM('Congrio dorado Industrial'!E7+'Congrio dorado Industrial'!E9+'Congrio dorado Industrial'!E11+'Congrio dorado Industrial'!E13+'Congrio dorado Industrial'!E15+'Congrio dorado Industrial'!E17+'Congrio dorado Industrial'!E19+'Congrio dorado Industrial'!E21)</f>
        <v>266.99969999999996</v>
      </c>
      <c r="F33" s="133">
        <f>SUM('Congrio dorado Industrial'!F7+'Congrio dorado Industrial'!F9+'Congrio dorado Industrial'!F11+'Congrio dorado Industrial'!F13+'Congrio dorado Industrial'!F15+'Congrio dorado Industrial'!F17+'Congrio dorado Industrial'!F19+'Congrio dorado Industrial'!F21)</f>
        <v>0</v>
      </c>
      <c r="G33" s="133">
        <f>SUM('Congrio dorado Industrial'!G7+'Congrio dorado Industrial'!G9+'Congrio dorado Industrial'!G11+'Congrio dorado Industrial'!G13+'Congrio dorado Industrial'!G15+'Congrio dorado Industrial'!G17+'Congrio dorado Industrial'!G19+'Congrio dorado Industrial'!G21)</f>
        <v>266.99969999999996</v>
      </c>
      <c r="H33" s="133">
        <f>SUM('Congrio dorado Industrial'!H7+'Congrio dorado Industrial'!H9+'Congrio dorado Industrial'!H11+'Congrio dorado Industrial'!H13+'Congrio dorado Industrial'!H15+'Congrio dorado Industrial'!H17+'Congrio dorado Industrial'!H19+'Congrio dorado Industrial'!H21)</f>
        <v>3.5529999999999999</v>
      </c>
      <c r="I33" s="133">
        <f>SUM('Congrio dorado Industrial'!I7+'Congrio dorado Industrial'!I9+'Congrio dorado Industrial'!I11+'Congrio dorado Industrial'!I13+'Congrio dorado Industrial'!I15+'Congrio dorado Industrial'!I17+'Congrio dorado Industrial'!I19+'Congrio dorado Industrial'!I21)</f>
        <v>263.44669999999996</v>
      </c>
      <c r="J33" s="281">
        <f t="shared" ref="J33" si="5">H33/G33</f>
        <v>1.3307131056701563E-2</v>
      </c>
      <c r="K33" s="285"/>
    </row>
    <row r="34" spans="2:11">
      <c r="B34" s="309"/>
      <c r="C34" s="316"/>
      <c r="D34" s="285" t="s">
        <v>85</v>
      </c>
      <c r="E34" s="133">
        <f>SUM('Congrio dorado Industrial'!E8+'Congrio dorado Industrial'!E10+'Congrio dorado Industrial'!E12+'Congrio dorado Industrial'!E14+'Congrio dorado Industrial'!E16+'Congrio dorado Industrial'!E18+'Congrio dorado Industrial'!E20+'Congrio dorado Industrial'!E22)</f>
        <v>266.99969999999996</v>
      </c>
      <c r="F34" s="133">
        <f>SUM('Congrio dorado Industrial'!F8+'Congrio dorado Industrial'!F10+'Congrio dorado Industrial'!F12+'Congrio dorado Industrial'!F14+'Congrio dorado Industrial'!F16+'Congrio dorado Industrial'!F18+'Congrio dorado Industrial'!F20+'Congrio dorado Industrial'!F22)</f>
        <v>0</v>
      </c>
      <c r="G34" s="133">
        <f>SUM('Congrio dorado Industrial'!G8+'Congrio dorado Industrial'!G10+'Congrio dorado Industrial'!G12+'Congrio dorado Industrial'!G14+'Congrio dorado Industrial'!G16+'Congrio dorado Industrial'!G18+'Congrio dorado Industrial'!G20+'Congrio dorado Industrial'!G22)</f>
        <v>530.44639999999993</v>
      </c>
      <c r="H34" s="133">
        <f>SUM('Congrio dorado Industrial'!H8+'Congrio dorado Industrial'!H10+'Congrio dorado Industrial'!H12+'Congrio dorado Industrial'!H14+'Congrio dorado Industrial'!H16+'Congrio dorado Industrial'!H18+'Congrio dorado Industrial'!H20+'Congrio dorado Industrial'!H22)</f>
        <v>0</v>
      </c>
      <c r="I34" s="133">
        <f>SUM('Congrio dorado Industrial'!I8+'Congrio dorado Industrial'!I10+'Congrio dorado Industrial'!I12+'Congrio dorado Industrial'!I14+'Congrio dorado Industrial'!I16+'Congrio dorado Industrial'!I18+'Congrio dorado Industrial'!I20+'Congrio dorado Industrial'!I22)</f>
        <v>530.44639999999993</v>
      </c>
      <c r="J34" s="133">
        <f>SUM('Congrio dorado Industrial'!J8+'Congrio dorado Industrial'!J10+'Congrio dorado Industrial'!J12+'Congrio dorado Industrial'!J14+'Congrio dorado Industrial'!J16+'Congrio dorado Industrial'!J18+'Congrio dorado Industrial'!J20+'Congrio dorado Industrial'!J22)</f>
        <v>0</v>
      </c>
      <c r="K34" s="285"/>
    </row>
    <row r="35" spans="2:11">
      <c r="B35" s="309"/>
      <c r="C35" s="302" t="s">
        <v>115</v>
      </c>
      <c r="D35" s="285" t="s">
        <v>81</v>
      </c>
      <c r="E35" s="133">
        <f>SUM('Congrio dorado Industrial'!E29+'Congrio dorado Industrial'!E31+'Congrio dorado Industrial'!E33+'Congrio dorado Industrial'!E35+'Congrio dorado Industrial'!E37+'Congrio dorado Industrial'!E39+'Congrio dorado Industrial'!E41)</f>
        <v>69</v>
      </c>
      <c r="F35" s="133">
        <f>SUM('Congrio dorado Industrial'!F29+'Congrio dorado Industrial'!F31+'Congrio dorado Industrial'!F33+'Congrio dorado Industrial'!F35+'Congrio dorado Industrial'!F37)</f>
        <v>0</v>
      </c>
      <c r="G35" s="133">
        <f>SUM('Congrio dorado Industrial'!G29+'Congrio dorado Industrial'!G31+'Congrio dorado Industrial'!G33+'Congrio dorado Industrial'!G35+'Congrio dorado Industrial'!G37)</f>
        <v>67.275000000000006</v>
      </c>
      <c r="H35" s="133">
        <f>SUM('Congrio dorado Industrial'!H29+'Congrio dorado Industrial'!H31+'Congrio dorado Industrial'!H33+'Congrio dorado Industrial'!H35+'Congrio dorado Industrial'!H37)</f>
        <v>4.056</v>
      </c>
      <c r="I35" s="133">
        <f>SUM('Congrio dorado Industrial'!I29+'Congrio dorado Industrial'!I31+'Congrio dorado Industrial'!I33+'Congrio dorado Industrial'!I35+'Congrio dorado Industrial'!I37)</f>
        <v>63.219000000000001</v>
      </c>
      <c r="J35" s="133">
        <f>SUM('Congrio dorado Industrial'!J29+'Congrio dorado Industrial'!J31+'Congrio dorado Industrial'!J33+'Congrio dorado Industrial'!J35+'Congrio dorado Industrial'!J37)</f>
        <v>9.5798200240912637E-2</v>
      </c>
      <c r="K35" s="285"/>
    </row>
    <row r="36" spans="2:11">
      <c r="B36" s="309"/>
      <c r="C36" s="316"/>
      <c r="D36" s="285" t="s">
        <v>85</v>
      </c>
      <c r="E36" s="133">
        <f>SUM('Congrio dorado Industrial'!E30+'Congrio dorado Industrial'!E32+'Congrio dorado Industrial'!E34+'Congrio dorado Industrial'!E36+'Congrio dorado Industrial'!E38+'Congrio dorado Industrial'!E40+'Congrio dorado Industrial'!E42)</f>
        <v>70</v>
      </c>
      <c r="F36" s="133">
        <f>SUM('Congrio dorado Industrial'!F30+'Congrio dorado Industrial'!F32+'Congrio dorado Industrial'!F34+'Congrio dorado Industrial'!F36+'Congrio dorado Industrial'!F38)</f>
        <v>0</v>
      </c>
      <c r="G36" s="133">
        <f>SUM('Congrio dorado Industrial'!G30+'Congrio dorado Industrial'!G32+'Congrio dorado Industrial'!G34+'Congrio dorado Industrial'!G36+'Congrio dorado Industrial'!G38)</f>
        <v>131.46900000000002</v>
      </c>
      <c r="H36" s="133">
        <f>SUM('Congrio dorado Industrial'!H30+'Congrio dorado Industrial'!H32+'Congrio dorado Industrial'!H34+'Congrio dorado Industrial'!H36+'Congrio dorado Industrial'!H38)</f>
        <v>0</v>
      </c>
      <c r="I36" s="133">
        <f>SUM('Congrio dorado Industrial'!I30+'Congrio dorado Industrial'!I32+'Congrio dorado Industrial'!I34+'Congrio dorado Industrial'!I36+'Congrio dorado Industrial'!I38)</f>
        <v>131.46900000000002</v>
      </c>
      <c r="J36" s="133">
        <f>SUM('Congrio dorado Industrial'!J30+'Congrio dorado Industrial'!J32+'Congrio dorado Industrial'!J34+'Congrio dorado Industrial'!J36+'Congrio dorado Industrial'!J38)</f>
        <v>0</v>
      </c>
      <c r="K36" s="285"/>
    </row>
  </sheetData>
  <mergeCells count="11">
    <mergeCell ref="B2:K3"/>
    <mergeCell ref="B4:K4"/>
    <mergeCell ref="B33:B36"/>
    <mergeCell ref="C33:C34"/>
    <mergeCell ref="C35:C36"/>
    <mergeCell ref="C13:C15"/>
    <mergeCell ref="C16:C19"/>
    <mergeCell ref="B7:B32"/>
    <mergeCell ref="C7:C9"/>
    <mergeCell ref="C10:C12"/>
    <mergeCell ref="C20:C32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87"/>
  <sheetViews>
    <sheetView showGridLines="0" topLeftCell="A67" zoomScale="90" zoomScaleNormal="90" workbookViewId="0">
      <selection activeCell="H30" activeCellId="3" sqref="H57:H59 H45 H40 H30"/>
    </sheetView>
  </sheetViews>
  <sheetFormatPr baseColWidth="10" defaultColWidth="11.42578125" defaultRowHeight="15"/>
  <cols>
    <col min="1" max="1" width="12.42578125" style="1" customWidth="1"/>
    <col min="2" max="2" width="16.5703125" style="1" customWidth="1"/>
    <col min="3" max="3" width="24.42578125" style="1" customWidth="1"/>
    <col min="4" max="4" width="16.5703125" style="1" bestFit="1" customWidth="1"/>
    <col min="5" max="5" width="13.7109375" style="1" customWidth="1"/>
    <col min="6" max="6" width="14.85546875" style="1" customWidth="1"/>
    <col min="7" max="10" width="11.42578125" style="1"/>
    <col min="11" max="11" width="14.85546875" style="124" bestFit="1" customWidth="1"/>
    <col min="12" max="12" width="11.42578125" style="1"/>
    <col min="13" max="13" width="15.140625" style="1" customWidth="1"/>
    <col min="14" max="17" width="11.42578125" style="1"/>
    <col min="18" max="20" width="0" style="1" hidden="1" customWidth="1"/>
    <col min="21" max="16384" width="11.42578125" style="1"/>
  </cols>
  <sheetData>
    <row r="1" spans="2:19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2:19" ht="18.75" customHeight="1">
      <c r="B2" s="412" t="s">
        <v>210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4"/>
      <c r="R2" s="4"/>
      <c r="S2" s="4"/>
    </row>
    <row r="3" spans="2:19" ht="16.5" thickBot="1">
      <c r="B3" s="306">
        <f>'Resumen anual Congrio dorado'!B3:I3</f>
        <v>43508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  <c r="R3" s="4"/>
      <c r="S3" s="4"/>
    </row>
    <row r="4" spans="2:19" ht="15.75" thickBot="1">
      <c r="B4" s="2"/>
      <c r="C4" s="2"/>
      <c r="D4" s="2"/>
      <c r="E4" s="2"/>
      <c r="F4" s="2"/>
      <c r="G4" s="2"/>
      <c r="H4" s="2"/>
      <c r="I4" s="5"/>
      <c r="J4" s="2"/>
      <c r="K4" s="2"/>
      <c r="L4" s="3"/>
      <c r="M4" s="4"/>
      <c r="N4" s="4"/>
      <c r="O4" s="4"/>
      <c r="P4" s="4"/>
      <c r="Q4" s="4"/>
      <c r="R4" s="4"/>
      <c r="S4" s="4"/>
    </row>
    <row r="5" spans="2:19" ht="15.75" thickBot="1">
      <c r="B5" s="385" t="s">
        <v>1</v>
      </c>
      <c r="C5" s="385" t="s">
        <v>2</v>
      </c>
      <c r="D5" s="423" t="s">
        <v>3</v>
      </c>
      <c r="E5" s="383" t="s">
        <v>4</v>
      </c>
      <c r="F5" s="379" t="s">
        <v>5</v>
      </c>
      <c r="G5" s="379" t="s">
        <v>6</v>
      </c>
      <c r="H5" s="379" t="s">
        <v>7</v>
      </c>
      <c r="I5" s="379" t="s">
        <v>8</v>
      </c>
      <c r="J5" s="421" t="s">
        <v>9</v>
      </c>
      <c r="K5" s="377" t="s">
        <v>10</v>
      </c>
      <c r="L5" s="405" t="s">
        <v>0</v>
      </c>
      <c r="M5" s="405"/>
      <c r="N5" s="405"/>
      <c r="O5" s="405"/>
      <c r="P5" s="405"/>
      <c r="Q5" s="406"/>
      <c r="R5" s="4"/>
      <c r="S5" s="4"/>
    </row>
    <row r="6" spans="2:19" ht="30.75" thickBot="1">
      <c r="B6" s="411"/>
      <c r="C6" s="411"/>
      <c r="D6" s="424"/>
      <c r="E6" s="384"/>
      <c r="F6" s="380"/>
      <c r="G6" s="380"/>
      <c r="H6" s="380"/>
      <c r="I6" s="380"/>
      <c r="J6" s="422"/>
      <c r="K6" s="378"/>
      <c r="L6" s="198" t="s">
        <v>4</v>
      </c>
      <c r="M6" s="199" t="s">
        <v>5</v>
      </c>
      <c r="N6" s="199" t="s">
        <v>6</v>
      </c>
      <c r="O6" s="199" t="s">
        <v>7</v>
      </c>
      <c r="P6" s="199" t="s">
        <v>8</v>
      </c>
      <c r="Q6" s="200" t="s">
        <v>9</v>
      </c>
      <c r="R6" s="4"/>
      <c r="S6" s="4"/>
    </row>
    <row r="7" spans="2:19">
      <c r="B7" s="407" t="s">
        <v>107</v>
      </c>
      <c r="C7" s="393" t="s">
        <v>12</v>
      </c>
      <c r="D7" s="40" t="s">
        <v>13</v>
      </c>
      <c r="E7" s="226">
        <v>3.2130000000000001</v>
      </c>
      <c r="F7" s="41"/>
      <c r="G7" s="41">
        <f>E7+F7</f>
        <v>3.2130000000000001</v>
      </c>
      <c r="H7" s="294">
        <v>0.999</v>
      </c>
      <c r="I7" s="41">
        <f>G7-H7</f>
        <v>2.214</v>
      </c>
      <c r="J7" s="205">
        <f>(H7/G7)</f>
        <v>0.31092436974789917</v>
      </c>
      <c r="K7" s="125" t="s">
        <v>171</v>
      </c>
      <c r="L7" s="409">
        <f>E7+E8</f>
        <v>6.4269999999999996</v>
      </c>
      <c r="M7" s="410">
        <f>F7+F8</f>
        <v>0</v>
      </c>
      <c r="N7" s="410">
        <f>L7+M7</f>
        <v>6.4269999999999996</v>
      </c>
      <c r="O7" s="410">
        <f>H7+H8</f>
        <v>0.999</v>
      </c>
      <c r="P7" s="410">
        <f>N7-O7</f>
        <v>5.4279999999999999</v>
      </c>
      <c r="Q7" s="425">
        <f>O7/N7</f>
        <v>0.15543799595456667</v>
      </c>
      <c r="R7" s="4"/>
      <c r="S7" s="4"/>
    </row>
    <row r="8" spans="2:19">
      <c r="B8" s="407"/>
      <c r="C8" s="394"/>
      <c r="D8" s="42" t="s">
        <v>156</v>
      </c>
      <c r="E8" s="227">
        <v>3.214</v>
      </c>
      <c r="F8" s="43"/>
      <c r="G8" s="43">
        <f>E8+F8+I7</f>
        <v>5.4279999999999999</v>
      </c>
      <c r="H8" s="178"/>
      <c r="I8" s="43">
        <f>G8-H8</f>
        <v>5.4279999999999999</v>
      </c>
      <c r="J8" s="206">
        <f t="shared" ref="J8:J41" si="0">(H8/G8)</f>
        <v>0</v>
      </c>
      <c r="K8" s="92" t="s">
        <v>171</v>
      </c>
      <c r="L8" s="345"/>
      <c r="M8" s="348"/>
      <c r="N8" s="348"/>
      <c r="O8" s="348"/>
      <c r="P8" s="348"/>
      <c r="Q8" s="323"/>
      <c r="R8" s="4"/>
      <c r="S8" s="4"/>
    </row>
    <row r="9" spans="2:19">
      <c r="B9" s="407"/>
      <c r="C9" s="394" t="s">
        <v>15</v>
      </c>
      <c r="D9" s="42" t="s">
        <v>13</v>
      </c>
      <c r="E9" s="227">
        <v>3.4369999999999998</v>
      </c>
      <c r="F9" s="43"/>
      <c r="G9" s="43">
        <f t="shared" ref="G9" si="1">E9+F9</f>
        <v>3.4369999999999998</v>
      </c>
      <c r="H9" s="295">
        <v>0.39900000000000002</v>
      </c>
      <c r="I9" s="43">
        <f t="shared" ref="I9:I41" si="2">G9-H9</f>
        <v>3.0379999999999998</v>
      </c>
      <c r="J9" s="206">
        <f t="shared" si="0"/>
        <v>0.11608961303462323</v>
      </c>
      <c r="K9" s="84" t="s">
        <v>171</v>
      </c>
      <c r="L9" s="345">
        <f>E9+E10</f>
        <v>6.8739999999999997</v>
      </c>
      <c r="M9" s="348">
        <f>F9+F10</f>
        <v>0</v>
      </c>
      <c r="N9" s="348">
        <f>L9+M9</f>
        <v>6.8739999999999997</v>
      </c>
      <c r="O9" s="348">
        <f t="shared" ref="O9" si="3">H9+H10</f>
        <v>0.39900000000000002</v>
      </c>
      <c r="P9" s="348">
        <f>N9-O9</f>
        <v>6.4749999999999996</v>
      </c>
      <c r="Q9" s="323">
        <f>O9/N9</f>
        <v>5.8044806517311615E-2</v>
      </c>
      <c r="R9" s="4"/>
      <c r="S9" s="4"/>
    </row>
    <row r="10" spans="2:19">
      <c r="B10" s="407"/>
      <c r="C10" s="394"/>
      <c r="D10" s="42" t="s">
        <v>156</v>
      </c>
      <c r="E10" s="227">
        <v>3.4369999999999998</v>
      </c>
      <c r="F10" s="43"/>
      <c r="G10" s="43">
        <f t="shared" ref="G10" si="4">E10+F10+I9</f>
        <v>6.4749999999999996</v>
      </c>
      <c r="H10" s="178"/>
      <c r="I10" s="43">
        <f t="shared" si="2"/>
        <v>6.4749999999999996</v>
      </c>
      <c r="J10" s="206">
        <f t="shared" si="0"/>
        <v>0</v>
      </c>
      <c r="K10" s="92" t="s">
        <v>171</v>
      </c>
      <c r="L10" s="345"/>
      <c r="M10" s="348"/>
      <c r="N10" s="348"/>
      <c r="O10" s="348"/>
      <c r="P10" s="348"/>
      <c r="Q10" s="323"/>
      <c r="R10" s="4"/>
      <c r="S10" s="4"/>
    </row>
    <row r="11" spans="2:19">
      <c r="B11" s="407"/>
      <c r="C11" s="393" t="s">
        <v>16</v>
      </c>
      <c r="D11" s="42" t="s">
        <v>13</v>
      </c>
      <c r="E11" s="227">
        <v>2.0990000000000002</v>
      </c>
      <c r="F11" s="43"/>
      <c r="G11" s="43">
        <f t="shared" ref="G11" si="5">E11+F11</f>
        <v>2.0990000000000002</v>
      </c>
      <c r="H11" s="178"/>
      <c r="I11" s="43">
        <f t="shared" si="2"/>
        <v>2.0990000000000002</v>
      </c>
      <c r="J11" s="206">
        <f t="shared" si="0"/>
        <v>0</v>
      </c>
      <c r="K11" s="92" t="s">
        <v>171</v>
      </c>
      <c r="L11" s="345">
        <f>E11+E12</f>
        <v>4.1989999999999998</v>
      </c>
      <c r="M11" s="348">
        <f>F11+F12</f>
        <v>0</v>
      </c>
      <c r="N11" s="348">
        <f>L11+M11</f>
        <v>4.1989999999999998</v>
      </c>
      <c r="O11" s="348">
        <f t="shared" ref="O11" si="6">H11+H12</f>
        <v>0</v>
      </c>
      <c r="P11" s="348">
        <f>N11-O11</f>
        <v>4.1989999999999998</v>
      </c>
      <c r="Q11" s="323">
        <f>O11/N11</f>
        <v>0</v>
      </c>
      <c r="R11" s="4"/>
      <c r="S11" s="4"/>
    </row>
    <row r="12" spans="2:19">
      <c r="B12" s="407"/>
      <c r="C12" s="404"/>
      <c r="D12" s="42" t="s">
        <v>156</v>
      </c>
      <c r="E12" s="227">
        <v>2.1</v>
      </c>
      <c r="F12" s="43"/>
      <c r="G12" s="43">
        <f>E12+F12+I11</f>
        <v>4.1989999999999998</v>
      </c>
      <c r="H12" s="178"/>
      <c r="I12" s="43">
        <f t="shared" si="2"/>
        <v>4.1989999999999998</v>
      </c>
      <c r="J12" s="206">
        <f t="shared" si="0"/>
        <v>0</v>
      </c>
      <c r="K12" s="92" t="s">
        <v>171</v>
      </c>
      <c r="L12" s="345"/>
      <c r="M12" s="348"/>
      <c r="N12" s="348"/>
      <c r="O12" s="348"/>
      <c r="P12" s="348"/>
      <c r="Q12" s="323"/>
      <c r="R12" s="4"/>
      <c r="S12" s="4"/>
    </row>
    <row r="13" spans="2:19">
      <c r="B13" s="407"/>
      <c r="C13" s="394" t="s">
        <v>17</v>
      </c>
      <c r="D13" s="42" t="s">
        <v>13</v>
      </c>
      <c r="E13" s="227">
        <v>7.2359999999999998</v>
      </c>
      <c r="F13" s="43"/>
      <c r="G13" s="43">
        <f t="shared" ref="G13" si="7">E13+F13</f>
        <v>7.2359999999999998</v>
      </c>
      <c r="H13" s="179">
        <v>1.2110000000000001</v>
      </c>
      <c r="I13" s="43">
        <f t="shared" si="2"/>
        <v>6.0249999999999995</v>
      </c>
      <c r="J13" s="207">
        <f t="shared" si="0"/>
        <v>0.16735765616362633</v>
      </c>
      <c r="K13" s="92" t="s">
        <v>171</v>
      </c>
      <c r="L13" s="345">
        <f>E13+E14</f>
        <v>14.472</v>
      </c>
      <c r="M13" s="348">
        <f>F13+F14</f>
        <v>0</v>
      </c>
      <c r="N13" s="348">
        <f>L13+M13</f>
        <v>14.472</v>
      </c>
      <c r="O13" s="348">
        <f t="shared" ref="O13" si="8">H13+H14</f>
        <v>1.2110000000000001</v>
      </c>
      <c r="P13" s="348">
        <f>N13-O13</f>
        <v>13.260999999999999</v>
      </c>
      <c r="Q13" s="323">
        <f>O13/N13</f>
        <v>8.3678828081813164E-2</v>
      </c>
      <c r="R13" s="4"/>
      <c r="S13" s="4"/>
    </row>
    <row r="14" spans="2:19">
      <c r="B14" s="407"/>
      <c r="C14" s="394"/>
      <c r="D14" s="42" t="s">
        <v>156</v>
      </c>
      <c r="E14" s="227">
        <v>7.2359999999999998</v>
      </c>
      <c r="F14" s="43"/>
      <c r="G14" s="43">
        <f t="shared" ref="G14" si="9">E14+F14+I13</f>
        <v>13.260999999999999</v>
      </c>
      <c r="H14" s="178"/>
      <c r="I14" s="43">
        <f t="shared" si="2"/>
        <v>13.260999999999999</v>
      </c>
      <c r="J14" s="207">
        <f t="shared" si="0"/>
        <v>0</v>
      </c>
      <c r="K14" s="92" t="s">
        <v>171</v>
      </c>
      <c r="L14" s="345"/>
      <c r="M14" s="348"/>
      <c r="N14" s="348"/>
      <c r="O14" s="348"/>
      <c r="P14" s="348"/>
      <c r="Q14" s="323"/>
      <c r="R14" s="4"/>
      <c r="S14" s="4"/>
    </row>
    <row r="15" spans="2:19">
      <c r="B15" s="407"/>
      <c r="C15" s="393" t="s">
        <v>18</v>
      </c>
      <c r="D15" s="42" t="s">
        <v>13</v>
      </c>
      <c r="E15" s="227">
        <v>13.484999999999999</v>
      </c>
      <c r="F15" s="43"/>
      <c r="G15" s="43">
        <f t="shared" ref="G15" si="10">E15+F15</f>
        <v>13.484999999999999</v>
      </c>
      <c r="H15" s="179">
        <v>0.48099999999999998</v>
      </c>
      <c r="I15" s="43">
        <f t="shared" si="2"/>
        <v>13.004</v>
      </c>
      <c r="J15" s="206">
        <f t="shared" si="0"/>
        <v>3.5669262143121987E-2</v>
      </c>
      <c r="K15" s="92" t="s">
        <v>171</v>
      </c>
      <c r="L15" s="345">
        <f>E15+E16</f>
        <v>26.97</v>
      </c>
      <c r="M15" s="348">
        <f>F15+F16</f>
        <v>0</v>
      </c>
      <c r="N15" s="348">
        <f>L15+M15</f>
        <v>26.97</v>
      </c>
      <c r="O15" s="348">
        <f t="shared" ref="O15" si="11">H15+H16</f>
        <v>0.48099999999999998</v>
      </c>
      <c r="P15" s="348">
        <f>N15-O15</f>
        <v>26.488999999999997</v>
      </c>
      <c r="Q15" s="323">
        <f>O15/N15</f>
        <v>1.7834631071560993E-2</v>
      </c>
      <c r="R15" s="4"/>
      <c r="S15" s="4"/>
    </row>
    <row r="16" spans="2:19">
      <c r="B16" s="407"/>
      <c r="C16" s="404"/>
      <c r="D16" s="42" t="s">
        <v>156</v>
      </c>
      <c r="E16" s="227">
        <v>13.484999999999999</v>
      </c>
      <c r="F16" s="43"/>
      <c r="G16" s="43">
        <f t="shared" ref="G16" si="12">E16+F16+I15</f>
        <v>26.488999999999997</v>
      </c>
      <c r="H16" s="178"/>
      <c r="I16" s="43">
        <f t="shared" si="2"/>
        <v>26.488999999999997</v>
      </c>
      <c r="J16" s="206">
        <f t="shared" si="0"/>
        <v>0</v>
      </c>
      <c r="K16" s="92" t="s">
        <v>171</v>
      </c>
      <c r="L16" s="345"/>
      <c r="M16" s="348"/>
      <c r="N16" s="348"/>
      <c r="O16" s="348"/>
      <c r="P16" s="348"/>
      <c r="Q16" s="323"/>
      <c r="R16" s="4"/>
      <c r="S16" s="4"/>
    </row>
    <row r="17" spans="1:19">
      <c r="B17" s="407"/>
      <c r="C17" s="394" t="s">
        <v>19</v>
      </c>
      <c r="D17" s="42" t="s">
        <v>13</v>
      </c>
      <c r="E17" s="228">
        <v>34.039000000000001</v>
      </c>
      <c r="F17" s="43"/>
      <c r="G17" s="43">
        <f t="shared" ref="G17" si="13">E17+F17</f>
        <v>34.039000000000001</v>
      </c>
      <c r="H17" s="179">
        <v>0.25800000000000001</v>
      </c>
      <c r="I17" s="43">
        <f t="shared" si="2"/>
        <v>33.780999999999999</v>
      </c>
      <c r="J17" s="206">
        <f t="shared" si="0"/>
        <v>7.5795411146038364E-3</v>
      </c>
      <c r="K17" s="92" t="s">
        <v>171</v>
      </c>
      <c r="L17" s="345">
        <f>E17+E18</f>
        <v>68.078000000000003</v>
      </c>
      <c r="M17" s="348">
        <f>F17+F18</f>
        <v>0</v>
      </c>
      <c r="N17" s="348">
        <f>L17+M17</f>
        <v>68.078000000000003</v>
      </c>
      <c r="O17" s="348">
        <f t="shared" ref="O17" si="14">H17+H18</f>
        <v>0.25800000000000001</v>
      </c>
      <c r="P17" s="348">
        <f>N17-O17</f>
        <v>67.820000000000007</v>
      </c>
      <c r="Q17" s="323">
        <f>O17/N17</f>
        <v>3.7897705573019182E-3</v>
      </c>
      <c r="R17" s="4"/>
      <c r="S17" s="4"/>
    </row>
    <row r="18" spans="1:19">
      <c r="B18" s="407"/>
      <c r="C18" s="394"/>
      <c r="D18" s="42" t="s">
        <v>156</v>
      </c>
      <c r="E18" s="227">
        <v>34.039000000000001</v>
      </c>
      <c r="F18" s="43"/>
      <c r="G18" s="43">
        <f t="shared" ref="G18" si="15">E18+F18+I17</f>
        <v>67.819999999999993</v>
      </c>
      <c r="H18" s="178"/>
      <c r="I18" s="43">
        <f t="shared" si="2"/>
        <v>67.819999999999993</v>
      </c>
      <c r="J18" s="206">
        <f t="shared" si="0"/>
        <v>0</v>
      </c>
      <c r="K18" s="92" t="s">
        <v>171</v>
      </c>
      <c r="L18" s="345"/>
      <c r="M18" s="348"/>
      <c r="N18" s="348"/>
      <c r="O18" s="348"/>
      <c r="P18" s="348"/>
      <c r="Q18" s="323"/>
      <c r="R18" s="4"/>
      <c r="S18" s="4"/>
    </row>
    <row r="19" spans="1:19">
      <c r="B19" s="407"/>
      <c r="C19" s="393" t="s">
        <v>20</v>
      </c>
      <c r="D19" s="42" t="s">
        <v>13</v>
      </c>
      <c r="E19" s="227">
        <v>6.9</v>
      </c>
      <c r="F19" s="43"/>
      <c r="G19" s="43">
        <f t="shared" ref="G19" si="16">E19+F19</f>
        <v>6.9</v>
      </c>
      <c r="H19" s="178"/>
      <c r="I19" s="43">
        <f t="shared" si="2"/>
        <v>6.9</v>
      </c>
      <c r="J19" s="206">
        <f t="shared" si="0"/>
        <v>0</v>
      </c>
      <c r="K19" s="92" t="s">
        <v>171</v>
      </c>
      <c r="L19" s="345">
        <f>E19+E20</f>
        <v>13.8</v>
      </c>
      <c r="M19" s="348">
        <f>F19+F20</f>
        <v>0</v>
      </c>
      <c r="N19" s="348">
        <f>L19+M19</f>
        <v>13.8</v>
      </c>
      <c r="O19" s="348">
        <f t="shared" ref="O19" si="17">H19+H20</f>
        <v>0</v>
      </c>
      <c r="P19" s="348">
        <f>N19-O19</f>
        <v>13.8</v>
      </c>
      <c r="Q19" s="323">
        <f>O19/N19</f>
        <v>0</v>
      </c>
      <c r="R19" s="4"/>
      <c r="S19" s="4"/>
    </row>
    <row r="20" spans="1:19">
      <c r="B20" s="407"/>
      <c r="C20" s="404"/>
      <c r="D20" s="42" t="s">
        <v>156</v>
      </c>
      <c r="E20" s="227">
        <v>6.9</v>
      </c>
      <c r="F20" s="43"/>
      <c r="G20" s="43">
        <f t="shared" ref="G20" si="18">E20+F20+I19</f>
        <v>13.8</v>
      </c>
      <c r="H20" s="178"/>
      <c r="I20" s="43">
        <f t="shared" si="2"/>
        <v>13.8</v>
      </c>
      <c r="J20" s="206">
        <f t="shared" si="0"/>
        <v>0</v>
      </c>
      <c r="K20" s="92" t="s">
        <v>171</v>
      </c>
      <c r="L20" s="345"/>
      <c r="M20" s="348"/>
      <c r="N20" s="348"/>
      <c r="O20" s="348"/>
      <c r="P20" s="348"/>
      <c r="Q20" s="323"/>
      <c r="R20" s="4"/>
      <c r="S20" s="4"/>
    </row>
    <row r="21" spans="1:19">
      <c r="B21" s="407"/>
      <c r="C21" s="394" t="s">
        <v>21</v>
      </c>
      <c r="D21" s="42" t="s">
        <v>13</v>
      </c>
      <c r="E21" s="227">
        <v>3.2869999999999999</v>
      </c>
      <c r="F21" s="43"/>
      <c r="G21" s="43">
        <f t="shared" ref="G21" si="19">E21+F21</f>
        <v>3.2869999999999999</v>
      </c>
      <c r="H21" s="178">
        <v>1.0999999999999999E-2</v>
      </c>
      <c r="I21" s="43">
        <f t="shared" si="2"/>
        <v>3.2759999999999998</v>
      </c>
      <c r="J21" s="206">
        <f t="shared" si="0"/>
        <v>3.3465165804685121E-3</v>
      </c>
      <c r="K21" s="92" t="s">
        <v>171</v>
      </c>
      <c r="L21" s="345">
        <f>E21+E22</f>
        <v>6.5739999999999998</v>
      </c>
      <c r="M21" s="348">
        <f>F21+F22</f>
        <v>0</v>
      </c>
      <c r="N21" s="348">
        <f>L21+M21</f>
        <v>6.5739999999999998</v>
      </c>
      <c r="O21" s="348">
        <f t="shared" ref="O21" si="20">H21+H22</f>
        <v>1.0999999999999999E-2</v>
      </c>
      <c r="P21" s="348">
        <f>N21-O21</f>
        <v>6.5629999999999997</v>
      </c>
      <c r="Q21" s="323">
        <f>O21/N21</f>
        <v>1.6732582902342561E-3</v>
      </c>
      <c r="R21" s="4"/>
      <c r="S21" s="4"/>
    </row>
    <row r="22" spans="1:19">
      <c r="B22" s="407"/>
      <c r="C22" s="394"/>
      <c r="D22" s="42" t="s">
        <v>156</v>
      </c>
      <c r="E22" s="227">
        <v>3.2869999999999999</v>
      </c>
      <c r="F22" s="43"/>
      <c r="G22" s="43">
        <f t="shared" ref="G22" si="21">E22+F22+I21</f>
        <v>6.5629999999999997</v>
      </c>
      <c r="H22" s="178"/>
      <c r="I22" s="43">
        <f t="shared" si="2"/>
        <v>6.5629999999999997</v>
      </c>
      <c r="J22" s="206">
        <f t="shared" si="0"/>
        <v>0</v>
      </c>
      <c r="K22" s="92" t="s">
        <v>171</v>
      </c>
      <c r="L22" s="345"/>
      <c r="M22" s="348"/>
      <c r="N22" s="348"/>
      <c r="O22" s="348"/>
      <c r="P22" s="348"/>
      <c r="Q22" s="323"/>
      <c r="R22" s="4"/>
      <c r="S22" s="4"/>
    </row>
    <row r="23" spans="1:19">
      <c r="B23" s="407"/>
      <c r="C23" s="393" t="s">
        <v>22</v>
      </c>
      <c r="D23" s="42" t="s">
        <v>13</v>
      </c>
      <c r="E23" s="227">
        <v>0.114</v>
      </c>
      <c r="F23" s="43"/>
      <c r="G23" s="43">
        <f t="shared" ref="G23" si="22">E23+F23</f>
        <v>0.114</v>
      </c>
      <c r="H23" s="178"/>
      <c r="I23" s="43">
        <f t="shared" si="2"/>
        <v>0.114</v>
      </c>
      <c r="J23" s="206">
        <f t="shared" si="0"/>
        <v>0</v>
      </c>
      <c r="K23" s="92" t="s">
        <v>171</v>
      </c>
      <c r="L23" s="345">
        <f>E23+E24</f>
        <v>0.22900000000000001</v>
      </c>
      <c r="M23" s="348">
        <f>F23+F24</f>
        <v>0</v>
      </c>
      <c r="N23" s="348">
        <f>L23+M23</f>
        <v>0.22900000000000001</v>
      </c>
      <c r="O23" s="348">
        <f t="shared" ref="O23" si="23">H23+H24</f>
        <v>0</v>
      </c>
      <c r="P23" s="348">
        <f>N23-O23</f>
        <v>0.22900000000000001</v>
      </c>
      <c r="Q23" s="323">
        <f>O23/N23</f>
        <v>0</v>
      </c>
      <c r="R23" s="4"/>
      <c r="S23" s="4"/>
    </row>
    <row r="24" spans="1:19">
      <c r="B24" s="407"/>
      <c r="C24" s="404"/>
      <c r="D24" s="42" t="s">
        <v>156</v>
      </c>
      <c r="E24" s="227">
        <v>0.115</v>
      </c>
      <c r="F24" s="43"/>
      <c r="G24" s="43">
        <f t="shared" ref="G24" si="24">E24+F24+I23</f>
        <v>0.22900000000000001</v>
      </c>
      <c r="H24" s="178"/>
      <c r="I24" s="43">
        <f t="shared" si="2"/>
        <v>0.22900000000000001</v>
      </c>
      <c r="J24" s="206">
        <f t="shared" si="0"/>
        <v>0</v>
      </c>
      <c r="K24" s="92" t="s">
        <v>171</v>
      </c>
      <c r="L24" s="345"/>
      <c r="M24" s="348"/>
      <c r="N24" s="348"/>
      <c r="O24" s="348"/>
      <c r="P24" s="348"/>
      <c r="Q24" s="323"/>
      <c r="R24" s="4"/>
      <c r="S24" s="4"/>
    </row>
    <row r="25" spans="1:19">
      <c r="B25" s="407"/>
      <c r="C25" s="403" t="s">
        <v>23</v>
      </c>
      <c r="D25" s="44" t="s">
        <v>13</v>
      </c>
      <c r="E25" s="229">
        <v>0.78800000000000003</v>
      </c>
      <c r="F25" s="45"/>
      <c r="G25" s="43">
        <f t="shared" ref="G25" si="25">E25+F25</f>
        <v>0.78800000000000003</v>
      </c>
      <c r="H25" s="179">
        <v>0.05</v>
      </c>
      <c r="I25" s="45">
        <f t="shared" si="2"/>
        <v>0.73799999999999999</v>
      </c>
      <c r="J25" s="208">
        <f t="shared" si="0"/>
        <v>6.3451776649746189E-2</v>
      </c>
      <c r="K25" s="84">
        <v>43500</v>
      </c>
      <c r="L25" s="345">
        <f>E25+E26</f>
        <v>1.577</v>
      </c>
      <c r="M25" s="348">
        <f>F25+F26</f>
        <v>0</v>
      </c>
      <c r="N25" s="348">
        <f>L25+M25</f>
        <v>1.577</v>
      </c>
      <c r="O25" s="348">
        <f t="shared" ref="O25" si="26">H25+H26</f>
        <v>0.05</v>
      </c>
      <c r="P25" s="348">
        <f>N25-O25</f>
        <v>1.5269999999999999</v>
      </c>
      <c r="Q25" s="323">
        <f>O25/N25</f>
        <v>3.1705770450221944E-2</v>
      </c>
      <c r="R25" s="4"/>
      <c r="S25" s="4"/>
    </row>
    <row r="26" spans="1:19">
      <c r="B26" s="407"/>
      <c r="C26" s="403"/>
      <c r="D26" s="44" t="s">
        <v>156</v>
      </c>
      <c r="E26" s="229">
        <v>0.78900000000000003</v>
      </c>
      <c r="F26" s="45"/>
      <c r="G26" s="43">
        <f t="shared" ref="G26" si="27">E26+F26+I25</f>
        <v>1.5270000000000001</v>
      </c>
      <c r="H26" s="180"/>
      <c r="I26" s="45">
        <f t="shared" si="2"/>
        <v>1.5270000000000001</v>
      </c>
      <c r="J26" s="208">
        <f t="shared" si="0"/>
        <v>0</v>
      </c>
      <c r="K26" s="84">
        <v>43500</v>
      </c>
      <c r="L26" s="345"/>
      <c r="M26" s="348"/>
      <c r="N26" s="348"/>
      <c r="O26" s="348"/>
      <c r="P26" s="348"/>
      <c r="Q26" s="323"/>
      <c r="R26" s="4"/>
      <c r="S26" s="4"/>
    </row>
    <row r="27" spans="1:19">
      <c r="B27" s="407"/>
      <c r="C27" s="393" t="s">
        <v>24</v>
      </c>
      <c r="D27" s="42" t="s">
        <v>13</v>
      </c>
      <c r="E27" s="227">
        <v>26.631</v>
      </c>
      <c r="F27" s="43"/>
      <c r="G27" s="43">
        <f t="shared" ref="G27" si="28">E27+F27</f>
        <v>26.631</v>
      </c>
      <c r="H27" s="179">
        <v>60.308999999999997</v>
      </c>
      <c r="I27" s="43">
        <f t="shared" si="2"/>
        <v>-33.677999999999997</v>
      </c>
      <c r="J27" s="208">
        <f t="shared" si="0"/>
        <v>2.2646164244677256</v>
      </c>
      <c r="K27" s="84">
        <v>43479</v>
      </c>
      <c r="L27" s="345">
        <f>E27+E28</f>
        <v>53.260999999999996</v>
      </c>
      <c r="M27" s="348">
        <f>F27+F28</f>
        <v>0</v>
      </c>
      <c r="N27" s="348">
        <f>L27+M27</f>
        <v>53.260999999999996</v>
      </c>
      <c r="O27" s="348">
        <f t="shared" ref="O27" si="29">H27+H28</f>
        <v>60.308999999999997</v>
      </c>
      <c r="P27" s="348">
        <f>N27-O27</f>
        <v>-7.0480000000000018</v>
      </c>
      <c r="Q27" s="323">
        <f>O27/N27</f>
        <v>1.1323294718461914</v>
      </c>
      <c r="R27" s="4"/>
      <c r="S27" s="4"/>
    </row>
    <row r="28" spans="1:19" ht="15.75" thickBot="1">
      <c r="B28" s="408"/>
      <c r="C28" s="396"/>
      <c r="D28" s="46" t="s">
        <v>156</v>
      </c>
      <c r="E28" s="230">
        <v>26.63</v>
      </c>
      <c r="F28" s="47"/>
      <c r="G28" s="47">
        <f t="shared" ref="G28" si="30">E28+F28+I27</f>
        <v>-7.0479999999999983</v>
      </c>
      <c r="H28" s="181"/>
      <c r="I28" s="47">
        <f t="shared" si="2"/>
        <v>-7.0479999999999983</v>
      </c>
      <c r="J28" s="208">
        <f t="shared" si="0"/>
        <v>0</v>
      </c>
      <c r="K28" s="85">
        <v>43483</v>
      </c>
      <c r="L28" s="346"/>
      <c r="M28" s="349"/>
      <c r="N28" s="349"/>
      <c r="O28" s="349"/>
      <c r="P28" s="349"/>
      <c r="Q28" s="324"/>
      <c r="R28" s="4"/>
      <c r="S28" s="4"/>
    </row>
    <row r="29" spans="1:19" ht="15.75" thickBot="1">
      <c r="A29" s="6"/>
      <c r="B29" s="48"/>
      <c r="C29" s="49"/>
      <c r="D29" s="49"/>
      <c r="E29" s="49"/>
      <c r="F29" s="49"/>
      <c r="G29" s="49"/>
      <c r="H29" s="49"/>
      <c r="I29" s="49"/>
      <c r="J29" s="50"/>
      <c r="K29" s="51"/>
      <c r="L29" s="49"/>
      <c r="M29" s="49"/>
      <c r="N29" s="49"/>
      <c r="O29" s="49"/>
      <c r="P29" s="49"/>
      <c r="Q29" s="52"/>
      <c r="R29" s="4"/>
      <c r="S29" s="4"/>
    </row>
    <row r="30" spans="1:19">
      <c r="A30" s="6"/>
      <c r="B30" s="53"/>
      <c r="C30" s="397" t="s">
        <v>25</v>
      </c>
      <c r="D30" s="54" t="s">
        <v>13</v>
      </c>
      <c r="E30" s="55"/>
      <c r="F30" s="56"/>
      <c r="G30" s="56">
        <f>E30+F30</f>
        <v>0</v>
      </c>
      <c r="H30" s="182">
        <f>H7+H9+H11+H13+H15+H17+H19+H21+H23+H25+H27</f>
        <v>63.717999999999996</v>
      </c>
      <c r="I30" s="182">
        <f t="shared" si="2"/>
        <v>-63.717999999999996</v>
      </c>
      <c r="J30" s="209" t="e">
        <f t="shared" si="0"/>
        <v>#DIV/0!</v>
      </c>
      <c r="K30" s="120" t="s">
        <v>171</v>
      </c>
      <c r="L30" s="373">
        <f>E30+E31</f>
        <v>0</v>
      </c>
      <c r="M30" s="399">
        <f>F30+F31</f>
        <v>0</v>
      </c>
      <c r="N30" s="399">
        <f>L30+M30</f>
        <v>0</v>
      </c>
      <c r="O30" s="375">
        <f>H30+H31</f>
        <v>63.717999999999996</v>
      </c>
      <c r="P30" s="399">
        <f>N30-O30</f>
        <v>-63.717999999999996</v>
      </c>
      <c r="Q30" s="401" t="e">
        <f>O30/N30</f>
        <v>#DIV/0!</v>
      </c>
      <c r="R30" s="12"/>
      <c r="S30" s="12"/>
    </row>
    <row r="31" spans="1:19" ht="15.75" thickBot="1">
      <c r="A31" s="6"/>
      <c r="B31" s="53"/>
      <c r="C31" s="398"/>
      <c r="D31" s="58" t="s">
        <v>157</v>
      </c>
      <c r="E31" s="33"/>
      <c r="F31" s="59"/>
      <c r="G31" s="59">
        <f>E31+F31</f>
        <v>0</v>
      </c>
      <c r="H31" s="177">
        <f>H8+H10+H12+H14+H16+H18+H20+H22+H24+H26+H28</f>
        <v>0</v>
      </c>
      <c r="I31" s="177">
        <f t="shared" si="2"/>
        <v>0</v>
      </c>
      <c r="J31" s="210" t="e">
        <f t="shared" si="0"/>
        <v>#DIV/0!</v>
      </c>
      <c r="K31" s="121" t="s">
        <v>171</v>
      </c>
      <c r="L31" s="374"/>
      <c r="M31" s="400"/>
      <c r="N31" s="400"/>
      <c r="O31" s="376"/>
      <c r="P31" s="400"/>
      <c r="Q31" s="402"/>
      <c r="R31" s="12"/>
      <c r="S31" s="12"/>
    </row>
    <row r="32" spans="1:19" ht="50.25" customHeight="1" thickBot="1">
      <c r="A32" s="6"/>
      <c r="B32" s="53"/>
      <c r="C32" s="61"/>
      <c r="D32" s="62"/>
      <c r="E32" s="63"/>
      <c r="F32" s="62"/>
      <c r="G32" s="62"/>
      <c r="H32" s="64"/>
      <c r="I32" s="65"/>
      <c r="J32" s="66"/>
      <c r="K32" s="67"/>
      <c r="L32" s="49"/>
      <c r="M32" s="49"/>
      <c r="N32" s="49"/>
      <c r="O32" s="49"/>
      <c r="P32" s="49"/>
      <c r="Q32" s="52"/>
      <c r="R32" s="12"/>
      <c r="S32" s="12"/>
    </row>
    <row r="33" spans="1:20">
      <c r="B33" s="385" t="s">
        <v>1</v>
      </c>
      <c r="C33" s="385" t="s">
        <v>2</v>
      </c>
      <c r="D33" s="385" t="s">
        <v>3</v>
      </c>
      <c r="E33" s="419" t="s">
        <v>4</v>
      </c>
      <c r="F33" s="379" t="s">
        <v>5</v>
      </c>
      <c r="G33" s="379" t="s">
        <v>6</v>
      </c>
      <c r="H33" s="381" t="s">
        <v>7</v>
      </c>
      <c r="I33" s="379" t="s">
        <v>8</v>
      </c>
      <c r="J33" s="417" t="s">
        <v>9</v>
      </c>
      <c r="K33" s="415" t="s">
        <v>10</v>
      </c>
      <c r="L33" s="392" t="s">
        <v>0</v>
      </c>
      <c r="M33" s="336"/>
      <c r="N33" s="336"/>
      <c r="O33" s="336"/>
      <c r="P33" s="336"/>
      <c r="Q33" s="337"/>
      <c r="R33" s="12"/>
      <c r="S33" s="12"/>
    </row>
    <row r="34" spans="1:20" ht="45.75" thickBot="1">
      <c r="B34" s="411"/>
      <c r="C34" s="411"/>
      <c r="D34" s="411"/>
      <c r="E34" s="420"/>
      <c r="F34" s="380"/>
      <c r="G34" s="380"/>
      <c r="H34" s="382"/>
      <c r="I34" s="380"/>
      <c r="J34" s="418"/>
      <c r="K34" s="416"/>
      <c r="L34" s="68" t="s">
        <v>11</v>
      </c>
      <c r="M34" s="69" t="s">
        <v>5</v>
      </c>
      <c r="N34" s="69" t="s">
        <v>6</v>
      </c>
      <c r="O34" s="69" t="s">
        <v>7</v>
      </c>
      <c r="P34" s="69" t="s">
        <v>8</v>
      </c>
      <c r="Q34" s="70" t="s">
        <v>9</v>
      </c>
      <c r="R34" s="12"/>
      <c r="S34" s="12"/>
    </row>
    <row r="35" spans="1:20">
      <c r="B35" s="338" t="s">
        <v>26</v>
      </c>
      <c r="C35" s="393" t="s">
        <v>27</v>
      </c>
      <c r="D35" s="190" t="s">
        <v>13</v>
      </c>
      <c r="E35" s="231">
        <v>54.05</v>
      </c>
      <c r="F35" s="223"/>
      <c r="G35" s="223">
        <f>E35+F35</f>
        <v>54.05</v>
      </c>
      <c r="H35" s="292">
        <v>6.5490000000000004</v>
      </c>
      <c r="I35" s="223">
        <f>G35-H35</f>
        <v>47.500999999999998</v>
      </c>
      <c r="J35" s="201">
        <f t="shared" si="0"/>
        <v>0.12116558741905645</v>
      </c>
      <c r="K35" s="72" t="s">
        <v>171</v>
      </c>
      <c r="L35" s="395">
        <f>E35+E36</f>
        <v>108.1</v>
      </c>
      <c r="M35" s="391">
        <f>F35+F36</f>
        <v>0</v>
      </c>
      <c r="N35" s="391">
        <f>G35+G36</f>
        <v>155.601</v>
      </c>
      <c r="O35" s="391">
        <f>H35+H36</f>
        <v>6.5490000000000004</v>
      </c>
      <c r="P35" s="391">
        <f>N35-O35</f>
        <v>149.05199999999999</v>
      </c>
      <c r="Q35" s="322">
        <f>O35/N35</f>
        <v>4.208841845489425E-2</v>
      </c>
      <c r="R35" s="4"/>
      <c r="S35" s="4"/>
    </row>
    <row r="36" spans="1:20">
      <c r="B36" s="339"/>
      <c r="C36" s="394"/>
      <c r="D36" s="191" t="s">
        <v>156</v>
      </c>
      <c r="E36" s="227">
        <v>54.05</v>
      </c>
      <c r="F36" s="224"/>
      <c r="G36" s="224">
        <f>E36+F36+I35</f>
        <v>101.55099999999999</v>
      </c>
      <c r="H36" s="224"/>
      <c r="I36" s="224">
        <f>G36-H36</f>
        <v>101.55099999999999</v>
      </c>
      <c r="J36" s="202">
        <f t="shared" si="0"/>
        <v>0</v>
      </c>
      <c r="K36" s="74" t="s">
        <v>171</v>
      </c>
      <c r="L36" s="387"/>
      <c r="M36" s="389"/>
      <c r="N36" s="389"/>
      <c r="O36" s="389"/>
      <c r="P36" s="389"/>
      <c r="Q36" s="323"/>
      <c r="R36" s="4"/>
      <c r="S36" s="4"/>
    </row>
    <row r="37" spans="1:20">
      <c r="B37" s="339"/>
      <c r="C37" s="394" t="s">
        <v>24</v>
      </c>
      <c r="D37" s="191" t="s">
        <v>13</v>
      </c>
      <c r="E37" s="227">
        <v>13.23</v>
      </c>
      <c r="F37" s="224"/>
      <c r="G37" s="224">
        <f t="shared" ref="G37" si="31">E37+F37</f>
        <v>13.23</v>
      </c>
      <c r="H37" s="293">
        <v>34.063000000000002</v>
      </c>
      <c r="I37" s="224">
        <f t="shared" si="2"/>
        <v>-20.833000000000002</v>
      </c>
      <c r="J37" s="202">
        <f t="shared" si="0"/>
        <v>2.5746787603930463</v>
      </c>
      <c r="K37" s="74">
        <v>43479</v>
      </c>
      <c r="L37" s="387">
        <f>E37+E38</f>
        <v>26.46</v>
      </c>
      <c r="M37" s="389">
        <f>F37+F38</f>
        <v>0</v>
      </c>
      <c r="N37" s="391">
        <f>G37+G38</f>
        <v>5.6269999999999989</v>
      </c>
      <c r="O37" s="389">
        <f>H37+H38</f>
        <v>34.063000000000002</v>
      </c>
      <c r="P37" s="389">
        <f>N37-O37</f>
        <v>-28.436000000000003</v>
      </c>
      <c r="Q37" s="323">
        <f>O37/N37</f>
        <v>6.05349209170073</v>
      </c>
      <c r="R37" s="4"/>
      <c r="S37" s="4"/>
    </row>
    <row r="38" spans="1:20" ht="15.75" thickBot="1">
      <c r="B38" s="340"/>
      <c r="C38" s="396"/>
      <c r="D38" s="192" t="s">
        <v>156</v>
      </c>
      <c r="E38" s="230">
        <v>13.23</v>
      </c>
      <c r="F38" s="225"/>
      <c r="G38" s="225">
        <f t="shared" ref="G38" si="32">E38+F38+I37</f>
        <v>-7.6030000000000015</v>
      </c>
      <c r="H38" s="225"/>
      <c r="I38" s="225">
        <f t="shared" si="2"/>
        <v>-7.6030000000000015</v>
      </c>
      <c r="J38" s="203">
        <f t="shared" si="0"/>
        <v>0</v>
      </c>
      <c r="K38" s="291">
        <v>43479</v>
      </c>
      <c r="L38" s="388"/>
      <c r="M38" s="390"/>
      <c r="N38" s="390"/>
      <c r="O38" s="390"/>
      <c r="P38" s="390"/>
      <c r="Q38" s="324"/>
      <c r="R38" s="4"/>
      <c r="S38" s="4"/>
    </row>
    <row r="39" spans="1:20" ht="15.75" thickBot="1">
      <c r="B39" s="76"/>
      <c r="C39" s="77"/>
      <c r="D39" s="49"/>
      <c r="E39" s="49"/>
      <c r="F39" s="49"/>
      <c r="G39" s="49"/>
      <c r="H39" s="49"/>
      <c r="I39" s="49"/>
      <c r="J39" s="49"/>
      <c r="K39" s="66"/>
      <c r="L39" s="78"/>
      <c r="M39" s="49"/>
      <c r="N39" s="49"/>
      <c r="O39" s="49"/>
      <c r="P39" s="49"/>
      <c r="Q39" s="49"/>
      <c r="R39" s="10"/>
      <c r="S39" s="10"/>
    </row>
    <row r="40" spans="1:20">
      <c r="A40" s="6"/>
      <c r="B40" s="53"/>
      <c r="C40" s="371" t="s">
        <v>25</v>
      </c>
      <c r="D40" s="79" t="s">
        <v>13</v>
      </c>
      <c r="E40" s="80"/>
      <c r="F40" s="56"/>
      <c r="G40" s="56">
        <f>E40+F40</f>
        <v>0</v>
      </c>
      <c r="H40" s="57">
        <f>H35+H37</f>
        <v>40.612000000000002</v>
      </c>
      <c r="I40" s="183">
        <f t="shared" si="2"/>
        <v>-40.612000000000002</v>
      </c>
      <c r="J40" s="209" t="e">
        <f t="shared" si="0"/>
        <v>#DIV/0!</v>
      </c>
      <c r="K40" s="120" t="s">
        <v>171</v>
      </c>
      <c r="L40" s="373">
        <f>E40+E41</f>
        <v>0</v>
      </c>
      <c r="M40" s="375">
        <f>F40+F41</f>
        <v>0</v>
      </c>
      <c r="N40" s="375">
        <f>L40+M40</f>
        <v>0</v>
      </c>
      <c r="O40" s="375">
        <f>H40+H41</f>
        <v>40.612000000000002</v>
      </c>
      <c r="P40" s="362">
        <f>N40-O40</f>
        <v>-40.612000000000002</v>
      </c>
      <c r="Q40" s="364" t="e">
        <f>O40/N40</f>
        <v>#DIV/0!</v>
      </c>
      <c r="R40" s="12"/>
      <c r="S40" s="12"/>
    </row>
    <row r="41" spans="1:20" ht="15.75" thickBot="1">
      <c r="A41" s="6"/>
      <c r="B41" s="53"/>
      <c r="C41" s="372"/>
      <c r="D41" s="81" t="s">
        <v>157</v>
      </c>
      <c r="E41" s="82"/>
      <c r="F41" s="59"/>
      <c r="G41" s="59">
        <f>E41+F41</f>
        <v>0</v>
      </c>
      <c r="H41" s="60"/>
      <c r="I41" s="184">
        <f t="shared" si="2"/>
        <v>0</v>
      </c>
      <c r="J41" s="210" t="e">
        <f t="shared" si="0"/>
        <v>#DIV/0!</v>
      </c>
      <c r="K41" s="121" t="s">
        <v>171</v>
      </c>
      <c r="L41" s="374"/>
      <c r="M41" s="376"/>
      <c r="N41" s="376"/>
      <c r="O41" s="376"/>
      <c r="P41" s="363"/>
      <c r="Q41" s="365"/>
      <c r="R41" s="12"/>
      <c r="S41" s="12"/>
    </row>
    <row r="42" spans="1:20" ht="48" customHeight="1" thickBot="1">
      <c r="B42" s="53"/>
      <c r="C42" s="61"/>
      <c r="D42" s="62"/>
      <c r="E42" s="62"/>
      <c r="F42" s="62"/>
      <c r="G42" s="62"/>
      <c r="H42" s="64"/>
      <c r="I42" s="65"/>
      <c r="J42" s="66"/>
      <c r="K42" s="67"/>
      <c r="L42" s="49"/>
      <c r="M42" s="49"/>
      <c r="N42" s="49"/>
      <c r="O42" s="49"/>
      <c r="P42" s="49"/>
      <c r="Q42" s="52"/>
      <c r="R42" s="12"/>
      <c r="S42" s="12"/>
    </row>
    <row r="43" spans="1:20">
      <c r="B43" s="385" t="s">
        <v>1</v>
      </c>
      <c r="C43" s="385" t="s">
        <v>2</v>
      </c>
      <c r="D43" s="385" t="s">
        <v>3</v>
      </c>
      <c r="E43" s="383" t="s">
        <v>4</v>
      </c>
      <c r="F43" s="379" t="s">
        <v>5</v>
      </c>
      <c r="G43" s="379" t="s">
        <v>6</v>
      </c>
      <c r="H43" s="381" t="s">
        <v>7</v>
      </c>
      <c r="I43" s="379" t="s">
        <v>8</v>
      </c>
      <c r="J43" s="379" t="s">
        <v>9</v>
      </c>
      <c r="K43" s="377" t="s">
        <v>10</v>
      </c>
      <c r="L43" s="335" t="s">
        <v>0</v>
      </c>
      <c r="M43" s="336"/>
      <c r="N43" s="336"/>
      <c r="O43" s="336"/>
      <c r="P43" s="336"/>
      <c r="Q43" s="337"/>
      <c r="R43" s="4"/>
      <c r="S43" s="4"/>
    </row>
    <row r="44" spans="1:20" ht="45.75" thickBot="1">
      <c r="B44" s="411"/>
      <c r="C44" s="411"/>
      <c r="D44" s="386"/>
      <c r="E44" s="384"/>
      <c r="F44" s="380"/>
      <c r="G44" s="380"/>
      <c r="H44" s="382"/>
      <c r="I44" s="380"/>
      <c r="J44" s="380"/>
      <c r="K44" s="378"/>
      <c r="L44" s="83" t="s">
        <v>11</v>
      </c>
      <c r="M44" s="69" t="s">
        <v>5</v>
      </c>
      <c r="N44" s="69" t="s">
        <v>6</v>
      </c>
      <c r="O44" s="69" t="s">
        <v>7</v>
      </c>
      <c r="P44" s="69" t="s">
        <v>8</v>
      </c>
      <c r="Q44" s="70" t="s">
        <v>9</v>
      </c>
      <c r="R44" s="4"/>
      <c r="S44" s="4"/>
    </row>
    <row r="45" spans="1:20" ht="28.5" customHeight="1">
      <c r="B45" s="338" t="s">
        <v>28</v>
      </c>
      <c r="C45" s="341" t="s">
        <v>29</v>
      </c>
      <c r="D45" s="191" t="s">
        <v>97</v>
      </c>
      <c r="E45" s="255">
        <v>72.099999999999994</v>
      </c>
      <c r="F45" s="223"/>
      <c r="G45" s="223">
        <f>E45+F45</f>
        <v>72.099999999999994</v>
      </c>
      <c r="H45" s="256">
        <v>84.3</v>
      </c>
      <c r="I45" s="256">
        <f t="shared" ref="I45:I53" si="33">G45-H45</f>
        <v>-12.200000000000003</v>
      </c>
      <c r="J45" s="258">
        <f t="shared" ref="J45:J53" si="34">(H45/G45)</f>
        <v>1.1692094313453538</v>
      </c>
      <c r="K45" s="84">
        <v>43501</v>
      </c>
      <c r="L45" s="367">
        <f>E45+E46</f>
        <v>144.19999999999999</v>
      </c>
      <c r="M45" s="369">
        <f>F45+F46</f>
        <v>0</v>
      </c>
      <c r="N45" s="369">
        <f>L45+M45</f>
        <v>144.19999999999999</v>
      </c>
      <c r="O45" s="369">
        <f>H45+H46</f>
        <v>84.3</v>
      </c>
      <c r="P45" s="369">
        <f>N45-O45</f>
        <v>59.899999999999991</v>
      </c>
      <c r="Q45" s="322">
        <f>O45/N45</f>
        <v>0.58460471567267691</v>
      </c>
      <c r="R45" s="4"/>
      <c r="S45" s="4"/>
    </row>
    <row r="46" spans="1:20" ht="24" customHeight="1">
      <c r="B46" s="339"/>
      <c r="C46" s="342"/>
      <c r="D46" s="191" t="s">
        <v>98</v>
      </c>
      <c r="E46" s="257">
        <v>72.099999999999994</v>
      </c>
      <c r="F46" s="224"/>
      <c r="G46" s="224">
        <f>E46+F46+I45</f>
        <v>59.899999999999991</v>
      </c>
      <c r="H46" s="288"/>
      <c r="I46" s="224">
        <f t="shared" si="33"/>
        <v>59.899999999999991</v>
      </c>
      <c r="J46" s="259">
        <f>(H46/G46)</f>
        <v>0</v>
      </c>
      <c r="K46" s="84" t="s">
        <v>171</v>
      </c>
      <c r="L46" s="368"/>
      <c r="M46" s="370"/>
      <c r="N46" s="370"/>
      <c r="O46" s="370"/>
      <c r="P46" s="370"/>
      <c r="Q46" s="323"/>
      <c r="R46" s="4"/>
      <c r="S46" s="4"/>
      <c r="T46" s="29">
        <v>1</v>
      </c>
    </row>
    <row r="47" spans="1:20">
      <c r="B47" s="339"/>
      <c r="C47" s="342" t="s">
        <v>30</v>
      </c>
      <c r="D47" s="191" t="s">
        <v>202</v>
      </c>
      <c r="E47" s="257">
        <v>6</v>
      </c>
      <c r="F47" s="224"/>
      <c r="G47" s="224">
        <f>E47+F47</f>
        <v>6</v>
      </c>
      <c r="H47" s="288"/>
      <c r="I47" s="224">
        <f t="shared" si="33"/>
        <v>6</v>
      </c>
      <c r="J47" s="259">
        <f t="shared" si="34"/>
        <v>0</v>
      </c>
      <c r="K47" s="84" t="s">
        <v>171</v>
      </c>
      <c r="L47" s="368">
        <f>SUM(E47+E48+E49)</f>
        <v>12.5</v>
      </c>
      <c r="M47" s="370">
        <f>SUM(F47+F48+F49)</f>
        <v>0</v>
      </c>
      <c r="N47" s="370">
        <f>L47+M47</f>
        <v>12.5</v>
      </c>
      <c r="O47" s="370">
        <f>SUM(H47+H48+H49)</f>
        <v>0</v>
      </c>
      <c r="P47" s="370">
        <f>N47-O47</f>
        <v>12.5</v>
      </c>
      <c r="Q47" s="323">
        <f>O47/N47</f>
        <v>0</v>
      </c>
      <c r="R47" s="4"/>
      <c r="S47" s="4"/>
    </row>
    <row r="48" spans="1:20">
      <c r="B48" s="366"/>
      <c r="C48" s="431"/>
      <c r="D48" s="191" t="s">
        <v>203</v>
      </c>
      <c r="E48" s="260">
        <v>0.1</v>
      </c>
      <c r="F48" s="261"/>
      <c r="G48" s="224">
        <f>E48+F48</f>
        <v>0.1</v>
      </c>
      <c r="H48" s="289"/>
      <c r="I48" s="224">
        <f t="shared" si="33"/>
        <v>0.1</v>
      </c>
      <c r="J48" s="259">
        <f t="shared" si="34"/>
        <v>0</v>
      </c>
      <c r="K48" s="193" t="s">
        <v>171</v>
      </c>
      <c r="L48" s="426"/>
      <c r="M48" s="428"/>
      <c r="N48" s="428"/>
      <c r="O48" s="428"/>
      <c r="P48" s="428"/>
      <c r="Q48" s="430"/>
      <c r="R48" s="4"/>
      <c r="S48" s="4"/>
    </row>
    <row r="49" spans="2:19" ht="15.75" thickBot="1">
      <c r="B49" s="340"/>
      <c r="C49" s="343"/>
      <c r="D49" s="192" t="s">
        <v>204</v>
      </c>
      <c r="E49" s="262">
        <v>6.4</v>
      </c>
      <c r="F49" s="225"/>
      <c r="G49" s="225">
        <f>E49+F49+I47</f>
        <v>12.4</v>
      </c>
      <c r="H49" s="290"/>
      <c r="I49" s="225">
        <f t="shared" si="33"/>
        <v>12.4</v>
      </c>
      <c r="J49" s="263">
        <f t="shared" si="34"/>
        <v>0</v>
      </c>
      <c r="K49" s="85" t="s">
        <v>171</v>
      </c>
      <c r="L49" s="427"/>
      <c r="M49" s="429"/>
      <c r="N49" s="429"/>
      <c r="O49" s="429"/>
      <c r="P49" s="429"/>
      <c r="Q49" s="324"/>
      <c r="R49" s="10"/>
      <c r="S49" s="10"/>
    </row>
    <row r="50" spans="2:19" ht="15.95" customHeight="1" thickBot="1">
      <c r="B50" s="48"/>
      <c r="C50" s="76"/>
      <c r="D50" s="49"/>
      <c r="E50" s="49"/>
      <c r="F50" s="49"/>
      <c r="G50" s="49"/>
      <c r="H50" s="64"/>
      <c r="I50" s="185"/>
      <c r="J50" s="66"/>
      <c r="K50" s="51"/>
      <c r="L50" s="49"/>
      <c r="M50" s="49"/>
      <c r="N50" s="49"/>
      <c r="O50" s="49"/>
      <c r="P50" s="49"/>
      <c r="Q50" s="49"/>
      <c r="R50" s="12"/>
      <c r="S50" s="12"/>
    </row>
    <row r="51" spans="2:19">
      <c r="B51" s="48"/>
      <c r="C51" s="350" t="s">
        <v>25</v>
      </c>
      <c r="D51" s="86" t="s">
        <v>97</v>
      </c>
      <c r="E51" s="56">
        <f>E45+E47</f>
        <v>78.099999999999994</v>
      </c>
      <c r="F51" s="56"/>
      <c r="G51" s="56">
        <f>E51+F51</f>
        <v>78.099999999999994</v>
      </c>
      <c r="H51" s="57"/>
      <c r="I51" s="182">
        <f>G51-H51</f>
        <v>78.099999999999994</v>
      </c>
      <c r="J51" s="211">
        <f>(H51/G51)</f>
        <v>0</v>
      </c>
      <c r="K51" s="122" t="s">
        <v>171</v>
      </c>
      <c r="L51" s="329">
        <f>L45+L47</f>
        <v>156.69999999999999</v>
      </c>
      <c r="M51" s="329">
        <f>M45+M47</f>
        <v>0</v>
      </c>
      <c r="N51" s="329">
        <f>L51+M51</f>
        <v>156.69999999999999</v>
      </c>
      <c r="O51" s="329">
        <f>O45+O47</f>
        <v>84.3</v>
      </c>
      <c r="P51" s="329">
        <f>N51-O51</f>
        <v>72.399999999999991</v>
      </c>
      <c r="Q51" s="332">
        <f>O51/N51</f>
        <v>0.53797064454371413</v>
      </c>
      <c r="R51" s="12"/>
      <c r="S51" s="12"/>
    </row>
    <row r="52" spans="2:19">
      <c r="B52" s="48"/>
      <c r="C52" s="351"/>
      <c r="D52" s="296" t="s">
        <v>203</v>
      </c>
      <c r="E52" s="194"/>
      <c r="F52" s="194"/>
      <c r="G52" s="194"/>
      <c r="H52" s="195"/>
      <c r="I52" s="196"/>
      <c r="J52" s="212"/>
      <c r="K52" s="197"/>
      <c r="L52" s="330"/>
      <c r="M52" s="330"/>
      <c r="N52" s="330"/>
      <c r="O52" s="330"/>
      <c r="P52" s="330"/>
      <c r="Q52" s="333"/>
      <c r="R52" s="12"/>
      <c r="S52" s="12"/>
    </row>
    <row r="53" spans="2:19" ht="15.75" thickBot="1">
      <c r="B53" s="48"/>
      <c r="C53" s="352"/>
      <c r="D53" s="87" t="s">
        <v>98</v>
      </c>
      <c r="E53" s="59">
        <f>E46+E49</f>
        <v>78.5</v>
      </c>
      <c r="F53" s="59"/>
      <c r="G53" s="59">
        <f>E53+F53</f>
        <v>78.5</v>
      </c>
      <c r="H53" s="60"/>
      <c r="I53" s="177">
        <f t="shared" si="33"/>
        <v>78.5</v>
      </c>
      <c r="J53" s="213">
        <f t="shared" si="34"/>
        <v>0</v>
      </c>
      <c r="K53" s="123" t="s">
        <v>171</v>
      </c>
      <c r="L53" s="331"/>
      <c r="M53" s="331"/>
      <c r="N53" s="331"/>
      <c r="O53" s="331"/>
      <c r="P53" s="331"/>
      <c r="Q53" s="334"/>
      <c r="R53" s="12"/>
      <c r="S53" s="12"/>
    </row>
    <row r="54" spans="2:19" ht="50.25" customHeight="1" thickBot="1">
      <c r="B54" s="48"/>
      <c r="C54" s="61"/>
      <c r="D54" s="62"/>
      <c r="E54" s="62"/>
      <c r="F54" s="62"/>
      <c r="G54" s="62"/>
      <c r="H54" s="65"/>
      <c r="I54" s="65"/>
      <c r="J54" s="88"/>
      <c r="K54" s="67"/>
      <c r="L54" s="89"/>
      <c r="M54" s="89"/>
      <c r="N54" s="89"/>
      <c r="O54" s="89"/>
      <c r="P54" s="89"/>
      <c r="Q54" s="90"/>
      <c r="R54" s="11"/>
      <c r="S54" s="11"/>
    </row>
    <row r="55" spans="2:19">
      <c r="B55" s="385" t="s">
        <v>1</v>
      </c>
      <c r="C55" s="385" t="s">
        <v>2</v>
      </c>
      <c r="D55" s="385" t="s">
        <v>3</v>
      </c>
      <c r="E55" s="419" t="s">
        <v>4</v>
      </c>
      <c r="F55" s="379" t="s">
        <v>5</v>
      </c>
      <c r="G55" s="379" t="s">
        <v>6</v>
      </c>
      <c r="H55" s="379" t="s">
        <v>7</v>
      </c>
      <c r="I55" s="379" t="s">
        <v>8</v>
      </c>
      <c r="J55" s="379" t="s">
        <v>9</v>
      </c>
      <c r="K55" s="377" t="s">
        <v>10</v>
      </c>
      <c r="L55" s="335" t="s">
        <v>0</v>
      </c>
      <c r="M55" s="336"/>
      <c r="N55" s="336"/>
      <c r="O55" s="336"/>
      <c r="P55" s="336"/>
      <c r="Q55" s="337"/>
      <c r="R55" s="4"/>
      <c r="S55" s="4"/>
    </row>
    <row r="56" spans="2:19" ht="33" customHeight="1" thickBot="1">
      <c r="B56" s="411"/>
      <c r="C56" s="411"/>
      <c r="D56" s="411"/>
      <c r="E56" s="420"/>
      <c r="F56" s="380"/>
      <c r="G56" s="380"/>
      <c r="H56" s="380"/>
      <c r="I56" s="380"/>
      <c r="J56" s="380"/>
      <c r="K56" s="378"/>
      <c r="L56" s="83" t="s">
        <v>11</v>
      </c>
      <c r="M56" s="69" t="s">
        <v>5</v>
      </c>
      <c r="N56" s="69" t="s">
        <v>6</v>
      </c>
      <c r="O56" s="69" t="s">
        <v>7</v>
      </c>
      <c r="P56" s="69" t="s">
        <v>8</v>
      </c>
      <c r="Q56" s="70" t="s">
        <v>9</v>
      </c>
      <c r="R56" s="4"/>
      <c r="S56" s="4"/>
    </row>
    <row r="57" spans="2:19">
      <c r="B57" s="338" t="s">
        <v>31</v>
      </c>
      <c r="C57" s="341" t="s">
        <v>32</v>
      </c>
      <c r="D57" s="71" t="s">
        <v>33</v>
      </c>
      <c r="E57" s="264">
        <v>10.3</v>
      </c>
      <c r="F57" s="223"/>
      <c r="G57" s="223">
        <f>E57+F57</f>
        <v>10.3</v>
      </c>
      <c r="H57" s="223">
        <v>4.9160000000000004</v>
      </c>
      <c r="I57" s="223">
        <f>G57-H57</f>
        <v>5.3840000000000003</v>
      </c>
      <c r="J57" s="240">
        <f>(H57/G57)</f>
        <v>0.47728155339805828</v>
      </c>
      <c r="K57" s="91" t="s">
        <v>171</v>
      </c>
      <c r="L57" s="344">
        <f>E57+E58+E59+E60+E61+E62+E63+E64+E65+E66+E67+E68</f>
        <v>112.5</v>
      </c>
      <c r="M57" s="347">
        <f>F57+F58+F59+F60+F61+F62+F63+F64+F65+F66+F67+F68</f>
        <v>0</v>
      </c>
      <c r="N57" s="347">
        <f>L57+M57</f>
        <v>112.5</v>
      </c>
      <c r="O57" s="347">
        <f>H70</f>
        <v>0</v>
      </c>
      <c r="P57" s="347">
        <f>N57-O57</f>
        <v>112.5</v>
      </c>
      <c r="Q57" s="322">
        <f>O57/N57</f>
        <v>0</v>
      </c>
      <c r="R57" s="4"/>
      <c r="S57" s="4"/>
    </row>
    <row r="58" spans="2:19">
      <c r="B58" s="339"/>
      <c r="C58" s="342"/>
      <c r="D58" s="73" t="s">
        <v>34</v>
      </c>
      <c r="E58" s="228">
        <v>10.199999999999999</v>
      </c>
      <c r="F58" s="224"/>
      <c r="G58" s="224">
        <f t="shared" ref="G58:G63" si="35">E58+F58+I57</f>
        <v>15.584</v>
      </c>
      <c r="H58" s="224">
        <v>1.0780000000000001</v>
      </c>
      <c r="I58" s="224">
        <f>G58-H58</f>
        <v>14.506</v>
      </c>
      <c r="J58" s="238">
        <f t="shared" ref="J58:J70" si="36">(H58/G58)</f>
        <v>6.9173511293634499E-2</v>
      </c>
      <c r="K58" s="92" t="s">
        <v>171</v>
      </c>
      <c r="L58" s="345"/>
      <c r="M58" s="348"/>
      <c r="N58" s="348"/>
      <c r="O58" s="348"/>
      <c r="P58" s="348"/>
      <c r="Q58" s="323"/>
      <c r="R58" s="4"/>
      <c r="S58" s="4"/>
    </row>
    <row r="59" spans="2:19">
      <c r="B59" s="339"/>
      <c r="C59" s="342"/>
      <c r="D59" s="73" t="s">
        <v>35</v>
      </c>
      <c r="E59" s="228">
        <v>9</v>
      </c>
      <c r="F59" s="224"/>
      <c r="G59" s="224">
        <f t="shared" si="35"/>
        <v>23.506</v>
      </c>
      <c r="H59" s="224"/>
      <c r="I59" s="224">
        <f t="shared" ref="I59:I68" si="37">G59-H59</f>
        <v>23.506</v>
      </c>
      <c r="J59" s="238">
        <f t="shared" si="36"/>
        <v>0</v>
      </c>
      <c r="K59" s="92" t="s">
        <v>171</v>
      </c>
      <c r="L59" s="345"/>
      <c r="M59" s="348"/>
      <c r="N59" s="348"/>
      <c r="O59" s="348"/>
      <c r="P59" s="348"/>
      <c r="Q59" s="323"/>
      <c r="R59" s="4"/>
      <c r="S59" s="4"/>
    </row>
    <row r="60" spans="2:19">
      <c r="B60" s="339"/>
      <c r="C60" s="342"/>
      <c r="D60" s="73" t="s">
        <v>36</v>
      </c>
      <c r="E60" s="228">
        <v>9</v>
      </c>
      <c r="F60" s="224"/>
      <c r="G60" s="224">
        <f t="shared" si="35"/>
        <v>32.506</v>
      </c>
      <c r="H60" s="224"/>
      <c r="I60" s="224">
        <f t="shared" si="37"/>
        <v>32.506</v>
      </c>
      <c r="J60" s="238">
        <f>(H60/G60)</f>
        <v>0</v>
      </c>
      <c r="K60" s="92" t="s">
        <v>171</v>
      </c>
      <c r="L60" s="345"/>
      <c r="M60" s="348"/>
      <c r="N60" s="348"/>
      <c r="O60" s="348"/>
      <c r="P60" s="348"/>
      <c r="Q60" s="323"/>
      <c r="R60" s="4"/>
      <c r="S60" s="4"/>
    </row>
    <row r="61" spans="2:19">
      <c r="B61" s="339"/>
      <c r="C61" s="342"/>
      <c r="D61" s="73" t="s">
        <v>37</v>
      </c>
      <c r="E61" s="228">
        <v>9</v>
      </c>
      <c r="F61" s="224"/>
      <c r="G61" s="224">
        <f t="shared" si="35"/>
        <v>41.506</v>
      </c>
      <c r="H61" s="224"/>
      <c r="I61" s="224">
        <f>G61-H61</f>
        <v>41.506</v>
      </c>
      <c r="J61" s="238">
        <f t="shared" si="36"/>
        <v>0</v>
      </c>
      <c r="K61" s="92" t="s">
        <v>171</v>
      </c>
      <c r="L61" s="345"/>
      <c r="M61" s="348"/>
      <c r="N61" s="348"/>
      <c r="O61" s="348"/>
      <c r="P61" s="348"/>
      <c r="Q61" s="323"/>
      <c r="R61" s="4"/>
      <c r="S61" s="4"/>
    </row>
    <row r="62" spans="2:19">
      <c r="B62" s="339"/>
      <c r="C62" s="342"/>
      <c r="D62" s="73" t="s">
        <v>38</v>
      </c>
      <c r="E62" s="228">
        <v>9</v>
      </c>
      <c r="F62" s="224"/>
      <c r="G62" s="224">
        <f t="shared" si="35"/>
        <v>50.506</v>
      </c>
      <c r="H62" s="224"/>
      <c r="I62" s="224">
        <f t="shared" si="37"/>
        <v>50.506</v>
      </c>
      <c r="J62" s="238">
        <f>(H62/G62)</f>
        <v>0</v>
      </c>
      <c r="K62" s="92" t="s">
        <v>171</v>
      </c>
      <c r="L62" s="345"/>
      <c r="M62" s="348"/>
      <c r="N62" s="348"/>
      <c r="O62" s="348"/>
      <c r="P62" s="348"/>
      <c r="Q62" s="323"/>
      <c r="R62" s="4"/>
      <c r="S62" s="28">
        <v>1</v>
      </c>
    </row>
    <row r="63" spans="2:19">
      <c r="B63" s="339"/>
      <c r="C63" s="342"/>
      <c r="D63" s="73" t="s">
        <v>39</v>
      </c>
      <c r="E63" s="228">
        <v>9</v>
      </c>
      <c r="F63" s="224"/>
      <c r="G63" s="224">
        <f t="shared" si="35"/>
        <v>59.506</v>
      </c>
      <c r="H63" s="224"/>
      <c r="I63" s="224">
        <f t="shared" si="37"/>
        <v>59.506</v>
      </c>
      <c r="J63" s="238">
        <f t="shared" si="36"/>
        <v>0</v>
      </c>
      <c r="K63" s="92" t="s">
        <v>171</v>
      </c>
      <c r="L63" s="345"/>
      <c r="M63" s="348"/>
      <c r="N63" s="348"/>
      <c r="O63" s="348"/>
      <c r="P63" s="348"/>
      <c r="Q63" s="323"/>
      <c r="R63" s="4"/>
      <c r="S63" s="4"/>
    </row>
    <row r="64" spans="2:19">
      <c r="B64" s="339"/>
      <c r="C64" s="342"/>
      <c r="D64" s="73" t="s">
        <v>40</v>
      </c>
      <c r="E64" s="228">
        <v>9</v>
      </c>
      <c r="F64" s="224"/>
      <c r="G64" s="224">
        <f>E64+F64+I63</f>
        <v>68.506</v>
      </c>
      <c r="H64" s="224"/>
      <c r="I64" s="224">
        <f t="shared" si="37"/>
        <v>68.506</v>
      </c>
      <c r="J64" s="238">
        <f t="shared" si="36"/>
        <v>0</v>
      </c>
      <c r="K64" s="84" t="s">
        <v>171</v>
      </c>
      <c r="L64" s="345"/>
      <c r="M64" s="348"/>
      <c r="N64" s="348"/>
      <c r="O64" s="348"/>
      <c r="P64" s="348"/>
      <c r="Q64" s="323"/>
      <c r="R64" s="4"/>
      <c r="S64" s="4"/>
    </row>
    <row r="65" spans="2:19">
      <c r="B65" s="339"/>
      <c r="C65" s="342"/>
      <c r="D65" s="73" t="s">
        <v>41</v>
      </c>
      <c r="E65" s="228">
        <v>9</v>
      </c>
      <c r="F65" s="224"/>
      <c r="G65" s="224">
        <f>E65+F65+I64</f>
        <v>77.506</v>
      </c>
      <c r="H65" s="224"/>
      <c r="I65" s="224">
        <f t="shared" si="37"/>
        <v>77.506</v>
      </c>
      <c r="J65" s="238">
        <f t="shared" si="36"/>
        <v>0</v>
      </c>
      <c r="K65" s="84" t="s">
        <v>171</v>
      </c>
      <c r="L65" s="345"/>
      <c r="M65" s="348"/>
      <c r="N65" s="348"/>
      <c r="O65" s="348"/>
      <c r="P65" s="348"/>
      <c r="Q65" s="323"/>
      <c r="R65" s="28">
        <v>1</v>
      </c>
      <c r="S65" s="4"/>
    </row>
    <row r="66" spans="2:19">
      <c r="B66" s="339"/>
      <c r="C66" s="342"/>
      <c r="D66" s="73" t="s">
        <v>42</v>
      </c>
      <c r="E66" s="228">
        <v>9</v>
      </c>
      <c r="F66" s="224"/>
      <c r="G66" s="224">
        <f>E66+F66+I65</f>
        <v>86.506</v>
      </c>
      <c r="H66" s="224"/>
      <c r="I66" s="224">
        <f t="shared" si="37"/>
        <v>86.506</v>
      </c>
      <c r="J66" s="238">
        <f t="shared" si="36"/>
        <v>0</v>
      </c>
      <c r="K66" s="84" t="s">
        <v>171</v>
      </c>
      <c r="L66" s="345"/>
      <c r="M66" s="348"/>
      <c r="N66" s="348"/>
      <c r="O66" s="348"/>
      <c r="P66" s="348"/>
      <c r="Q66" s="323"/>
      <c r="R66" s="4"/>
      <c r="S66" s="4"/>
    </row>
    <row r="67" spans="2:19">
      <c r="B67" s="339"/>
      <c r="C67" s="342"/>
      <c r="D67" s="73" t="s">
        <v>43</v>
      </c>
      <c r="E67" s="228">
        <v>10</v>
      </c>
      <c r="F67" s="224"/>
      <c r="G67" s="224">
        <f>E67+F67+I66</f>
        <v>96.506</v>
      </c>
      <c r="H67" s="224"/>
      <c r="I67" s="224">
        <f t="shared" si="37"/>
        <v>96.506</v>
      </c>
      <c r="J67" s="238">
        <f t="shared" si="36"/>
        <v>0</v>
      </c>
      <c r="K67" s="84" t="s">
        <v>171</v>
      </c>
      <c r="L67" s="345"/>
      <c r="M67" s="348"/>
      <c r="N67" s="348"/>
      <c r="O67" s="348"/>
      <c r="P67" s="348"/>
      <c r="Q67" s="323"/>
      <c r="R67" s="12"/>
      <c r="S67" s="12"/>
    </row>
    <row r="68" spans="2:19" ht="15.75" thickBot="1">
      <c r="B68" s="340"/>
      <c r="C68" s="343"/>
      <c r="D68" s="75" t="s">
        <v>44</v>
      </c>
      <c r="E68" s="265">
        <v>10</v>
      </c>
      <c r="F68" s="225"/>
      <c r="G68" s="225">
        <f>E68+F68+I67</f>
        <v>106.506</v>
      </c>
      <c r="H68" s="225"/>
      <c r="I68" s="225">
        <f t="shared" si="37"/>
        <v>106.506</v>
      </c>
      <c r="J68" s="239">
        <f t="shared" si="36"/>
        <v>0</v>
      </c>
      <c r="K68" s="85" t="s">
        <v>171</v>
      </c>
      <c r="L68" s="346"/>
      <c r="M68" s="349"/>
      <c r="N68" s="349"/>
      <c r="O68" s="349"/>
      <c r="P68" s="349"/>
      <c r="Q68" s="324"/>
      <c r="R68" s="10"/>
      <c r="S68" s="10"/>
    </row>
    <row r="69" spans="2:19" ht="15.95" customHeight="1" thickBot="1">
      <c r="B69" s="48"/>
      <c r="C69" s="76"/>
      <c r="D69" s="49"/>
      <c r="E69" s="49"/>
      <c r="F69" s="49"/>
      <c r="G69" s="186"/>
      <c r="H69" s="186"/>
      <c r="I69" s="186"/>
      <c r="J69" s="66"/>
      <c r="K69" s="51"/>
      <c r="L69" s="49"/>
      <c r="M69" s="49"/>
      <c r="N69" s="49"/>
      <c r="O69" s="49"/>
      <c r="P69" s="49"/>
      <c r="Q69" s="93"/>
      <c r="R69" s="10"/>
      <c r="S69" s="10"/>
    </row>
    <row r="70" spans="2:19" ht="15.75" thickBot="1">
      <c r="B70" s="94"/>
      <c r="C70" s="95" t="s">
        <v>25</v>
      </c>
      <c r="D70" s="96" t="s">
        <v>45</v>
      </c>
      <c r="E70" s="97"/>
      <c r="F70" s="98"/>
      <c r="G70" s="187">
        <f>E70+F70</f>
        <v>0</v>
      </c>
      <c r="H70" s="187"/>
      <c r="I70" s="187">
        <f>G70-H70</f>
        <v>0</v>
      </c>
      <c r="J70" s="214" t="e">
        <f t="shared" si="36"/>
        <v>#DIV/0!</v>
      </c>
      <c r="K70" s="99" t="s">
        <v>171</v>
      </c>
      <c r="L70" s="188">
        <f>E70</f>
        <v>0</v>
      </c>
      <c r="M70" s="189">
        <f>F70</f>
        <v>0</v>
      </c>
      <c r="N70" s="189">
        <f>L70+M70</f>
        <v>0</v>
      </c>
      <c r="O70" s="189">
        <f>H70</f>
        <v>0</v>
      </c>
      <c r="P70" s="189">
        <f>N70-O70</f>
        <v>0</v>
      </c>
      <c r="Q70" s="215" t="e">
        <f>O70/N70</f>
        <v>#DIV/0!</v>
      </c>
      <c r="R70" s="10"/>
      <c r="S70" s="10"/>
    </row>
    <row r="71" spans="2:19" ht="36.75" customHeight="1" thickBot="1">
      <c r="B71" s="48"/>
      <c r="C71" s="61"/>
      <c r="D71" s="61"/>
      <c r="E71" s="62"/>
      <c r="F71" s="62"/>
      <c r="G71" s="62"/>
      <c r="H71" s="62"/>
      <c r="I71" s="65"/>
      <c r="J71" s="65"/>
      <c r="K71" s="90"/>
      <c r="L71" s="67"/>
      <c r="M71" s="62"/>
      <c r="N71" s="62"/>
      <c r="O71" s="62"/>
      <c r="P71" s="65"/>
      <c r="Q71" s="65"/>
      <c r="R71" s="10"/>
      <c r="S71" s="10"/>
    </row>
    <row r="72" spans="2:19" ht="15" customHeight="1">
      <c r="B72" s="353" t="s">
        <v>46</v>
      </c>
      <c r="C72" s="354"/>
      <c r="D72" s="354"/>
      <c r="E72" s="354"/>
      <c r="F72" s="354"/>
      <c r="G72" s="354"/>
      <c r="H72" s="354"/>
      <c r="I72" s="354"/>
      <c r="J72" s="354"/>
      <c r="K72" s="359"/>
      <c r="L72" s="353" t="s">
        <v>0</v>
      </c>
      <c r="M72" s="354"/>
      <c r="N72" s="354"/>
      <c r="O72" s="354"/>
      <c r="P72" s="354"/>
      <c r="Q72" s="354"/>
      <c r="R72" s="10"/>
      <c r="S72" s="10"/>
    </row>
    <row r="73" spans="2:19" ht="15" customHeight="1">
      <c r="B73" s="355"/>
      <c r="C73" s="356"/>
      <c r="D73" s="356"/>
      <c r="E73" s="356"/>
      <c r="F73" s="356"/>
      <c r="G73" s="356"/>
      <c r="H73" s="356"/>
      <c r="I73" s="356"/>
      <c r="J73" s="356"/>
      <c r="K73" s="360"/>
      <c r="L73" s="355"/>
      <c r="M73" s="356"/>
      <c r="N73" s="356"/>
      <c r="O73" s="356"/>
      <c r="P73" s="356"/>
      <c r="Q73" s="356"/>
      <c r="R73" s="10"/>
      <c r="S73" s="10"/>
    </row>
    <row r="74" spans="2:19" ht="15" customHeight="1" thickBot="1">
      <c r="B74" s="357"/>
      <c r="C74" s="358"/>
      <c r="D74" s="358"/>
      <c r="E74" s="358"/>
      <c r="F74" s="358"/>
      <c r="G74" s="358"/>
      <c r="H74" s="358"/>
      <c r="I74" s="358"/>
      <c r="J74" s="358"/>
      <c r="K74" s="361"/>
      <c r="L74" s="357"/>
      <c r="M74" s="358"/>
      <c r="N74" s="358"/>
      <c r="O74" s="358"/>
      <c r="P74" s="358"/>
      <c r="Q74" s="358"/>
      <c r="R74" s="13"/>
      <c r="S74" s="13"/>
    </row>
    <row r="75" spans="2:19" ht="45.75" thickBot="1">
      <c r="B75" s="325" t="s">
        <v>1</v>
      </c>
      <c r="C75" s="326"/>
      <c r="D75" s="100" t="s">
        <v>3</v>
      </c>
      <c r="E75" s="101" t="s">
        <v>4</v>
      </c>
      <c r="F75" s="102" t="s">
        <v>5</v>
      </c>
      <c r="G75" s="102" t="s">
        <v>6</v>
      </c>
      <c r="H75" s="102" t="s">
        <v>7</v>
      </c>
      <c r="I75" s="102" t="s">
        <v>8</v>
      </c>
      <c r="J75" s="103" t="s">
        <v>9</v>
      </c>
      <c r="K75" s="104" t="s">
        <v>10</v>
      </c>
      <c r="L75" s="105" t="s">
        <v>11</v>
      </c>
      <c r="M75" s="106" t="s">
        <v>5</v>
      </c>
      <c r="N75" s="106" t="s">
        <v>6</v>
      </c>
      <c r="O75" s="106" t="s">
        <v>7</v>
      </c>
      <c r="P75" s="106" t="s">
        <v>8</v>
      </c>
      <c r="Q75" s="107" t="s">
        <v>9</v>
      </c>
      <c r="R75" s="14"/>
      <c r="S75" s="14"/>
    </row>
    <row r="76" spans="2:19">
      <c r="B76" s="327" t="s">
        <v>116</v>
      </c>
      <c r="C76" s="328"/>
      <c r="D76" s="108" t="s">
        <v>47</v>
      </c>
      <c r="E76" s="232">
        <v>22</v>
      </c>
      <c r="F76" s="233"/>
      <c r="G76" s="233">
        <f>E76+F76</f>
        <v>22</v>
      </c>
      <c r="H76" s="233">
        <v>0.188</v>
      </c>
      <c r="I76" s="233">
        <f>G76-H76</f>
        <v>21.812000000000001</v>
      </c>
      <c r="J76" s="216">
        <f>(H76/G76)</f>
        <v>8.5454545454545453E-3</v>
      </c>
      <c r="K76" s="109" t="s">
        <v>171</v>
      </c>
      <c r="L76" s="110">
        <f>E76</f>
        <v>22</v>
      </c>
      <c r="M76" s="111">
        <f>F76</f>
        <v>0</v>
      </c>
      <c r="N76" s="111">
        <f>L76-M76</f>
        <v>22</v>
      </c>
      <c r="O76" s="111">
        <f>H76</f>
        <v>0.188</v>
      </c>
      <c r="P76" s="111">
        <f>N76-O76</f>
        <v>21.812000000000001</v>
      </c>
      <c r="Q76" s="219">
        <f>O76/N76</f>
        <v>8.5454545454545453E-3</v>
      </c>
      <c r="R76" s="15"/>
      <c r="S76" s="15"/>
    </row>
    <row r="77" spans="2:19">
      <c r="B77" s="318" t="s">
        <v>48</v>
      </c>
      <c r="C77" s="319"/>
      <c r="D77" s="112" t="s">
        <v>47</v>
      </c>
      <c r="E77" s="234">
        <v>15</v>
      </c>
      <c r="F77" s="235"/>
      <c r="G77" s="235">
        <f t="shared" ref="G77:G80" si="38">E77+F77</f>
        <v>15</v>
      </c>
      <c r="H77" s="235"/>
      <c r="I77" s="235">
        <f t="shared" ref="I77:I80" si="39">G77-H77</f>
        <v>15</v>
      </c>
      <c r="J77" s="217">
        <f>H77/G77</f>
        <v>0</v>
      </c>
      <c r="K77" s="113" t="s">
        <v>171</v>
      </c>
      <c r="L77" s="114">
        <f>E77</f>
        <v>15</v>
      </c>
      <c r="M77" s="115">
        <f t="shared" ref="M77:P80" si="40">F77</f>
        <v>0</v>
      </c>
      <c r="N77" s="115">
        <f t="shared" si="40"/>
        <v>15</v>
      </c>
      <c r="O77" s="115">
        <f t="shared" si="40"/>
        <v>0</v>
      </c>
      <c r="P77" s="115">
        <f t="shared" si="40"/>
        <v>15</v>
      </c>
      <c r="Q77" s="220">
        <f>J77</f>
        <v>0</v>
      </c>
      <c r="R77" s="13"/>
      <c r="S77" s="13"/>
    </row>
    <row r="78" spans="2:19">
      <c r="B78" s="318" t="s">
        <v>49</v>
      </c>
      <c r="C78" s="319"/>
      <c r="D78" s="112" t="s">
        <v>47</v>
      </c>
      <c r="E78" s="234">
        <v>16</v>
      </c>
      <c r="F78" s="235"/>
      <c r="G78" s="235">
        <f t="shared" si="38"/>
        <v>16</v>
      </c>
      <c r="H78" s="235">
        <v>0.626</v>
      </c>
      <c r="I78" s="235">
        <f t="shared" si="39"/>
        <v>15.374000000000001</v>
      </c>
      <c r="J78" s="217">
        <f>H78/G78</f>
        <v>3.9125E-2</v>
      </c>
      <c r="K78" s="113" t="s">
        <v>171</v>
      </c>
      <c r="L78" s="114">
        <f>E78</f>
        <v>16</v>
      </c>
      <c r="M78" s="115">
        <f t="shared" si="40"/>
        <v>0</v>
      </c>
      <c r="N78" s="115">
        <f t="shared" si="40"/>
        <v>16</v>
      </c>
      <c r="O78" s="115">
        <f t="shared" si="40"/>
        <v>0.626</v>
      </c>
      <c r="P78" s="115">
        <f t="shared" si="40"/>
        <v>15.374000000000001</v>
      </c>
      <c r="Q78" s="220">
        <f>J78</f>
        <v>3.9125E-2</v>
      </c>
      <c r="R78" s="10"/>
      <c r="S78" s="10"/>
    </row>
    <row r="79" spans="2:19">
      <c r="B79" s="318" t="s">
        <v>50</v>
      </c>
      <c r="C79" s="319"/>
      <c r="D79" s="112" t="s">
        <v>47</v>
      </c>
      <c r="E79" s="234">
        <v>1.4</v>
      </c>
      <c r="F79" s="235"/>
      <c r="G79" s="235">
        <f t="shared" si="38"/>
        <v>1.4</v>
      </c>
      <c r="H79" s="235"/>
      <c r="I79" s="235">
        <f t="shared" si="39"/>
        <v>1.4</v>
      </c>
      <c r="J79" s="217">
        <f>H79/G79</f>
        <v>0</v>
      </c>
      <c r="K79" s="113" t="s">
        <v>171</v>
      </c>
      <c r="L79" s="114">
        <f>E79</f>
        <v>1.4</v>
      </c>
      <c r="M79" s="115">
        <f t="shared" si="40"/>
        <v>0</v>
      </c>
      <c r="N79" s="115">
        <f t="shared" si="40"/>
        <v>1.4</v>
      </c>
      <c r="O79" s="115">
        <f t="shared" si="40"/>
        <v>0</v>
      </c>
      <c r="P79" s="115">
        <f t="shared" si="40"/>
        <v>1.4</v>
      </c>
      <c r="Q79" s="220">
        <f>J79</f>
        <v>0</v>
      </c>
      <c r="R79" s="10"/>
      <c r="S79" s="10"/>
    </row>
    <row r="80" spans="2:19" ht="15.75" thickBot="1">
      <c r="B80" s="320" t="s">
        <v>51</v>
      </c>
      <c r="C80" s="321"/>
      <c r="D80" s="116" t="s">
        <v>47</v>
      </c>
      <c r="E80" s="236">
        <v>12.6</v>
      </c>
      <c r="F80" s="237"/>
      <c r="G80" s="237">
        <f t="shared" si="38"/>
        <v>12.6</v>
      </c>
      <c r="H80" s="237"/>
      <c r="I80" s="237">
        <f t="shared" si="39"/>
        <v>12.6</v>
      </c>
      <c r="J80" s="218">
        <f>H80/G80</f>
        <v>0</v>
      </c>
      <c r="K80" s="117" t="s">
        <v>171</v>
      </c>
      <c r="L80" s="118">
        <f>E80</f>
        <v>12.6</v>
      </c>
      <c r="M80" s="119">
        <f t="shared" si="40"/>
        <v>0</v>
      </c>
      <c r="N80" s="119">
        <f t="shared" si="40"/>
        <v>12.6</v>
      </c>
      <c r="O80" s="119">
        <f t="shared" si="40"/>
        <v>0</v>
      </c>
      <c r="P80" s="119">
        <f t="shared" si="40"/>
        <v>12.6</v>
      </c>
      <c r="Q80" s="221">
        <f>J80</f>
        <v>0</v>
      </c>
      <c r="R80" s="10"/>
      <c r="S80" s="10"/>
    </row>
    <row r="81" spans="2:19"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0"/>
      <c r="N81" s="10"/>
      <c r="O81" s="10"/>
      <c r="P81" s="10"/>
      <c r="Q81" s="10"/>
      <c r="R81" s="10"/>
      <c r="S81" s="10"/>
    </row>
    <row r="82" spans="2:19" hidden="1">
      <c r="B82" s="7"/>
      <c r="C82" s="7"/>
      <c r="D82" s="7"/>
      <c r="E82" s="7"/>
      <c r="F82" s="7"/>
      <c r="G82" s="7"/>
      <c r="H82" s="7"/>
      <c r="I82" s="7"/>
      <c r="J82" s="9">
        <v>1</v>
      </c>
      <c r="K82" s="7"/>
      <c r="L82" s="8"/>
      <c r="M82" s="10"/>
      <c r="N82" s="10"/>
      <c r="O82" s="10"/>
      <c r="P82" s="10"/>
      <c r="Q82" s="10"/>
      <c r="R82" s="10"/>
      <c r="S82" s="10"/>
    </row>
    <row r="83" spans="2:19"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0"/>
      <c r="N83" s="10"/>
      <c r="O83" s="10"/>
      <c r="P83" s="10"/>
      <c r="Q83" s="10"/>
      <c r="R83" s="10"/>
      <c r="S83" s="10"/>
    </row>
    <row r="84" spans="2:19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10"/>
      <c r="N84" s="10"/>
      <c r="O84" s="10"/>
      <c r="P84" s="10"/>
      <c r="Q84" s="10"/>
      <c r="R84" s="10"/>
      <c r="S84" s="10"/>
    </row>
    <row r="85" spans="2:19">
      <c r="B85" s="297"/>
      <c r="C85" s="20"/>
    </row>
    <row r="86" spans="2:19">
      <c r="B86" s="297"/>
      <c r="C86" s="17"/>
    </row>
    <row r="87" spans="2:19">
      <c r="B87" s="297"/>
      <c r="C87" s="17"/>
    </row>
  </sheetData>
  <mergeCells count="191">
    <mergeCell ref="L47:L49"/>
    <mergeCell ref="M47:M49"/>
    <mergeCell ref="N47:N49"/>
    <mergeCell ref="O47:O49"/>
    <mergeCell ref="P47:P49"/>
    <mergeCell ref="Q47:Q49"/>
    <mergeCell ref="C43:C44"/>
    <mergeCell ref="B43:B44"/>
    <mergeCell ref="K55:K56"/>
    <mergeCell ref="J55:J56"/>
    <mergeCell ref="I55:I56"/>
    <mergeCell ref="H55:H56"/>
    <mergeCell ref="G55:G56"/>
    <mergeCell ref="F55:F56"/>
    <mergeCell ref="E55:E56"/>
    <mergeCell ref="D55:D56"/>
    <mergeCell ref="C55:C56"/>
    <mergeCell ref="B55:B56"/>
    <mergeCell ref="C47:C49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9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8:C78"/>
    <mergeCell ref="B79:C79"/>
    <mergeCell ref="B80:C80"/>
    <mergeCell ref="Q57:Q68"/>
    <mergeCell ref="B75:C75"/>
    <mergeCell ref="B76:C76"/>
    <mergeCell ref="B77:C77"/>
    <mergeCell ref="P51:P53"/>
    <mergeCell ref="Q51:Q53"/>
    <mergeCell ref="L55:Q55"/>
    <mergeCell ref="B57:B68"/>
    <mergeCell ref="C57:C68"/>
    <mergeCell ref="L57:L68"/>
    <mergeCell ref="M57:M68"/>
    <mergeCell ref="N57:N68"/>
    <mergeCell ref="O57:O68"/>
    <mergeCell ref="P57:P68"/>
    <mergeCell ref="C51:C53"/>
    <mergeCell ref="L51:L53"/>
    <mergeCell ref="M51:M53"/>
    <mergeCell ref="L72:Q74"/>
    <mergeCell ref="B72:K74"/>
    <mergeCell ref="N51:N53"/>
    <mergeCell ref="O51:O53"/>
  </mergeCells>
  <pageMargins left="0.7" right="0.7" top="0.75" bottom="0.75" header="0.3" footer="0.3"/>
  <pageSetup paperSize="1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1:S43"/>
  <sheetViews>
    <sheetView zoomScale="90" zoomScaleNormal="90" workbookViewId="0">
      <selection activeCell="H8" sqref="H8:H20"/>
    </sheetView>
  </sheetViews>
  <sheetFormatPr baseColWidth="10" defaultColWidth="11.42578125" defaultRowHeight="15"/>
  <cols>
    <col min="1" max="1" width="32.7109375" style="1" customWidth="1"/>
    <col min="2" max="2" width="11.42578125" style="1"/>
    <col min="3" max="3" width="27.5703125" style="1" customWidth="1"/>
    <col min="4" max="4" width="11.42578125" style="1"/>
    <col min="5" max="5" width="14" style="1" customWidth="1"/>
    <col min="6" max="12" width="11.42578125" style="1"/>
    <col min="13" max="13" width="13.85546875" style="1" bestFit="1" customWidth="1"/>
    <col min="14" max="21" width="11.42578125" style="1"/>
    <col min="22" max="22" width="14.7109375" style="1" customWidth="1"/>
    <col min="23" max="16384" width="11.42578125" style="1"/>
  </cols>
  <sheetData>
    <row r="1" spans="2:19" ht="15.75" thickBot="1"/>
    <row r="2" spans="2:19" s="17" customFormat="1" ht="21">
      <c r="B2" s="412" t="s">
        <v>211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4"/>
    </row>
    <row r="3" spans="2:19" s="17" customFormat="1" ht="16.5" thickBot="1">
      <c r="B3" s="306">
        <f>+'Resumen anual Congrio dorado'!B$3</f>
        <v>43508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</row>
    <row r="4" spans="2:19" s="17" customForma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9" s="17" customFormat="1">
      <c r="B5" s="441" t="s">
        <v>73</v>
      </c>
      <c r="C5" s="441" t="s">
        <v>74</v>
      </c>
      <c r="D5" s="442" t="s">
        <v>3</v>
      </c>
      <c r="E5" s="444" t="s">
        <v>71</v>
      </c>
      <c r="F5" s="444"/>
      <c r="G5" s="444"/>
      <c r="H5" s="444" t="s">
        <v>72</v>
      </c>
      <c r="I5" s="444"/>
      <c r="J5" s="444"/>
      <c r="K5" s="444" t="s">
        <v>163</v>
      </c>
      <c r="L5" s="444"/>
      <c r="M5" s="444"/>
      <c r="N5" s="444"/>
      <c r="O5" s="444"/>
      <c r="P5" s="444"/>
    </row>
    <row r="6" spans="2:19" s="16" customFormat="1" ht="58.5" customHeight="1">
      <c r="B6" s="441"/>
      <c r="C6" s="441"/>
      <c r="D6" s="442"/>
      <c r="E6" s="242" t="s">
        <v>201</v>
      </c>
      <c r="F6" s="242" t="s">
        <v>75</v>
      </c>
      <c r="G6" s="242" t="s">
        <v>6</v>
      </c>
      <c r="H6" s="243" t="s">
        <v>76</v>
      </c>
      <c r="I6" s="243" t="s">
        <v>77</v>
      </c>
      <c r="J6" s="243" t="s">
        <v>78</v>
      </c>
      <c r="K6" s="244" t="s">
        <v>79</v>
      </c>
      <c r="L6" s="243" t="s">
        <v>75</v>
      </c>
      <c r="M6" s="243" t="s">
        <v>6</v>
      </c>
      <c r="N6" s="243" t="s">
        <v>76</v>
      </c>
      <c r="O6" s="245" t="s">
        <v>77</v>
      </c>
      <c r="P6" s="246" t="s">
        <v>78</v>
      </c>
    </row>
    <row r="7" spans="2:19" s="17" customFormat="1" ht="15" customHeight="1">
      <c r="B7" s="445" t="s">
        <v>80</v>
      </c>
      <c r="C7" s="443" t="s">
        <v>158</v>
      </c>
      <c r="D7" s="247" t="s">
        <v>81</v>
      </c>
      <c r="E7" s="25">
        <f>10.245+3.3375</f>
        <v>13.5825</v>
      </c>
      <c r="F7" s="24"/>
      <c r="G7" s="25">
        <f>E7+F7</f>
        <v>13.5825</v>
      </c>
      <c r="H7" s="24"/>
      <c r="I7" s="25">
        <f>G7-H7</f>
        <v>13.5825</v>
      </c>
      <c r="J7" s="248">
        <f>H7/G7</f>
        <v>0</v>
      </c>
      <c r="K7" s="433">
        <f>E7+E8</f>
        <v>27.164999999999999</v>
      </c>
      <c r="L7" s="433">
        <f>F7+F8</f>
        <v>0</v>
      </c>
      <c r="M7" s="433">
        <f>K7+L7</f>
        <v>27.164999999999999</v>
      </c>
      <c r="N7" s="433">
        <f>H7+H8</f>
        <v>0</v>
      </c>
      <c r="O7" s="433">
        <f>M7-N7</f>
        <v>27.164999999999999</v>
      </c>
      <c r="P7" s="432">
        <f>N7/M7</f>
        <v>0</v>
      </c>
    </row>
    <row r="8" spans="2:19" s="17" customFormat="1">
      <c r="B8" s="445"/>
      <c r="C8" s="443"/>
      <c r="D8" s="247" t="s">
        <v>85</v>
      </c>
      <c r="E8" s="25">
        <f>10.245+3.3375</f>
        <v>13.5825</v>
      </c>
      <c r="F8" s="25"/>
      <c r="G8" s="25">
        <f>E8+F8+I7</f>
        <v>27.164999999999999</v>
      </c>
      <c r="H8" s="24"/>
      <c r="I8" s="25">
        <f>G8-H8</f>
        <v>27.164999999999999</v>
      </c>
      <c r="J8" s="248">
        <f>H8/G8</f>
        <v>0</v>
      </c>
      <c r="K8" s="433"/>
      <c r="L8" s="433"/>
      <c r="M8" s="433"/>
      <c r="N8" s="433"/>
      <c r="O8" s="433"/>
      <c r="P8" s="432"/>
      <c r="R8" s="22"/>
      <c r="S8" s="23"/>
    </row>
    <row r="9" spans="2:19" s="17" customFormat="1" ht="15" customHeight="1">
      <c r="B9" s="445"/>
      <c r="C9" s="443" t="s">
        <v>159</v>
      </c>
      <c r="D9" s="247" t="s">
        <v>81</v>
      </c>
      <c r="E9" s="25">
        <v>9.3620000000000001</v>
      </c>
      <c r="F9" s="24"/>
      <c r="G9" s="25">
        <f>E9+F9</f>
        <v>9.3620000000000001</v>
      </c>
      <c r="H9" s="24">
        <v>1.68</v>
      </c>
      <c r="I9" s="25">
        <f t="shared" ref="I9:I22" si="0">G9-H9</f>
        <v>7.6820000000000004</v>
      </c>
      <c r="J9" s="248">
        <f t="shared" ref="J9:J16" si="1">H9/G9</f>
        <v>0.17944883571886347</v>
      </c>
      <c r="K9" s="433">
        <f>E9+E10</f>
        <v>18.724</v>
      </c>
      <c r="L9" s="433">
        <f t="shared" ref="L9" si="2">F9+F10</f>
        <v>0</v>
      </c>
      <c r="M9" s="433">
        <f t="shared" ref="M9" si="3">K9+L9</f>
        <v>18.724</v>
      </c>
      <c r="N9" s="433">
        <f t="shared" ref="N9" si="4">H9+H10</f>
        <v>1.68</v>
      </c>
      <c r="O9" s="433">
        <f t="shared" ref="O9" si="5">M9-N9</f>
        <v>17.044</v>
      </c>
      <c r="P9" s="432">
        <f t="shared" ref="P9" si="6">N9/M9</f>
        <v>8.9724417859431735E-2</v>
      </c>
    </row>
    <row r="10" spans="2:19" s="17" customFormat="1" ht="15.75" customHeight="1">
      <c r="B10" s="445"/>
      <c r="C10" s="443"/>
      <c r="D10" s="247" t="s">
        <v>85</v>
      </c>
      <c r="E10" s="25">
        <v>9.3620000000000001</v>
      </c>
      <c r="F10" s="24"/>
      <c r="G10" s="25">
        <f>E10+F10+I9</f>
        <v>17.044</v>
      </c>
      <c r="H10" s="24"/>
      <c r="I10" s="25">
        <f t="shared" si="0"/>
        <v>17.044</v>
      </c>
      <c r="J10" s="248">
        <f>H10/G10</f>
        <v>0</v>
      </c>
      <c r="K10" s="433"/>
      <c r="L10" s="433"/>
      <c r="M10" s="433"/>
      <c r="N10" s="433"/>
      <c r="O10" s="433"/>
      <c r="P10" s="432"/>
    </row>
    <row r="11" spans="2:19" s="17" customFormat="1">
      <c r="B11" s="445"/>
      <c r="C11" s="443" t="s">
        <v>160</v>
      </c>
      <c r="D11" s="247" t="s">
        <v>81</v>
      </c>
      <c r="E11" s="25">
        <v>206.614</v>
      </c>
      <c r="F11" s="24"/>
      <c r="G11" s="25">
        <f>E11+F11</f>
        <v>206.614</v>
      </c>
      <c r="H11" s="24">
        <v>7.8E-2</v>
      </c>
      <c r="I11" s="25">
        <f t="shared" si="0"/>
        <v>206.536</v>
      </c>
      <c r="J11" s="248">
        <f t="shared" si="1"/>
        <v>3.7751556041700949E-4</v>
      </c>
      <c r="K11" s="433">
        <f>E11+E12</f>
        <v>413.22800000000001</v>
      </c>
      <c r="L11" s="433">
        <f t="shared" ref="L11" si="7">F11+F12</f>
        <v>0</v>
      </c>
      <c r="M11" s="433">
        <f t="shared" ref="M11" si="8">K11+L11</f>
        <v>413.22800000000001</v>
      </c>
      <c r="N11" s="433">
        <f t="shared" ref="N11" si="9">H11+H12</f>
        <v>7.8E-2</v>
      </c>
      <c r="O11" s="433">
        <f t="shared" ref="O11" si="10">M11-N11</f>
        <v>413.15000000000003</v>
      </c>
      <c r="P11" s="432">
        <f t="shared" ref="P11" si="11">N11/M11</f>
        <v>1.8875778020850475E-4</v>
      </c>
    </row>
    <row r="12" spans="2:19" s="17" customFormat="1">
      <c r="B12" s="445"/>
      <c r="C12" s="443"/>
      <c r="D12" s="247" t="s">
        <v>85</v>
      </c>
      <c r="E12" s="25">
        <v>206.614</v>
      </c>
      <c r="F12" s="25"/>
      <c r="G12" s="25">
        <f>E12+F12+I11</f>
        <v>413.15</v>
      </c>
      <c r="H12" s="24"/>
      <c r="I12" s="25">
        <f t="shared" si="0"/>
        <v>413.15</v>
      </c>
      <c r="J12" s="248">
        <f t="shared" si="1"/>
        <v>0</v>
      </c>
      <c r="K12" s="433"/>
      <c r="L12" s="433"/>
      <c r="M12" s="433"/>
      <c r="N12" s="433"/>
      <c r="O12" s="433"/>
      <c r="P12" s="432"/>
    </row>
    <row r="13" spans="2:19" s="17" customFormat="1">
      <c r="B13" s="445"/>
      <c r="C13" s="443" t="s">
        <v>161</v>
      </c>
      <c r="D13" s="247" t="s">
        <v>81</v>
      </c>
      <c r="E13" s="25">
        <f>10.718+3.338</f>
        <v>14.056000000000001</v>
      </c>
      <c r="F13" s="24"/>
      <c r="G13" s="25">
        <f t="shared" ref="G13" si="12">E13+F13</f>
        <v>14.056000000000001</v>
      </c>
      <c r="H13" s="24"/>
      <c r="I13" s="25">
        <f t="shared" si="0"/>
        <v>14.056000000000001</v>
      </c>
      <c r="J13" s="248">
        <f t="shared" si="1"/>
        <v>0</v>
      </c>
      <c r="K13" s="433">
        <f>E13+E14</f>
        <v>28.112000000000002</v>
      </c>
      <c r="L13" s="433">
        <f t="shared" ref="L13" si="13">F13+F14</f>
        <v>0</v>
      </c>
      <c r="M13" s="433">
        <f t="shared" ref="M13" si="14">K13+L13</f>
        <v>28.112000000000002</v>
      </c>
      <c r="N13" s="433">
        <f t="shared" ref="N13" si="15">H13+H14</f>
        <v>0</v>
      </c>
      <c r="O13" s="433">
        <f t="shared" ref="O13" si="16">M13-N13</f>
        <v>28.112000000000002</v>
      </c>
      <c r="P13" s="432">
        <f t="shared" ref="P13" si="17">N13/M13</f>
        <v>0</v>
      </c>
    </row>
    <row r="14" spans="2:19" s="17" customFormat="1">
      <c r="B14" s="445"/>
      <c r="C14" s="443"/>
      <c r="D14" s="247" t="s">
        <v>85</v>
      </c>
      <c r="E14" s="25">
        <f>10.718+3.338</f>
        <v>14.056000000000001</v>
      </c>
      <c r="F14" s="24"/>
      <c r="G14" s="25">
        <f t="shared" ref="G14" si="18">E14+F14+I13</f>
        <v>28.112000000000002</v>
      </c>
      <c r="H14" s="24"/>
      <c r="I14" s="25">
        <f t="shared" si="0"/>
        <v>28.112000000000002</v>
      </c>
      <c r="J14" s="248">
        <f t="shared" si="1"/>
        <v>0</v>
      </c>
      <c r="K14" s="433"/>
      <c r="L14" s="433"/>
      <c r="M14" s="433"/>
      <c r="N14" s="433"/>
      <c r="O14" s="433"/>
      <c r="P14" s="432"/>
    </row>
    <row r="15" spans="2:19" s="17" customFormat="1">
      <c r="B15" s="445"/>
      <c r="C15" s="443" t="s">
        <v>162</v>
      </c>
      <c r="D15" s="247" t="s">
        <v>81</v>
      </c>
      <c r="E15" s="25">
        <v>16.684999999999999</v>
      </c>
      <c r="F15" s="24"/>
      <c r="G15" s="25">
        <f t="shared" ref="G15" si="19">E15+F15</f>
        <v>16.684999999999999</v>
      </c>
      <c r="H15" s="24">
        <v>1.7949999999999999</v>
      </c>
      <c r="I15" s="25">
        <f t="shared" si="0"/>
        <v>14.889999999999999</v>
      </c>
      <c r="J15" s="248">
        <f t="shared" si="1"/>
        <v>0.10758166017380881</v>
      </c>
      <c r="K15" s="433">
        <f>E15+E16</f>
        <v>33.369999999999997</v>
      </c>
      <c r="L15" s="433">
        <f t="shared" ref="L15" si="20">F15+F16</f>
        <v>0</v>
      </c>
      <c r="M15" s="433">
        <f t="shared" ref="M15" si="21">K15+L15</f>
        <v>33.369999999999997</v>
      </c>
      <c r="N15" s="433">
        <f t="shared" ref="N15" si="22">H15+H16</f>
        <v>1.7949999999999999</v>
      </c>
      <c r="O15" s="433">
        <f t="shared" ref="O15" si="23">M15-N15</f>
        <v>31.574999999999996</v>
      </c>
      <c r="P15" s="432">
        <f>N15/M15</f>
        <v>5.3790830086904405E-2</v>
      </c>
    </row>
    <row r="16" spans="2:19" s="17" customFormat="1">
      <c r="B16" s="445"/>
      <c r="C16" s="443"/>
      <c r="D16" s="247" t="s">
        <v>85</v>
      </c>
      <c r="E16" s="25">
        <v>16.684999999999999</v>
      </c>
      <c r="F16" s="24"/>
      <c r="G16" s="25">
        <f t="shared" ref="G16" si="24">E16+F16+I15</f>
        <v>31.574999999999996</v>
      </c>
      <c r="H16" s="24"/>
      <c r="I16" s="25">
        <f t="shared" si="0"/>
        <v>31.574999999999996</v>
      </c>
      <c r="J16" s="248">
        <f t="shared" si="1"/>
        <v>0</v>
      </c>
      <c r="K16" s="433"/>
      <c r="L16" s="433"/>
      <c r="M16" s="433"/>
      <c r="N16" s="433"/>
      <c r="O16" s="433"/>
      <c r="P16" s="432"/>
    </row>
    <row r="17" spans="2:16" s="17" customFormat="1" ht="15" customHeight="1">
      <c r="B17" s="445"/>
      <c r="C17" s="443" t="s">
        <v>200</v>
      </c>
      <c r="D17" s="247" t="s">
        <v>81</v>
      </c>
      <c r="E17" s="25">
        <v>2.5000000000000001E-2</v>
      </c>
      <c r="F17" s="24"/>
      <c r="G17" s="25">
        <f>E17+F17</f>
        <v>2.5000000000000001E-2</v>
      </c>
      <c r="H17" s="24"/>
      <c r="I17" s="25">
        <f>G17-H17</f>
        <v>2.5000000000000001E-2</v>
      </c>
      <c r="J17" s="248">
        <f t="shared" ref="J17:J23" si="25">H17/G17</f>
        <v>0</v>
      </c>
      <c r="K17" s="433">
        <f>E17+E18</f>
        <v>0.05</v>
      </c>
      <c r="L17" s="433">
        <f>F17+F18</f>
        <v>0</v>
      </c>
      <c r="M17" s="433">
        <f t="shared" ref="M17" si="26">K17+L17</f>
        <v>0.05</v>
      </c>
      <c r="N17" s="433">
        <f>H17+H18</f>
        <v>0</v>
      </c>
      <c r="O17" s="433">
        <f t="shared" ref="O17" si="27">M17-N17</f>
        <v>0.05</v>
      </c>
      <c r="P17" s="432">
        <f>N17/M17</f>
        <v>0</v>
      </c>
    </row>
    <row r="18" spans="2:16" s="17" customFormat="1">
      <c r="B18" s="445"/>
      <c r="C18" s="443"/>
      <c r="D18" s="247" t="s">
        <v>85</v>
      </c>
      <c r="E18" s="25">
        <v>2.5000000000000001E-2</v>
      </c>
      <c r="F18" s="24"/>
      <c r="G18" s="25">
        <f>E18+F18+I17</f>
        <v>0.05</v>
      </c>
      <c r="H18" s="24"/>
      <c r="I18" s="25">
        <f t="shared" si="0"/>
        <v>0.05</v>
      </c>
      <c r="J18" s="248">
        <f t="shared" si="25"/>
        <v>0</v>
      </c>
      <c r="K18" s="433"/>
      <c r="L18" s="433"/>
      <c r="M18" s="433"/>
      <c r="N18" s="433"/>
      <c r="O18" s="433"/>
      <c r="P18" s="432"/>
    </row>
    <row r="19" spans="2:16" s="17" customFormat="1">
      <c r="B19" s="445"/>
      <c r="C19" s="439" t="s">
        <v>214</v>
      </c>
      <c r="D19" s="247" t="s">
        <v>81</v>
      </c>
      <c r="E19" s="25">
        <f>1.6688+1.6688+1.6688</f>
        <v>5.0064000000000002</v>
      </c>
      <c r="F19" s="24"/>
      <c r="G19" s="25">
        <f>E19+F19</f>
        <v>5.0064000000000002</v>
      </c>
      <c r="H19" s="24"/>
      <c r="I19" s="25">
        <f>G19-H19</f>
        <v>5.0064000000000002</v>
      </c>
      <c r="J19" s="248">
        <f t="shared" si="25"/>
        <v>0</v>
      </c>
      <c r="K19" s="433">
        <f>E19+E20</f>
        <v>10.0128</v>
      </c>
      <c r="L19" s="433">
        <f>F19+F20</f>
        <v>0</v>
      </c>
      <c r="M19" s="433">
        <f t="shared" ref="M19" si="28">K19+L19</f>
        <v>10.0128</v>
      </c>
      <c r="N19" s="433">
        <f>H19+H20</f>
        <v>0</v>
      </c>
      <c r="O19" s="433">
        <f t="shared" ref="O19" si="29">M19-N19</f>
        <v>10.0128</v>
      </c>
      <c r="P19" s="432">
        <f>N19/M19</f>
        <v>0</v>
      </c>
    </row>
    <row r="20" spans="2:16" s="17" customFormat="1">
      <c r="B20" s="445"/>
      <c r="C20" s="440"/>
      <c r="D20" s="247" t="s">
        <v>85</v>
      </c>
      <c r="E20" s="25">
        <f>1.6688+1.6688+1.6688</f>
        <v>5.0064000000000002</v>
      </c>
      <c r="F20" s="24"/>
      <c r="G20" s="25">
        <f>E20+F20+I19</f>
        <v>10.0128</v>
      </c>
      <c r="H20" s="24"/>
      <c r="I20" s="25">
        <f t="shared" si="0"/>
        <v>10.0128</v>
      </c>
      <c r="J20" s="248">
        <f t="shared" si="25"/>
        <v>0</v>
      </c>
      <c r="K20" s="433"/>
      <c r="L20" s="433"/>
      <c r="M20" s="433"/>
      <c r="N20" s="433"/>
      <c r="O20" s="433"/>
      <c r="P20" s="432"/>
    </row>
    <row r="21" spans="2:16" s="17" customFormat="1">
      <c r="B21" s="445"/>
      <c r="C21" s="439" t="s">
        <v>215</v>
      </c>
      <c r="D21" s="247" t="s">
        <v>81</v>
      </c>
      <c r="E21" s="25">
        <v>1.6688000000000001</v>
      </c>
      <c r="F21" s="24"/>
      <c r="G21" s="25">
        <f>E21+F21</f>
        <v>1.6688000000000001</v>
      </c>
      <c r="H21" s="24"/>
      <c r="I21" s="25">
        <f>G21-H21</f>
        <v>1.6688000000000001</v>
      </c>
      <c r="J21" s="248">
        <f t="shared" si="25"/>
        <v>0</v>
      </c>
      <c r="K21" s="433">
        <f>E21+E22</f>
        <v>3.3376000000000001</v>
      </c>
      <c r="L21" s="433">
        <f>F21+F22</f>
        <v>0</v>
      </c>
      <c r="M21" s="433">
        <f t="shared" ref="M21" si="30">K21+L21</f>
        <v>3.3376000000000001</v>
      </c>
      <c r="N21" s="433">
        <f>H21+H22</f>
        <v>0</v>
      </c>
      <c r="O21" s="433">
        <f t="shared" ref="O21" si="31">M21-N21</f>
        <v>3.3376000000000001</v>
      </c>
      <c r="P21" s="432">
        <f>N21/M21</f>
        <v>0</v>
      </c>
    </row>
    <row r="22" spans="2:16" s="17" customFormat="1">
      <c r="B22" s="445"/>
      <c r="C22" s="440"/>
      <c r="D22" s="247" t="s">
        <v>85</v>
      </c>
      <c r="E22" s="25">
        <v>1.6688000000000001</v>
      </c>
      <c r="F22" s="24"/>
      <c r="G22" s="25">
        <f>E22+F22+I21</f>
        <v>3.3376000000000001</v>
      </c>
      <c r="H22" s="24"/>
      <c r="I22" s="25">
        <f t="shared" si="0"/>
        <v>3.3376000000000001</v>
      </c>
      <c r="J22" s="248">
        <f t="shared" si="25"/>
        <v>0</v>
      </c>
      <c r="K22" s="433"/>
      <c r="L22" s="433"/>
      <c r="M22" s="433"/>
      <c r="N22" s="433"/>
      <c r="O22" s="433"/>
      <c r="P22" s="432"/>
    </row>
    <row r="23" spans="2:16" s="17" customFormat="1" ht="17.25" customHeight="1">
      <c r="B23" s="445"/>
      <c r="C23" s="446" t="s">
        <v>205</v>
      </c>
      <c r="D23" s="446"/>
      <c r="E23" s="252">
        <f>SUM(E7:E22)</f>
        <v>533.99939999999992</v>
      </c>
      <c r="F23" s="251">
        <f t="shared" ref="F23:H23" si="32">SUM(F7:F22)</f>
        <v>0</v>
      </c>
      <c r="G23" s="251">
        <f t="shared" si="32"/>
        <v>797.44609999999989</v>
      </c>
      <c r="H23" s="251">
        <f t="shared" si="32"/>
        <v>3.5529999999999999</v>
      </c>
      <c r="I23" s="252">
        <f>SUM(I7:I22)</f>
        <v>793.89309999999989</v>
      </c>
      <c r="J23" s="249">
        <f t="shared" si="25"/>
        <v>4.4554735423497594E-3</v>
      </c>
      <c r="K23" s="252">
        <f>SUM(K7:K22)</f>
        <v>533.99939999999992</v>
      </c>
      <c r="L23" s="252">
        <f t="shared" ref="L23:O23" si="33">SUM(L7:L22)</f>
        <v>0</v>
      </c>
      <c r="M23" s="252">
        <f t="shared" si="33"/>
        <v>533.99939999999992</v>
      </c>
      <c r="N23" s="252">
        <f>SUM(N7:N22)</f>
        <v>3.5529999999999999</v>
      </c>
      <c r="O23" s="252">
        <f t="shared" si="33"/>
        <v>530.44639999999993</v>
      </c>
      <c r="P23" s="249">
        <f>N23/M23</f>
        <v>6.6535655283507817E-3</v>
      </c>
    </row>
    <row r="24" spans="2:16" s="17" customFormat="1" ht="17.25" customHeight="1">
      <c r="B24" s="18"/>
      <c r="C24" s="19"/>
      <c r="D24" s="20"/>
      <c r="E24" s="20"/>
      <c r="F24" s="168"/>
      <c r="G24" s="20"/>
      <c r="H24" s="20"/>
      <c r="I24" s="20"/>
      <c r="J24" s="21"/>
      <c r="K24" s="20"/>
      <c r="L24" s="20"/>
      <c r="M24" s="20"/>
      <c r="N24" s="20"/>
      <c r="O24" s="20"/>
      <c r="P24" s="250"/>
    </row>
    <row r="25" spans="2:16" s="17" customFormat="1" ht="17.25" customHeight="1">
      <c r="B25" s="18"/>
      <c r="C25" s="19"/>
      <c r="D25" s="20"/>
      <c r="E25" s="20"/>
      <c r="F25" s="168"/>
      <c r="G25" s="20"/>
      <c r="H25" s="20"/>
      <c r="I25" s="20"/>
      <c r="J25" s="21"/>
      <c r="K25" s="20"/>
      <c r="L25" s="20"/>
      <c r="M25" s="20"/>
      <c r="N25" s="20"/>
      <c r="O25" s="20"/>
      <c r="P25" s="250"/>
    </row>
    <row r="26" spans="2:16" s="17" customFormat="1" ht="21" customHeight="1">
      <c r="B26" s="18"/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1"/>
    </row>
    <row r="27" spans="2:16" s="17" customFormat="1" ht="24" customHeight="1">
      <c r="B27" s="441" t="s">
        <v>73</v>
      </c>
      <c r="C27" s="441" t="s">
        <v>74</v>
      </c>
      <c r="D27" s="442" t="s">
        <v>3</v>
      </c>
      <c r="E27" s="444" t="s">
        <v>71</v>
      </c>
      <c r="F27" s="444"/>
      <c r="G27" s="444"/>
      <c r="H27" s="444" t="s">
        <v>72</v>
      </c>
      <c r="I27" s="444"/>
      <c r="J27" s="444"/>
      <c r="K27" s="444" t="s">
        <v>163</v>
      </c>
      <c r="L27" s="444"/>
      <c r="M27" s="444"/>
      <c r="N27" s="444"/>
      <c r="O27" s="444"/>
      <c r="P27" s="444"/>
    </row>
    <row r="28" spans="2:16" s="17" customFormat="1" ht="51">
      <c r="B28" s="441"/>
      <c r="C28" s="441"/>
      <c r="D28" s="442"/>
      <c r="E28" s="242" t="s">
        <v>201</v>
      </c>
      <c r="F28" s="242"/>
      <c r="G28" s="242" t="s">
        <v>6</v>
      </c>
      <c r="H28" s="243" t="s">
        <v>76</v>
      </c>
      <c r="I28" s="243" t="s">
        <v>77</v>
      </c>
      <c r="J28" s="243" t="s">
        <v>78</v>
      </c>
      <c r="K28" s="244" t="s">
        <v>79</v>
      </c>
      <c r="L28" s="243" t="s">
        <v>75</v>
      </c>
      <c r="M28" s="243" t="s">
        <v>6</v>
      </c>
      <c r="N28" s="243" t="s">
        <v>76</v>
      </c>
      <c r="O28" s="245" t="s">
        <v>77</v>
      </c>
      <c r="P28" s="246" t="s">
        <v>78</v>
      </c>
    </row>
    <row r="29" spans="2:16" s="17" customFormat="1" ht="15" customHeight="1">
      <c r="B29" s="434" t="s">
        <v>89</v>
      </c>
      <c r="C29" s="443" t="s">
        <v>90</v>
      </c>
      <c r="D29" s="247" t="s">
        <v>81</v>
      </c>
      <c r="E29" s="24">
        <f>14.157+0.8625</f>
        <v>15.019500000000001</v>
      </c>
      <c r="F29" s="24"/>
      <c r="G29" s="24">
        <f>E29+F29</f>
        <v>15.019500000000001</v>
      </c>
      <c r="H29" s="24"/>
      <c r="I29" s="25">
        <f>G29-H29</f>
        <v>15.019500000000001</v>
      </c>
      <c r="J29" s="248">
        <f>H29/G29</f>
        <v>0</v>
      </c>
      <c r="K29" s="433">
        <f>E29+E30</f>
        <v>30.2575</v>
      </c>
      <c r="L29" s="433">
        <f>F29+F30</f>
        <v>0</v>
      </c>
      <c r="M29" s="433">
        <f>K29+L29</f>
        <v>30.2575</v>
      </c>
      <c r="N29" s="433">
        <f>H29+H30</f>
        <v>0</v>
      </c>
      <c r="O29" s="433">
        <f>M29-N29</f>
        <v>30.2575</v>
      </c>
      <c r="P29" s="432">
        <f>N29/M29</f>
        <v>0</v>
      </c>
    </row>
    <row r="30" spans="2:16" s="17" customFormat="1">
      <c r="B30" s="435"/>
      <c r="C30" s="443"/>
      <c r="D30" s="247" t="s">
        <v>85</v>
      </c>
      <c r="E30" s="24">
        <f>14.363+0.875</f>
        <v>15.238</v>
      </c>
      <c r="F30" s="24"/>
      <c r="G30" s="24">
        <f>E30+F30+I29</f>
        <v>30.2575</v>
      </c>
      <c r="H30" s="24"/>
      <c r="I30" s="25">
        <f t="shared" ref="I30:I42" si="34">G30-H30</f>
        <v>30.2575</v>
      </c>
      <c r="J30" s="248">
        <f>H30/G30</f>
        <v>0</v>
      </c>
      <c r="K30" s="433"/>
      <c r="L30" s="433"/>
      <c r="M30" s="433"/>
      <c r="N30" s="433"/>
      <c r="O30" s="433"/>
      <c r="P30" s="432"/>
    </row>
    <row r="31" spans="2:16" s="17" customFormat="1" ht="15" customHeight="1">
      <c r="B31" s="435"/>
      <c r="C31" s="443" t="s">
        <v>91</v>
      </c>
      <c r="D31" s="247" t="s">
        <v>81</v>
      </c>
      <c r="E31" s="24">
        <v>0.21299999999999999</v>
      </c>
      <c r="F31" s="24"/>
      <c r="G31" s="24">
        <f>E31+F31</f>
        <v>0.21299999999999999</v>
      </c>
      <c r="H31" s="24"/>
      <c r="I31" s="25">
        <f t="shared" si="34"/>
        <v>0.21299999999999999</v>
      </c>
      <c r="J31" s="248">
        <f t="shared" ref="J31:J43" si="35">H31/G31</f>
        <v>0</v>
      </c>
      <c r="K31" s="433">
        <f>E31+E32</f>
        <v>0.42899999999999999</v>
      </c>
      <c r="L31" s="433">
        <f t="shared" ref="L31" si="36">F31+F32</f>
        <v>0</v>
      </c>
      <c r="M31" s="433">
        <f t="shared" ref="M31" si="37">K31+L31</f>
        <v>0.42899999999999999</v>
      </c>
      <c r="N31" s="433">
        <f t="shared" ref="N31" si="38">H31+H32</f>
        <v>0</v>
      </c>
      <c r="O31" s="433">
        <f t="shared" ref="O31" si="39">M31-N31</f>
        <v>0.42899999999999999</v>
      </c>
      <c r="P31" s="432">
        <f t="shared" ref="P31" si="40">N31/M31</f>
        <v>0</v>
      </c>
    </row>
    <row r="32" spans="2:16" s="17" customFormat="1" ht="15.75" customHeight="1">
      <c r="B32" s="435"/>
      <c r="C32" s="443"/>
      <c r="D32" s="247" t="s">
        <v>85</v>
      </c>
      <c r="E32" s="24">
        <v>0.216</v>
      </c>
      <c r="F32" s="24"/>
      <c r="G32" s="24">
        <f>E32+F32+I31</f>
        <v>0.42899999999999999</v>
      </c>
      <c r="H32" s="24"/>
      <c r="I32" s="25">
        <f t="shared" si="34"/>
        <v>0.42899999999999999</v>
      </c>
      <c r="J32" s="248">
        <f t="shared" si="35"/>
        <v>0</v>
      </c>
      <c r="K32" s="433"/>
      <c r="L32" s="433"/>
      <c r="M32" s="433"/>
      <c r="N32" s="433"/>
      <c r="O32" s="433"/>
      <c r="P32" s="432"/>
    </row>
    <row r="33" spans="2:16" s="17" customFormat="1">
      <c r="B33" s="435"/>
      <c r="C33" s="443" t="s">
        <v>93</v>
      </c>
      <c r="D33" s="247" t="s">
        <v>81</v>
      </c>
      <c r="E33" s="24">
        <v>42.338999999999999</v>
      </c>
      <c r="F33" s="24"/>
      <c r="G33" s="24">
        <f>E33+F33</f>
        <v>42.338999999999999</v>
      </c>
      <c r="H33" s="24">
        <v>4.056</v>
      </c>
      <c r="I33" s="25">
        <f t="shared" si="34"/>
        <v>38.283000000000001</v>
      </c>
      <c r="J33" s="248">
        <f t="shared" si="35"/>
        <v>9.5798200240912637E-2</v>
      </c>
      <c r="K33" s="433">
        <f>E33+E34</f>
        <v>85.292000000000002</v>
      </c>
      <c r="L33" s="433">
        <f t="shared" ref="L33" si="41">F33+F34</f>
        <v>0</v>
      </c>
      <c r="M33" s="433">
        <f t="shared" ref="M33" si="42">K33+L33</f>
        <v>85.292000000000002</v>
      </c>
      <c r="N33" s="433">
        <f t="shared" ref="N33" si="43">H33+H34</f>
        <v>4.056</v>
      </c>
      <c r="O33" s="433">
        <f t="shared" ref="O33" si="44">M33-N33</f>
        <v>81.236000000000004</v>
      </c>
      <c r="P33" s="432">
        <f t="shared" ref="P33" si="45">N33/M33</f>
        <v>4.7554284106364017E-2</v>
      </c>
    </row>
    <row r="34" spans="2:16" s="17" customFormat="1">
      <c r="B34" s="435"/>
      <c r="C34" s="443"/>
      <c r="D34" s="247" t="s">
        <v>85</v>
      </c>
      <c r="E34" s="24">
        <v>42.953000000000003</v>
      </c>
      <c r="F34" s="24"/>
      <c r="G34" s="24">
        <f>E34+F34+I33</f>
        <v>81.236000000000004</v>
      </c>
      <c r="H34" s="24"/>
      <c r="I34" s="25">
        <f t="shared" si="34"/>
        <v>81.236000000000004</v>
      </c>
      <c r="J34" s="248">
        <f t="shared" si="35"/>
        <v>0</v>
      </c>
      <c r="K34" s="433"/>
      <c r="L34" s="433"/>
      <c r="M34" s="433"/>
      <c r="N34" s="433"/>
      <c r="O34" s="433"/>
      <c r="P34" s="432"/>
    </row>
    <row r="35" spans="2:16" s="17" customFormat="1">
      <c r="B35" s="435"/>
      <c r="C35" s="443" t="s">
        <v>88</v>
      </c>
      <c r="D35" s="247" t="s">
        <v>81</v>
      </c>
      <c r="E35" s="24">
        <f>8.736+0.8625</f>
        <v>9.5985000000000014</v>
      </c>
      <c r="F35" s="24"/>
      <c r="G35" s="24">
        <f t="shared" ref="G35" si="46">E35+F35</f>
        <v>9.5985000000000014</v>
      </c>
      <c r="H35" s="24"/>
      <c r="I35" s="25">
        <f t="shared" si="34"/>
        <v>9.5985000000000014</v>
      </c>
      <c r="J35" s="248">
        <f t="shared" si="35"/>
        <v>0</v>
      </c>
      <c r="K35" s="433">
        <f>E35+E36</f>
        <v>19.335500000000003</v>
      </c>
      <c r="L35" s="433">
        <f t="shared" ref="L35" si="47">F35+F36</f>
        <v>0</v>
      </c>
      <c r="M35" s="433">
        <f t="shared" ref="M35" si="48">K35+L35</f>
        <v>19.335500000000003</v>
      </c>
      <c r="N35" s="433">
        <f t="shared" ref="N35" si="49">H35+H36</f>
        <v>0</v>
      </c>
      <c r="O35" s="433">
        <f t="shared" ref="O35" si="50">M35-N35</f>
        <v>19.335500000000003</v>
      </c>
      <c r="P35" s="432">
        <f t="shared" ref="P35" si="51">N35/M35</f>
        <v>0</v>
      </c>
    </row>
    <row r="36" spans="2:16" s="17" customFormat="1">
      <c r="B36" s="435"/>
      <c r="C36" s="443"/>
      <c r="D36" s="247" t="s">
        <v>85</v>
      </c>
      <c r="E36" s="24">
        <f>8.862+0.875</f>
        <v>9.7370000000000001</v>
      </c>
      <c r="F36" s="24"/>
      <c r="G36" s="24">
        <f t="shared" ref="G36" si="52">E36+F36+I35</f>
        <v>19.335500000000003</v>
      </c>
      <c r="H36" s="24"/>
      <c r="I36" s="25">
        <f t="shared" si="34"/>
        <v>19.335500000000003</v>
      </c>
      <c r="J36" s="248">
        <f t="shared" si="35"/>
        <v>0</v>
      </c>
      <c r="K36" s="433"/>
      <c r="L36" s="433"/>
      <c r="M36" s="433"/>
      <c r="N36" s="433"/>
      <c r="O36" s="433"/>
      <c r="P36" s="432"/>
    </row>
    <row r="37" spans="2:16" s="17" customFormat="1">
      <c r="B37" s="435"/>
      <c r="C37" s="443" t="s">
        <v>94</v>
      </c>
      <c r="D37" s="247" t="s">
        <v>81</v>
      </c>
      <c r="E37" s="25">
        <v>0.105</v>
      </c>
      <c r="F37" s="24"/>
      <c r="G37" s="24">
        <f t="shared" ref="G37:G41" si="53">E37+F37</f>
        <v>0.105</v>
      </c>
      <c r="H37" s="24"/>
      <c r="I37" s="25">
        <f t="shared" si="34"/>
        <v>0.105</v>
      </c>
      <c r="J37" s="248">
        <f t="shared" si="35"/>
        <v>0</v>
      </c>
      <c r="K37" s="433">
        <f>E37+E38</f>
        <v>0.21099999999999999</v>
      </c>
      <c r="L37" s="433">
        <f t="shared" ref="L37" si="54">F37+F38</f>
        <v>0</v>
      </c>
      <c r="M37" s="433">
        <f t="shared" ref="M37" si="55">K37+L37</f>
        <v>0.21099999999999999</v>
      </c>
      <c r="N37" s="433">
        <f t="shared" ref="N37" si="56">H37+H38</f>
        <v>0</v>
      </c>
      <c r="O37" s="433">
        <f t="shared" ref="O37" si="57">M37-N37</f>
        <v>0.21099999999999999</v>
      </c>
      <c r="P37" s="432">
        <f t="shared" ref="P37" si="58">N37/M37</f>
        <v>0</v>
      </c>
    </row>
    <row r="38" spans="2:16" s="17" customFormat="1">
      <c r="B38" s="435"/>
      <c r="C38" s="443"/>
      <c r="D38" s="247" t="s">
        <v>85</v>
      </c>
      <c r="E38" s="25">
        <v>0.106</v>
      </c>
      <c r="F38" s="24"/>
      <c r="G38" s="24">
        <f t="shared" ref="G38:G42" si="59">E38+F38+I37</f>
        <v>0.21099999999999999</v>
      </c>
      <c r="H38" s="24"/>
      <c r="I38" s="25">
        <f t="shared" si="34"/>
        <v>0.21099999999999999</v>
      </c>
      <c r="J38" s="248">
        <f t="shared" si="35"/>
        <v>0</v>
      </c>
      <c r="K38" s="433"/>
      <c r="L38" s="433"/>
      <c r="M38" s="433"/>
      <c r="N38" s="433"/>
      <c r="O38" s="433"/>
      <c r="P38" s="432"/>
    </row>
    <row r="39" spans="2:16" s="17" customFormat="1">
      <c r="B39" s="435"/>
      <c r="C39" s="439" t="s">
        <v>214</v>
      </c>
      <c r="D39" s="247" t="s">
        <v>81</v>
      </c>
      <c r="E39" s="25">
        <v>0.86250000000000004</v>
      </c>
      <c r="F39" s="24"/>
      <c r="G39" s="24">
        <f t="shared" si="53"/>
        <v>0.86250000000000004</v>
      </c>
      <c r="H39" s="24"/>
      <c r="I39" s="25">
        <f t="shared" si="34"/>
        <v>0.86250000000000004</v>
      </c>
      <c r="J39" s="248">
        <f t="shared" si="35"/>
        <v>0</v>
      </c>
      <c r="K39" s="433">
        <f>E39+E40</f>
        <v>1.7375</v>
      </c>
      <c r="L39" s="433">
        <f t="shared" ref="L39" si="60">F39+F40</f>
        <v>0</v>
      </c>
      <c r="M39" s="433">
        <f t="shared" ref="M39" si="61">K39+L39</f>
        <v>1.7375</v>
      </c>
      <c r="N39" s="433">
        <f t="shared" ref="N39" si="62">H39+H40</f>
        <v>0</v>
      </c>
      <c r="O39" s="433">
        <f t="shared" ref="O39" si="63">M39-N39</f>
        <v>1.7375</v>
      </c>
      <c r="P39" s="432">
        <f t="shared" ref="P39" si="64">N39/M39</f>
        <v>0</v>
      </c>
    </row>
    <row r="40" spans="2:16" s="17" customFormat="1">
      <c r="B40" s="435"/>
      <c r="C40" s="440"/>
      <c r="D40" s="247" t="s">
        <v>85</v>
      </c>
      <c r="E40" s="25">
        <v>0.875</v>
      </c>
      <c r="F40" s="24"/>
      <c r="G40" s="24">
        <f t="shared" si="59"/>
        <v>1.7375</v>
      </c>
      <c r="H40" s="24"/>
      <c r="I40" s="25">
        <f t="shared" si="34"/>
        <v>1.7375</v>
      </c>
      <c r="J40" s="248">
        <f t="shared" si="35"/>
        <v>0</v>
      </c>
      <c r="K40" s="433"/>
      <c r="L40" s="433"/>
      <c r="M40" s="433"/>
      <c r="N40" s="433"/>
      <c r="O40" s="433"/>
      <c r="P40" s="432"/>
    </row>
    <row r="41" spans="2:16" s="17" customFormat="1">
      <c r="B41" s="435"/>
      <c r="C41" s="439" t="s">
        <v>215</v>
      </c>
      <c r="D41" s="247" t="s">
        <v>81</v>
      </c>
      <c r="E41" s="25">
        <v>0.86250000000000004</v>
      </c>
      <c r="F41" s="24"/>
      <c r="G41" s="24">
        <f t="shared" si="53"/>
        <v>0.86250000000000004</v>
      </c>
      <c r="H41" s="24"/>
      <c r="I41" s="25">
        <f t="shared" si="34"/>
        <v>0.86250000000000004</v>
      </c>
      <c r="J41" s="248">
        <f t="shared" si="35"/>
        <v>0</v>
      </c>
      <c r="K41" s="433">
        <f>E41+E42</f>
        <v>1.7375</v>
      </c>
      <c r="L41" s="433">
        <f t="shared" ref="L41" si="65">F41+F42</f>
        <v>0</v>
      </c>
      <c r="M41" s="433">
        <f t="shared" ref="M41" si="66">K41+L41</f>
        <v>1.7375</v>
      </c>
      <c r="N41" s="433">
        <f t="shared" ref="N41" si="67">H41+H42</f>
        <v>0</v>
      </c>
      <c r="O41" s="433">
        <f t="shared" ref="O41" si="68">M41-N41</f>
        <v>1.7375</v>
      </c>
      <c r="P41" s="432">
        <f t="shared" ref="P41" si="69">N41/M41</f>
        <v>0</v>
      </c>
    </row>
    <row r="42" spans="2:16" s="17" customFormat="1">
      <c r="B42" s="435"/>
      <c r="C42" s="440"/>
      <c r="D42" s="247" t="s">
        <v>85</v>
      </c>
      <c r="E42" s="25">
        <v>0.875</v>
      </c>
      <c r="F42" s="24"/>
      <c r="G42" s="24">
        <f t="shared" si="59"/>
        <v>1.7375</v>
      </c>
      <c r="H42" s="24"/>
      <c r="I42" s="25">
        <f t="shared" si="34"/>
        <v>1.7375</v>
      </c>
      <c r="J42" s="248">
        <f t="shared" si="35"/>
        <v>0</v>
      </c>
      <c r="K42" s="433"/>
      <c r="L42" s="433"/>
      <c r="M42" s="433"/>
      <c r="N42" s="433"/>
      <c r="O42" s="433"/>
      <c r="P42" s="432"/>
    </row>
    <row r="43" spans="2:16" s="17" customFormat="1">
      <c r="B43" s="436"/>
      <c r="C43" s="437" t="s">
        <v>205</v>
      </c>
      <c r="D43" s="438"/>
      <c r="E43" s="252">
        <f>SUM(E29:E42)</f>
        <v>139</v>
      </c>
      <c r="F43" s="252">
        <f t="shared" ref="F43:I43" si="70">SUM(F29:F42)</f>
        <v>0</v>
      </c>
      <c r="G43" s="252">
        <f t="shared" si="70"/>
        <v>203.94400000000007</v>
      </c>
      <c r="H43" s="252">
        <f t="shared" si="70"/>
        <v>4.056</v>
      </c>
      <c r="I43" s="252">
        <f t="shared" si="70"/>
        <v>199.88800000000003</v>
      </c>
      <c r="J43" s="249">
        <f t="shared" si="35"/>
        <v>1.9887812340642522E-2</v>
      </c>
      <c r="K43" s="252">
        <f>SUM(K29:K42)</f>
        <v>139.00000000000003</v>
      </c>
      <c r="L43" s="252">
        <f t="shared" ref="L43:O43" si="71">SUM(L29:L42)</f>
        <v>0</v>
      </c>
      <c r="M43" s="252">
        <f t="shared" si="71"/>
        <v>139.00000000000003</v>
      </c>
      <c r="N43" s="252">
        <f t="shared" si="71"/>
        <v>4.056</v>
      </c>
      <c r="O43" s="252">
        <f t="shared" si="71"/>
        <v>134.94400000000005</v>
      </c>
      <c r="P43" s="249">
        <f>N43/M43</f>
        <v>2.9179856115107906E-2</v>
      </c>
    </row>
  </sheetData>
  <mergeCells count="123">
    <mergeCell ref="M15:M16"/>
    <mergeCell ref="C15:C16"/>
    <mergeCell ref="K15:K16"/>
    <mergeCell ref="P11:P12"/>
    <mergeCell ref="C13:C14"/>
    <mergeCell ref="M13:M14"/>
    <mergeCell ref="N13:N14"/>
    <mergeCell ref="O13:O14"/>
    <mergeCell ref="P13:P14"/>
    <mergeCell ref="B5:B6"/>
    <mergeCell ref="C5:C6"/>
    <mergeCell ref="D5:D6"/>
    <mergeCell ref="E5:G5"/>
    <mergeCell ref="H5:J5"/>
    <mergeCell ref="K5:P5"/>
    <mergeCell ref="C7:C8"/>
    <mergeCell ref="K7:K8"/>
    <mergeCell ref="L7:L8"/>
    <mergeCell ref="M7:M8"/>
    <mergeCell ref="B7:B23"/>
    <mergeCell ref="C23:D23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C9:C10"/>
    <mergeCell ref="K9:K10"/>
    <mergeCell ref="L9:L10"/>
    <mergeCell ref="M9:M10"/>
    <mergeCell ref="N9:N10"/>
    <mergeCell ref="N7:N8"/>
    <mergeCell ref="O7:O8"/>
    <mergeCell ref="P7:P8"/>
    <mergeCell ref="O9:O10"/>
    <mergeCell ref="P9:P10"/>
    <mergeCell ref="L17:L18"/>
    <mergeCell ref="M17:M18"/>
    <mergeCell ref="N17:N18"/>
    <mergeCell ref="O17:O18"/>
    <mergeCell ref="P17:P18"/>
    <mergeCell ref="C21:C22"/>
    <mergeCell ref="K19:K20"/>
    <mergeCell ref="L19:L20"/>
    <mergeCell ref="M19:M20"/>
    <mergeCell ref="N19:N20"/>
    <mergeCell ref="O19:O20"/>
    <mergeCell ref="P19:P20"/>
    <mergeCell ref="K21:K22"/>
    <mergeCell ref="L21:L22"/>
    <mergeCell ref="C17:C18"/>
    <mergeCell ref="K17:K18"/>
    <mergeCell ref="B2:P2"/>
    <mergeCell ref="B3:P3"/>
    <mergeCell ref="O33:O34"/>
    <mergeCell ref="N37:N38"/>
    <mergeCell ref="O37:O38"/>
    <mergeCell ref="P37:P38"/>
    <mergeCell ref="P33:P34"/>
    <mergeCell ref="C35:C36"/>
    <mergeCell ref="K35:K36"/>
    <mergeCell ref="L35:L36"/>
    <mergeCell ref="M35:M36"/>
    <mergeCell ref="N35:N36"/>
    <mergeCell ref="O35:O36"/>
    <mergeCell ref="P35:P36"/>
    <mergeCell ref="N29:N30"/>
    <mergeCell ref="C37:C38"/>
    <mergeCell ref="K37:K38"/>
    <mergeCell ref="L37:L38"/>
    <mergeCell ref="C31:C32"/>
    <mergeCell ref="K31:K32"/>
    <mergeCell ref="L31:L32"/>
    <mergeCell ref="M31:M32"/>
    <mergeCell ref="N31:N32"/>
    <mergeCell ref="O31:O32"/>
    <mergeCell ref="B29:B43"/>
    <mergeCell ref="C43:D43"/>
    <mergeCell ref="C19:C20"/>
    <mergeCell ref="C39:C40"/>
    <mergeCell ref="C41:C42"/>
    <mergeCell ref="M37:M38"/>
    <mergeCell ref="N33:N34"/>
    <mergeCell ref="B27:B28"/>
    <mergeCell ref="C27:C28"/>
    <mergeCell ref="D27:D28"/>
    <mergeCell ref="C29:C30"/>
    <mergeCell ref="L29:L30"/>
    <mergeCell ref="M29:M30"/>
    <mergeCell ref="E27:G27"/>
    <mergeCell ref="H27:J27"/>
    <mergeCell ref="K27:P27"/>
    <mergeCell ref="C33:C34"/>
    <mergeCell ref="K33:K34"/>
    <mergeCell ref="L33:L34"/>
    <mergeCell ref="M33:M34"/>
    <mergeCell ref="M21:M22"/>
    <mergeCell ref="N21:N22"/>
    <mergeCell ref="O21:O22"/>
    <mergeCell ref="P21:P22"/>
    <mergeCell ref="P39:P40"/>
    <mergeCell ref="P41:P42"/>
    <mergeCell ref="O29:O30"/>
    <mergeCell ref="P29:P30"/>
    <mergeCell ref="P31:P32"/>
    <mergeCell ref="K29:K30"/>
    <mergeCell ref="K39:K40"/>
    <mergeCell ref="K41:K42"/>
    <mergeCell ref="L39:L40"/>
    <mergeCell ref="L41:L42"/>
    <mergeCell ref="M39:M40"/>
    <mergeCell ref="M41:M42"/>
    <mergeCell ref="N39:N40"/>
    <mergeCell ref="N41:N42"/>
    <mergeCell ref="O39:O40"/>
    <mergeCell ref="O41:O4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B1:L12"/>
  <sheetViews>
    <sheetView zoomScale="80" zoomScaleNormal="80" workbookViewId="0">
      <selection activeCell="H7" sqref="H7:H10"/>
    </sheetView>
  </sheetViews>
  <sheetFormatPr baseColWidth="10" defaultColWidth="11.42578125" defaultRowHeight="15"/>
  <cols>
    <col min="1" max="1" width="28.28515625" style="1" customWidth="1"/>
    <col min="2" max="2" width="50.5703125" style="1" customWidth="1"/>
    <col min="3" max="3" width="23" style="1" bestFit="1" customWidth="1"/>
    <col min="4" max="4" width="11.42578125" style="1"/>
    <col min="5" max="6" width="14" style="1" customWidth="1"/>
    <col min="7" max="7" width="12.140625" style="1" bestFit="1" customWidth="1"/>
    <col min="8" max="8" width="12.5703125" style="1" bestFit="1" customWidth="1"/>
    <col min="9" max="9" width="17.140625" style="1" customWidth="1"/>
    <col min="10" max="10" width="11.42578125" style="1"/>
    <col min="11" max="11" width="12.7109375" style="1" customWidth="1"/>
    <col min="12" max="12" width="16" style="1" bestFit="1" customWidth="1"/>
    <col min="13" max="16384" width="11.42578125" style="1"/>
  </cols>
  <sheetData>
    <row r="1" spans="2:12" s="34" customFormat="1" ht="34.5" customHeight="1" thickBot="1"/>
    <row r="2" spans="2:12" s="34" customFormat="1" ht="20.100000000000001" customHeight="1">
      <c r="B2" s="452" t="s">
        <v>212</v>
      </c>
      <c r="C2" s="453"/>
      <c r="D2" s="453"/>
      <c r="E2" s="453"/>
      <c r="F2" s="453"/>
      <c r="G2" s="453"/>
      <c r="H2" s="453"/>
      <c r="I2" s="453"/>
      <c r="J2" s="453"/>
      <c r="K2" s="453"/>
      <c r="L2" s="454"/>
    </row>
    <row r="3" spans="2:12" s="34" customFormat="1" ht="19.899999999999999" customHeight="1" thickBot="1">
      <c r="B3" s="455">
        <f>+'Resumen anual Congrio dorado'!B$3</f>
        <v>43508</v>
      </c>
      <c r="C3" s="456"/>
      <c r="D3" s="456"/>
      <c r="E3" s="456"/>
      <c r="F3" s="456"/>
      <c r="G3" s="456"/>
      <c r="H3" s="456"/>
      <c r="I3" s="456"/>
      <c r="J3" s="456"/>
      <c r="K3" s="456"/>
      <c r="L3" s="457"/>
    </row>
    <row r="4" spans="2:12" s="34" customFormat="1" ht="22.5" customHeight="1" thickBot="1"/>
    <row r="5" spans="2:12" s="34" customFormat="1" ht="26.25" customHeight="1">
      <c r="B5" s="458" t="s">
        <v>82</v>
      </c>
      <c r="C5" s="460" t="s">
        <v>100</v>
      </c>
      <c r="D5" s="462" t="s">
        <v>86</v>
      </c>
      <c r="E5" s="464" t="s">
        <v>101</v>
      </c>
      <c r="F5" s="475" t="s">
        <v>189</v>
      </c>
      <c r="G5" s="466" t="s">
        <v>102</v>
      </c>
      <c r="H5" s="467"/>
      <c r="I5" s="468" t="s">
        <v>103</v>
      </c>
      <c r="J5" s="470" t="s">
        <v>77</v>
      </c>
      <c r="K5" s="460" t="s">
        <v>104</v>
      </c>
      <c r="L5" s="473" t="s">
        <v>84</v>
      </c>
    </row>
    <row r="6" spans="2:12" s="34" customFormat="1" ht="30.75" customHeight="1" thickBot="1">
      <c r="B6" s="459"/>
      <c r="C6" s="461"/>
      <c r="D6" s="463"/>
      <c r="E6" s="465"/>
      <c r="F6" s="476"/>
      <c r="G6" s="137" t="s">
        <v>105</v>
      </c>
      <c r="H6" s="132" t="s">
        <v>106</v>
      </c>
      <c r="I6" s="469"/>
      <c r="J6" s="471"/>
      <c r="K6" s="472"/>
      <c r="L6" s="474"/>
    </row>
    <row r="7" spans="2:12" s="34" customFormat="1" ht="25.5" customHeight="1" thickBot="1">
      <c r="B7" s="447" t="s">
        <v>216</v>
      </c>
      <c r="C7" s="35" t="s">
        <v>95</v>
      </c>
      <c r="D7" s="136" t="s">
        <v>47</v>
      </c>
      <c r="E7" s="266">
        <v>2</v>
      </c>
      <c r="F7" s="267">
        <f>E7</f>
        <v>2</v>
      </c>
      <c r="G7" s="172"/>
      <c r="H7" s="127"/>
      <c r="I7" s="268">
        <f t="shared" ref="I7" si="0">G7+H7</f>
        <v>0</v>
      </c>
      <c r="J7" s="127">
        <f t="shared" ref="J7:J10" si="1">E7-I7</f>
        <v>2</v>
      </c>
      <c r="K7" s="222">
        <f>I7/E7</f>
        <v>0</v>
      </c>
      <c r="L7" s="26" t="s">
        <v>171</v>
      </c>
    </row>
    <row r="8" spans="2:12" s="34" customFormat="1" ht="20.100000000000001" customHeight="1" thickBot="1">
      <c r="B8" s="448"/>
      <c r="C8" s="450" t="s">
        <v>96</v>
      </c>
      <c r="D8" s="136" t="s">
        <v>97</v>
      </c>
      <c r="E8" s="269">
        <v>52</v>
      </c>
      <c r="F8" s="270">
        <f>E8</f>
        <v>52</v>
      </c>
      <c r="G8" s="172"/>
      <c r="H8" s="176">
        <v>54.395000000000003</v>
      </c>
      <c r="I8" s="268">
        <f>G8+H8</f>
        <v>54.395000000000003</v>
      </c>
      <c r="J8" s="127">
        <f>E8-I8</f>
        <v>-2.3950000000000031</v>
      </c>
      <c r="K8" s="222">
        <f>I8/F8</f>
        <v>1.0460576923076923</v>
      </c>
      <c r="L8" s="27">
        <v>43505</v>
      </c>
    </row>
    <row r="9" spans="2:12" s="34" customFormat="1" ht="20.100000000000001" customHeight="1" thickBot="1">
      <c r="B9" s="448"/>
      <c r="C9" s="451"/>
      <c r="D9" s="136" t="s">
        <v>98</v>
      </c>
      <c r="E9" s="271">
        <v>53</v>
      </c>
      <c r="F9" s="272">
        <f>E9+J8</f>
        <v>50.604999999999997</v>
      </c>
      <c r="G9" s="172"/>
      <c r="H9" s="176"/>
      <c r="I9" s="268">
        <f t="shared" ref="I9:I10" si="2">G9+H9</f>
        <v>0</v>
      </c>
      <c r="J9" s="127">
        <f>F9-I9</f>
        <v>50.604999999999997</v>
      </c>
      <c r="K9" s="222">
        <f>I9/F9</f>
        <v>0</v>
      </c>
      <c r="L9" s="27" t="s">
        <v>171</v>
      </c>
    </row>
    <row r="10" spans="2:12" s="34" customFormat="1" ht="20.100000000000001" customHeight="1" thickBot="1">
      <c r="B10" s="449"/>
      <c r="C10" s="36" t="s">
        <v>99</v>
      </c>
      <c r="D10" s="136" t="s">
        <v>47</v>
      </c>
      <c r="E10" s="273">
        <v>11</v>
      </c>
      <c r="F10" s="274">
        <f t="shared" ref="F10" si="3">E10</f>
        <v>11</v>
      </c>
      <c r="G10" s="172"/>
      <c r="H10" s="176">
        <v>0.28899999999999998</v>
      </c>
      <c r="I10" s="268">
        <f t="shared" si="2"/>
        <v>0.28899999999999998</v>
      </c>
      <c r="J10" s="127">
        <f t="shared" si="1"/>
        <v>10.711</v>
      </c>
      <c r="K10" s="222">
        <f>I10/E10</f>
        <v>2.6272727272727271E-2</v>
      </c>
      <c r="L10" s="26" t="s">
        <v>171</v>
      </c>
    </row>
    <row r="12" spans="2:12" hidden="1">
      <c r="K12" s="29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pageMargins left="0.7" right="0.7" top="0.75" bottom="0.75" header="0.3" footer="0.3"/>
  <pageSetup paperSize="9" orientation="portrait" horizontalDpi="4294967295" verticalDpi="4294967295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workbookViewId="0">
      <selection activeCell="B3" sqref="B3:I3"/>
    </sheetView>
  </sheetViews>
  <sheetFormatPr baseColWidth="10" defaultRowHeight="15"/>
  <cols>
    <col min="1" max="1" width="12.28515625" style="1" customWidth="1"/>
    <col min="2" max="2" width="37.7109375" style="1" bestFit="1" customWidth="1"/>
    <col min="3" max="3" width="19.5703125" style="1" customWidth="1"/>
    <col min="4" max="4" width="14.7109375" style="1" bestFit="1" customWidth="1"/>
    <col min="5" max="5" width="21.42578125" style="1" customWidth="1"/>
    <col min="6" max="6" width="24.28515625" style="1" bestFit="1" customWidth="1"/>
    <col min="7" max="7" width="16.5703125" style="1" customWidth="1"/>
    <col min="8" max="8" width="11.42578125" style="1"/>
    <col min="9" max="9" width="14.140625" style="1" customWidth="1"/>
    <col min="10" max="10" width="21.85546875" style="1" customWidth="1"/>
    <col min="11" max="11" width="11.42578125" style="1"/>
    <col min="12" max="12" width="18" style="1" customWidth="1"/>
    <col min="13" max="16384" width="11.42578125" style="1"/>
  </cols>
  <sheetData>
    <row r="1" spans="2:9" ht="41.25" customHeight="1" thickBot="1"/>
    <row r="2" spans="2:9">
      <c r="B2" s="477" t="s">
        <v>213</v>
      </c>
      <c r="C2" s="478"/>
      <c r="D2" s="478"/>
      <c r="E2" s="478"/>
      <c r="F2" s="478"/>
      <c r="G2" s="478"/>
      <c r="H2" s="478"/>
      <c r="I2" s="479"/>
    </row>
    <row r="3" spans="2:9" ht="15.75" thickBot="1">
      <c r="B3" s="480">
        <f>'Resumen anual Congrio dorado'!B3:I3</f>
        <v>43508</v>
      </c>
      <c r="C3" s="481"/>
      <c r="D3" s="481"/>
      <c r="E3" s="481"/>
      <c r="F3" s="481"/>
      <c r="G3" s="481"/>
      <c r="H3" s="481"/>
      <c r="I3" s="482"/>
    </row>
    <row r="4" spans="2:9">
      <c r="B4" s="161"/>
    </row>
    <row r="5" spans="2:9" ht="15.75" thickBot="1">
      <c r="B5" s="161"/>
    </row>
    <row r="6" spans="2:9" s="17" customFormat="1" ht="19.5" customHeight="1" thickBot="1">
      <c r="B6" s="163" t="s">
        <v>190</v>
      </c>
      <c r="C6" s="164" t="s">
        <v>191</v>
      </c>
      <c r="D6" s="164" t="s">
        <v>192</v>
      </c>
      <c r="E6" s="164" t="s">
        <v>83</v>
      </c>
      <c r="F6" s="165" t="s">
        <v>128</v>
      </c>
      <c r="G6" s="163" t="s">
        <v>7</v>
      </c>
      <c r="H6" s="164" t="s">
        <v>8</v>
      </c>
      <c r="I6" s="165" t="s">
        <v>193</v>
      </c>
    </row>
    <row r="7" spans="2:9">
      <c r="B7" s="157"/>
      <c r="C7" s="158"/>
      <c r="D7" s="159" t="s">
        <v>196</v>
      </c>
      <c r="E7" s="159"/>
      <c r="F7" s="498"/>
      <c r="G7" s="173"/>
      <c r="H7" s="500">
        <f>F7-(G7+G8)</f>
        <v>0</v>
      </c>
      <c r="I7" s="502" t="e">
        <f>(G7+G8)/F7</f>
        <v>#DIV/0!</v>
      </c>
    </row>
    <row r="8" spans="2:9">
      <c r="B8" s="149"/>
      <c r="C8" s="139"/>
      <c r="D8" s="138" t="s">
        <v>196</v>
      </c>
      <c r="E8" s="138"/>
      <c r="F8" s="499"/>
      <c r="G8" s="174"/>
      <c r="H8" s="501"/>
      <c r="I8" s="503"/>
    </row>
    <row r="9" spans="2:9" ht="15.75" thickBot="1">
      <c r="B9" s="150"/>
      <c r="C9" s="151"/>
      <c r="D9" s="152" t="s">
        <v>196</v>
      </c>
      <c r="E9" s="152"/>
      <c r="F9" s="153"/>
      <c r="G9" s="175"/>
      <c r="H9" s="154">
        <f>F9-G9</f>
        <v>0</v>
      </c>
      <c r="I9" s="155" t="e">
        <f>G9/F9</f>
        <v>#DIV/0!</v>
      </c>
    </row>
    <row r="10" spans="2:9">
      <c r="G10" s="162"/>
    </row>
    <row r="11" spans="2:9" ht="22.5" customHeight="1" thickBot="1"/>
    <row r="12" spans="2:9" s="17" customFormat="1" ht="26.25" customHeight="1" thickBot="1">
      <c r="B12" s="163" t="s">
        <v>195</v>
      </c>
      <c r="C12" s="164" t="s">
        <v>194</v>
      </c>
      <c r="D12" s="164" t="s">
        <v>197</v>
      </c>
      <c r="E12" s="164" t="s">
        <v>198</v>
      </c>
      <c r="F12" s="165" t="s">
        <v>199</v>
      </c>
      <c r="G12" s="77"/>
    </row>
    <row r="13" spans="2:9">
      <c r="B13" s="486"/>
      <c r="C13" s="160"/>
      <c r="D13" s="144"/>
      <c r="E13" s="167"/>
      <c r="F13" s="490"/>
      <c r="G13" s="6"/>
    </row>
    <row r="14" spans="2:9">
      <c r="B14" s="487"/>
      <c r="C14" s="140"/>
      <c r="D14" s="142"/>
      <c r="E14" s="145"/>
      <c r="F14" s="490"/>
      <c r="G14" s="6"/>
    </row>
    <row r="15" spans="2:9">
      <c r="B15" s="487"/>
      <c r="C15" s="140"/>
      <c r="D15" s="142"/>
      <c r="E15" s="145"/>
      <c r="F15" s="490"/>
      <c r="G15" s="6"/>
    </row>
    <row r="16" spans="2:9">
      <c r="B16" s="487"/>
      <c r="C16" s="140"/>
      <c r="D16" s="142"/>
      <c r="E16" s="145"/>
      <c r="F16" s="490"/>
    </row>
    <row r="17" spans="2:6">
      <c r="B17" s="487"/>
      <c r="C17" s="140"/>
      <c r="D17" s="142"/>
      <c r="E17" s="145"/>
      <c r="F17" s="490"/>
    </row>
    <row r="18" spans="2:6">
      <c r="B18" s="487"/>
      <c r="C18" s="140"/>
      <c r="D18" s="142"/>
      <c r="E18" s="145"/>
      <c r="F18" s="490"/>
    </row>
    <row r="19" spans="2:6">
      <c r="B19" s="488"/>
      <c r="C19" s="146"/>
      <c r="D19" s="143"/>
      <c r="E19" s="147"/>
      <c r="F19" s="490"/>
    </row>
    <row r="20" spans="2:6">
      <c r="B20" s="489"/>
      <c r="C20" s="146"/>
      <c r="D20" s="143"/>
      <c r="E20" s="147"/>
      <c r="F20" s="490"/>
    </row>
    <row r="21" spans="2:6">
      <c r="B21" s="486"/>
      <c r="C21" s="146"/>
      <c r="D21" s="143"/>
      <c r="E21" s="147"/>
      <c r="F21" s="491"/>
    </row>
    <row r="22" spans="2:6">
      <c r="B22" s="492"/>
      <c r="C22" s="141"/>
      <c r="D22" s="148"/>
      <c r="E22" s="495"/>
      <c r="F22" s="483"/>
    </row>
    <row r="23" spans="2:6">
      <c r="B23" s="493"/>
      <c r="C23" s="141"/>
      <c r="D23" s="148"/>
      <c r="E23" s="496"/>
      <c r="F23" s="484"/>
    </row>
    <row r="24" spans="2:6" ht="15.75" thickBot="1">
      <c r="B24" s="494"/>
      <c r="C24" s="156"/>
      <c r="D24" s="166"/>
      <c r="E24" s="497"/>
      <c r="F24" s="485"/>
    </row>
    <row r="26" spans="2:6">
      <c r="B26" s="6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O113"/>
  <sheetViews>
    <sheetView zoomScale="80" zoomScaleNormal="80" workbookViewId="0">
      <pane ySplit="1" topLeftCell="A78" activePane="bottomLeft" state="frozen"/>
      <selection pane="bottomLeft" activeCell="O2" sqref="O2:O113"/>
    </sheetView>
  </sheetViews>
  <sheetFormatPr baseColWidth="10" defaultColWidth="11.42578125" defaultRowHeight="15"/>
  <cols>
    <col min="1" max="1" width="34.140625" style="129" bestFit="1" customWidth="1"/>
    <col min="2" max="2" width="18.85546875" style="129" bestFit="1" customWidth="1"/>
    <col min="3" max="3" width="30.140625" style="129" bestFit="1" customWidth="1"/>
    <col min="4" max="4" width="30.5703125" style="129" bestFit="1" customWidth="1"/>
    <col min="5" max="5" width="29.85546875" style="129" bestFit="1" customWidth="1"/>
    <col min="6" max="6" width="14.5703125" style="129" bestFit="1" customWidth="1"/>
    <col min="7" max="7" width="13.85546875" style="129" bestFit="1" customWidth="1"/>
    <col min="8" max="8" width="9.85546875" style="129" bestFit="1" customWidth="1"/>
    <col min="9" max="9" width="21.7109375" style="129" bestFit="1" customWidth="1"/>
    <col min="10" max="11" width="15" style="129" bestFit="1" customWidth="1"/>
    <col min="12" max="12" width="11.42578125" style="129" bestFit="1" customWidth="1"/>
    <col min="13" max="13" width="17.7109375" style="131" bestFit="1" customWidth="1"/>
    <col min="14" max="14" width="11.28515625" style="171" bestFit="1" customWidth="1"/>
    <col min="15" max="15" width="11.42578125" style="129" bestFit="1" customWidth="1"/>
    <col min="16" max="16384" width="11.42578125" style="129"/>
  </cols>
  <sheetData>
    <row r="1" spans="1:15" s="128" customFormat="1" ht="15.75">
      <c r="A1" s="37" t="s">
        <v>122</v>
      </c>
      <c r="B1" s="37" t="s">
        <v>123</v>
      </c>
      <c r="C1" s="37" t="s">
        <v>83</v>
      </c>
      <c r="D1" s="37" t="s">
        <v>124</v>
      </c>
      <c r="E1" s="37" t="s">
        <v>125</v>
      </c>
      <c r="F1" s="37" t="s">
        <v>126</v>
      </c>
      <c r="G1" s="37" t="s">
        <v>127</v>
      </c>
      <c r="H1" s="37" t="s">
        <v>128</v>
      </c>
      <c r="I1" s="37" t="s">
        <v>129</v>
      </c>
      <c r="J1" s="37" t="s">
        <v>6</v>
      </c>
      <c r="K1" s="37" t="s">
        <v>130</v>
      </c>
      <c r="L1" s="37" t="s">
        <v>8</v>
      </c>
      <c r="M1" s="38" t="s">
        <v>131</v>
      </c>
      <c r="N1" s="169" t="s">
        <v>132</v>
      </c>
      <c r="O1" s="39" t="s">
        <v>133</v>
      </c>
    </row>
    <row r="2" spans="1:15" s="275" customFormat="1">
      <c r="A2" s="24" t="s">
        <v>140</v>
      </c>
      <c r="B2" s="24" t="s">
        <v>134</v>
      </c>
      <c r="C2" s="24" t="s">
        <v>165</v>
      </c>
      <c r="D2" s="24" t="s">
        <v>135</v>
      </c>
      <c r="E2" s="24" t="s">
        <v>136</v>
      </c>
      <c r="F2" s="24" t="s">
        <v>33</v>
      </c>
      <c r="G2" s="24" t="s">
        <v>34</v>
      </c>
      <c r="H2" s="25">
        <f>'Congrio dorado Industrial'!E7</f>
        <v>13.5825</v>
      </c>
      <c r="I2" s="24">
        <f>'Congrio dorado Industrial'!F7</f>
        <v>0</v>
      </c>
      <c r="J2" s="25">
        <f>'Congrio dorado Industrial'!G7</f>
        <v>13.5825</v>
      </c>
      <c r="K2" s="25">
        <f>'Congrio dorado Industrial'!H7</f>
        <v>0</v>
      </c>
      <c r="L2" s="25">
        <f>'Congrio dorado Industrial'!I7</f>
        <v>13.5825</v>
      </c>
      <c r="M2" s="253">
        <f>'Congrio dorado Industrial'!J7</f>
        <v>0</v>
      </c>
      <c r="N2" s="170" t="s">
        <v>171</v>
      </c>
      <c r="O2" s="254">
        <f>+'Resumen anual Congrio dorado'!B$3</f>
        <v>43508</v>
      </c>
    </row>
    <row r="3" spans="1:15" s="275" customFormat="1">
      <c r="A3" s="24" t="s">
        <v>140</v>
      </c>
      <c r="B3" s="24" t="s">
        <v>134</v>
      </c>
      <c r="C3" s="24" t="s">
        <v>165</v>
      </c>
      <c r="D3" s="24" t="s">
        <v>135</v>
      </c>
      <c r="E3" s="24" t="s">
        <v>136</v>
      </c>
      <c r="F3" s="24" t="s">
        <v>137</v>
      </c>
      <c r="G3" s="24" t="s">
        <v>44</v>
      </c>
      <c r="H3" s="25">
        <f>'Congrio dorado Industrial'!E8</f>
        <v>13.5825</v>
      </c>
      <c r="I3" s="24">
        <f>'Congrio dorado Industrial'!F8</f>
        <v>0</v>
      </c>
      <c r="J3" s="25">
        <f>'Congrio dorado Industrial'!G8</f>
        <v>27.164999999999999</v>
      </c>
      <c r="K3" s="25">
        <f>'Congrio dorado Industrial'!H8</f>
        <v>0</v>
      </c>
      <c r="L3" s="25">
        <f>'Congrio dorado Industrial'!I8</f>
        <v>27.164999999999999</v>
      </c>
      <c r="M3" s="253">
        <f>'Congrio dorado Industrial'!J8</f>
        <v>0</v>
      </c>
      <c r="N3" s="170" t="s">
        <v>171</v>
      </c>
      <c r="O3" s="254">
        <f>+'Resumen anual Congrio dorado'!B$3</f>
        <v>43508</v>
      </c>
    </row>
    <row r="4" spans="1:15" s="275" customFormat="1">
      <c r="A4" s="24" t="s">
        <v>140</v>
      </c>
      <c r="B4" s="24" t="s">
        <v>134</v>
      </c>
      <c r="C4" s="24" t="s">
        <v>165</v>
      </c>
      <c r="D4" s="24" t="s">
        <v>135</v>
      </c>
      <c r="E4" s="24" t="s">
        <v>136</v>
      </c>
      <c r="F4" s="24" t="s">
        <v>138</v>
      </c>
      <c r="G4" s="24" t="s">
        <v>44</v>
      </c>
      <c r="H4" s="25">
        <f>'Congrio dorado Industrial'!K7</f>
        <v>27.164999999999999</v>
      </c>
      <c r="I4" s="24">
        <f>'Congrio dorado Industrial'!L7</f>
        <v>0</v>
      </c>
      <c r="J4" s="25">
        <f>'Congrio dorado Industrial'!M7</f>
        <v>27.164999999999999</v>
      </c>
      <c r="K4" s="25">
        <f>'Congrio dorado Industrial'!N7</f>
        <v>0</v>
      </c>
      <c r="L4" s="25">
        <f>'Congrio dorado Industrial'!O7</f>
        <v>27.164999999999999</v>
      </c>
      <c r="M4" s="253">
        <f>'Congrio dorado Industrial'!P7</f>
        <v>0</v>
      </c>
      <c r="N4" s="170" t="s">
        <v>171</v>
      </c>
      <c r="O4" s="254">
        <f>+'Resumen anual Congrio dorado'!B$3</f>
        <v>43508</v>
      </c>
    </row>
    <row r="5" spans="1:15" s="275" customFormat="1">
      <c r="A5" s="24" t="s">
        <v>140</v>
      </c>
      <c r="B5" s="24" t="s">
        <v>134</v>
      </c>
      <c r="C5" s="24" t="s">
        <v>165</v>
      </c>
      <c r="D5" s="24" t="s">
        <v>135</v>
      </c>
      <c r="E5" s="24" t="s">
        <v>174</v>
      </c>
      <c r="F5" s="24" t="s">
        <v>33</v>
      </c>
      <c r="G5" s="24" t="s">
        <v>34</v>
      </c>
      <c r="H5" s="25">
        <f>'Congrio dorado Industrial'!E9</f>
        <v>9.3620000000000001</v>
      </c>
      <c r="I5" s="24">
        <f>'Congrio dorado Industrial'!F9</f>
        <v>0</v>
      </c>
      <c r="J5" s="25">
        <f>'Congrio dorado Industrial'!G9</f>
        <v>9.3620000000000001</v>
      </c>
      <c r="K5" s="25">
        <f>'Congrio dorado Industrial'!H9</f>
        <v>1.68</v>
      </c>
      <c r="L5" s="25">
        <f>'Congrio dorado Industrial'!I9</f>
        <v>7.6820000000000004</v>
      </c>
      <c r="M5" s="253">
        <f>'Congrio dorado Industrial'!J9</f>
        <v>0.17944883571886347</v>
      </c>
      <c r="N5" s="170" t="s">
        <v>171</v>
      </c>
      <c r="O5" s="254">
        <f>+'Resumen anual Congrio dorado'!B$3</f>
        <v>43508</v>
      </c>
    </row>
    <row r="6" spans="1:15" s="275" customFormat="1">
      <c r="A6" s="24" t="s">
        <v>140</v>
      </c>
      <c r="B6" s="24" t="s">
        <v>134</v>
      </c>
      <c r="C6" s="24" t="s">
        <v>165</v>
      </c>
      <c r="D6" s="24" t="s">
        <v>135</v>
      </c>
      <c r="E6" s="24" t="s">
        <v>174</v>
      </c>
      <c r="F6" s="24" t="s">
        <v>137</v>
      </c>
      <c r="G6" s="24" t="s">
        <v>44</v>
      </c>
      <c r="H6" s="25">
        <f>'Congrio dorado Industrial'!E10</f>
        <v>9.3620000000000001</v>
      </c>
      <c r="I6" s="24">
        <f>'Congrio dorado Industrial'!F10</f>
        <v>0</v>
      </c>
      <c r="J6" s="25">
        <f>'Congrio dorado Industrial'!G10</f>
        <v>17.044</v>
      </c>
      <c r="K6" s="25">
        <f>'Congrio dorado Industrial'!H10</f>
        <v>0</v>
      </c>
      <c r="L6" s="25">
        <f>'Congrio dorado Industrial'!I10</f>
        <v>17.044</v>
      </c>
      <c r="M6" s="253">
        <f>'Congrio dorado Industrial'!J10</f>
        <v>0</v>
      </c>
      <c r="N6" s="170" t="s">
        <v>171</v>
      </c>
      <c r="O6" s="254">
        <f>+'Resumen anual Congrio dorado'!B$3</f>
        <v>43508</v>
      </c>
    </row>
    <row r="7" spans="1:15" s="275" customFormat="1">
      <c r="A7" s="24" t="s">
        <v>140</v>
      </c>
      <c r="B7" s="24" t="s">
        <v>134</v>
      </c>
      <c r="C7" s="24" t="s">
        <v>165</v>
      </c>
      <c r="D7" s="24" t="s">
        <v>135</v>
      </c>
      <c r="E7" s="24" t="s">
        <v>174</v>
      </c>
      <c r="F7" s="24" t="s">
        <v>138</v>
      </c>
      <c r="G7" s="24" t="s">
        <v>44</v>
      </c>
      <c r="H7" s="25">
        <f>'Congrio dorado Industrial'!K9</f>
        <v>18.724</v>
      </c>
      <c r="I7" s="24">
        <f>'Congrio dorado Industrial'!L9</f>
        <v>0</v>
      </c>
      <c r="J7" s="25">
        <f>'Congrio dorado Industrial'!M9</f>
        <v>18.724</v>
      </c>
      <c r="K7" s="25">
        <f>'Congrio dorado Industrial'!N9</f>
        <v>1.68</v>
      </c>
      <c r="L7" s="25">
        <f>'Congrio dorado Industrial'!O9</f>
        <v>17.044</v>
      </c>
      <c r="M7" s="253">
        <f>'Congrio dorado Industrial'!P9</f>
        <v>8.9724417859431735E-2</v>
      </c>
      <c r="N7" s="170" t="s">
        <v>171</v>
      </c>
      <c r="O7" s="254">
        <f>+'Resumen anual Congrio dorado'!B$3</f>
        <v>43508</v>
      </c>
    </row>
    <row r="8" spans="1:15" s="275" customFormat="1">
      <c r="A8" s="24" t="s">
        <v>140</v>
      </c>
      <c r="B8" s="24" t="s">
        <v>134</v>
      </c>
      <c r="C8" s="24" t="s">
        <v>165</v>
      </c>
      <c r="D8" s="24" t="s">
        <v>135</v>
      </c>
      <c r="E8" s="24" t="s">
        <v>175</v>
      </c>
      <c r="F8" s="24" t="s">
        <v>33</v>
      </c>
      <c r="G8" s="24" t="s">
        <v>34</v>
      </c>
      <c r="H8" s="25">
        <f>'Congrio dorado Industrial'!E11</f>
        <v>206.614</v>
      </c>
      <c r="I8" s="24">
        <f>'Congrio dorado Industrial'!F11</f>
        <v>0</v>
      </c>
      <c r="J8" s="25">
        <f>'Congrio dorado Industrial'!G11</f>
        <v>206.614</v>
      </c>
      <c r="K8" s="25">
        <f>'Congrio dorado Industrial'!H11</f>
        <v>7.8E-2</v>
      </c>
      <c r="L8" s="25">
        <f>'Congrio dorado Industrial'!I11</f>
        <v>206.536</v>
      </c>
      <c r="M8" s="253">
        <f>'Congrio dorado Industrial'!J11</f>
        <v>3.7751556041700949E-4</v>
      </c>
      <c r="N8" s="170" t="s">
        <v>171</v>
      </c>
      <c r="O8" s="254">
        <f>+'Resumen anual Congrio dorado'!B$3</f>
        <v>43508</v>
      </c>
    </row>
    <row r="9" spans="1:15" s="275" customFormat="1">
      <c r="A9" s="24" t="s">
        <v>140</v>
      </c>
      <c r="B9" s="24" t="s">
        <v>134</v>
      </c>
      <c r="C9" s="24" t="s">
        <v>165</v>
      </c>
      <c r="D9" s="24" t="s">
        <v>135</v>
      </c>
      <c r="E9" s="24" t="s">
        <v>175</v>
      </c>
      <c r="F9" s="24" t="s">
        <v>137</v>
      </c>
      <c r="G9" s="24" t="s">
        <v>44</v>
      </c>
      <c r="H9" s="25">
        <f>'Congrio dorado Industrial'!E12</f>
        <v>206.614</v>
      </c>
      <c r="I9" s="24">
        <f>'Congrio dorado Industrial'!F12</f>
        <v>0</v>
      </c>
      <c r="J9" s="25">
        <f>'Congrio dorado Industrial'!G12</f>
        <v>413.15</v>
      </c>
      <c r="K9" s="25">
        <f>'Congrio dorado Industrial'!H12</f>
        <v>0</v>
      </c>
      <c r="L9" s="25">
        <f>'Congrio dorado Industrial'!I12</f>
        <v>413.15</v>
      </c>
      <c r="M9" s="253">
        <f>'Congrio dorado Industrial'!J12</f>
        <v>0</v>
      </c>
      <c r="N9" s="170" t="s">
        <v>171</v>
      </c>
      <c r="O9" s="254">
        <f>+'Resumen anual Congrio dorado'!B$3</f>
        <v>43508</v>
      </c>
    </row>
    <row r="10" spans="1:15" s="275" customFormat="1">
      <c r="A10" s="24" t="s">
        <v>140</v>
      </c>
      <c r="B10" s="24" t="s">
        <v>134</v>
      </c>
      <c r="C10" s="24" t="s">
        <v>165</v>
      </c>
      <c r="D10" s="24" t="s">
        <v>135</v>
      </c>
      <c r="E10" s="24" t="s">
        <v>175</v>
      </c>
      <c r="F10" s="24" t="s">
        <v>138</v>
      </c>
      <c r="G10" s="24" t="s">
        <v>44</v>
      </c>
      <c r="H10" s="25">
        <f>'Congrio dorado Industrial'!K11</f>
        <v>413.22800000000001</v>
      </c>
      <c r="I10" s="24">
        <f>'Congrio dorado Industrial'!L11</f>
        <v>0</v>
      </c>
      <c r="J10" s="25">
        <f>'Congrio dorado Industrial'!M11</f>
        <v>413.22800000000001</v>
      </c>
      <c r="K10" s="25">
        <f>'Congrio dorado Industrial'!N11</f>
        <v>7.8E-2</v>
      </c>
      <c r="L10" s="25">
        <f>'Congrio dorado Industrial'!O11</f>
        <v>413.15000000000003</v>
      </c>
      <c r="M10" s="253">
        <f>'Congrio dorado Industrial'!P11</f>
        <v>1.8875778020850475E-4</v>
      </c>
      <c r="N10" s="170" t="s">
        <v>171</v>
      </c>
      <c r="O10" s="254">
        <f>+'Resumen anual Congrio dorado'!B$3</f>
        <v>43508</v>
      </c>
    </row>
    <row r="11" spans="1:15" s="275" customFormat="1">
      <c r="A11" s="24" t="s">
        <v>140</v>
      </c>
      <c r="B11" s="24" t="s">
        <v>134</v>
      </c>
      <c r="C11" s="24" t="s">
        <v>165</v>
      </c>
      <c r="D11" s="24" t="s">
        <v>135</v>
      </c>
      <c r="E11" s="24" t="s">
        <v>176</v>
      </c>
      <c r="F11" s="24" t="s">
        <v>33</v>
      </c>
      <c r="G11" s="24" t="s">
        <v>34</v>
      </c>
      <c r="H11" s="25">
        <f>'Congrio dorado Industrial'!E13</f>
        <v>14.056000000000001</v>
      </c>
      <c r="I11" s="24">
        <f>'Congrio dorado Industrial'!F13</f>
        <v>0</v>
      </c>
      <c r="J11" s="25">
        <f>'Congrio dorado Industrial'!G13</f>
        <v>14.056000000000001</v>
      </c>
      <c r="K11" s="25">
        <f>'Congrio dorado Industrial'!H13</f>
        <v>0</v>
      </c>
      <c r="L11" s="25">
        <f>'Congrio dorado Industrial'!I13</f>
        <v>14.056000000000001</v>
      </c>
      <c r="M11" s="253">
        <f>'Congrio dorado Industrial'!J13</f>
        <v>0</v>
      </c>
      <c r="N11" s="170" t="s">
        <v>171</v>
      </c>
      <c r="O11" s="254">
        <f>+'Resumen anual Congrio dorado'!B$3</f>
        <v>43508</v>
      </c>
    </row>
    <row r="12" spans="1:15" s="275" customFormat="1">
      <c r="A12" s="24" t="s">
        <v>140</v>
      </c>
      <c r="B12" s="24" t="s">
        <v>134</v>
      </c>
      <c r="C12" s="24" t="s">
        <v>165</v>
      </c>
      <c r="D12" s="24" t="s">
        <v>135</v>
      </c>
      <c r="E12" s="24" t="s">
        <v>176</v>
      </c>
      <c r="F12" s="24" t="s">
        <v>137</v>
      </c>
      <c r="G12" s="24" t="s">
        <v>44</v>
      </c>
      <c r="H12" s="25">
        <f>'Congrio dorado Industrial'!E14</f>
        <v>14.056000000000001</v>
      </c>
      <c r="I12" s="24">
        <f>'Congrio dorado Industrial'!F14</f>
        <v>0</v>
      </c>
      <c r="J12" s="25">
        <f>'Congrio dorado Industrial'!G14</f>
        <v>28.112000000000002</v>
      </c>
      <c r="K12" s="25">
        <f>'Congrio dorado Industrial'!H14</f>
        <v>0</v>
      </c>
      <c r="L12" s="25">
        <f>'Congrio dorado Industrial'!I14</f>
        <v>28.112000000000002</v>
      </c>
      <c r="M12" s="253">
        <f>'Congrio dorado Industrial'!J14</f>
        <v>0</v>
      </c>
      <c r="N12" s="170" t="s">
        <v>171</v>
      </c>
      <c r="O12" s="254">
        <f>+'Resumen anual Congrio dorado'!B$3</f>
        <v>43508</v>
      </c>
    </row>
    <row r="13" spans="1:15" s="275" customFormat="1">
      <c r="A13" s="24" t="s">
        <v>140</v>
      </c>
      <c r="B13" s="24" t="s">
        <v>134</v>
      </c>
      <c r="C13" s="24" t="s">
        <v>165</v>
      </c>
      <c r="D13" s="24" t="s">
        <v>135</v>
      </c>
      <c r="E13" s="24" t="s">
        <v>176</v>
      </c>
      <c r="F13" s="24" t="s">
        <v>138</v>
      </c>
      <c r="G13" s="24" t="s">
        <v>44</v>
      </c>
      <c r="H13" s="25">
        <f>'Congrio dorado Industrial'!K13:K14</f>
        <v>28.112000000000002</v>
      </c>
      <c r="I13" s="24">
        <f>'Congrio dorado Industrial'!L13:L14</f>
        <v>0</v>
      </c>
      <c r="J13" s="25">
        <f>'Congrio dorado Industrial'!M13:M14</f>
        <v>28.112000000000002</v>
      </c>
      <c r="K13" s="25">
        <f>'Congrio dorado Industrial'!N13</f>
        <v>0</v>
      </c>
      <c r="L13" s="25">
        <f>'Congrio dorado Industrial'!O13:O14</f>
        <v>28.112000000000002</v>
      </c>
      <c r="M13" s="253">
        <f>'Congrio dorado Industrial'!P13:P14</f>
        <v>0</v>
      </c>
      <c r="N13" s="170" t="s">
        <v>171</v>
      </c>
      <c r="O13" s="254">
        <f>+'Resumen anual Congrio dorado'!B$3</f>
        <v>43508</v>
      </c>
    </row>
    <row r="14" spans="1:15" s="275" customFormat="1">
      <c r="A14" s="24" t="s">
        <v>140</v>
      </c>
      <c r="B14" s="24" t="s">
        <v>134</v>
      </c>
      <c r="C14" s="24" t="s">
        <v>165</v>
      </c>
      <c r="D14" s="24" t="s">
        <v>135</v>
      </c>
      <c r="E14" s="24" t="s">
        <v>177</v>
      </c>
      <c r="F14" s="24" t="s">
        <v>33</v>
      </c>
      <c r="G14" s="24" t="s">
        <v>34</v>
      </c>
      <c r="H14" s="25">
        <f>'Congrio dorado Industrial'!E15</f>
        <v>16.684999999999999</v>
      </c>
      <c r="I14" s="24">
        <f>'Congrio dorado Industrial'!F15</f>
        <v>0</v>
      </c>
      <c r="J14" s="25">
        <f>'Congrio dorado Industrial'!G15</f>
        <v>16.684999999999999</v>
      </c>
      <c r="K14" s="25">
        <f>'Congrio dorado Industrial'!H15</f>
        <v>1.7949999999999999</v>
      </c>
      <c r="L14" s="25">
        <f>'Congrio dorado Industrial'!I15</f>
        <v>14.889999999999999</v>
      </c>
      <c r="M14" s="253">
        <f>'Congrio dorado Industrial'!J15</f>
        <v>0.10758166017380881</v>
      </c>
      <c r="N14" s="170" t="s">
        <v>171</v>
      </c>
      <c r="O14" s="254">
        <f>+'Resumen anual Congrio dorado'!B$3</f>
        <v>43508</v>
      </c>
    </row>
    <row r="15" spans="1:15" s="275" customFormat="1">
      <c r="A15" s="24" t="s">
        <v>140</v>
      </c>
      <c r="B15" s="24" t="s">
        <v>134</v>
      </c>
      <c r="C15" s="24" t="s">
        <v>165</v>
      </c>
      <c r="D15" s="24" t="s">
        <v>135</v>
      </c>
      <c r="E15" s="24" t="s">
        <v>177</v>
      </c>
      <c r="F15" s="24" t="s">
        <v>137</v>
      </c>
      <c r="G15" s="24" t="s">
        <v>44</v>
      </c>
      <c r="H15" s="25">
        <f>'Congrio dorado Industrial'!E16</f>
        <v>16.684999999999999</v>
      </c>
      <c r="I15" s="24">
        <f>'Congrio dorado Industrial'!F16</f>
        <v>0</v>
      </c>
      <c r="J15" s="25">
        <f>'Congrio dorado Industrial'!G16</f>
        <v>31.574999999999996</v>
      </c>
      <c r="K15" s="25">
        <f>'Congrio dorado Industrial'!H16</f>
        <v>0</v>
      </c>
      <c r="L15" s="25">
        <f>'Congrio dorado Industrial'!I16</f>
        <v>31.574999999999996</v>
      </c>
      <c r="M15" s="253">
        <f>'Congrio dorado Industrial'!J16</f>
        <v>0</v>
      </c>
      <c r="N15" s="170" t="s">
        <v>171</v>
      </c>
      <c r="O15" s="254">
        <f>+'Resumen anual Congrio dorado'!B$3</f>
        <v>43508</v>
      </c>
    </row>
    <row r="16" spans="1:15" s="275" customFormat="1">
      <c r="A16" s="24" t="s">
        <v>140</v>
      </c>
      <c r="B16" s="24" t="s">
        <v>134</v>
      </c>
      <c r="C16" s="24" t="s">
        <v>165</v>
      </c>
      <c r="D16" s="24" t="s">
        <v>135</v>
      </c>
      <c r="E16" s="24" t="s">
        <v>177</v>
      </c>
      <c r="F16" s="24" t="s">
        <v>138</v>
      </c>
      <c r="G16" s="24" t="s">
        <v>44</v>
      </c>
      <c r="H16" s="25">
        <f>'Congrio dorado Industrial'!K15</f>
        <v>33.369999999999997</v>
      </c>
      <c r="I16" s="24">
        <f>'Congrio dorado Industrial'!L15:L16</f>
        <v>0</v>
      </c>
      <c r="J16" s="25">
        <f>'Congrio dorado Industrial'!M15</f>
        <v>33.369999999999997</v>
      </c>
      <c r="K16" s="25">
        <f>'Congrio dorado Industrial'!N15</f>
        <v>1.7949999999999999</v>
      </c>
      <c r="L16" s="25">
        <f>'Congrio dorado Industrial'!O15</f>
        <v>31.574999999999996</v>
      </c>
      <c r="M16" s="253">
        <f>'Congrio dorado Industrial'!P15</f>
        <v>5.3790830086904405E-2</v>
      </c>
      <c r="N16" s="170" t="s">
        <v>171</v>
      </c>
      <c r="O16" s="254">
        <f>+'Resumen anual Congrio dorado'!B$3</f>
        <v>43508</v>
      </c>
    </row>
    <row r="17" spans="1:15" s="275" customFormat="1">
      <c r="A17" s="24" t="s">
        <v>140</v>
      </c>
      <c r="B17" s="24" t="s">
        <v>134</v>
      </c>
      <c r="C17" s="24" t="s">
        <v>165</v>
      </c>
      <c r="D17" s="24" t="s">
        <v>135</v>
      </c>
      <c r="E17" s="24" t="s">
        <v>206</v>
      </c>
      <c r="F17" s="24" t="s">
        <v>33</v>
      </c>
      <c r="G17" s="24" t="s">
        <v>34</v>
      </c>
      <c r="H17" s="25">
        <f>'Congrio dorado Industrial'!E17</f>
        <v>2.5000000000000001E-2</v>
      </c>
      <c r="I17" s="24">
        <f>'Congrio dorado Industrial'!F17</f>
        <v>0</v>
      </c>
      <c r="J17" s="25">
        <f>'Congrio dorado Industrial'!G17</f>
        <v>2.5000000000000001E-2</v>
      </c>
      <c r="K17" s="25">
        <f>'Congrio dorado Industrial'!H17</f>
        <v>0</v>
      </c>
      <c r="L17" s="25">
        <f>'Congrio dorado Industrial'!I17</f>
        <v>2.5000000000000001E-2</v>
      </c>
      <c r="M17" s="253">
        <f>'Congrio dorado Industrial'!J17</f>
        <v>0</v>
      </c>
      <c r="N17" s="170" t="s">
        <v>171</v>
      </c>
      <c r="O17" s="254">
        <f>+'Resumen anual Congrio dorado'!B$3</f>
        <v>43508</v>
      </c>
    </row>
    <row r="18" spans="1:15" s="275" customFormat="1">
      <c r="A18" s="24" t="s">
        <v>140</v>
      </c>
      <c r="B18" s="24" t="s">
        <v>134</v>
      </c>
      <c r="C18" s="24" t="s">
        <v>165</v>
      </c>
      <c r="D18" s="24" t="s">
        <v>135</v>
      </c>
      <c r="E18" s="24" t="s">
        <v>206</v>
      </c>
      <c r="F18" s="24" t="s">
        <v>137</v>
      </c>
      <c r="G18" s="24" t="s">
        <v>44</v>
      </c>
      <c r="H18" s="25">
        <f>'Congrio dorado Industrial'!E18</f>
        <v>2.5000000000000001E-2</v>
      </c>
      <c r="I18" s="24">
        <f>'Congrio dorado Industrial'!F18</f>
        <v>0</v>
      </c>
      <c r="J18" s="25">
        <f>'Congrio dorado Industrial'!G18</f>
        <v>0.05</v>
      </c>
      <c r="K18" s="25">
        <f>'Congrio dorado Industrial'!H18</f>
        <v>0</v>
      </c>
      <c r="L18" s="25">
        <f>'Congrio dorado Industrial'!I18</f>
        <v>0.05</v>
      </c>
      <c r="M18" s="253">
        <f>'Congrio dorado Industrial'!J18</f>
        <v>0</v>
      </c>
      <c r="N18" s="170" t="s">
        <v>171</v>
      </c>
      <c r="O18" s="254">
        <f>+'Resumen anual Congrio dorado'!B$3</f>
        <v>43508</v>
      </c>
    </row>
    <row r="19" spans="1:15" s="275" customFormat="1">
      <c r="A19" s="24" t="s">
        <v>140</v>
      </c>
      <c r="B19" s="24" t="s">
        <v>134</v>
      </c>
      <c r="C19" s="24" t="s">
        <v>165</v>
      </c>
      <c r="D19" s="24" t="s">
        <v>135</v>
      </c>
      <c r="E19" s="24" t="s">
        <v>206</v>
      </c>
      <c r="F19" s="24" t="s">
        <v>138</v>
      </c>
      <c r="G19" s="24" t="s">
        <v>44</v>
      </c>
      <c r="H19" s="25">
        <f>'Congrio dorado Industrial'!K17</f>
        <v>0.05</v>
      </c>
      <c r="I19" s="24">
        <f>'Congrio dorado Industrial'!L17</f>
        <v>0</v>
      </c>
      <c r="J19" s="25">
        <f>'Congrio dorado Industrial'!M17</f>
        <v>0.05</v>
      </c>
      <c r="K19" s="25">
        <f>'Congrio dorado Industrial'!N17</f>
        <v>0</v>
      </c>
      <c r="L19" s="25">
        <f>'Congrio dorado Industrial'!O17</f>
        <v>0.05</v>
      </c>
      <c r="M19" s="253">
        <f>'Congrio dorado Industrial'!P17</f>
        <v>0</v>
      </c>
      <c r="N19" s="170" t="s">
        <v>171</v>
      </c>
      <c r="O19" s="254">
        <f>+'Resumen anual Congrio dorado'!B$3</f>
        <v>43508</v>
      </c>
    </row>
    <row r="20" spans="1:15" s="275" customFormat="1">
      <c r="A20" s="24" t="s">
        <v>140</v>
      </c>
      <c r="B20" s="24" t="s">
        <v>134</v>
      </c>
      <c r="C20" s="24" t="s">
        <v>165</v>
      </c>
      <c r="D20" s="24" t="s">
        <v>135</v>
      </c>
      <c r="E20" s="24" t="s">
        <v>214</v>
      </c>
      <c r="F20" s="24" t="s">
        <v>33</v>
      </c>
      <c r="G20" s="24" t="s">
        <v>34</v>
      </c>
      <c r="H20" s="25">
        <f>'Congrio dorado Industrial'!E19</f>
        <v>5.0064000000000002</v>
      </c>
      <c r="I20" s="24">
        <f>'Congrio dorado Industrial'!F19</f>
        <v>0</v>
      </c>
      <c r="J20" s="25">
        <f>'Congrio dorado Industrial'!G19</f>
        <v>5.0064000000000002</v>
      </c>
      <c r="K20" s="25">
        <f>'Congrio dorado Industrial'!H19</f>
        <v>0</v>
      </c>
      <c r="L20" s="25">
        <f>'Congrio dorado Industrial'!I19</f>
        <v>5.0064000000000002</v>
      </c>
      <c r="M20" s="253">
        <f>'Congrio dorado Industrial'!J19</f>
        <v>0</v>
      </c>
      <c r="N20" s="170" t="s">
        <v>171</v>
      </c>
      <c r="O20" s="254">
        <f>+'Resumen anual Congrio dorado'!B$3</f>
        <v>43508</v>
      </c>
    </row>
    <row r="21" spans="1:15" s="275" customFormat="1">
      <c r="A21" s="24" t="s">
        <v>140</v>
      </c>
      <c r="B21" s="24" t="s">
        <v>134</v>
      </c>
      <c r="C21" s="24" t="s">
        <v>165</v>
      </c>
      <c r="D21" s="24" t="s">
        <v>135</v>
      </c>
      <c r="E21" s="24" t="s">
        <v>214</v>
      </c>
      <c r="F21" s="24" t="s">
        <v>137</v>
      </c>
      <c r="G21" s="24" t="s">
        <v>44</v>
      </c>
      <c r="H21" s="25">
        <f>'Congrio dorado Industrial'!E20</f>
        <v>5.0064000000000002</v>
      </c>
      <c r="I21" s="24">
        <f>'Congrio dorado Industrial'!F20</f>
        <v>0</v>
      </c>
      <c r="J21" s="25">
        <f>'Congrio dorado Industrial'!G20</f>
        <v>10.0128</v>
      </c>
      <c r="K21" s="25">
        <f>'Congrio dorado Industrial'!H20</f>
        <v>0</v>
      </c>
      <c r="L21" s="25">
        <f>'Congrio dorado Industrial'!I20</f>
        <v>10.0128</v>
      </c>
      <c r="M21" s="253">
        <f>'Congrio dorado Industrial'!J20</f>
        <v>0</v>
      </c>
      <c r="N21" s="170" t="s">
        <v>171</v>
      </c>
      <c r="O21" s="254">
        <f>+'Resumen anual Congrio dorado'!B$3</f>
        <v>43508</v>
      </c>
    </row>
    <row r="22" spans="1:15" s="275" customFormat="1">
      <c r="A22" s="24" t="s">
        <v>140</v>
      </c>
      <c r="B22" s="24" t="s">
        <v>134</v>
      </c>
      <c r="C22" s="24" t="s">
        <v>165</v>
      </c>
      <c r="D22" s="24" t="s">
        <v>135</v>
      </c>
      <c r="E22" s="24" t="s">
        <v>214</v>
      </c>
      <c r="F22" s="24" t="s">
        <v>138</v>
      </c>
      <c r="G22" s="24" t="s">
        <v>44</v>
      </c>
      <c r="H22" s="25">
        <f>'Congrio dorado Industrial'!K19</f>
        <v>10.0128</v>
      </c>
      <c r="I22" s="24">
        <f>'Congrio dorado Industrial'!L19</f>
        <v>0</v>
      </c>
      <c r="J22" s="25">
        <f>'Congrio dorado Industrial'!M19</f>
        <v>10.0128</v>
      </c>
      <c r="K22" s="25">
        <f>'Congrio dorado Industrial'!N19</f>
        <v>0</v>
      </c>
      <c r="L22" s="25">
        <f>'Congrio dorado Industrial'!O19</f>
        <v>10.0128</v>
      </c>
      <c r="M22" s="253">
        <f>'Congrio dorado Industrial'!P19</f>
        <v>0</v>
      </c>
      <c r="N22" s="170" t="s">
        <v>171</v>
      </c>
      <c r="O22" s="254">
        <f>+'Resumen anual Congrio dorado'!B$3</f>
        <v>43508</v>
      </c>
    </row>
    <row r="23" spans="1:15" s="275" customFormat="1">
      <c r="A23" s="24" t="s">
        <v>140</v>
      </c>
      <c r="B23" s="24" t="s">
        <v>134</v>
      </c>
      <c r="C23" s="24" t="s">
        <v>165</v>
      </c>
      <c r="D23" s="24" t="s">
        <v>135</v>
      </c>
      <c r="E23" s="24" t="s">
        <v>215</v>
      </c>
      <c r="F23" s="24" t="s">
        <v>33</v>
      </c>
      <c r="G23" s="24" t="s">
        <v>34</v>
      </c>
      <c r="H23" s="25">
        <f>'Congrio dorado Industrial'!E21</f>
        <v>1.6688000000000001</v>
      </c>
      <c r="I23" s="24">
        <f>'Congrio dorado Industrial'!F21</f>
        <v>0</v>
      </c>
      <c r="J23" s="25">
        <f>'Congrio dorado Industrial'!G21</f>
        <v>1.6688000000000001</v>
      </c>
      <c r="K23" s="25">
        <f>'Congrio dorado Industrial'!H21</f>
        <v>0</v>
      </c>
      <c r="L23" s="25">
        <f>'Congrio dorado Industrial'!I21</f>
        <v>1.6688000000000001</v>
      </c>
      <c r="M23" s="253">
        <f>'Congrio dorado Industrial'!J21</f>
        <v>0</v>
      </c>
      <c r="N23" s="170" t="s">
        <v>171</v>
      </c>
      <c r="O23" s="254">
        <f>+'Resumen anual Congrio dorado'!B$3</f>
        <v>43508</v>
      </c>
    </row>
    <row r="24" spans="1:15" s="275" customFormat="1">
      <c r="A24" s="24" t="s">
        <v>140</v>
      </c>
      <c r="B24" s="24" t="s">
        <v>134</v>
      </c>
      <c r="C24" s="24" t="s">
        <v>165</v>
      </c>
      <c r="D24" s="24" t="s">
        <v>135</v>
      </c>
      <c r="E24" s="24" t="s">
        <v>215</v>
      </c>
      <c r="F24" s="24" t="s">
        <v>137</v>
      </c>
      <c r="G24" s="24" t="s">
        <v>44</v>
      </c>
      <c r="H24" s="25">
        <f>'Congrio dorado Industrial'!E22</f>
        <v>1.6688000000000001</v>
      </c>
      <c r="I24" s="24">
        <f>'Congrio dorado Industrial'!F22</f>
        <v>0</v>
      </c>
      <c r="J24" s="25">
        <f>'Congrio dorado Industrial'!G22</f>
        <v>3.3376000000000001</v>
      </c>
      <c r="K24" s="25">
        <f>'Congrio dorado Industrial'!H22</f>
        <v>0</v>
      </c>
      <c r="L24" s="25">
        <f>'Congrio dorado Industrial'!I22</f>
        <v>3.3376000000000001</v>
      </c>
      <c r="M24" s="253">
        <f>'Congrio dorado Industrial'!J22</f>
        <v>0</v>
      </c>
      <c r="N24" s="170" t="s">
        <v>171</v>
      </c>
      <c r="O24" s="254">
        <f>+'Resumen anual Congrio dorado'!B$3</f>
        <v>43508</v>
      </c>
    </row>
    <row r="25" spans="1:15" s="275" customFormat="1" ht="15.75" customHeight="1">
      <c r="A25" s="24" t="s">
        <v>140</v>
      </c>
      <c r="B25" s="24" t="s">
        <v>134</v>
      </c>
      <c r="C25" s="24" t="s">
        <v>165</v>
      </c>
      <c r="D25" s="24" t="s">
        <v>135</v>
      </c>
      <c r="E25" s="24" t="s">
        <v>215</v>
      </c>
      <c r="F25" s="24" t="s">
        <v>138</v>
      </c>
      <c r="G25" s="24" t="s">
        <v>44</v>
      </c>
      <c r="H25" s="25">
        <f>'Congrio dorado Industrial'!K21</f>
        <v>3.3376000000000001</v>
      </c>
      <c r="I25" s="24">
        <f>'Congrio dorado Industrial'!L21</f>
        <v>0</v>
      </c>
      <c r="J25" s="25">
        <f>'Congrio dorado Industrial'!M21</f>
        <v>3.3376000000000001</v>
      </c>
      <c r="K25" s="25">
        <f>'Congrio dorado Industrial'!N21</f>
        <v>0</v>
      </c>
      <c r="L25" s="25">
        <f>'Congrio dorado Industrial'!O21</f>
        <v>3.3376000000000001</v>
      </c>
      <c r="M25" s="253">
        <f>'Congrio dorado Industrial'!P21</f>
        <v>0</v>
      </c>
      <c r="N25" s="170" t="s">
        <v>171</v>
      </c>
      <c r="O25" s="254">
        <f>+'Resumen anual Congrio dorado'!B$3</f>
        <v>43508</v>
      </c>
    </row>
    <row r="26" spans="1:15" s="275" customFormat="1">
      <c r="A26" s="130" t="s">
        <v>167</v>
      </c>
      <c r="B26" s="24" t="s">
        <v>134</v>
      </c>
      <c r="C26" s="24" t="s">
        <v>164</v>
      </c>
      <c r="D26" s="24" t="s">
        <v>135</v>
      </c>
      <c r="E26" s="24" t="s">
        <v>178</v>
      </c>
      <c r="F26" s="24" t="s">
        <v>33</v>
      </c>
      <c r="G26" s="24" t="s">
        <v>34</v>
      </c>
      <c r="H26" s="25">
        <f>'Congrio dorado Industrial'!E29</f>
        <v>15.019500000000001</v>
      </c>
      <c r="I26" s="24">
        <f>'Congrio dorado Industrial'!F29</f>
        <v>0</v>
      </c>
      <c r="J26" s="25">
        <f>'Congrio dorado Industrial'!G29</f>
        <v>15.019500000000001</v>
      </c>
      <c r="K26" s="25">
        <f>'Congrio dorado Industrial'!H29</f>
        <v>0</v>
      </c>
      <c r="L26" s="25">
        <f>'Congrio dorado Industrial'!I29</f>
        <v>15.019500000000001</v>
      </c>
      <c r="M26" s="253">
        <f>'Congrio dorado Industrial'!J29</f>
        <v>0</v>
      </c>
      <c r="N26" s="170" t="s">
        <v>171</v>
      </c>
      <c r="O26" s="254">
        <f>+'Resumen anual Congrio dorado'!B$3</f>
        <v>43508</v>
      </c>
    </row>
    <row r="27" spans="1:15" s="275" customFormat="1">
      <c r="A27" s="130" t="s">
        <v>167</v>
      </c>
      <c r="B27" s="24" t="s">
        <v>134</v>
      </c>
      <c r="C27" s="24" t="s">
        <v>164</v>
      </c>
      <c r="D27" s="24" t="s">
        <v>135</v>
      </c>
      <c r="E27" s="24" t="s">
        <v>178</v>
      </c>
      <c r="F27" s="24" t="s">
        <v>137</v>
      </c>
      <c r="G27" s="24" t="s">
        <v>44</v>
      </c>
      <c r="H27" s="25">
        <f>'Congrio dorado Industrial'!E30</f>
        <v>15.238</v>
      </c>
      <c r="I27" s="24">
        <f>'Congrio dorado Industrial'!F30</f>
        <v>0</v>
      </c>
      <c r="J27" s="25">
        <f>'Congrio dorado Industrial'!G30</f>
        <v>30.2575</v>
      </c>
      <c r="K27" s="25">
        <f>'Congrio dorado Industrial'!H30</f>
        <v>0</v>
      </c>
      <c r="L27" s="25">
        <f>'Congrio dorado Industrial'!I30</f>
        <v>30.2575</v>
      </c>
      <c r="M27" s="253">
        <f>'Congrio dorado Industrial'!J30</f>
        <v>0</v>
      </c>
      <c r="N27" s="170" t="s">
        <v>171</v>
      </c>
      <c r="O27" s="254">
        <f>+'Resumen anual Congrio dorado'!B$3</f>
        <v>43508</v>
      </c>
    </row>
    <row r="28" spans="1:15" s="275" customFormat="1">
      <c r="A28" s="130" t="s">
        <v>167</v>
      </c>
      <c r="B28" s="24" t="s">
        <v>134</v>
      </c>
      <c r="C28" s="24" t="s">
        <v>164</v>
      </c>
      <c r="D28" s="24" t="s">
        <v>135</v>
      </c>
      <c r="E28" s="24" t="s">
        <v>178</v>
      </c>
      <c r="F28" s="24" t="s">
        <v>138</v>
      </c>
      <c r="G28" s="24" t="s">
        <v>44</v>
      </c>
      <c r="H28" s="25">
        <f>'Congrio dorado Industrial'!K29</f>
        <v>30.2575</v>
      </c>
      <c r="I28" s="24">
        <f>'Congrio dorado Industrial'!L29</f>
        <v>0</v>
      </c>
      <c r="J28" s="25">
        <f>'Congrio dorado Industrial'!M29</f>
        <v>30.2575</v>
      </c>
      <c r="K28" s="25">
        <f>'Congrio dorado Industrial'!N29</f>
        <v>0</v>
      </c>
      <c r="L28" s="25">
        <f>'Congrio dorado Industrial'!O29</f>
        <v>30.2575</v>
      </c>
      <c r="M28" s="253">
        <f>'Congrio dorado Industrial'!P29</f>
        <v>0</v>
      </c>
      <c r="N28" s="170" t="s">
        <v>171</v>
      </c>
      <c r="O28" s="254">
        <f>+'Resumen anual Congrio dorado'!B$3</f>
        <v>43508</v>
      </c>
    </row>
    <row r="29" spans="1:15" s="275" customFormat="1">
      <c r="A29" s="130" t="s">
        <v>167</v>
      </c>
      <c r="B29" s="24" t="s">
        <v>134</v>
      </c>
      <c r="C29" s="24" t="s">
        <v>164</v>
      </c>
      <c r="D29" s="24" t="s">
        <v>135</v>
      </c>
      <c r="E29" s="24" t="s">
        <v>179</v>
      </c>
      <c r="F29" s="24" t="s">
        <v>33</v>
      </c>
      <c r="G29" s="24" t="s">
        <v>34</v>
      </c>
      <c r="H29" s="25">
        <f>'Congrio dorado Industrial'!E31</f>
        <v>0.21299999999999999</v>
      </c>
      <c r="I29" s="24">
        <f>'Congrio dorado Industrial'!F31</f>
        <v>0</v>
      </c>
      <c r="J29" s="25">
        <f>'Congrio dorado Industrial'!G31</f>
        <v>0.21299999999999999</v>
      </c>
      <c r="K29" s="25">
        <f>'Congrio dorado Industrial'!H31</f>
        <v>0</v>
      </c>
      <c r="L29" s="25">
        <f>'Congrio dorado Industrial'!I31</f>
        <v>0.21299999999999999</v>
      </c>
      <c r="M29" s="253">
        <f>'Congrio dorado Industrial'!J31</f>
        <v>0</v>
      </c>
      <c r="N29" s="170" t="s">
        <v>171</v>
      </c>
      <c r="O29" s="254">
        <f>+'Resumen anual Congrio dorado'!B$3</f>
        <v>43508</v>
      </c>
    </row>
    <row r="30" spans="1:15" s="275" customFormat="1">
      <c r="A30" s="130" t="s">
        <v>167</v>
      </c>
      <c r="B30" s="24" t="s">
        <v>134</v>
      </c>
      <c r="C30" s="24" t="s">
        <v>164</v>
      </c>
      <c r="D30" s="24" t="s">
        <v>135</v>
      </c>
      <c r="E30" s="24" t="s">
        <v>179</v>
      </c>
      <c r="F30" s="24" t="s">
        <v>137</v>
      </c>
      <c r="G30" s="24" t="s">
        <v>44</v>
      </c>
      <c r="H30" s="25">
        <f>'Congrio dorado Industrial'!E32</f>
        <v>0.216</v>
      </c>
      <c r="I30" s="24">
        <f>'Congrio dorado Industrial'!F32</f>
        <v>0</v>
      </c>
      <c r="J30" s="25">
        <f>'Congrio dorado Industrial'!G32</f>
        <v>0.42899999999999999</v>
      </c>
      <c r="K30" s="25">
        <f>'Congrio dorado Industrial'!H32</f>
        <v>0</v>
      </c>
      <c r="L30" s="25">
        <f>'Congrio dorado Industrial'!I32</f>
        <v>0.42899999999999999</v>
      </c>
      <c r="M30" s="253">
        <f>'Congrio dorado Industrial'!J32</f>
        <v>0</v>
      </c>
      <c r="N30" s="170" t="s">
        <v>171</v>
      </c>
      <c r="O30" s="254">
        <f>+'Resumen anual Congrio dorado'!B$3</f>
        <v>43508</v>
      </c>
    </row>
    <row r="31" spans="1:15" s="275" customFormat="1">
      <c r="A31" s="130" t="s">
        <v>167</v>
      </c>
      <c r="B31" s="24" t="s">
        <v>134</v>
      </c>
      <c r="C31" s="24" t="s">
        <v>164</v>
      </c>
      <c r="D31" s="24" t="s">
        <v>135</v>
      </c>
      <c r="E31" s="24" t="s">
        <v>179</v>
      </c>
      <c r="F31" s="24" t="s">
        <v>138</v>
      </c>
      <c r="G31" s="24" t="s">
        <v>44</v>
      </c>
      <c r="H31" s="25">
        <f>'Congrio dorado Industrial'!K31</f>
        <v>0.42899999999999999</v>
      </c>
      <c r="I31" s="24">
        <f>'Congrio dorado Industrial'!L31</f>
        <v>0</v>
      </c>
      <c r="J31" s="25">
        <f>'Congrio dorado Industrial'!M31</f>
        <v>0.42899999999999999</v>
      </c>
      <c r="K31" s="25">
        <f>'Congrio dorado Industrial'!N31</f>
        <v>0</v>
      </c>
      <c r="L31" s="25">
        <f>'Congrio dorado Industrial'!O31</f>
        <v>0.42899999999999999</v>
      </c>
      <c r="M31" s="253">
        <f>'Congrio dorado Industrial'!P31</f>
        <v>0</v>
      </c>
      <c r="N31" s="170" t="s">
        <v>171</v>
      </c>
      <c r="O31" s="254">
        <f>+'Resumen anual Congrio dorado'!B$3</f>
        <v>43508</v>
      </c>
    </row>
    <row r="32" spans="1:15" s="275" customFormat="1">
      <c r="A32" s="130" t="s">
        <v>167</v>
      </c>
      <c r="B32" s="24" t="s">
        <v>134</v>
      </c>
      <c r="C32" s="24" t="s">
        <v>164</v>
      </c>
      <c r="D32" s="24" t="s">
        <v>135</v>
      </c>
      <c r="E32" s="24" t="s">
        <v>180</v>
      </c>
      <c r="F32" s="24" t="s">
        <v>33</v>
      </c>
      <c r="G32" s="24" t="s">
        <v>34</v>
      </c>
      <c r="H32" s="25">
        <f>'Congrio dorado Industrial'!E33</f>
        <v>42.338999999999999</v>
      </c>
      <c r="I32" s="24">
        <f>'Congrio dorado Industrial'!F33</f>
        <v>0</v>
      </c>
      <c r="J32" s="25">
        <f>'Congrio dorado Industrial'!G33</f>
        <v>42.338999999999999</v>
      </c>
      <c r="K32" s="25">
        <f>'Congrio dorado Industrial'!H33</f>
        <v>4.056</v>
      </c>
      <c r="L32" s="25">
        <f>'Congrio dorado Industrial'!I33</f>
        <v>38.283000000000001</v>
      </c>
      <c r="M32" s="253">
        <f>'Congrio dorado Industrial'!J33</f>
        <v>9.5798200240912637E-2</v>
      </c>
      <c r="N32" s="170" t="s">
        <v>171</v>
      </c>
      <c r="O32" s="254">
        <f>+'Resumen anual Congrio dorado'!B$3</f>
        <v>43508</v>
      </c>
    </row>
    <row r="33" spans="1:15" s="275" customFormat="1">
      <c r="A33" s="130" t="s">
        <v>167</v>
      </c>
      <c r="B33" s="24" t="s">
        <v>134</v>
      </c>
      <c r="C33" s="24" t="s">
        <v>164</v>
      </c>
      <c r="D33" s="24" t="s">
        <v>135</v>
      </c>
      <c r="E33" s="24" t="s">
        <v>180</v>
      </c>
      <c r="F33" s="24" t="s">
        <v>137</v>
      </c>
      <c r="G33" s="24" t="s">
        <v>44</v>
      </c>
      <c r="H33" s="25">
        <f>'Congrio dorado Industrial'!E34</f>
        <v>42.953000000000003</v>
      </c>
      <c r="I33" s="24">
        <f>'Congrio dorado Industrial'!F34</f>
        <v>0</v>
      </c>
      <c r="J33" s="25">
        <f>'Congrio dorado Industrial'!G34</f>
        <v>81.236000000000004</v>
      </c>
      <c r="K33" s="25">
        <f>'Congrio dorado Industrial'!H34</f>
        <v>0</v>
      </c>
      <c r="L33" s="25">
        <f>'Congrio dorado Industrial'!I34</f>
        <v>81.236000000000004</v>
      </c>
      <c r="M33" s="253">
        <f>'Congrio dorado Industrial'!J34</f>
        <v>0</v>
      </c>
      <c r="N33" s="170" t="s">
        <v>171</v>
      </c>
      <c r="O33" s="254">
        <f>+'Resumen anual Congrio dorado'!B$3</f>
        <v>43508</v>
      </c>
    </row>
    <row r="34" spans="1:15" s="275" customFormat="1">
      <c r="A34" s="130" t="s">
        <v>167</v>
      </c>
      <c r="B34" s="24" t="s">
        <v>134</v>
      </c>
      <c r="C34" s="24" t="s">
        <v>164</v>
      </c>
      <c r="D34" s="24" t="s">
        <v>135</v>
      </c>
      <c r="E34" s="24" t="s">
        <v>180</v>
      </c>
      <c r="F34" s="24" t="s">
        <v>33</v>
      </c>
      <c r="G34" s="24" t="s">
        <v>44</v>
      </c>
      <c r="H34" s="25">
        <f>'Congrio dorado Industrial'!K33</f>
        <v>85.292000000000002</v>
      </c>
      <c r="I34" s="24">
        <f>'Congrio dorado Industrial'!L33</f>
        <v>0</v>
      </c>
      <c r="J34" s="25">
        <f>'Congrio dorado Industrial'!M33</f>
        <v>85.292000000000002</v>
      </c>
      <c r="K34" s="25">
        <f>'Congrio dorado Industrial'!N33</f>
        <v>4.056</v>
      </c>
      <c r="L34" s="25">
        <f>'Congrio dorado Industrial'!O33</f>
        <v>81.236000000000004</v>
      </c>
      <c r="M34" s="253">
        <f>'Congrio dorado Industrial'!P33</f>
        <v>4.7554284106364017E-2</v>
      </c>
      <c r="N34" s="170" t="s">
        <v>171</v>
      </c>
      <c r="O34" s="254">
        <f>+'Resumen anual Congrio dorado'!B$3</f>
        <v>43508</v>
      </c>
    </row>
    <row r="35" spans="1:15" s="275" customFormat="1">
      <c r="A35" s="130" t="s">
        <v>167</v>
      </c>
      <c r="B35" s="24" t="s">
        <v>134</v>
      </c>
      <c r="C35" s="24" t="s">
        <v>164</v>
      </c>
      <c r="D35" s="24" t="s">
        <v>135</v>
      </c>
      <c r="E35" s="24" t="s">
        <v>176</v>
      </c>
      <c r="F35" s="24" t="s">
        <v>33</v>
      </c>
      <c r="G35" s="24" t="s">
        <v>34</v>
      </c>
      <c r="H35" s="25">
        <f>'Congrio dorado Industrial'!E35</f>
        <v>9.5985000000000014</v>
      </c>
      <c r="I35" s="24">
        <f>'Congrio dorado Industrial'!F35</f>
        <v>0</v>
      </c>
      <c r="J35" s="25">
        <f>'Congrio dorado Industrial'!G35</f>
        <v>9.5985000000000014</v>
      </c>
      <c r="K35" s="25">
        <f>'Congrio dorado Industrial'!H35</f>
        <v>0</v>
      </c>
      <c r="L35" s="25">
        <f>'Congrio dorado Industrial'!I35</f>
        <v>9.5985000000000014</v>
      </c>
      <c r="M35" s="253">
        <f>'Congrio dorado Industrial'!J35</f>
        <v>0</v>
      </c>
      <c r="N35" s="170" t="s">
        <v>171</v>
      </c>
      <c r="O35" s="254">
        <f>+'Resumen anual Congrio dorado'!B$3</f>
        <v>43508</v>
      </c>
    </row>
    <row r="36" spans="1:15" s="275" customFormat="1">
      <c r="A36" s="130" t="s">
        <v>167</v>
      </c>
      <c r="B36" s="24" t="s">
        <v>134</v>
      </c>
      <c r="C36" s="24" t="s">
        <v>164</v>
      </c>
      <c r="D36" s="24" t="s">
        <v>135</v>
      </c>
      <c r="E36" s="24" t="s">
        <v>176</v>
      </c>
      <c r="F36" s="24" t="s">
        <v>137</v>
      </c>
      <c r="G36" s="24" t="s">
        <v>44</v>
      </c>
      <c r="H36" s="25">
        <f>'Congrio dorado Industrial'!E36</f>
        <v>9.7370000000000001</v>
      </c>
      <c r="I36" s="24">
        <f>'Congrio dorado Industrial'!F36</f>
        <v>0</v>
      </c>
      <c r="J36" s="25">
        <f>'Congrio dorado Industrial'!G36</f>
        <v>19.335500000000003</v>
      </c>
      <c r="K36" s="25">
        <f>'Congrio dorado Industrial'!H36</f>
        <v>0</v>
      </c>
      <c r="L36" s="25">
        <f>'Congrio dorado Industrial'!I36</f>
        <v>19.335500000000003</v>
      </c>
      <c r="M36" s="253">
        <f>'Congrio dorado Industrial'!J36</f>
        <v>0</v>
      </c>
      <c r="N36" s="170" t="s">
        <v>171</v>
      </c>
      <c r="O36" s="254">
        <f>+'Resumen anual Congrio dorado'!B$3</f>
        <v>43508</v>
      </c>
    </row>
    <row r="37" spans="1:15" s="275" customFormat="1">
      <c r="A37" s="130" t="s">
        <v>167</v>
      </c>
      <c r="B37" s="24" t="s">
        <v>134</v>
      </c>
      <c r="C37" s="24" t="s">
        <v>164</v>
      </c>
      <c r="D37" s="24" t="s">
        <v>135</v>
      </c>
      <c r="E37" s="24" t="s">
        <v>176</v>
      </c>
      <c r="F37" s="24" t="s">
        <v>33</v>
      </c>
      <c r="G37" s="24" t="s">
        <v>44</v>
      </c>
      <c r="H37" s="25">
        <f>'Congrio dorado Industrial'!K35</f>
        <v>19.335500000000003</v>
      </c>
      <c r="I37" s="24">
        <f>'Congrio dorado Industrial'!L35</f>
        <v>0</v>
      </c>
      <c r="J37" s="25">
        <f>'Congrio dorado Industrial'!M35</f>
        <v>19.335500000000003</v>
      </c>
      <c r="K37" s="25">
        <f>'Congrio dorado Industrial'!N35</f>
        <v>0</v>
      </c>
      <c r="L37" s="25">
        <f>'Congrio dorado Industrial'!O35</f>
        <v>19.335500000000003</v>
      </c>
      <c r="M37" s="253">
        <f>'Congrio dorado Industrial'!P35</f>
        <v>0</v>
      </c>
      <c r="N37" s="170" t="s">
        <v>171</v>
      </c>
      <c r="O37" s="254">
        <f>+'Resumen anual Congrio dorado'!B$3</f>
        <v>43508</v>
      </c>
    </row>
    <row r="38" spans="1:15" s="275" customFormat="1">
      <c r="A38" s="130" t="s">
        <v>167</v>
      </c>
      <c r="B38" s="24" t="s">
        <v>134</v>
      </c>
      <c r="C38" s="24" t="s">
        <v>164</v>
      </c>
      <c r="D38" s="24" t="s">
        <v>135</v>
      </c>
      <c r="E38" s="24" t="s">
        <v>177</v>
      </c>
      <c r="F38" s="24" t="s">
        <v>33</v>
      </c>
      <c r="G38" s="24" t="s">
        <v>34</v>
      </c>
      <c r="H38" s="25">
        <f>'Congrio dorado Industrial'!E37</f>
        <v>0.105</v>
      </c>
      <c r="I38" s="24">
        <f>'Congrio dorado Industrial'!F37</f>
        <v>0</v>
      </c>
      <c r="J38" s="25">
        <f>'Congrio dorado Industrial'!G37</f>
        <v>0.105</v>
      </c>
      <c r="K38" s="25">
        <f>'Congrio dorado Industrial'!H37</f>
        <v>0</v>
      </c>
      <c r="L38" s="25">
        <f>'Congrio dorado Industrial'!I37</f>
        <v>0.105</v>
      </c>
      <c r="M38" s="253">
        <f>'Congrio dorado Industrial'!J37</f>
        <v>0</v>
      </c>
      <c r="N38" s="170" t="s">
        <v>171</v>
      </c>
      <c r="O38" s="254">
        <f>+'Resumen anual Congrio dorado'!B$3</f>
        <v>43508</v>
      </c>
    </row>
    <row r="39" spans="1:15" s="275" customFormat="1">
      <c r="A39" s="130" t="s">
        <v>167</v>
      </c>
      <c r="B39" s="24" t="s">
        <v>134</v>
      </c>
      <c r="C39" s="24" t="s">
        <v>164</v>
      </c>
      <c r="D39" s="24" t="s">
        <v>135</v>
      </c>
      <c r="E39" s="24" t="s">
        <v>177</v>
      </c>
      <c r="F39" s="24" t="s">
        <v>137</v>
      </c>
      <c r="G39" s="24" t="s">
        <v>44</v>
      </c>
      <c r="H39" s="25">
        <f>'Congrio dorado Industrial'!E38</f>
        <v>0.106</v>
      </c>
      <c r="I39" s="24">
        <f>'Congrio dorado Industrial'!F38</f>
        <v>0</v>
      </c>
      <c r="J39" s="25">
        <f>'Congrio dorado Industrial'!G38</f>
        <v>0.21099999999999999</v>
      </c>
      <c r="K39" s="25">
        <f>'Congrio dorado Industrial'!H38</f>
        <v>0</v>
      </c>
      <c r="L39" s="25">
        <f>'Congrio dorado Industrial'!I38</f>
        <v>0.21099999999999999</v>
      </c>
      <c r="M39" s="253">
        <f>'Congrio dorado Industrial'!J38</f>
        <v>0</v>
      </c>
      <c r="N39" s="170" t="s">
        <v>171</v>
      </c>
      <c r="O39" s="254">
        <f>+'Resumen anual Congrio dorado'!B$3</f>
        <v>43508</v>
      </c>
    </row>
    <row r="40" spans="1:15" s="275" customFormat="1">
      <c r="A40" s="130" t="s">
        <v>167</v>
      </c>
      <c r="B40" s="24" t="s">
        <v>134</v>
      </c>
      <c r="C40" s="24" t="s">
        <v>164</v>
      </c>
      <c r="D40" s="24" t="s">
        <v>135</v>
      </c>
      <c r="E40" s="24" t="s">
        <v>177</v>
      </c>
      <c r="F40" s="24" t="s">
        <v>33</v>
      </c>
      <c r="G40" s="24" t="s">
        <v>44</v>
      </c>
      <c r="H40" s="25">
        <f>'Congrio dorado Industrial'!K37</f>
        <v>0.21099999999999999</v>
      </c>
      <c r="I40" s="24">
        <f>'Congrio dorado Industrial'!L37</f>
        <v>0</v>
      </c>
      <c r="J40" s="25">
        <f>'Congrio dorado Industrial'!M37</f>
        <v>0.21099999999999999</v>
      </c>
      <c r="K40" s="25">
        <f>'Congrio dorado Industrial'!N37</f>
        <v>0</v>
      </c>
      <c r="L40" s="25">
        <f>'Congrio dorado Industrial'!O37</f>
        <v>0.21099999999999999</v>
      </c>
      <c r="M40" s="253">
        <f>'Congrio dorado Industrial'!P37</f>
        <v>0</v>
      </c>
      <c r="N40" s="170" t="s">
        <v>171</v>
      </c>
      <c r="O40" s="254">
        <f>+'Resumen anual Congrio dorado'!B$3</f>
        <v>43508</v>
      </c>
    </row>
    <row r="41" spans="1:15" s="275" customFormat="1">
      <c r="A41" s="130" t="s">
        <v>167</v>
      </c>
      <c r="B41" s="24" t="s">
        <v>134</v>
      </c>
      <c r="C41" s="24" t="s">
        <v>164</v>
      </c>
      <c r="D41" s="24" t="s">
        <v>135</v>
      </c>
      <c r="E41" s="24" t="s">
        <v>214</v>
      </c>
      <c r="F41" s="24" t="s">
        <v>33</v>
      </c>
      <c r="G41" s="24" t="s">
        <v>34</v>
      </c>
      <c r="H41" s="25">
        <f>'Congrio dorado Industrial'!E39</f>
        <v>0.86250000000000004</v>
      </c>
      <c r="I41" s="24">
        <f>'Congrio dorado Industrial'!F39</f>
        <v>0</v>
      </c>
      <c r="J41" s="25">
        <f>'Congrio dorado Industrial'!G39</f>
        <v>0.86250000000000004</v>
      </c>
      <c r="K41" s="25">
        <f>'Congrio dorado Industrial'!H39</f>
        <v>0</v>
      </c>
      <c r="L41" s="25">
        <f>'Congrio dorado Industrial'!I39</f>
        <v>0.86250000000000004</v>
      </c>
      <c r="M41" s="253">
        <f>'Congrio dorado Industrial'!J39</f>
        <v>0</v>
      </c>
      <c r="N41" s="170" t="s">
        <v>171</v>
      </c>
      <c r="O41" s="254">
        <f>+'Resumen anual Congrio dorado'!B$3</f>
        <v>43508</v>
      </c>
    </row>
    <row r="42" spans="1:15" s="275" customFormat="1">
      <c r="A42" s="130" t="s">
        <v>167</v>
      </c>
      <c r="B42" s="24" t="s">
        <v>134</v>
      </c>
      <c r="C42" s="24" t="s">
        <v>164</v>
      </c>
      <c r="D42" s="24" t="s">
        <v>135</v>
      </c>
      <c r="E42" s="24" t="s">
        <v>214</v>
      </c>
      <c r="F42" s="24" t="s">
        <v>137</v>
      </c>
      <c r="G42" s="24" t="s">
        <v>44</v>
      </c>
      <c r="H42" s="25">
        <f>'Congrio dorado Industrial'!E40</f>
        <v>0.875</v>
      </c>
      <c r="I42" s="24">
        <f>'Congrio dorado Industrial'!F40</f>
        <v>0</v>
      </c>
      <c r="J42" s="25">
        <f>'Congrio dorado Industrial'!G40</f>
        <v>1.7375</v>
      </c>
      <c r="K42" s="25">
        <f>'Congrio dorado Industrial'!H40</f>
        <v>0</v>
      </c>
      <c r="L42" s="25">
        <f>'Congrio dorado Industrial'!I40</f>
        <v>1.7375</v>
      </c>
      <c r="M42" s="253">
        <f>'Congrio dorado Industrial'!J40</f>
        <v>0</v>
      </c>
      <c r="N42" s="170" t="s">
        <v>171</v>
      </c>
      <c r="O42" s="254">
        <f>+'Resumen anual Congrio dorado'!B$3</f>
        <v>43508</v>
      </c>
    </row>
    <row r="43" spans="1:15" s="275" customFormat="1">
      <c r="A43" s="130" t="s">
        <v>167</v>
      </c>
      <c r="B43" s="24" t="s">
        <v>134</v>
      </c>
      <c r="C43" s="24" t="s">
        <v>164</v>
      </c>
      <c r="D43" s="24" t="s">
        <v>135</v>
      </c>
      <c r="E43" s="24" t="s">
        <v>214</v>
      </c>
      <c r="F43" s="24" t="s">
        <v>33</v>
      </c>
      <c r="G43" s="24" t="s">
        <v>44</v>
      </c>
      <c r="H43" s="25">
        <f>'Congrio dorado Industrial'!K39</f>
        <v>1.7375</v>
      </c>
      <c r="I43" s="24">
        <f>'Congrio dorado Industrial'!L39</f>
        <v>0</v>
      </c>
      <c r="J43" s="25">
        <f>'Congrio dorado Industrial'!M39</f>
        <v>1.7375</v>
      </c>
      <c r="K43" s="25">
        <f>'Congrio dorado Industrial'!N39</f>
        <v>0</v>
      </c>
      <c r="L43" s="25">
        <f>'Congrio dorado Industrial'!O39</f>
        <v>1.7375</v>
      </c>
      <c r="M43" s="253">
        <f>'Congrio dorado Industrial'!P39</f>
        <v>0</v>
      </c>
      <c r="N43" s="170" t="s">
        <v>171</v>
      </c>
      <c r="O43" s="254">
        <f>+'Resumen anual Congrio dorado'!B$3</f>
        <v>43508</v>
      </c>
    </row>
    <row r="44" spans="1:15" s="275" customFormat="1">
      <c r="A44" s="130" t="s">
        <v>167</v>
      </c>
      <c r="B44" s="24" t="s">
        <v>134</v>
      </c>
      <c r="C44" s="24" t="s">
        <v>164</v>
      </c>
      <c r="D44" s="24" t="s">
        <v>135</v>
      </c>
      <c r="E44" s="24" t="s">
        <v>215</v>
      </c>
      <c r="F44" s="24" t="s">
        <v>33</v>
      </c>
      <c r="G44" s="24" t="s">
        <v>34</v>
      </c>
      <c r="H44" s="25">
        <f>'Congrio dorado Industrial'!E41</f>
        <v>0.86250000000000004</v>
      </c>
      <c r="I44" s="24">
        <f>'Congrio dorado Industrial'!F41</f>
        <v>0</v>
      </c>
      <c r="J44" s="25">
        <f>'Congrio dorado Industrial'!G41</f>
        <v>0.86250000000000004</v>
      </c>
      <c r="K44" s="25">
        <f>'Congrio dorado Industrial'!H41</f>
        <v>0</v>
      </c>
      <c r="L44" s="25">
        <f>'Congrio dorado Industrial'!I41</f>
        <v>0.86250000000000004</v>
      </c>
      <c r="M44" s="253">
        <f>'Congrio dorado Industrial'!J41</f>
        <v>0</v>
      </c>
      <c r="N44" s="170" t="s">
        <v>171</v>
      </c>
      <c r="O44" s="254">
        <f>+'Resumen anual Congrio dorado'!B$3</f>
        <v>43508</v>
      </c>
    </row>
    <row r="45" spans="1:15" s="275" customFormat="1">
      <c r="A45" s="130" t="s">
        <v>167</v>
      </c>
      <c r="B45" s="24" t="s">
        <v>134</v>
      </c>
      <c r="C45" s="24" t="s">
        <v>164</v>
      </c>
      <c r="D45" s="24" t="s">
        <v>135</v>
      </c>
      <c r="E45" s="24" t="s">
        <v>215</v>
      </c>
      <c r="F45" s="24" t="s">
        <v>137</v>
      </c>
      <c r="G45" s="24" t="s">
        <v>44</v>
      </c>
      <c r="H45" s="25">
        <f>'Congrio dorado Industrial'!E42</f>
        <v>0.875</v>
      </c>
      <c r="I45" s="24">
        <f>'Congrio dorado Industrial'!F42</f>
        <v>0</v>
      </c>
      <c r="J45" s="25">
        <f>'Congrio dorado Industrial'!G42</f>
        <v>1.7375</v>
      </c>
      <c r="K45" s="25">
        <f>'Congrio dorado Industrial'!H42</f>
        <v>0</v>
      </c>
      <c r="L45" s="25">
        <f>'Congrio dorado Industrial'!I42</f>
        <v>1.7375</v>
      </c>
      <c r="M45" s="253">
        <f>'Congrio dorado Industrial'!J42</f>
        <v>0</v>
      </c>
      <c r="N45" s="170" t="s">
        <v>171</v>
      </c>
      <c r="O45" s="254">
        <f>+'Resumen anual Congrio dorado'!B$3</f>
        <v>43508</v>
      </c>
    </row>
    <row r="46" spans="1:15" s="275" customFormat="1">
      <c r="A46" s="130" t="s">
        <v>167</v>
      </c>
      <c r="B46" s="24" t="s">
        <v>134</v>
      </c>
      <c r="C46" s="24" t="s">
        <v>164</v>
      </c>
      <c r="D46" s="24" t="s">
        <v>135</v>
      </c>
      <c r="E46" s="24" t="s">
        <v>215</v>
      </c>
      <c r="F46" s="24" t="s">
        <v>33</v>
      </c>
      <c r="G46" s="24" t="s">
        <v>44</v>
      </c>
      <c r="H46" s="25">
        <f>'Congrio dorado Industrial'!K41</f>
        <v>1.7375</v>
      </c>
      <c r="I46" s="24">
        <f>'Congrio dorado Industrial'!L41</f>
        <v>0</v>
      </c>
      <c r="J46" s="25">
        <f>'Congrio dorado Industrial'!M41</f>
        <v>1.7375</v>
      </c>
      <c r="K46" s="25">
        <f>'Congrio dorado Industrial'!N41</f>
        <v>0</v>
      </c>
      <c r="L46" s="25">
        <f>'Congrio dorado Industrial'!O41</f>
        <v>1.7375</v>
      </c>
      <c r="M46" s="253">
        <f>'Congrio dorado Industrial'!P41</f>
        <v>0</v>
      </c>
      <c r="N46" s="170" t="s">
        <v>171</v>
      </c>
      <c r="O46" s="254">
        <f>+'Resumen anual Congrio dorado'!B$3</f>
        <v>43508</v>
      </c>
    </row>
    <row r="47" spans="1:15" s="275" customFormat="1">
      <c r="A47" s="24" t="s">
        <v>181</v>
      </c>
      <c r="B47" s="24" t="s">
        <v>134</v>
      </c>
      <c r="C47" s="24" t="s">
        <v>139</v>
      </c>
      <c r="D47" s="24" t="s">
        <v>141</v>
      </c>
      <c r="E47" s="24" t="s">
        <v>142</v>
      </c>
      <c r="F47" s="24" t="s">
        <v>33</v>
      </c>
      <c r="G47" s="24" t="s">
        <v>38</v>
      </c>
      <c r="H47" s="25">
        <f>'Congrio dorado Artesanal'!E7</f>
        <v>3.2130000000000001</v>
      </c>
      <c r="I47" s="24">
        <f>'Congrio dorado Artesanal'!F7</f>
        <v>0</v>
      </c>
      <c r="J47" s="25">
        <f>'Congrio dorado Artesanal'!G7</f>
        <v>3.2130000000000001</v>
      </c>
      <c r="K47" s="25">
        <f>'Congrio dorado Artesanal'!H7</f>
        <v>0.999</v>
      </c>
      <c r="L47" s="25">
        <f>'Congrio dorado Artesanal'!I7</f>
        <v>2.214</v>
      </c>
      <c r="M47" s="253">
        <f>'Congrio dorado Artesanal'!J7</f>
        <v>0.31092436974789917</v>
      </c>
      <c r="N47" s="170" t="str">
        <f>'Congrio dorado Artesanal'!K7</f>
        <v>-</v>
      </c>
      <c r="O47" s="254">
        <f>+'Resumen anual Congrio dorado'!B$3</f>
        <v>43508</v>
      </c>
    </row>
    <row r="48" spans="1:15" s="275" customFormat="1">
      <c r="A48" s="24" t="s">
        <v>181</v>
      </c>
      <c r="B48" s="24" t="s">
        <v>134</v>
      </c>
      <c r="C48" s="24" t="s">
        <v>139</v>
      </c>
      <c r="D48" s="24" t="s">
        <v>141</v>
      </c>
      <c r="E48" s="24" t="s">
        <v>142</v>
      </c>
      <c r="F48" s="24" t="s">
        <v>39</v>
      </c>
      <c r="G48" s="24" t="s">
        <v>44</v>
      </c>
      <c r="H48" s="25">
        <f>'Congrio dorado Artesanal'!E8</f>
        <v>3.214</v>
      </c>
      <c r="I48" s="24">
        <f>'Congrio dorado Artesanal'!F8</f>
        <v>0</v>
      </c>
      <c r="J48" s="25">
        <f>'Congrio dorado Artesanal'!G8</f>
        <v>5.4279999999999999</v>
      </c>
      <c r="K48" s="25">
        <f>'Congrio dorado Artesanal'!H8</f>
        <v>0</v>
      </c>
      <c r="L48" s="25">
        <f>'Congrio dorado Artesanal'!I8</f>
        <v>5.4279999999999999</v>
      </c>
      <c r="M48" s="253">
        <f>'Congrio dorado Artesanal'!J8</f>
        <v>0</v>
      </c>
      <c r="N48" s="170" t="str">
        <f>'Congrio dorado Artesanal'!K8</f>
        <v>-</v>
      </c>
      <c r="O48" s="254">
        <f>+'Resumen anual Congrio dorado'!B$3</f>
        <v>43508</v>
      </c>
    </row>
    <row r="49" spans="1:15" s="275" customFormat="1">
      <c r="A49" s="24" t="s">
        <v>181</v>
      </c>
      <c r="B49" s="24" t="s">
        <v>134</v>
      </c>
      <c r="C49" s="24" t="s">
        <v>139</v>
      </c>
      <c r="D49" s="24" t="s">
        <v>141</v>
      </c>
      <c r="E49" s="24" t="s">
        <v>142</v>
      </c>
      <c r="F49" s="24" t="s">
        <v>33</v>
      </c>
      <c r="G49" s="24" t="s">
        <v>44</v>
      </c>
      <c r="H49" s="25">
        <f>'Congrio dorado Artesanal'!L7</f>
        <v>6.4269999999999996</v>
      </c>
      <c r="I49" s="24">
        <f>'Congrio dorado Artesanal'!M7</f>
        <v>0</v>
      </c>
      <c r="J49" s="25">
        <f>'Congrio dorado Artesanal'!N7</f>
        <v>6.4269999999999996</v>
      </c>
      <c r="K49" s="25">
        <f>'Congrio dorado Artesanal'!O7</f>
        <v>0.999</v>
      </c>
      <c r="L49" s="25">
        <f>'Congrio dorado Artesanal'!P7</f>
        <v>5.4279999999999999</v>
      </c>
      <c r="M49" s="253">
        <f>'Congrio dorado Artesanal'!Q7</f>
        <v>0.15543799595456667</v>
      </c>
      <c r="N49" s="170" t="s">
        <v>171</v>
      </c>
      <c r="O49" s="254">
        <f>+'Resumen anual Congrio dorado'!B$3</f>
        <v>43508</v>
      </c>
    </row>
    <row r="50" spans="1:15" s="275" customFormat="1">
      <c r="A50" s="24" t="s">
        <v>181</v>
      </c>
      <c r="B50" s="24" t="s">
        <v>134</v>
      </c>
      <c r="C50" s="24" t="s">
        <v>139</v>
      </c>
      <c r="D50" s="24" t="s">
        <v>141</v>
      </c>
      <c r="E50" s="24" t="s">
        <v>143</v>
      </c>
      <c r="F50" s="24" t="s">
        <v>33</v>
      </c>
      <c r="G50" s="24" t="s">
        <v>38</v>
      </c>
      <c r="H50" s="25">
        <f>'Congrio dorado Artesanal'!E9</f>
        <v>3.4369999999999998</v>
      </c>
      <c r="I50" s="24">
        <f>'Congrio dorado Artesanal'!F9</f>
        <v>0</v>
      </c>
      <c r="J50" s="25">
        <f>'Congrio dorado Artesanal'!G9</f>
        <v>3.4369999999999998</v>
      </c>
      <c r="K50" s="25">
        <f>'Congrio dorado Artesanal'!H9</f>
        <v>0.39900000000000002</v>
      </c>
      <c r="L50" s="25">
        <f>'Congrio dorado Artesanal'!I9</f>
        <v>3.0379999999999998</v>
      </c>
      <c r="M50" s="253">
        <f>'Congrio dorado Artesanal'!J9</f>
        <v>0.11608961303462323</v>
      </c>
      <c r="N50" s="170" t="str">
        <f>'Congrio dorado Artesanal'!K9</f>
        <v>-</v>
      </c>
      <c r="O50" s="254">
        <f>+'Resumen anual Congrio dorado'!B$3</f>
        <v>43508</v>
      </c>
    </row>
    <row r="51" spans="1:15" s="275" customFormat="1">
      <c r="A51" s="24" t="s">
        <v>181</v>
      </c>
      <c r="B51" s="24" t="s">
        <v>134</v>
      </c>
      <c r="C51" s="24" t="s">
        <v>139</v>
      </c>
      <c r="D51" s="24" t="s">
        <v>141</v>
      </c>
      <c r="E51" s="24" t="s">
        <v>143</v>
      </c>
      <c r="F51" s="24" t="s">
        <v>39</v>
      </c>
      <c r="G51" s="24" t="s">
        <v>44</v>
      </c>
      <c r="H51" s="25">
        <f>'Congrio dorado Artesanal'!E10</f>
        <v>3.4369999999999998</v>
      </c>
      <c r="I51" s="24">
        <f>'Congrio dorado Artesanal'!F10</f>
        <v>0</v>
      </c>
      <c r="J51" s="25">
        <f>'Congrio dorado Artesanal'!G10</f>
        <v>6.4749999999999996</v>
      </c>
      <c r="K51" s="25">
        <f>'Congrio dorado Artesanal'!H10</f>
        <v>0</v>
      </c>
      <c r="L51" s="25">
        <f>'Congrio dorado Artesanal'!I10</f>
        <v>6.4749999999999996</v>
      </c>
      <c r="M51" s="253">
        <f>'Congrio dorado Artesanal'!J10</f>
        <v>0</v>
      </c>
      <c r="N51" s="170" t="str">
        <f>'Congrio dorado Artesanal'!K10</f>
        <v>-</v>
      </c>
      <c r="O51" s="254">
        <f>+'Resumen anual Congrio dorado'!B$3</f>
        <v>43508</v>
      </c>
    </row>
    <row r="52" spans="1:15" s="275" customFormat="1">
      <c r="A52" s="24" t="s">
        <v>181</v>
      </c>
      <c r="B52" s="24" t="s">
        <v>134</v>
      </c>
      <c r="C52" s="24" t="s">
        <v>139</v>
      </c>
      <c r="D52" s="24" t="s">
        <v>141</v>
      </c>
      <c r="E52" s="24" t="s">
        <v>143</v>
      </c>
      <c r="F52" s="24" t="s">
        <v>33</v>
      </c>
      <c r="G52" s="24" t="s">
        <v>44</v>
      </c>
      <c r="H52" s="25">
        <f>'Congrio dorado Artesanal'!L9</f>
        <v>6.8739999999999997</v>
      </c>
      <c r="I52" s="24">
        <f>'Congrio dorado Artesanal'!M9</f>
        <v>0</v>
      </c>
      <c r="J52" s="25">
        <f>'Congrio dorado Artesanal'!N9</f>
        <v>6.8739999999999997</v>
      </c>
      <c r="K52" s="25">
        <f>'Congrio dorado Artesanal'!O9</f>
        <v>0.39900000000000002</v>
      </c>
      <c r="L52" s="25">
        <f>'Congrio dorado Artesanal'!P9</f>
        <v>6.4749999999999996</v>
      </c>
      <c r="M52" s="253">
        <f>'Congrio dorado Artesanal'!Q9</f>
        <v>5.8044806517311615E-2</v>
      </c>
      <c r="N52" s="170" t="s">
        <v>171</v>
      </c>
      <c r="O52" s="254">
        <f>+'Resumen anual Congrio dorado'!B$3</f>
        <v>43508</v>
      </c>
    </row>
    <row r="53" spans="1:15" s="275" customFormat="1">
      <c r="A53" s="24" t="s">
        <v>181</v>
      </c>
      <c r="B53" s="24" t="s">
        <v>134</v>
      </c>
      <c r="C53" s="24" t="s">
        <v>139</v>
      </c>
      <c r="D53" s="24" t="s">
        <v>141</v>
      </c>
      <c r="E53" s="24" t="s">
        <v>144</v>
      </c>
      <c r="F53" s="24" t="s">
        <v>33</v>
      </c>
      <c r="G53" s="24" t="s">
        <v>38</v>
      </c>
      <c r="H53" s="25">
        <f>'Congrio dorado Artesanal'!E11</f>
        <v>2.0990000000000002</v>
      </c>
      <c r="I53" s="24">
        <f>'Congrio dorado Artesanal'!F11</f>
        <v>0</v>
      </c>
      <c r="J53" s="25">
        <f>'Congrio dorado Artesanal'!G11</f>
        <v>2.0990000000000002</v>
      </c>
      <c r="K53" s="25">
        <f>'Congrio dorado Artesanal'!H11</f>
        <v>0</v>
      </c>
      <c r="L53" s="25">
        <f>'Congrio dorado Artesanal'!I11</f>
        <v>2.0990000000000002</v>
      </c>
      <c r="M53" s="253">
        <f>'Congrio dorado Artesanal'!J11</f>
        <v>0</v>
      </c>
      <c r="N53" s="170" t="str">
        <f>'Congrio dorado Artesanal'!K11</f>
        <v>-</v>
      </c>
      <c r="O53" s="254">
        <f>+'Resumen anual Congrio dorado'!B$3</f>
        <v>43508</v>
      </c>
    </row>
    <row r="54" spans="1:15" s="275" customFormat="1">
      <c r="A54" s="24" t="s">
        <v>181</v>
      </c>
      <c r="B54" s="24" t="s">
        <v>134</v>
      </c>
      <c r="C54" s="24" t="s">
        <v>139</v>
      </c>
      <c r="D54" s="24" t="s">
        <v>141</v>
      </c>
      <c r="E54" s="24" t="s">
        <v>144</v>
      </c>
      <c r="F54" s="24" t="s">
        <v>39</v>
      </c>
      <c r="G54" s="24" t="s">
        <v>44</v>
      </c>
      <c r="H54" s="25">
        <f>'Congrio dorado Artesanal'!E12</f>
        <v>2.1</v>
      </c>
      <c r="I54" s="24">
        <f>'Congrio dorado Artesanal'!F12</f>
        <v>0</v>
      </c>
      <c r="J54" s="25">
        <f>'Congrio dorado Artesanal'!G12</f>
        <v>4.1989999999999998</v>
      </c>
      <c r="K54" s="25">
        <f>'Congrio dorado Artesanal'!H12</f>
        <v>0</v>
      </c>
      <c r="L54" s="25">
        <f>'Congrio dorado Artesanal'!I12</f>
        <v>4.1989999999999998</v>
      </c>
      <c r="M54" s="253">
        <f>'Congrio dorado Artesanal'!J12</f>
        <v>0</v>
      </c>
      <c r="N54" s="170" t="str">
        <f>'Congrio dorado Artesanal'!K12</f>
        <v>-</v>
      </c>
      <c r="O54" s="254">
        <f>+'Resumen anual Congrio dorado'!B$3</f>
        <v>43508</v>
      </c>
    </row>
    <row r="55" spans="1:15" s="275" customFormat="1">
      <c r="A55" s="24" t="s">
        <v>181</v>
      </c>
      <c r="B55" s="24" t="s">
        <v>134</v>
      </c>
      <c r="C55" s="24" t="s">
        <v>139</v>
      </c>
      <c r="D55" s="24" t="s">
        <v>141</v>
      </c>
      <c r="E55" s="24" t="s">
        <v>144</v>
      </c>
      <c r="F55" s="24" t="s">
        <v>33</v>
      </c>
      <c r="G55" s="24" t="s">
        <v>44</v>
      </c>
      <c r="H55" s="25">
        <f>'Congrio dorado Artesanal'!L11</f>
        <v>4.1989999999999998</v>
      </c>
      <c r="I55" s="24">
        <f>'Congrio dorado Artesanal'!M11</f>
        <v>0</v>
      </c>
      <c r="J55" s="25">
        <f>'Congrio dorado Artesanal'!N11</f>
        <v>4.1989999999999998</v>
      </c>
      <c r="K55" s="25">
        <f>'Congrio dorado Artesanal'!O11</f>
        <v>0</v>
      </c>
      <c r="L55" s="25">
        <f>'Congrio dorado Artesanal'!P11</f>
        <v>4.1989999999999998</v>
      </c>
      <c r="M55" s="253">
        <f>'Congrio dorado Artesanal'!Q11</f>
        <v>0</v>
      </c>
      <c r="N55" s="170" t="s">
        <v>171</v>
      </c>
      <c r="O55" s="254">
        <f>+'Resumen anual Congrio dorado'!B$3</f>
        <v>43508</v>
      </c>
    </row>
    <row r="56" spans="1:15" s="275" customFormat="1">
      <c r="A56" s="24" t="s">
        <v>181</v>
      </c>
      <c r="B56" s="24" t="s">
        <v>134</v>
      </c>
      <c r="C56" s="24" t="s">
        <v>139</v>
      </c>
      <c r="D56" s="24" t="s">
        <v>141</v>
      </c>
      <c r="E56" s="24" t="s">
        <v>145</v>
      </c>
      <c r="F56" s="24" t="s">
        <v>33</v>
      </c>
      <c r="G56" s="24" t="s">
        <v>38</v>
      </c>
      <c r="H56" s="25">
        <f>'Congrio dorado Artesanal'!E13</f>
        <v>7.2359999999999998</v>
      </c>
      <c r="I56" s="24">
        <f>'Congrio dorado Artesanal'!F13</f>
        <v>0</v>
      </c>
      <c r="J56" s="25">
        <f>'Congrio dorado Artesanal'!G13</f>
        <v>7.2359999999999998</v>
      </c>
      <c r="K56" s="25">
        <f>'Congrio dorado Artesanal'!H13</f>
        <v>1.2110000000000001</v>
      </c>
      <c r="L56" s="25">
        <f>'Congrio dorado Artesanal'!I13</f>
        <v>6.0249999999999995</v>
      </c>
      <c r="M56" s="253">
        <f>'Congrio dorado Artesanal'!J13</f>
        <v>0.16735765616362633</v>
      </c>
      <c r="N56" s="170" t="str">
        <f>'Congrio dorado Artesanal'!K13</f>
        <v>-</v>
      </c>
      <c r="O56" s="254">
        <f>+'Resumen anual Congrio dorado'!B$3</f>
        <v>43508</v>
      </c>
    </row>
    <row r="57" spans="1:15" s="275" customFormat="1">
      <c r="A57" s="24" t="s">
        <v>181</v>
      </c>
      <c r="B57" s="24" t="s">
        <v>134</v>
      </c>
      <c r="C57" s="24" t="s">
        <v>139</v>
      </c>
      <c r="D57" s="24" t="s">
        <v>141</v>
      </c>
      <c r="E57" s="24" t="s">
        <v>145</v>
      </c>
      <c r="F57" s="24" t="s">
        <v>39</v>
      </c>
      <c r="G57" s="24" t="s">
        <v>44</v>
      </c>
      <c r="H57" s="25">
        <f>'Congrio dorado Artesanal'!E14</f>
        <v>7.2359999999999998</v>
      </c>
      <c r="I57" s="24">
        <f>'Congrio dorado Artesanal'!F14</f>
        <v>0</v>
      </c>
      <c r="J57" s="25">
        <f>'Congrio dorado Artesanal'!G14</f>
        <v>13.260999999999999</v>
      </c>
      <c r="K57" s="25">
        <f>'Congrio dorado Artesanal'!H14</f>
        <v>0</v>
      </c>
      <c r="L57" s="25">
        <f>'Congrio dorado Artesanal'!I14</f>
        <v>13.260999999999999</v>
      </c>
      <c r="M57" s="253">
        <f>'Congrio dorado Artesanal'!J14</f>
        <v>0</v>
      </c>
      <c r="N57" s="170" t="str">
        <f>'Congrio dorado Artesanal'!K14</f>
        <v>-</v>
      </c>
      <c r="O57" s="254">
        <f>+'Resumen anual Congrio dorado'!B$3</f>
        <v>43508</v>
      </c>
    </row>
    <row r="58" spans="1:15" s="275" customFormat="1">
      <c r="A58" s="24" t="s">
        <v>181</v>
      </c>
      <c r="B58" s="24" t="s">
        <v>134</v>
      </c>
      <c r="C58" s="24" t="s">
        <v>139</v>
      </c>
      <c r="D58" s="24" t="s">
        <v>141</v>
      </c>
      <c r="E58" s="24" t="s">
        <v>145</v>
      </c>
      <c r="F58" s="24" t="s">
        <v>33</v>
      </c>
      <c r="G58" s="24" t="s">
        <v>44</v>
      </c>
      <c r="H58" s="25">
        <f>'Congrio dorado Artesanal'!L13</f>
        <v>14.472</v>
      </c>
      <c r="I58" s="24">
        <f>'Congrio dorado Artesanal'!M13</f>
        <v>0</v>
      </c>
      <c r="J58" s="25">
        <f>'Congrio dorado Artesanal'!N13</f>
        <v>14.472</v>
      </c>
      <c r="K58" s="25">
        <f>'Congrio dorado Artesanal'!O13</f>
        <v>1.2110000000000001</v>
      </c>
      <c r="L58" s="25">
        <f>'Congrio dorado Artesanal'!P13</f>
        <v>13.260999999999999</v>
      </c>
      <c r="M58" s="253">
        <f>'Congrio dorado Artesanal'!Q13</f>
        <v>8.3678828081813164E-2</v>
      </c>
      <c r="N58" s="170" t="s">
        <v>171</v>
      </c>
      <c r="O58" s="254">
        <f>+'Resumen anual Congrio dorado'!B$3</f>
        <v>43508</v>
      </c>
    </row>
    <row r="59" spans="1:15" s="275" customFormat="1">
      <c r="A59" s="24" t="s">
        <v>181</v>
      </c>
      <c r="B59" s="24" t="s">
        <v>134</v>
      </c>
      <c r="C59" s="24" t="s">
        <v>139</v>
      </c>
      <c r="D59" s="24" t="s">
        <v>141</v>
      </c>
      <c r="E59" s="24" t="s">
        <v>146</v>
      </c>
      <c r="F59" s="24" t="s">
        <v>33</v>
      </c>
      <c r="G59" s="24" t="s">
        <v>38</v>
      </c>
      <c r="H59" s="25">
        <f>'Congrio dorado Artesanal'!E15</f>
        <v>13.484999999999999</v>
      </c>
      <c r="I59" s="24">
        <f>'Congrio dorado Artesanal'!F15</f>
        <v>0</v>
      </c>
      <c r="J59" s="25">
        <f>'Congrio dorado Artesanal'!G15</f>
        <v>13.484999999999999</v>
      </c>
      <c r="K59" s="25">
        <f>'Congrio dorado Artesanal'!H15</f>
        <v>0.48099999999999998</v>
      </c>
      <c r="L59" s="25">
        <f>'Congrio dorado Artesanal'!I15</f>
        <v>13.004</v>
      </c>
      <c r="M59" s="253">
        <f>'Congrio dorado Artesanal'!J15</f>
        <v>3.5669262143121987E-2</v>
      </c>
      <c r="N59" s="170" t="str">
        <f>'Congrio dorado Artesanal'!K15</f>
        <v>-</v>
      </c>
      <c r="O59" s="254">
        <f>+'Resumen anual Congrio dorado'!B$3</f>
        <v>43508</v>
      </c>
    </row>
    <row r="60" spans="1:15" s="275" customFormat="1" ht="14.25" customHeight="1">
      <c r="A60" s="24" t="s">
        <v>181</v>
      </c>
      <c r="B60" s="24" t="s">
        <v>134</v>
      </c>
      <c r="C60" s="24" t="s">
        <v>139</v>
      </c>
      <c r="D60" s="24" t="s">
        <v>141</v>
      </c>
      <c r="E60" s="24" t="s">
        <v>146</v>
      </c>
      <c r="F60" s="24" t="s">
        <v>39</v>
      </c>
      <c r="G60" s="24" t="s">
        <v>44</v>
      </c>
      <c r="H60" s="25">
        <f>'Congrio dorado Artesanal'!E16</f>
        <v>13.484999999999999</v>
      </c>
      <c r="I60" s="24">
        <f>'Congrio dorado Artesanal'!F16</f>
        <v>0</v>
      </c>
      <c r="J60" s="25">
        <f>'Congrio dorado Artesanal'!G16</f>
        <v>26.488999999999997</v>
      </c>
      <c r="K60" s="25">
        <f>'Congrio dorado Artesanal'!H16</f>
        <v>0</v>
      </c>
      <c r="L60" s="25">
        <f>'Congrio dorado Artesanal'!I16</f>
        <v>26.488999999999997</v>
      </c>
      <c r="M60" s="253">
        <f>'Congrio dorado Artesanal'!J16</f>
        <v>0</v>
      </c>
      <c r="N60" s="170" t="str">
        <f>'Congrio dorado Artesanal'!K16</f>
        <v>-</v>
      </c>
      <c r="O60" s="254">
        <f>+'Resumen anual Congrio dorado'!B$3</f>
        <v>43508</v>
      </c>
    </row>
    <row r="61" spans="1:15" s="275" customFormat="1" ht="14.25" customHeight="1">
      <c r="A61" s="24" t="s">
        <v>181</v>
      </c>
      <c r="B61" s="24" t="s">
        <v>134</v>
      </c>
      <c r="C61" s="24" t="s">
        <v>139</v>
      </c>
      <c r="D61" s="24" t="s">
        <v>141</v>
      </c>
      <c r="E61" s="24" t="s">
        <v>146</v>
      </c>
      <c r="F61" s="24" t="s">
        <v>33</v>
      </c>
      <c r="G61" s="24" t="s">
        <v>44</v>
      </c>
      <c r="H61" s="25">
        <f>'Congrio dorado Artesanal'!L15</f>
        <v>26.97</v>
      </c>
      <c r="I61" s="24">
        <f>'Congrio dorado Artesanal'!M15</f>
        <v>0</v>
      </c>
      <c r="J61" s="25">
        <f>'Congrio dorado Artesanal'!N15</f>
        <v>26.97</v>
      </c>
      <c r="K61" s="25">
        <f>'Congrio dorado Artesanal'!O15</f>
        <v>0.48099999999999998</v>
      </c>
      <c r="L61" s="25">
        <f>'Congrio dorado Artesanal'!P15</f>
        <v>26.488999999999997</v>
      </c>
      <c r="M61" s="253">
        <f>'Congrio dorado Artesanal'!Q15</f>
        <v>1.7834631071560993E-2</v>
      </c>
      <c r="N61" s="170" t="s">
        <v>171</v>
      </c>
      <c r="O61" s="254">
        <f>+'Resumen anual Congrio dorado'!B$3</f>
        <v>43508</v>
      </c>
    </row>
    <row r="62" spans="1:15" s="275" customFormat="1">
      <c r="A62" s="24" t="s">
        <v>181</v>
      </c>
      <c r="B62" s="24" t="s">
        <v>134</v>
      </c>
      <c r="C62" s="24" t="s">
        <v>139</v>
      </c>
      <c r="D62" s="24" t="s">
        <v>141</v>
      </c>
      <c r="E62" s="24" t="s">
        <v>147</v>
      </c>
      <c r="F62" s="24" t="s">
        <v>33</v>
      </c>
      <c r="G62" s="24" t="s">
        <v>38</v>
      </c>
      <c r="H62" s="25">
        <f>'Congrio dorado Artesanal'!E17</f>
        <v>34.039000000000001</v>
      </c>
      <c r="I62" s="24">
        <f>'Congrio dorado Artesanal'!F17</f>
        <v>0</v>
      </c>
      <c r="J62" s="25">
        <f>'Congrio dorado Artesanal'!G17</f>
        <v>34.039000000000001</v>
      </c>
      <c r="K62" s="25">
        <f>'Congrio dorado Artesanal'!H17</f>
        <v>0.25800000000000001</v>
      </c>
      <c r="L62" s="25">
        <f>'Congrio dorado Artesanal'!I17</f>
        <v>33.780999999999999</v>
      </c>
      <c r="M62" s="253">
        <f>'Congrio dorado Artesanal'!J17</f>
        <v>7.5795411146038364E-3</v>
      </c>
      <c r="N62" s="170" t="str">
        <f>'Congrio dorado Artesanal'!K17</f>
        <v>-</v>
      </c>
      <c r="O62" s="254">
        <f>+'Resumen anual Congrio dorado'!B$3</f>
        <v>43508</v>
      </c>
    </row>
    <row r="63" spans="1:15" s="275" customFormat="1">
      <c r="A63" s="24" t="s">
        <v>181</v>
      </c>
      <c r="B63" s="24" t="s">
        <v>134</v>
      </c>
      <c r="C63" s="24" t="s">
        <v>139</v>
      </c>
      <c r="D63" s="24" t="s">
        <v>141</v>
      </c>
      <c r="E63" s="24" t="s">
        <v>147</v>
      </c>
      <c r="F63" s="24" t="s">
        <v>39</v>
      </c>
      <c r="G63" s="24" t="s">
        <v>44</v>
      </c>
      <c r="H63" s="25">
        <f>'Congrio dorado Artesanal'!E18</f>
        <v>34.039000000000001</v>
      </c>
      <c r="I63" s="24">
        <f>'Congrio dorado Artesanal'!F18</f>
        <v>0</v>
      </c>
      <c r="J63" s="25">
        <f>'Congrio dorado Artesanal'!G18</f>
        <v>67.819999999999993</v>
      </c>
      <c r="K63" s="25">
        <f>'Congrio dorado Artesanal'!H18</f>
        <v>0</v>
      </c>
      <c r="L63" s="25">
        <f>'Congrio dorado Artesanal'!I18</f>
        <v>67.819999999999993</v>
      </c>
      <c r="M63" s="253">
        <f>'Congrio dorado Artesanal'!J18</f>
        <v>0</v>
      </c>
      <c r="N63" s="170" t="str">
        <f>'Congrio dorado Artesanal'!K18</f>
        <v>-</v>
      </c>
      <c r="O63" s="254">
        <f>+'Resumen anual Congrio dorado'!B$3</f>
        <v>43508</v>
      </c>
    </row>
    <row r="64" spans="1:15" s="275" customFormat="1">
      <c r="A64" s="24" t="s">
        <v>181</v>
      </c>
      <c r="B64" s="24" t="s">
        <v>134</v>
      </c>
      <c r="C64" s="24" t="s">
        <v>139</v>
      </c>
      <c r="D64" s="24" t="s">
        <v>141</v>
      </c>
      <c r="E64" s="24" t="s">
        <v>147</v>
      </c>
      <c r="F64" s="24" t="s">
        <v>33</v>
      </c>
      <c r="G64" s="24" t="s">
        <v>44</v>
      </c>
      <c r="H64" s="25">
        <f>'Congrio dorado Artesanal'!L17</f>
        <v>68.078000000000003</v>
      </c>
      <c r="I64" s="24">
        <f>'Congrio dorado Artesanal'!M17</f>
        <v>0</v>
      </c>
      <c r="J64" s="25">
        <f>'Congrio dorado Artesanal'!N17</f>
        <v>68.078000000000003</v>
      </c>
      <c r="K64" s="25">
        <f>'Congrio dorado Artesanal'!O17</f>
        <v>0.25800000000000001</v>
      </c>
      <c r="L64" s="25">
        <f>'Congrio dorado Artesanal'!P17</f>
        <v>67.820000000000007</v>
      </c>
      <c r="M64" s="253">
        <f>'Congrio dorado Artesanal'!Q17</f>
        <v>3.7897705573019182E-3</v>
      </c>
      <c r="N64" s="170" t="s">
        <v>171</v>
      </c>
      <c r="O64" s="254">
        <f>+'Resumen anual Congrio dorado'!B$3</f>
        <v>43508</v>
      </c>
    </row>
    <row r="65" spans="1:15" s="275" customFormat="1">
      <c r="A65" s="24" t="s">
        <v>181</v>
      </c>
      <c r="B65" s="24" t="s">
        <v>134</v>
      </c>
      <c r="C65" s="24" t="s">
        <v>139</v>
      </c>
      <c r="D65" s="24" t="s">
        <v>141</v>
      </c>
      <c r="E65" s="24" t="s">
        <v>148</v>
      </c>
      <c r="F65" s="24" t="s">
        <v>33</v>
      </c>
      <c r="G65" s="24" t="s">
        <v>38</v>
      </c>
      <c r="H65" s="25">
        <f>'Congrio dorado Artesanal'!E19</f>
        <v>6.9</v>
      </c>
      <c r="I65" s="24">
        <f>'Congrio dorado Artesanal'!F19</f>
        <v>0</v>
      </c>
      <c r="J65" s="25">
        <f>'Congrio dorado Artesanal'!G19</f>
        <v>6.9</v>
      </c>
      <c r="K65" s="25">
        <f>'Congrio dorado Artesanal'!H19</f>
        <v>0</v>
      </c>
      <c r="L65" s="25">
        <f>'Congrio dorado Artesanal'!I19</f>
        <v>6.9</v>
      </c>
      <c r="M65" s="253">
        <f>'Congrio dorado Artesanal'!J19</f>
        <v>0</v>
      </c>
      <c r="N65" s="170" t="str">
        <f>'Congrio dorado Artesanal'!K19</f>
        <v>-</v>
      </c>
      <c r="O65" s="254">
        <f>+'Resumen anual Congrio dorado'!B$3</f>
        <v>43508</v>
      </c>
    </row>
    <row r="66" spans="1:15" s="275" customFormat="1">
      <c r="A66" s="24" t="s">
        <v>181</v>
      </c>
      <c r="B66" s="24" t="s">
        <v>134</v>
      </c>
      <c r="C66" s="24" t="s">
        <v>139</v>
      </c>
      <c r="D66" s="24" t="s">
        <v>141</v>
      </c>
      <c r="E66" s="24" t="s">
        <v>148</v>
      </c>
      <c r="F66" s="24" t="s">
        <v>39</v>
      </c>
      <c r="G66" s="24" t="s">
        <v>44</v>
      </c>
      <c r="H66" s="25">
        <f>'Congrio dorado Artesanal'!E20</f>
        <v>6.9</v>
      </c>
      <c r="I66" s="24">
        <f>'Congrio dorado Artesanal'!F20</f>
        <v>0</v>
      </c>
      <c r="J66" s="25">
        <f>'Congrio dorado Artesanal'!G20</f>
        <v>13.8</v>
      </c>
      <c r="K66" s="25">
        <f>'Congrio dorado Artesanal'!H20</f>
        <v>0</v>
      </c>
      <c r="L66" s="25">
        <f>'Congrio dorado Artesanal'!I20</f>
        <v>13.8</v>
      </c>
      <c r="M66" s="253">
        <f>'Congrio dorado Artesanal'!J20</f>
        <v>0</v>
      </c>
      <c r="N66" s="170" t="str">
        <f>'Congrio dorado Artesanal'!K20</f>
        <v>-</v>
      </c>
      <c r="O66" s="254">
        <f>+'Resumen anual Congrio dorado'!B$3</f>
        <v>43508</v>
      </c>
    </row>
    <row r="67" spans="1:15" s="275" customFormat="1">
      <c r="A67" s="24" t="s">
        <v>181</v>
      </c>
      <c r="B67" s="24" t="s">
        <v>134</v>
      </c>
      <c r="C67" s="24" t="s">
        <v>139</v>
      </c>
      <c r="D67" s="24" t="s">
        <v>141</v>
      </c>
      <c r="E67" s="24" t="s">
        <v>148</v>
      </c>
      <c r="F67" s="24" t="s">
        <v>33</v>
      </c>
      <c r="G67" s="24" t="s">
        <v>44</v>
      </c>
      <c r="H67" s="25">
        <f>'Congrio dorado Artesanal'!L19</f>
        <v>13.8</v>
      </c>
      <c r="I67" s="24">
        <f>'Congrio dorado Artesanal'!M19</f>
        <v>0</v>
      </c>
      <c r="J67" s="25">
        <f>'Congrio dorado Artesanal'!N19</f>
        <v>13.8</v>
      </c>
      <c r="K67" s="25">
        <f>'Congrio dorado Artesanal'!O19</f>
        <v>0</v>
      </c>
      <c r="L67" s="25">
        <f>'Congrio dorado Artesanal'!P19</f>
        <v>13.8</v>
      </c>
      <c r="M67" s="253">
        <f>'Congrio dorado Artesanal'!Q19</f>
        <v>0</v>
      </c>
      <c r="N67" s="170" t="s">
        <v>171</v>
      </c>
      <c r="O67" s="254">
        <f>+'Resumen anual Congrio dorado'!B$3</f>
        <v>43508</v>
      </c>
    </row>
    <row r="68" spans="1:15" s="275" customFormat="1">
      <c r="A68" s="24" t="s">
        <v>181</v>
      </c>
      <c r="B68" s="24" t="s">
        <v>134</v>
      </c>
      <c r="C68" s="24" t="s">
        <v>139</v>
      </c>
      <c r="D68" s="24" t="s">
        <v>141</v>
      </c>
      <c r="E68" s="24" t="s">
        <v>149</v>
      </c>
      <c r="F68" s="24" t="s">
        <v>33</v>
      </c>
      <c r="G68" s="24" t="s">
        <v>38</v>
      </c>
      <c r="H68" s="25">
        <f>'Congrio dorado Artesanal'!E21</f>
        <v>3.2869999999999999</v>
      </c>
      <c r="I68" s="24">
        <f>'Congrio dorado Artesanal'!F21</f>
        <v>0</v>
      </c>
      <c r="J68" s="25">
        <f>'Congrio dorado Artesanal'!G21</f>
        <v>3.2869999999999999</v>
      </c>
      <c r="K68" s="25">
        <f>'Congrio dorado Artesanal'!H21</f>
        <v>1.0999999999999999E-2</v>
      </c>
      <c r="L68" s="25">
        <f>'Congrio dorado Artesanal'!I21</f>
        <v>3.2759999999999998</v>
      </c>
      <c r="M68" s="253">
        <f>'Congrio dorado Artesanal'!J21</f>
        <v>3.3465165804685121E-3</v>
      </c>
      <c r="N68" s="170" t="str">
        <f>'Congrio dorado Artesanal'!K21</f>
        <v>-</v>
      </c>
      <c r="O68" s="254">
        <f>+'Resumen anual Congrio dorado'!B$3</f>
        <v>43508</v>
      </c>
    </row>
    <row r="69" spans="1:15" s="275" customFormat="1">
      <c r="A69" s="24" t="s">
        <v>181</v>
      </c>
      <c r="B69" s="24" t="s">
        <v>134</v>
      </c>
      <c r="C69" s="24" t="s">
        <v>139</v>
      </c>
      <c r="D69" s="24" t="s">
        <v>141</v>
      </c>
      <c r="E69" s="24" t="s">
        <v>149</v>
      </c>
      <c r="F69" s="24" t="s">
        <v>39</v>
      </c>
      <c r="G69" s="24" t="s">
        <v>44</v>
      </c>
      <c r="H69" s="25">
        <f>'Congrio dorado Artesanal'!E22</f>
        <v>3.2869999999999999</v>
      </c>
      <c r="I69" s="24">
        <f>'Congrio dorado Artesanal'!F22</f>
        <v>0</v>
      </c>
      <c r="J69" s="25">
        <f>'Congrio dorado Artesanal'!G22</f>
        <v>6.5629999999999997</v>
      </c>
      <c r="K69" s="25">
        <f>'Congrio dorado Artesanal'!H22</f>
        <v>0</v>
      </c>
      <c r="L69" s="25">
        <f>'Congrio dorado Artesanal'!I22</f>
        <v>6.5629999999999997</v>
      </c>
      <c r="M69" s="253">
        <f>'Congrio dorado Artesanal'!J22</f>
        <v>0</v>
      </c>
      <c r="N69" s="170" t="str">
        <f>'Congrio dorado Artesanal'!K22</f>
        <v>-</v>
      </c>
      <c r="O69" s="254">
        <f>+'Resumen anual Congrio dorado'!B$3</f>
        <v>43508</v>
      </c>
    </row>
    <row r="70" spans="1:15" s="275" customFormat="1">
      <c r="A70" s="24" t="s">
        <v>181</v>
      </c>
      <c r="B70" s="24" t="s">
        <v>134</v>
      </c>
      <c r="C70" s="24" t="s">
        <v>139</v>
      </c>
      <c r="D70" s="24" t="s">
        <v>141</v>
      </c>
      <c r="E70" s="24" t="s">
        <v>149</v>
      </c>
      <c r="F70" s="24" t="s">
        <v>33</v>
      </c>
      <c r="G70" s="24" t="s">
        <v>44</v>
      </c>
      <c r="H70" s="25">
        <f>'Congrio dorado Artesanal'!L21</f>
        <v>6.5739999999999998</v>
      </c>
      <c r="I70" s="24">
        <f>'Congrio dorado Artesanal'!M21</f>
        <v>0</v>
      </c>
      <c r="J70" s="25">
        <f>'Congrio dorado Artesanal'!N21</f>
        <v>6.5739999999999998</v>
      </c>
      <c r="K70" s="25">
        <f>'Congrio dorado Artesanal'!O21</f>
        <v>1.0999999999999999E-2</v>
      </c>
      <c r="L70" s="25">
        <f>'Congrio dorado Artesanal'!P21</f>
        <v>6.5629999999999997</v>
      </c>
      <c r="M70" s="253">
        <f>'Congrio dorado Artesanal'!Q21</f>
        <v>1.6732582902342561E-3</v>
      </c>
      <c r="N70" s="170" t="s">
        <v>171</v>
      </c>
      <c r="O70" s="254">
        <f>+'Resumen anual Congrio dorado'!B$3</f>
        <v>43508</v>
      </c>
    </row>
    <row r="71" spans="1:15" s="275" customFormat="1">
      <c r="A71" s="24" t="s">
        <v>181</v>
      </c>
      <c r="B71" s="24" t="s">
        <v>134</v>
      </c>
      <c r="C71" s="24" t="s">
        <v>139</v>
      </c>
      <c r="D71" s="24" t="s">
        <v>141</v>
      </c>
      <c r="E71" s="24" t="s">
        <v>150</v>
      </c>
      <c r="F71" s="24" t="s">
        <v>33</v>
      </c>
      <c r="G71" s="24" t="s">
        <v>38</v>
      </c>
      <c r="H71" s="25">
        <f>'Congrio dorado Artesanal'!E23</f>
        <v>0.114</v>
      </c>
      <c r="I71" s="24">
        <f>'Congrio dorado Artesanal'!F23</f>
        <v>0</v>
      </c>
      <c r="J71" s="25">
        <f>'Congrio dorado Artesanal'!G23</f>
        <v>0.114</v>
      </c>
      <c r="K71" s="25">
        <f>'Congrio dorado Artesanal'!H23</f>
        <v>0</v>
      </c>
      <c r="L71" s="25">
        <f>'Congrio dorado Artesanal'!I23</f>
        <v>0.114</v>
      </c>
      <c r="M71" s="253">
        <f>'Congrio dorado Artesanal'!J23</f>
        <v>0</v>
      </c>
      <c r="N71" s="170" t="str">
        <f>'Congrio dorado Artesanal'!K23</f>
        <v>-</v>
      </c>
      <c r="O71" s="254">
        <f>+'Resumen anual Congrio dorado'!B$3</f>
        <v>43508</v>
      </c>
    </row>
    <row r="72" spans="1:15" s="275" customFormat="1">
      <c r="A72" s="24" t="s">
        <v>181</v>
      </c>
      <c r="B72" s="24" t="s">
        <v>134</v>
      </c>
      <c r="C72" s="24" t="s">
        <v>139</v>
      </c>
      <c r="D72" s="24" t="s">
        <v>141</v>
      </c>
      <c r="E72" s="24" t="s">
        <v>150</v>
      </c>
      <c r="F72" s="24" t="s">
        <v>39</v>
      </c>
      <c r="G72" s="24" t="s">
        <v>44</v>
      </c>
      <c r="H72" s="25">
        <f>'Congrio dorado Artesanal'!E24</f>
        <v>0.115</v>
      </c>
      <c r="I72" s="24">
        <f>'Congrio dorado Artesanal'!F24</f>
        <v>0</v>
      </c>
      <c r="J72" s="25">
        <f>'Congrio dorado Artesanal'!G24</f>
        <v>0.22900000000000001</v>
      </c>
      <c r="K72" s="25">
        <f>'Congrio dorado Artesanal'!H24</f>
        <v>0</v>
      </c>
      <c r="L72" s="25">
        <f>'Congrio dorado Artesanal'!I24</f>
        <v>0.22900000000000001</v>
      </c>
      <c r="M72" s="253">
        <f>'Congrio dorado Artesanal'!J24</f>
        <v>0</v>
      </c>
      <c r="N72" s="170" t="str">
        <f>'Congrio dorado Artesanal'!K24</f>
        <v>-</v>
      </c>
      <c r="O72" s="254">
        <f>+'Resumen anual Congrio dorado'!B$3</f>
        <v>43508</v>
      </c>
    </row>
    <row r="73" spans="1:15" s="275" customFormat="1">
      <c r="A73" s="24" t="s">
        <v>181</v>
      </c>
      <c r="B73" s="24" t="s">
        <v>134</v>
      </c>
      <c r="C73" s="24" t="s">
        <v>139</v>
      </c>
      <c r="D73" s="24" t="s">
        <v>141</v>
      </c>
      <c r="E73" s="24" t="s">
        <v>150</v>
      </c>
      <c r="F73" s="24" t="s">
        <v>33</v>
      </c>
      <c r="G73" s="24" t="s">
        <v>44</v>
      </c>
      <c r="H73" s="25">
        <f>'Congrio dorado Artesanal'!L23</f>
        <v>0.22900000000000001</v>
      </c>
      <c r="I73" s="24">
        <f>'Congrio dorado Artesanal'!M23</f>
        <v>0</v>
      </c>
      <c r="J73" s="25">
        <f>'Congrio dorado Artesanal'!N23</f>
        <v>0.22900000000000001</v>
      </c>
      <c r="K73" s="25">
        <f>'Congrio dorado Artesanal'!O23</f>
        <v>0</v>
      </c>
      <c r="L73" s="25">
        <f>'Congrio dorado Artesanal'!P23</f>
        <v>0.22900000000000001</v>
      </c>
      <c r="M73" s="253">
        <f>'Congrio dorado Artesanal'!Q23</f>
        <v>0</v>
      </c>
      <c r="N73" s="170" t="s">
        <v>171</v>
      </c>
      <c r="O73" s="254">
        <f>+'Resumen anual Congrio dorado'!B$3</f>
        <v>43508</v>
      </c>
    </row>
    <row r="74" spans="1:15" s="275" customFormat="1">
      <c r="A74" s="24" t="s">
        <v>181</v>
      </c>
      <c r="B74" s="24" t="s">
        <v>134</v>
      </c>
      <c r="C74" s="24" t="s">
        <v>139</v>
      </c>
      <c r="D74" s="24" t="s">
        <v>141</v>
      </c>
      <c r="E74" s="24" t="s">
        <v>151</v>
      </c>
      <c r="F74" s="24" t="s">
        <v>33</v>
      </c>
      <c r="G74" s="24" t="s">
        <v>38</v>
      </c>
      <c r="H74" s="25">
        <f>'Congrio dorado Artesanal'!E25</f>
        <v>0.78800000000000003</v>
      </c>
      <c r="I74" s="24">
        <f>'Congrio dorado Artesanal'!F25</f>
        <v>0</v>
      </c>
      <c r="J74" s="25">
        <f>'Congrio dorado Artesanal'!G25</f>
        <v>0.78800000000000003</v>
      </c>
      <c r="K74" s="25">
        <f>'Congrio dorado Artesanal'!H25</f>
        <v>0.05</v>
      </c>
      <c r="L74" s="25">
        <f>'Congrio dorado Artesanal'!I25</f>
        <v>0.73799999999999999</v>
      </c>
      <c r="M74" s="253">
        <f>'Congrio dorado Artesanal'!J25</f>
        <v>6.3451776649746189E-2</v>
      </c>
      <c r="N74" s="170">
        <f>'Congrio dorado Artesanal'!K25</f>
        <v>43500</v>
      </c>
      <c r="O74" s="254">
        <f>+'Resumen anual Congrio dorado'!B$3</f>
        <v>43508</v>
      </c>
    </row>
    <row r="75" spans="1:15" s="275" customFormat="1">
      <c r="A75" s="24" t="s">
        <v>181</v>
      </c>
      <c r="B75" s="24" t="s">
        <v>134</v>
      </c>
      <c r="C75" s="24" t="s">
        <v>139</v>
      </c>
      <c r="D75" s="24" t="s">
        <v>141</v>
      </c>
      <c r="E75" s="24" t="s">
        <v>151</v>
      </c>
      <c r="F75" s="24" t="s">
        <v>39</v>
      </c>
      <c r="G75" s="24" t="s">
        <v>44</v>
      </c>
      <c r="H75" s="25">
        <f>'Congrio dorado Artesanal'!E26</f>
        <v>0.78900000000000003</v>
      </c>
      <c r="I75" s="24">
        <f>'Congrio dorado Artesanal'!F26</f>
        <v>0</v>
      </c>
      <c r="J75" s="25">
        <f>'Congrio dorado Artesanal'!G26</f>
        <v>1.5270000000000001</v>
      </c>
      <c r="K75" s="25">
        <f>'Congrio dorado Artesanal'!H26</f>
        <v>0</v>
      </c>
      <c r="L75" s="25">
        <f>'Congrio dorado Artesanal'!I26</f>
        <v>1.5270000000000001</v>
      </c>
      <c r="M75" s="253">
        <f>'Congrio dorado Artesanal'!J26</f>
        <v>0</v>
      </c>
      <c r="N75" s="170">
        <f>'Congrio dorado Artesanal'!K26</f>
        <v>43500</v>
      </c>
      <c r="O75" s="254">
        <f>+'Resumen anual Congrio dorado'!B$3</f>
        <v>43508</v>
      </c>
    </row>
    <row r="76" spans="1:15" s="275" customFormat="1">
      <c r="A76" s="24" t="s">
        <v>181</v>
      </c>
      <c r="B76" s="24" t="s">
        <v>134</v>
      </c>
      <c r="C76" s="24" t="s">
        <v>139</v>
      </c>
      <c r="D76" s="24" t="s">
        <v>141</v>
      </c>
      <c r="E76" s="24" t="s">
        <v>151</v>
      </c>
      <c r="F76" s="24" t="s">
        <v>33</v>
      </c>
      <c r="G76" s="24" t="s">
        <v>44</v>
      </c>
      <c r="H76" s="25">
        <f>'Congrio dorado Artesanal'!L25</f>
        <v>1.577</v>
      </c>
      <c r="I76" s="24">
        <f>'Congrio dorado Artesanal'!M25</f>
        <v>0</v>
      </c>
      <c r="J76" s="25">
        <f>'Congrio dorado Artesanal'!N25</f>
        <v>1.577</v>
      </c>
      <c r="K76" s="25">
        <f>'Congrio dorado Artesanal'!O25</f>
        <v>0.05</v>
      </c>
      <c r="L76" s="25">
        <f>'Congrio dorado Artesanal'!P25</f>
        <v>1.5269999999999999</v>
      </c>
      <c r="M76" s="253">
        <f>'Congrio dorado Artesanal'!Q25</f>
        <v>3.1705770450221944E-2</v>
      </c>
      <c r="N76" s="170" t="s">
        <v>171</v>
      </c>
      <c r="O76" s="254">
        <f>+'Resumen anual Congrio dorado'!B$3</f>
        <v>43508</v>
      </c>
    </row>
    <row r="77" spans="1:15" s="275" customFormat="1">
      <c r="A77" s="24" t="s">
        <v>181</v>
      </c>
      <c r="B77" s="24" t="s">
        <v>134</v>
      </c>
      <c r="C77" s="24" t="s">
        <v>139</v>
      </c>
      <c r="D77" s="24" t="s">
        <v>166</v>
      </c>
      <c r="E77" s="24" t="s">
        <v>188</v>
      </c>
      <c r="F77" s="24" t="s">
        <v>33</v>
      </c>
      <c r="G77" s="24" t="s">
        <v>38</v>
      </c>
      <c r="H77" s="25">
        <f>'Congrio dorado Artesanal'!E27</f>
        <v>26.631</v>
      </c>
      <c r="I77" s="24">
        <f>'Congrio dorado Artesanal'!F27</f>
        <v>0</v>
      </c>
      <c r="J77" s="25">
        <f>'Congrio dorado Artesanal'!G27</f>
        <v>26.631</v>
      </c>
      <c r="K77" s="25">
        <f>'Congrio dorado Artesanal'!H27</f>
        <v>60.308999999999997</v>
      </c>
      <c r="L77" s="25">
        <f>'Congrio dorado Artesanal'!I27</f>
        <v>-33.677999999999997</v>
      </c>
      <c r="M77" s="253">
        <f>'Congrio dorado Artesanal'!J27</f>
        <v>2.2646164244677256</v>
      </c>
      <c r="N77" s="170">
        <f>'Congrio dorado Artesanal'!K27</f>
        <v>43479</v>
      </c>
      <c r="O77" s="254">
        <f>+'Resumen anual Congrio dorado'!B$3</f>
        <v>43508</v>
      </c>
    </row>
    <row r="78" spans="1:15" s="275" customFormat="1">
      <c r="A78" s="24" t="s">
        <v>181</v>
      </c>
      <c r="B78" s="24" t="s">
        <v>134</v>
      </c>
      <c r="C78" s="24" t="s">
        <v>139</v>
      </c>
      <c r="D78" s="24" t="s">
        <v>166</v>
      </c>
      <c r="E78" s="24" t="s">
        <v>188</v>
      </c>
      <c r="F78" s="24" t="s">
        <v>39</v>
      </c>
      <c r="G78" s="24" t="s">
        <v>44</v>
      </c>
      <c r="H78" s="25">
        <f>'Congrio dorado Artesanal'!E28</f>
        <v>26.63</v>
      </c>
      <c r="I78" s="24">
        <f>'Congrio dorado Artesanal'!F28</f>
        <v>0</v>
      </c>
      <c r="J78" s="25">
        <f>'Congrio dorado Artesanal'!G28</f>
        <v>-7.0479999999999983</v>
      </c>
      <c r="K78" s="25">
        <f>'Congrio dorado Artesanal'!H28</f>
        <v>0</v>
      </c>
      <c r="L78" s="25">
        <f>'Congrio dorado Artesanal'!I28</f>
        <v>-7.0479999999999983</v>
      </c>
      <c r="M78" s="253">
        <f>'Congrio dorado Artesanal'!J28</f>
        <v>0</v>
      </c>
      <c r="N78" s="170">
        <f>'Congrio dorado Artesanal'!K28</f>
        <v>43483</v>
      </c>
      <c r="O78" s="254">
        <f>+'Resumen anual Congrio dorado'!B$3</f>
        <v>43508</v>
      </c>
    </row>
    <row r="79" spans="1:15" s="275" customFormat="1">
      <c r="A79" s="24" t="s">
        <v>181</v>
      </c>
      <c r="B79" s="24" t="s">
        <v>134</v>
      </c>
      <c r="C79" s="24" t="s">
        <v>139</v>
      </c>
      <c r="D79" s="24" t="s">
        <v>166</v>
      </c>
      <c r="E79" s="24" t="s">
        <v>188</v>
      </c>
      <c r="F79" s="24" t="s">
        <v>33</v>
      </c>
      <c r="G79" s="24" t="s">
        <v>44</v>
      </c>
      <c r="H79" s="25">
        <f>'Congrio dorado Artesanal'!L27</f>
        <v>53.260999999999996</v>
      </c>
      <c r="I79" s="24">
        <f>'Congrio dorado Artesanal'!M27</f>
        <v>0</v>
      </c>
      <c r="J79" s="25">
        <f>'Congrio dorado Artesanal'!N27</f>
        <v>53.260999999999996</v>
      </c>
      <c r="K79" s="25">
        <f>'Congrio dorado Artesanal'!O27</f>
        <v>60.308999999999997</v>
      </c>
      <c r="L79" s="25">
        <f>'Congrio dorado Artesanal'!P27</f>
        <v>-7.0480000000000018</v>
      </c>
      <c r="M79" s="253">
        <f>'Congrio dorado Artesanal'!Q27</f>
        <v>1.1323294718461914</v>
      </c>
      <c r="N79" s="170">
        <f>'Congrio dorado Artesanal'!K28</f>
        <v>43483</v>
      </c>
      <c r="O79" s="254">
        <f>+'Resumen anual Congrio dorado'!B$3</f>
        <v>43508</v>
      </c>
    </row>
    <row r="80" spans="1:15" s="275" customFormat="1">
      <c r="A80" s="24" t="s">
        <v>181</v>
      </c>
      <c r="B80" s="24" t="s">
        <v>134</v>
      </c>
      <c r="C80" s="24" t="s">
        <v>139</v>
      </c>
      <c r="D80" s="24" t="s">
        <v>173</v>
      </c>
      <c r="E80" s="24" t="s">
        <v>152</v>
      </c>
      <c r="F80" s="24" t="s">
        <v>33</v>
      </c>
      <c r="G80" s="24" t="s">
        <v>38</v>
      </c>
      <c r="H80" s="25">
        <f>'Congrio dorado Artesanal'!E35</f>
        <v>54.05</v>
      </c>
      <c r="I80" s="24">
        <f>'Congrio dorado Artesanal'!F35</f>
        <v>0</v>
      </c>
      <c r="J80" s="25">
        <f>'Congrio dorado Artesanal'!G35</f>
        <v>54.05</v>
      </c>
      <c r="K80" s="25">
        <f>'Congrio dorado Artesanal'!H35</f>
        <v>6.5490000000000004</v>
      </c>
      <c r="L80" s="25">
        <f>'Congrio dorado Artesanal'!I35</f>
        <v>47.500999999999998</v>
      </c>
      <c r="M80" s="253">
        <f>'Congrio dorado Artesanal'!J35</f>
        <v>0.12116558741905645</v>
      </c>
      <c r="N80" s="170" t="str">
        <f>'Congrio dorado Artesanal'!K35</f>
        <v>-</v>
      </c>
      <c r="O80" s="254">
        <f>+'Resumen anual Congrio dorado'!B$3</f>
        <v>43508</v>
      </c>
    </row>
    <row r="81" spans="1:15" s="275" customFormat="1">
      <c r="A81" s="24" t="s">
        <v>181</v>
      </c>
      <c r="B81" s="24" t="s">
        <v>134</v>
      </c>
      <c r="C81" s="24" t="s">
        <v>139</v>
      </c>
      <c r="D81" s="24" t="s">
        <v>173</v>
      </c>
      <c r="E81" s="24" t="s">
        <v>152</v>
      </c>
      <c r="F81" s="24" t="s">
        <v>39</v>
      </c>
      <c r="G81" s="24" t="s">
        <v>44</v>
      </c>
      <c r="H81" s="25">
        <f>'Congrio dorado Artesanal'!E36</f>
        <v>54.05</v>
      </c>
      <c r="I81" s="24">
        <f>'Congrio dorado Artesanal'!F36</f>
        <v>0</v>
      </c>
      <c r="J81" s="25">
        <f>'Congrio dorado Artesanal'!G36</f>
        <v>101.55099999999999</v>
      </c>
      <c r="K81" s="25">
        <f>'Congrio dorado Artesanal'!H36</f>
        <v>0</v>
      </c>
      <c r="L81" s="25">
        <f>'Congrio dorado Artesanal'!I36</f>
        <v>101.55099999999999</v>
      </c>
      <c r="M81" s="253">
        <f>'Congrio dorado Artesanal'!J36</f>
        <v>0</v>
      </c>
      <c r="N81" s="170" t="str">
        <f>'Congrio dorado Artesanal'!K36</f>
        <v>-</v>
      </c>
      <c r="O81" s="254">
        <f>+'Resumen anual Congrio dorado'!B$3</f>
        <v>43508</v>
      </c>
    </row>
    <row r="82" spans="1:15" s="275" customFormat="1">
      <c r="A82" s="24" t="s">
        <v>181</v>
      </c>
      <c r="B82" s="24" t="s">
        <v>134</v>
      </c>
      <c r="C82" s="24" t="s">
        <v>139</v>
      </c>
      <c r="D82" s="24" t="s">
        <v>173</v>
      </c>
      <c r="E82" s="24" t="s">
        <v>152</v>
      </c>
      <c r="F82" s="24" t="s">
        <v>33</v>
      </c>
      <c r="G82" s="24" t="s">
        <v>44</v>
      </c>
      <c r="H82" s="25">
        <f>'Congrio dorado Artesanal'!L35</f>
        <v>108.1</v>
      </c>
      <c r="I82" s="24">
        <f>'Congrio dorado Artesanal'!M35</f>
        <v>0</v>
      </c>
      <c r="J82" s="25">
        <f>'Congrio dorado Artesanal'!N35</f>
        <v>155.601</v>
      </c>
      <c r="K82" s="25">
        <f>'Congrio dorado Artesanal'!O35</f>
        <v>6.5490000000000004</v>
      </c>
      <c r="L82" s="25">
        <f>'Congrio dorado Artesanal'!P35</f>
        <v>149.05199999999999</v>
      </c>
      <c r="M82" s="253">
        <f>'Congrio dorado Artesanal'!Q35</f>
        <v>4.208841845489425E-2</v>
      </c>
      <c r="N82" s="170" t="s">
        <v>171</v>
      </c>
      <c r="O82" s="254">
        <f>+'Resumen anual Congrio dorado'!B$3</f>
        <v>43508</v>
      </c>
    </row>
    <row r="83" spans="1:15" s="275" customFormat="1">
      <c r="A83" s="24" t="s">
        <v>181</v>
      </c>
      <c r="B83" s="24" t="s">
        <v>134</v>
      </c>
      <c r="C83" s="24" t="s">
        <v>139</v>
      </c>
      <c r="D83" s="24" t="s">
        <v>166</v>
      </c>
      <c r="E83" s="24" t="s">
        <v>187</v>
      </c>
      <c r="F83" s="24" t="s">
        <v>33</v>
      </c>
      <c r="G83" s="24" t="s">
        <v>38</v>
      </c>
      <c r="H83" s="25">
        <f>'Congrio dorado Artesanal'!E37</f>
        <v>13.23</v>
      </c>
      <c r="I83" s="24">
        <f>'Congrio dorado Artesanal'!F37</f>
        <v>0</v>
      </c>
      <c r="J83" s="25">
        <f>'Congrio dorado Artesanal'!G37</f>
        <v>13.23</v>
      </c>
      <c r="K83" s="25">
        <f>'Congrio dorado Artesanal'!H37</f>
        <v>34.063000000000002</v>
      </c>
      <c r="L83" s="25">
        <f>'Congrio dorado Artesanal'!I37</f>
        <v>-20.833000000000002</v>
      </c>
      <c r="M83" s="253">
        <f>'Congrio dorado Artesanal'!J37</f>
        <v>2.5746787603930463</v>
      </c>
      <c r="N83" s="170">
        <f>'Congrio dorado Artesanal'!K37</f>
        <v>43479</v>
      </c>
      <c r="O83" s="254">
        <f>+'Resumen anual Congrio dorado'!B$3</f>
        <v>43508</v>
      </c>
    </row>
    <row r="84" spans="1:15" s="275" customFormat="1">
      <c r="A84" s="24" t="s">
        <v>181</v>
      </c>
      <c r="B84" s="24" t="s">
        <v>134</v>
      </c>
      <c r="C84" s="24" t="s">
        <v>139</v>
      </c>
      <c r="D84" s="24" t="s">
        <v>166</v>
      </c>
      <c r="E84" s="24" t="s">
        <v>187</v>
      </c>
      <c r="F84" s="24" t="s">
        <v>39</v>
      </c>
      <c r="G84" s="24" t="s">
        <v>44</v>
      </c>
      <c r="H84" s="25">
        <f>'Congrio dorado Artesanal'!E38</f>
        <v>13.23</v>
      </c>
      <c r="I84" s="24">
        <f>'Congrio dorado Artesanal'!F38</f>
        <v>0</v>
      </c>
      <c r="J84" s="25">
        <f>'Congrio dorado Artesanal'!G38</f>
        <v>-7.6030000000000015</v>
      </c>
      <c r="K84" s="25">
        <f>'Congrio dorado Artesanal'!H38</f>
        <v>0</v>
      </c>
      <c r="L84" s="25">
        <f>'Congrio dorado Artesanal'!I38</f>
        <v>-7.6030000000000015</v>
      </c>
      <c r="M84" s="253">
        <f>'Congrio dorado Artesanal'!J38</f>
        <v>0</v>
      </c>
      <c r="N84" s="170">
        <f>'Congrio dorado Artesanal'!K38</f>
        <v>43479</v>
      </c>
      <c r="O84" s="254">
        <f>+'Resumen anual Congrio dorado'!B$3</f>
        <v>43508</v>
      </c>
    </row>
    <row r="85" spans="1:15" s="275" customFormat="1">
      <c r="A85" s="24" t="s">
        <v>181</v>
      </c>
      <c r="B85" s="24" t="s">
        <v>134</v>
      </c>
      <c r="C85" s="24" t="s">
        <v>139</v>
      </c>
      <c r="D85" s="24" t="s">
        <v>166</v>
      </c>
      <c r="E85" s="24" t="s">
        <v>187</v>
      </c>
      <c r="F85" s="24" t="s">
        <v>33</v>
      </c>
      <c r="G85" s="24" t="s">
        <v>44</v>
      </c>
      <c r="H85" s="25">
        <f>'Congrio dorado Artesanal'!L37</f>
        <v>26.46</v>
      </c>
      <c r="I85" s="24">
        <f>'Congrio dorado Artesanal'!M37</f>
        <v>0</v>
      </c>
      <c r="J85" s="25">
        <f>'Congrio dorado Artesanal'!N37</f>
        <v>5.6269999999999989</v>
      </c>
      <c r="K85" s="25">
        <f>'Congrio dorado Artesanal'!O37</f>
        <v>34.063000000000002</v>
      </c>
      <c r="L85" s="25">
        <f>'Congrio dorado Artesanal'!P37</f>
        <v>-28.436000000000003</v>
      </c>
      <c r="M85" s="253">
        <f>'Congrio dorado Artesanal'!Q37</f>
        <v>6.05349209170073</v>
      </c>
      <c r="N85" s="170">
        <f>'Congrio dorado Artesanal'!K38</f>
        <v>43479</v>
      </c>
      <c r="O85" s="254">
        <f>+'Resumen anual Congrio dorado'!B$3</f>
        <v>43508</v>
      </c>
    </row>
    <row r="86" spans="1:15" s="275" customFormat="1">
      <c r="A86" s="24" t="s">
        <v>182</v>
      </c>
      <c r="B86" s="24" t="s">
        <v>134</v>
      </c>
      <c r="C86" s="24" t="s">
        <v>153</v>
      </c>
      <c r="D86" s="24" t="s">
        <v>141</v>
      </c>
      <c r="E86" s="24" t="s">
        <v>87</v>
      </c>
      <c r="F86" s="24" t="s">
        <v>33</v>
      </c>
      <c r="G86" s="24" t="s">
        <v>38</v>
      </c>
      <c r="H86" s="25">
        <f>'Congrio dorado Artesanal'!E45</f>
        <v>72.099999999999994</v>
      </c>
      <c r="I86" s="24">
        <f>'Congrio dorado Artesanal'!F45</f>
        <v>0</v>
      </c>
      <c r="J86" s="25">
        <f>'Congrio dorado Artesanal'!G45</f>
        <v>72.099999999999994</v>
      </c>
      <c r="K86" s="25">
        <f>'Congrio dorado Artesanal'!H45</f>
        <v>84.3</v>
      </c>
      <c r="L86" s="25">
        <f>'Congrio dorado Artesanal'!I45</f>
        <v>-12.200000000000003</v>
      </c>
      <c r="M86" s="253">
        <f>'Congrio dorado Artesanal'!J45</f>
        <v>1.1692094313453538</v>
      </c>
      <c r="N86" s="170">
        <f>'Congrio dorado Artesanal'!K45</f>
        <v>43501</v>
      </c>
      <c r="O86" s="254">
        <f>+'Resumen anual Congrio dorado'!B$3</f>
        <v>43508</v>
      </c>
    </row>
    <row r="87" spans="1:15" s="275" customFormat="1">
      <c r="A87" s="24" t="s">
        <v>182</v>
      </c>
      <c r="B87" s="24" t="s">
        <v>134</v>
      </c>
      <c r="C87" s="24" t="s">
        <v>153</v>
      </c>
      <c r="D87" s="24" t="s">
        <v>141</v>
      </c>
      <c r="E87" s="24" t="s">
        <v>87</v>
      </c>
      <c r="F87" s="24" t="s">
        <v>39</v>
      </c>
      <c r="G87" s="24" t="s">
        <v>44</v>
      </c>
      <c r="H87" s="25">
        <f>'Congrio dorado Artesanal'!E46</f>
        <v>72.099999999999994</v>
      </c>
      <c r="I87" s="24">
        <f>'Congrio dorado Artesanal'!F46</f>
        <v>0</v>
      </c>
      <c r="J87" s="25">
        <f>'Congrio dorado Artesanal'!G46</f>
        <v>59.899999999999991</v>
      </c>
      <c r="K87" s="25">
        <f>'Congrio dorado Artesanal'!H46</f>
        <v>0</v>
      </c>
      <c r="L87" s="25">
        <f>'Congrio dorado Artesanal'!I46</f>
        <v>59.899999999999991</v>
      </c>
      <c r="M87" s="253">
        <f>'Congrio dorado Artesanal'!J46</f>
        <v>0</v>
      </c>
      <c r="N87" s="170" t="s">
        <v>171</v>
      </c>
      <c r="O87" s="254">
        <f>+'Resumen anual Congrio dorado'!B$3</f>
        <v>43508</v>
      </c>
    </row>
    <row r="88" spans="1:15" s="275" customFormat="1">
      <c r="A88" s="24" t="s">
        <v>182</v>
      </c>
      <c r="B88" s="24" t="s">
        <v>134</v>
      </c>
      <c r="C88" s="24" t="s">
        <v>153</v>
      </c>
      <c r="D88" s="24" t="s">
        <v>141</v>
      </c>
      <c r="E88" s="24" t="s">
        <v>87</v>
      </c>
      <c r="F88" s="24" t="s">
        <v>33</v>
      </c>
      <c r="G88" s="24" t="s">
        <v>44</v>
      </c>
      <c r="H88" s="25">
        <f>'Congrio dorado Artesanal'!L45</f>
        <v>144.19999999999999</v>
      </c>
      <c r="I88" s="24">
        <f>'Congrio dorado Artesanal'!M45</f>
        <v>0</v>
      </c>
      <c r="J88" s="25">
        <f>'Congrio dorado Artesanal'!N45</f>
        <v>144.19999999999999</v>
      </c>
      <c r="K88" s="25">
        <f>'Congrio dorado Artesanal'!O45</f>
        <v>84.3</v>
      </c>
      <c r="L88" s="25">
        <f>'Congrio dorado Artesanal'!P45</f>
        <v>59.899999999999991</v>
      </c>
      <c r="M88" s="253">
        <f>'Congrio dorado Artesanal'!Q45</f>
        <v>0.58460471567267691</v>
      </c>
      <c r="N88" s="170" t="s">
        <v>171</v>
      </c>
      <c r="O88" s="254">
        <f>+'Resumen anual Congrio dorado'!B$3</f>
        <v>43508</v>
      </c>
    </row>
    <row r="89" spans="1:15" s="275" customFormat="1">
      <c r="A89" s="24" t="s">
        <v>182</v>
      </c>
      <c r="B89" s="24" t="s">
        <v>134</v>
      </c>
      <c r="C89" s="24" t="s">
        <v>153</v>
      </c>
      <c r="D89" s="24" t="s">
        <v>141</v>
      </c>
      <c r="E89" s="24" t="s">
        <v>92</v>
      </c>
      <c r="F89" s="24" t="s">
        <v>33</v>
      </c>
      <c r="G89" s="24" t="s">
        <v>39</v>
      </c>
      <c r="H89" s="25">
        <f>'Congrio dorado Artesanal'!E47</f>
        <v>6</v>
      </c>
      <c r="I89" s="24">
        <f>'Congrio dorado Artesanal'!F47</f>
        <v>0</v>
      </c>
      <c r="J89" s="25">
        <f>'Congrio dorado Artesanal'!G47</f>
        <v>6</v>
      </c>
      <c r="K89" s="25">
        <f>'Congrio dorado Artesanal'!H47</f>
        <v>0</v>
      </c>
      <c r="L89" s="25">
        <f>'Congrio dorado Artesanal'!I47</f>
        <v>6</v>
      </c>
      <c r="M89" s="253">
        <f>'Congrio dorado Artesanal'!J47</f>
        <v>0</v>
      </c>
      <c r="N89" s="170" t="s">
        <v>171</v>
      </c>
      <c r="O89" s="254">
        <f>+'Resumen anual Congrio dorado'!B$3</f>
        <v>43508</v>
      </c>
    </row>
    <row r="90" spans="1:15" s="275" customFormat="1">
      <c r="A90" s="24" t="s">
        <v>182</v>
      </c>
      <c r="B90" s="24" t="s">
        <v>134</v>
      </c>
      <c r="C90" s="24" t="s">
        <v>153</v>
      </c>
      <c r="D90" s="24" t="s">
        <v>141</v>
      </c>
      <c r="E90" s="24" t="s">
        <v>92</v>
      </c>
      <c r="F90" s="24" t="s">
        <v>40</v>
      </c>
      <c r="G90" s="24" t="s">
        <v>40</v>
      </c>
      <c r="H90" s="25">
        <f>'Congrio dorado Artesanal'!E48</f>
        <v>0.1</v>
      </c>
      <c r="I90" s="24">
        <f>'Congrio dorado Artesanal'!F48</f>
        <v>0</v>
      </c>
      <c r="J90" s="25">
        <f>'Congrio dorado Artesanal'!G48</f>
        <v>0.1</v>
      </c>
      <c r="K90" s="25">
        <f>'Congrio dorado Artesanal'!H48</f>
        <v>0</v>
      </c>
      <c r="L90" s="25">
        <f>'Congrio dorado Artesanal'!I48</f>
        <v>0.1</v>
      </c>
      <c r="M90" s="253">
        <f>'Congrio dorado Artesanal'!J48</f>
        <v>0</v>
      </c>
      <c r="N90" s="24" t="str">
        <f>'Congrio dorado Artesanal'!K48</f>
        <v>-</v>
      </c>
      <c r="O90" s="254">
        <f>+'Resumen anual Congrio dorado'!B$3</f>
        <v>43508</v>
      </c>
    </row>
    <row r="91" spans="1:15" s="275" customFormat="1">
      <c r="A91" s="24" t="s">
        <v>182</v>
      </c>
      <c r="B91" s="24" t="s">
        <v>134</v>
      </c>
      <c r="C91" s="24" t="s">
        <v>153</v>
      </c>
      <c r="D91" s="24" t="s">
        <v>141</v>
      </c>
      <c r="E91" s="24" t="s">
        <v>92</v>
      </c>
      <c r="F91" s="24" t="s">
        <v>41</v>
      </c>
      <c r="G91" s="24" t="s">
        <v>44</v>
      </c>
      <c r="H91" s="25">
        <f>'Congrio dorado Artesanal'!E49</f>
        <v>6.4</v>
      </c>
      <c r="I91" s="24">
        <f>'Congrio dorado Artesanal'!F49</f>
        <v>0</v>
      </c>
      <c r="J91" s="25">
        <f>'Congrio dorado Artesanal'!G49</f>
        <v>12.4</v>
      </c>
      <c r="K91" s="25">
        <f>'Congrio dorado Artesanal'!H49</f>
        <v>0</v>
      </c>
      <c r="L91" s="25">
        <f>'Congrio dorado Artesanal'!I49</f>
        <v>12.4</v>
      </c>
      <c r="M91" s="253">
        <f>'Congrio dorado Artesanal'!J49</f>
        <v>0</v>
      </c>
      <c r="N91" s="170" t="s">
        <v>171</v>
      </c>
      <c r="O91" s="254">
        <f>+'Resumen anual Congrio dorado'!B$3</f>
        <v>43508</v>
      </c>
    </row>
    <row r="92" spans="1:15" s="275" customFormat="1">
      <c r="A92" s="24" t="s">
        <v>182</v>
      </c>
      <c r="B92" s="24" t="s">
        <v>134</v>
      </c>
      <c r="C92" s="24" t="s">
        <v>153</v>
      </c>
      <c r="D92" s="24" t="s">
        <v>141</v>
      </c>
      <c r="E92" s="24" t="s">
        <v>92</v>
      </c>
      <c r="F92" s="24" t="s">
        <v>33</v>
      </c>
      <c r="G92" s="24" t="s">
        <v>44</v>
      </c>
      <c r="H92" s="25">
        <f>'Congrio dorado Artesanal'!L47</f>
        <v>12.5</v>
      </c>
      <c r="I92" s="24">
        <f>'Congrio dorado Artesanal'!M47</f>
        <v>0</v>
      </c>
      <c r="J92" s="25">
        <f>'Congrio dorado Artesanal'!N47</f>
        <v>12.5</v>
      </c>
      <c r="K92" s="25">
        <f>'Congrio dorado Artesanal'!O47</f>
        <v>0</v>
      </c>
      <c r="L92" s="25">
        <f>'Congrio dorado Artesanal'!P47</f>
        <v>12.5</v>
      </c>
      <c r="M92" s="253">
        <f>'Congrio dorado Artesanal'!Q47</f>
        <v>0</v>
      </c>
      <c r="N92" s="170" t="s">
        <v>171</v>
      </c>
      <c r="O92" s="254">
        <f>+'Resumen anual Congrio dorado'!B$3</f>
        <v>43508</v>
      </c>
    </row>
    <row r="93" spans="1:15" s="275" customFormat="1">
      <c r="A93" s="24" t="s">
        <v>183</v>
      </c>
      <c r="B93" s="24" t="s">
        <v>134</v>
      </c>
      <c r="C93" s="24" t="s">
        <v>52</v>
      </c>
      <c r="D93" s="24" t="s">
        <v>154</v>
      </c>
      <c r="E93" s="24" t="s">
        <v>155</v>
      </c>
      <c r="F93" s="24" t="s">
        <v>33</v>
      </c>
      <c r="G93" s="24" t="s">
        <v>33</v>
      </c>
      <c r="H93" s="25">
        <f>'Congrio dorado Artesanal'!E57</f>
        <v>10.3</v>
      </c>
      <c r="I93" s="24">
        <f>'Congrio dorado Artesanal'!F57</f>
        <v>0</v>
      </c>
      <c r="J93" s="25">
        <f>'Congrio dorado Artesanal'!G57</f>
        <v>10.3</v>
      </c>
      <c r="K93" s="25">
        <f>'Congrio dorado Artesanal'!H57</f>
        <v>4.9160000000000004</v>
      </c>
      <c r="L93" s="25">
        <f>'Congrio dorado Artesanal'!I57</f>
        <v>5.3840000000000003</v>
      </c>
      <c r="M93" s="253">
        <f>'Congrio dorado Artesanal'!J57</f>
        <v>0.47728155339805828</v>
      </c>
      <c r="N93" s="170" t="s">
        <v>171</v>
      </c>
      <c r="O93" s="254">
        <f>+'Resumen anual Congrio dorado'!B$3</f>
        <v>43508</v>
      </c>
    </row>
    <row r="94" spans="1:15" s="275" customFormat="1">
      <c r="A94" s="24" t="s">
        <v>183</v>
      </c>
      <c r="B94" s="24" t="s">
        <v>134</v>
      </c>
      <c r="C94" s="24" t="s">
        <v>52</v>
      </c>
      <c r="D94" s="24" t="s">
        <v>154</v>
      </c>
      <c r="E94" s="24" t="s">
        <v>155</v>
      </c>
      <c r="F94" s="24" t="s">
        <v>34</v>
      </c>
      <c r="G94" s="24" t="s">
        <v>34</v>
      </c>
      <c r="H94" s="25">
        <f>'Congrio dorado Artesanal'!E58</f>
        <v>10.199999999999999</v>
      </c>
      <c r="I94" s="24">
        <f>'Congrio dorado Artesanal'!F58</f>
        <v>0</v>
      </c>
      <c r="J94" s="25">
        <f>'Congrio dorado Artesanal'!G58</f>
        <v>15.584</v>
      </c>
      <c r="K94" s="25">
        <f>'Congrio dorado Artesanal'!H58</f>
        <v>1.0780000000000001</v>
      </c>
      <c r="L94" s="25">
        <f>'Congrio dorado Artesanal'!I58</f>
        <v>14.506</v>
      </c>
      <c r="M94" s="253">
        <f>'Congrio dorado Artesanal'!J58</f>
        <v>6.9173511293634499E-2</v>
      </c>
      <c r="N94" s="170" t="s">
        <v>171</v>
      </c>
      <c r="O94" s="254">
        <f>+'Resumen anual Congrio dorado'!B$3</f>
        <v>43508</v>
      </c>
    </row>
    <row r="95" spans="1:15" s="275" customFormat="1">
      <c r="A95" s="24" t="s">
        <v>183</v>
      </c>
      <c r="B95" s="24" t="s">
        <v>134</v>
      </c>
      <c r="C95" s="24" t="s">
        <v>52</v>
      </c>
      <c r="D95" s="24" t="s">
        <v>154</v>
      </c>
      <c r="E95" s="24" t="s">
        <v>155</v>
      </c>
      <c r="F95" s="24" t="s">
        <v>35</v>
      </c>
      <c r="G95" s="24" t="s">
        <v>35</v>
      </c>
      <c r="H95" s="25">
        <f>'Congrio dorado Artesanal'!E59</f>
        <v>9</v>
      </c>
      <c r="I95" s="24">
        <f>'Congrio dorado Artesanal'!F59</f>
        <v>0</v>
      </c>
      <c r="J95" s="25">
        <f>'Congrio dorado Artesanal'!G59</f>
        <v>23.506</v>
      </c>
      <c r="K95" s="25">
        <f>'Congrio dorado Artesanal'!H59</f>
        <v>0</v>
      </c>
      <c r="L95" s="25">
        <f>'Congrio dorado Artesanal'!I59</f>
        <v>23.506</v>
      </c>
      <c r="M95" s="253">
        <f>'Congrio dorado Artesanal'!J59</f>
        <v>0</v>
      </c>
      <c r="N95" s="170" t="s">
        <v>171</v>
      </c>
      <c r="O95" s="254">
        <f>+'Resumen anual Congrio dorado'!B$3</f>
        <v>43508</v>
      </c>
    </row>
    <row r="96" spans="1:15" s="275" customFormat="1">
      <c r="A96" s="24" t="s">
        <v>183</v>
      </c>
      <c r="B96" s="24" t="s">
        <v>134</v>
      </c>
      <c r="C96" s="24" t="s">
        <v>52</v>
      </c>
      <c r="D96" s="24" t="s">
        <v>154</v>
      </c>
      <c r="E96" s="24" t="s">
        <v>155</v>
      </c>
      <c r="F96" s="24" t="s">
        <v>36</v>
      </c>
      <c r="G96" s="24" t="s">
        <v>36</v>
      </c>
      <c r="H96" s="25">
        <f>'Congrio dorado Artesanal'!E60</f>
        <v>9</v>
      </c>
      <c r="I96" s="24">
        <f>'Congrio dorado Artesanal'!F60</f>
        <v>0</v>
      </c>
      <c r="J96" s="25">
        <f>'Congrio dorado Artesanal'!G60</f>
        <v>32.506</v>
      </c>
      <c r="K96" s="25">
        <f>'Congrio dorado Artesanal'!H60</f>
        <v>0</v>
      </c>
      <c r="L96" s="25">
        <f>'Congrio dorado Artesanal'!I60</f>
        <v>32.506</v>
      </c>
      <c r="M96" s="253">
        <f>'Congrio dorado Artesanal'!J60</f>
        <v>0</v>
      </c>
      <c r="N96" s="170" t="s">
        <v>171</v>
      </c>
      <c r="O96" s="254">
        <f>+'Resumen anual Congrio dorado'!B$3</f>
        <v>43508</v>
      </c>
    </row>
    <row r="97" spans="1:15" s="275" customFormat="1">
      <c r="A97" s="24" t="s">
        <v>183</v>
      </c>
      <c r="B97" s="24" t="s">
        <v>134</v>
      </c>
      <c r="C97" s="24" t="s">
        <v>52</v>
      </c>
      <c r="D97" s="24" t="s">
        <v>154</v>
      </c>
      <c r="E97" s="24" t="s">
        <v>155</v>
      </c>
      <c r="F97" s="24" t="s">
        <v>37</v>
      </c>
      <c r="G97" s="24" t="s">
        <v>37</v>
      </c>
      <c r="H97" s="25">
        <f>'Congrio dorado Artesanal'!E61</f>
        <v>9</v>
      </c>
      <c r="I97" s="24">
        <f>'Congrio dorado Artesanal'!F61</f>
        <v>0</v>
      </c>
      <c r="J97" s="25">
        <f>'Congrio dorado Artesanal'!G61</f>
        <v>41.506</v>
      </c>
      <c r="K97" s="25">
        <f>'Congrio dorado Artesanal'!H61</f>
        <v>0</v>
      </c>
      <c r="L97" s="25">
        <f>'Congrio dorado Artesanal'!I61</f>
        <v>41.506</v>
      </c>
      <c r="M97" s="253">
        <f>'Congrio dorado Artesanal'!J61</f>
        <v>0</v>
      </c>
      <c r="N97" s="170" t="s">
        <v>171</v>
      </c>
      <c r="O97" s="254">
        <f>+'Resumen anual Congrio dorado'!B$3</f>
        <v>43508</v>
      </c>
    </row>
    <row r="98" spans="1:15" s="275" customFormat="1">
      <c r="A98" s="24" t="s">
        <v>183</v>
      </c>
      <c r="B98" s="24" t="s">
        <v>134</v>
      </c>
      <c r="C98" s="24" t="s">
        <v>52</v>
      </c>
      <c r="D98" s="24" t="s">
        <v>154</v>
      </c>
      <c r="E98" s="24" t="s">
        <v>155</v>
      </c>
      <c r="F98" s="24" t="s">
        <v>38</v>
      </c>
      <c r="G98" s="24" t="s">
        <v>38</v>
      </c>
      <c r="H98" s="25">
        <f>'Congrio dorado Artesanal'!E62</f>
        <v>9</v>
      </c>
      <c r="I98" s="24">
        <f>'Congrio dorado Artesanal'!F62</f>
        <v>0</v>
      </c>
      <c r="J98" s="25">
        <f>'Congrio dorado Artesanal'!G62</f>
        <v>50.506</v>
      </c>
      <c r="K98" s="25">
        <f>'Congrio dorado Artesanal'!H62</f>
        <v>0</v>
      </c>
      <c r="L98" s="25">
        <f>'Congrio dorado Artesanal'!I62</f>
        <v>50.506</v>
      </c>
      <c r="M98" s="253">
        <f>'Congrio dorado Artesanal'!J62</f>
        <v>0</v>
      </c>
      <c r="N98" s="170" t="s">
        <v>171</v>
      </c>
      <c r="O98" s="254">
        <f>+'Resumen anual Congrio dorado'!B$3</f>
        <v>43508</v>
      </c>
    </row>
    <row r="99" spans="1:15" s="275" customFormat="1">
      <c r="A99" s="24" t="s">
        <v>183</v>
      </c>
      <c r="B99" s="24" t="s">
        <v>134</v>
      </c>
      <c r="C99" s="24" t="s">
        <v>52</v>
      </c>
      <c r="D99" s="24" t="s">
        <v>154</v>
      </c>
      <c r="E99" s="24" t="s">
        <v>155</v>
      </c>
      <c r="F99" s="24" t="s">
        <v>39</v>
      </c>
      <c r="G99" s="24" t="s">
        <v>39</v>
      </c>
      <c r="H99" s="25">
        <f>'Congrio dorado Artesanal'!E63</f>
        <v>9</v>
      </c>
      <c r="I99" s="24">
        <f>'Congrio dorado Artesanal'!F63</f>
        <v>0</v>
      </c>
      <c r="J99" s="25">
        <f>'Congrio dorado Artesanal'!G63</f>
        <v>59.506</v>
      </c>
      <c r="K99" s="25">
        <f>'Congrio dorado Artesanal'!H63</f>
        <v>0</v>
      </c>
      <c r="L99" s="25">
        <f>'Congrio dorado Artesanal'!I63</f>
        <v>59.506</v>
      </c>
      <c r="M99" s="253">
        <f>'Congrio dorado Artesanal'!J63</f>
        <v>0</v>
      </c>
      <c r="N99" s="170" t="s">
        <v>171</v>
      </c>
      <c r="O99" s="254">
        <f>+'Resumen anual Congrio dorado'!B$3</f>
        <v>43508</v>
      </c>
    </row>
    <row r="100" spans="1:15" s="275" customFormat="1">
      <c r="A100" s="24" t="s">
        <v>183</v>
      </c>
      <c r="B100" s="24" t="s">
        <v>134</v>
      </c>
      <c r="C100" s="24" t="s">
        <v>52</v>
      </c>
      <c r="D100" s="24" t="s">
        <v>154</v>
      </c>
      <c r="E100" s="24" t="s">
        <v>155</v>
      </c>
      <c r="F100" s="24" t="s">
        <v>40</v>
      </c>
      <c r="G100" s="24" t="s">
        <v>40</v>
      </c>
      <c r="H100" s="25">
        <f>'Congrio dorado Artesanal'!E64</f>
        <v>9</v>
      </c>
      <c r="I100" s="24">
        <f>'Congrio dorado Artesanal'!F64</f>
        <v>0</v>
      </c>
      <c r="J100" s="25">
        <f>'Congrio dorado Artesanal'!G64</f>
        <v>68.506</v>
      </c>
      <c r="K100" s="25">
        <f>'Congrio dorado Artesanal'!H64</f>
        <v>0</v>
      </c>
      <c r="L100" s="25">
        <f>'Congrio dorado Artesanal'!I64</f>
        <v>68.506</v>
      </c>
      <c r="M100" s="253">
        <f>'Congrio dorado Artesanal'!J64</f>
        <v>0</v>
      </c>
      <c r="N100" s="170" t="s">
        <v>171</v>
      </c>
      <c r="O100" s="254">
        <f>+'Resumen anual Congrio dorado'!B$3</f>
        <v>43508</v>
      </c>
    </row>
    <row r="101" spans="1:15" s="275" customFormat="1">
      <c r="A101" s="24" t="s">
        <v>183</v>
      </c>
      <c r="B101" s="24" t="s">
        <v>134</v>
      </c>
      <c r="C101" s="24" t="s">
        <v>52</v>
      </c>
      <c r="D101" s="24" t="s">
        <v>154</v>
      </c>
      <c r="E101" s="24" t="s">
        <v>155</v>
      </c>
      <c r="F101" s="24" t="s">
        <v>41</v>
      </c>
      <c r="G101" s="24" t="s">
        <v>41</v>
      </c>
      <c r="H101" s="25">
        <f>'Congrio dorado Artesanal'!E65</f>
        <v>9</v>
      </c>
      <c r="I101" s="24">
        <f>'Congrio dorado Artesanal'!F65</f>
        <v>0</v>
      </c>
      <c r="J101" s="25">
        <f>'Congrio dorado Artesanal'!G65</f>
        <v>77.506</v>
      </c>
      <c r="K101" s="25">
        <f>'Congrio dorado Artesanal'!H65</f>
        <v>0</v>
      </c>
      <c r="L101" s="25">
        <f>'Congrio dorado Artesanal'!I65</f>
        <v>77.506</v>
      </c>
      <c r="M101" s="253">
        <f>'Congrio dorado Artesanal'!J65</f>
        <v>0</v>
      </c>
      <c r="N101" s="170" t="s">
        <v>171</v>
      </c>
      <c r="O101" s="254">
        <f>+'Resumen anual Congrio dorado'!B$3</f>
        <v>43508</v>
      </c>
    </row>
    <row r="102" spans="1:15" s="275" customFormat="1">
      <c r="A102" s="24" t="s">
        <v>183</v>
      </c>
      <c r="B102" s="24" t="s">
        <v>134</v>
      </c>
      <c r="C102" s="24" t="s">
        <v>52</v>
      </c>
      <c r="D102" s="24" t="s">
        <v>154</v>
      </c>
      <c r="E102" s="24" t="s">
        <v>155</v>
      </c>
      <c r="F102" s="24" t="s">
        <v>42</v>
      </c>
      <c r="G102" s="24" t="s">
        <v>42</v>
      </c>
      <c r="H102" s="25">
        <f>'Congrio dorado Artesanal'!E66</f>
        <v>9</v>
      </c>
      <c r="I102" s="24">
        <f>'Congrio dorado Artesanal'!F66</f>
        <v>0</v>
      </c>
      <c r="J102" s="25">
        <f>'Congrio dorado Artesanal'!G66</f>
        <v>86.506</v>
      </c>
      <c r="K102" s="25">
        <f>'Congrio dorado Artesanal'!H66</f>
        <v>0</v>
      </c>
      <c r="L102" s="25">
        <f>'Congrio dorado Artesanal'!I66</f>
        <v>86.506</v>
      </c>
      <c r="M102" s="253">
        <f>'Congrio dorado Artesanal'!J66</f>
        <v>0</v>
      </c>
      <c r="N102" s="170" t="s">
        <v>171</v>
      </c>
      <c r="O102" s="254">
        <f>+'Resumen anual Congrio dorado'!B$3</f>
        <v>43508</v>
      </c>
    </row>
    <row r="103" spans="1:15" s="275" customFormat="1">
      <c r="A103" s="24" t="s">
        <v>183</v>
      </c>
      <c r="B103" s="24" t="s">
        <v>134</v>
      </c>
      <c r="C103" s="24" t="s">
        <v>52</v>
      </c>
      <c r="D103" s="24" t="s">
        <v>154</v>
      </c>
      <c r="E103" s="24" t="s">
        <v>155</v>
      </c>
      <c r="F103" s="24" t="s">
        <v>43</v>
      </c>
      <c r="G103" s="24" t="s">
        <v>43</v>
      </c>
      <c r="H103" s="25">
        <f>'Congrio dorado Artesanal'!E67</f>
        <v>10</v>
      </c>
      <c r="I103" s="24">
        <f>'Congrio dorado Artesanal'!F67</f>
        <v>0</v>
      </c>
      <c r="J103" s="25">
        <f>'Congrio dorado Artesanal'!G67</f>
        <v>96.506</v>
      </c>
      <c r="K103" s="25">
        <f>'Congrio dorado Artesanal'!H67</f>
        <v>0</v>
      </c>
      <c r="L103" s="25">
        <f>'Congrio dorado Artesanal'!I67</f>
        <v>96.506</v>
      </c>
      <c r="M103" s="253">
        <f>'Congrio dorado Artesanal'!J67</f>
        <v>0</v>
      </c>
      <c r="N103" s="170" t="s">
        <v>171</v>
      </c>
      <c r="O103" s="254">
        <f>+'Resumen anual Congrio dorado'!B$3</f>
        <v>43508</v>
      </c>
    </row>
    <row r="104" spans="1:15" s="275" customFormat="1">
      <c r="A104" s="24" t="s">
        <v>183</v>
      </c>
      <c r="B104" s="24" t="s">
        <v>134</v>
      </c>
      <c r="C104" s="24" t="s">
        <v>52</v>
      </c>
      <c r="D104" s="24" t="s">
        <v>154</v>
      </c>
      <c r="E104" s="24" t="s">
        <v>155</v>
      </c>
      <c r="F104" s="24" t="s">
        <v>44</v>
      </c>
      <c r="G104" s="24" t="s">
        <v>44</v>
      </c>
      <c r="H104" s="25">
        <f>'Congrio dorado Artesanal'!E68</f>
        <v>10</v>
      </c>
      <c r="I104" s="24">
        <f>'Congrio dorado Artesanal'!F68</f>
        <v>0</v>
      </c>
      <c r="J104" s="25">
        <f>'Congrio dorado Artesanal'!G68</f>
        <v>106.506</v>
      </c>
      <c r="K104" s="25">
        <f>'Congrio dorado Artesanal'!H68</f>
        <v>0</v>
      </c>
      <c r="L104" s="25">
        <f>'Congrio dorado Artesanal'!I68</f>
        <v>106.506</v>
      </c>
      <c r="M104" s="253">
        <f>'Congrio dorado Artesanal'!J68</f>
        <v>0</v>
      </c>
      <c r="N104" s="170" t="s">
        <v>171</v>
      </c>
      <c r="O104" s="254">
        <f>+'Resumen anual Congrio dorado'!B$3</f>
        <v>43508</v>
      </c>
    </row>
    <row r="105" spans="1:15" s="275" customFormat="1">
      <c r="A105" s="24" t="s">
        <v>183</v>
      </c>
      <c r="B105" s="24" t="s">
        <v>134</v>
      </c>
      <c r="C105" s="24" t="s">
        <v>52</v>
      </c>
      <c r="D105" s="24" t="s">
        <v>154</v>
      </c>
      <c r="E105" s="24" t="s">
        <v>155</v>
      </c>
      <c r="F105" s="24" t="s">
        <v>33</v>
      </c>
      <c r="G105" s="24" t="s">
        <v>44</v>
      </c>
      <c r="H105" s="25">
        <f>'Congrio dorado Artesanal'!L57</f>
        <v>112.5</v>
      </c>
      <c r="I105" s="24">
        <f>'Congrio dorado Artesanal'!M57</f>
        <v>0</v>
      </c>
      <c r="J105" s="25">
        <f>'Congrio dorado Artesanal'!N57</f>
        <v>112.5</v>
      </c>
      <c r="K105" s="25">
        <f>'Congrio dorado Artesanal'!O57</f>
        <v>0</v>
      </c>
      <c r="L105" s="25">
        <f>'Congrio dorado Artesanal'!P57</f>
        <v>112.5</v>
      </c>
      <c r="M105" s="253">
        <f>'Congrio dorado Artesanal'!Q57</f>
        <v>0</v>
      </c>
      <c r="N105" s="170" t="s">
        <v>171</v>
      </c>
      <c r="O105" s="254">
        <f>+'Resumen anual Congrio dorado'!B$3</f>
        <v>43508</v>
      </c>
    </row>
    <row r="106" spans="1:15" s="275" customFormat="1">
      <c r="A106" s="24" t="s">
        <v>140</v>
      </c>
      <c r="B106" s="24" t="s">
        <v>134</v>
      </c>
      <c r="C106" s="24" t="s">
        <v>165</v>
      </c>
      <c r="D106" s="276" t="s">
        <v>168</v>
      </c>
      <c r="E106" s="276" t="s">
        <v>169</v>
      </c>
      <c r="F106" s="24" t="s">
        <v>33</v>
      </c>
      <c r="G106" s="24" t="s">
        <v>44</v>
      </c>
      <c r="H106" s="25">
        <f>'Resumen anual Congrio dorado'!D16</f>
        <v>533.99939999999992</v>
      </c>
      <c r="I106" s="241">
        <f>'Resumen anual Congrio dorado'!E16</f>
        <v>0</v>
      </c>
      <c r="J106" s="25">
        <f>'Resumen anual Congrio dorado'!F16</f>
        <v>533.99939999999992</v>
      </c>
      <c r="K106" s="25">
        <f>'Resumen anual Congrio dorado'!G16</f>
        <v>3.5529999999999999</v>
      </c>
      <c r="L106" s="25">
        <f>'Resumen anual Congrio dorado'!H16</f>
        <v>530.44639999999993</v>
      </c>
      <c r="M106" s="253">
        <f>'Resumen anual Congrio dorado'!I16</f>
        <v>6.6535655283507817E-3</v>
      </c>
      <c r="N106" s="170" t="s">
        <v>171</v>
      </c>
      <c r="O106" s="254">
        <f>+'Resumen anual Congrio dorado'!B$3</f>
        <v>43508</v>
      </c>
    </row>
    <row r="107" spans="1:15" s="275" customFormat="1">
      <c r="A107" s="130" t="s">
        <v>167</v>
      </c>
      <c r="B107" s="24" t="s">
        <v>134</v>
      </c>
      <c r="C107" s="24" t="s">
        <v>164</v>
      </c>
      <c r="D107" s="276" t="s">
        <v>168</v>
      </c>
      <c r="E107" s="277" t="s">
        <v>170</v>
      </c>
      <c r="F107" s="24" t="s">
        <v>33</v>
      </c>
      <c r="G107" s="24" t="s">
        <v>44</v>
      </c>
      <c r="H107" s="25">
        <f>'Resumen anual Congrio dorado'!D17</f>
        <v>139</v>
      </c>
      <c r="I107" s="241">
        <f>'Resumen anual Congrio dorado'!E17</f>
        <v>0</v>
      </c>
      <c r="J107" s="25">
        <f>'Resumen anual Congrio dorado'!F17</f>
        <v>139</v>
      </c>
      <c r="K107" s="25">
        <f>'Resumen anual Congrio dorado'!G17</f>
        <v>4.056</v>
      </c>
      <c r="L107" s="25">
        <f>'Resumen anual Congrio dorado'!H17</f>
        <v>134.94399999999999</v>
      </c>
      <c r="M107" s="253">
        <f>'Resumen anual Congrio dorado'!I17</f>
        <v>2.9179856115107913E-2</v>
      </c>
      <c r="N107" s="170" t="s">
        <v>171</v>
      </c>
      <c r="O107" s="254">
        <f>+'Resumen anual Congrio dorado'!B$3</f>
        <v>43508</v>
      </c>
    </row>
    <row r="108" spans="1:15" s="275" customFormat="1">
      <c r="A108" s="24" t="s">
        <v>181</v>
      </c>
      <c r="B108" s="24" t="s">
        <v>134</v>
      </c>
      <c r="C108" s="24" t="s">
        <v>139</v>
      </c>
      <c r="D108" s="24" t="s">
        <v>172</v>
      </c>
      <c r="E108" s="277" t="s">
        <v>170</v>
      </c>
      <c r="F108" s="24" t="s">
        <v>33</v>
      </c>
      <c r="G108" s="24" t="s">
        <v>44</v>
      </c>
      <c r="H108" s="25">
        <f>'Resumen anual Congrio dorado'!D6+'Resumen anual Congrio dorado'!D7</f>
        <v>337.02100000000002</v>
      </c>
      <c r="I108" s="241">
        <f>'Resumen anual Congrio dorado'!E6+'Resumen anual Congrio dorado'!E7</f>
        <v>0</v>
      </c>
      <c r="J108" s="25">
        <f>'Resumen anual Congrio dorado'!F6+'Resumen anual Congrio dorado'!F7</f>
        <v>337.02100000000002</v>
      </c>
      <c r="K108" s="25">
        <f>'Resumen anual Congrio dorado'!G6+'Resumen anual Congrio dorado'!G7</f>
        <v>104.33</v>
      </c>
      <c r="L108" s="25">
        <f>'Resumen anual Congrio dorado'!H6+'Resumen anual Congrio dorado'!H7</f>
        <v>232.69100000000003</v>
      </c>
      <c r="M108" s="253">
        <f>K108/J108</f>
        <v>0.30956527931493882</v>
      </c>
      <c r="N108" s="170" t="s">
        <v>171</v>
      </c>
      <c r="O108" s="254">
        <f>+'Resumen anual Congrio dorado'!B$3</f>
        <v>43508</v>
      </c>
    </row>
    <row r="109" spans="1:15" s="275" customFormat="1">
      <c r="A109" s="24" t="s">
        <v>182</v>
      </c>
      <c r="B109" s="24" t="s">
        <v>134</v>
      </c>
      <c r="C109" s="24" t="s">
        <v>153</v>
      </c>
      <c r="D109" s="24" t="s">
        <v>172</v>
      </c>
      <c r="E109" s="277" t="s">
        <v>170</v>
      </c>
      <c r="F109" s="24" t="s">
        <v>33</v>
      </c>
      <c r="G109" s="24" t="s">
        <v>44</v>
      </c>
      <c r="H109" s="25">
        <f>'Resumen anual Congrio dorado'!D8+'Resumen anual Congrio dorado'!D9</f>
        <v>156.69999999999999</v>
      </c>
      <c r="I109" s="241">
        <f>'Resumen anual Congrio dorado'!E8+'Resumen anual Congrio dorado'!E9</f>
        <v>0</v>
      </c>
      <c r="J109" s="25">
        <f>'Resumen anual Congrio dorado'!F8+'Resumen anual Congrio dorado'!F9</f>
        <v>156.69999999999999</v>
      </c>
      <c r="K109" s="25">
        <f>'Resumen anual Congrio dorado'!G8+'Resumen anual Congrio dorado'!G9</f>
        <v>84.3</v>
      </c>
      <c r="L109" s="25">
        <f>'Resumen anual Congrio dorado'!H8+'Resumen anual Congrio dorado'!H9</f>
        <v>72.399999999999991</v>
      </c>
      <c r="M109" s="253">
        <f>K109/J109</f>
        <v>0.53797064454371413</v>
      </c>
      <c r="N109" s="170" t="s">
        <v>171</v>
      </c>
      <c r="O109" s="254">
        <f>+'Resumen anual Congrio dorado'!B$3</f>
        <v>43508</v>
      </c>
    </row>
    <row r="110" spans="1:15" s="275" customFormat="1">
      <c r="A110" s="24" t="s">
        <v>183</v>
      </c>
      <c r="B110" s="24" t="s">
        <v>134</v>
      </c>
      <c r="C110" s="24" t="s">
        <v>52</v>
      </c>
      <c r="D110" s="24" t="s">
        <v>172</v>
      </c>
      <c r="E110" s="277" t="s">
        <v>170</v>
      </c>
      <c r="F110" s="24" t="s">
        <v>33</v>
      </c>
      <c r="G110" s="24" t="s">
        <v>44</v>
      </c>
      <c r="H110" s="25">
        <f>'Resumen anual Congrio dorado'!D10</f>
        <v>112.5</v>
      </c>
      <c r="I110" s="241">
        <f>'Resumen anual Congrio dorado'!E10</f>
        <v>0</v>
      </c>
      <c r="J110" s="25">
        <f>'Resumen anual Congrio dorado'!F10</f>
        <v>112.5</v>
      </c>
      <c r="K110" s="25">
        <f>'Resumen anual Congrio dorado'!G10</f>
        <v>5.9940000000000007</v>
      </c>
      <c r="L110" s="25">
        <f>'Resumen anual Congrio dorado'!H10</f>
        <v>106.506</v>
      </c>
      <c r="M110" s="253">
        <f>'Resumen anual Congrio dorado'!I10</f>
        <v>5.3280000000000008E-2</v>
      </c>
      <c r="N110" s="170" t="s">
        <v>171</v>
      </c>
      <c r="O110" s="254">
        <f>+'Resumen anual Congrio dorado'!B$3</f>
        <v>43508</v>
      </c>
    </row>
    <row r="111" spans="1:15" s="275" customFormat="1">
      <c r="A111" s="24" t="s">
        <v>184</v>
      </c>
      <c r="B111" s="24" t="s">
        <v>134</v>
      </c>
      <c r="C111" s="24" t="s">
        <v>185</v>
      </c>
      <c r="D111" s="24" t="s">
        <v>186</v>
      </c>
      <c r="E111" s="24" t="s">
        <v>186</v>
      </c>
      <c r="F111" s="24" t="s">
        <v>33</v>
      </c>
      <c r="G111" s="24" t="s">
        <v>38</v>
      </c>
      <c r="H111" s="25">
        <f>'Fuera UP'!E8</f>
        <v>52</v>
      </c>
      <c r="I111" s="24" t="s">
        <v>171</v>
      </c>
      <c r="J111" s="25">
        <f>H111</f>
        <v>52</v>
      </c>
      <c r="K111" s="25">
        <f>'Fuera UP'!I8</f>
        <v>54.395000000000003</v>
      </c>
      <c r="L111" s="25">
        <f>'Fuera UP'!J8</f>
        <v>-2.3950000000000031</v>
      </c>
      <c r="M111" s="253">
        <f>'Fuera UP'!K8</f>
        <v>1.0460576923076923</v>
      </c>
      <c r="N111" s="170">
        <f>'Fuera UP'!L8</f>
        <v>43505</v>
      </c>
      <c r="O111" s="254">
        <f>+'Resumen anual Congrio dorado'!B$3</f>
        <v>43508</v>
      </c>
    </row>
    <row r="112" spans="1:15" s="275" customFormat="1">
      <c r="A112" s="24" t="s">
        <v>184</v>
      </c>
      <c r="B112" s="24" t="s">
        <v>134</v>
      </c>
      <c r="C112" s="24" t="s">
        <v>185</v>
      </c>
      <c r="D112" s="24" t="s">
        <v>186</v>
      </c>
      <c r="E112" s="24" t="s">
        <v>186</v>
      </c>
      <c r="F112" s="24" t="s">
        <v>39</v>
      </c>
      <c r="G112" s="24" t="s">
        <v>44</v>
      </c>
      <c r="H112" s="25">
        <f>'Fuera UP'!E9</f>
        <v>53</v>
      </c>
      <c r="I112" s="24" t="s">
        <v>171</v>
      </c>
      <c r="J112" s="25">
        <f>H112+L111</f>
        <v>50.604999999999997</v>
      </c>
      <c r="K112" s="25">
        <f>'Fuera UP'!I9</f>
        <v>0</v>
      </c>
      <c r="L112" s="25">
        <f>'Fuera UP'!J9</f>
        <v>50.604999999999997</v>
      </c>
      <c r="M112" s="253">
        <f>'Fuera UP'!K9</f>
        <v>0</v>
      </c>
      <c r="N112" s="170" t="str">
        <f>'Fuera UP'!L9</f>
        <v>-</v>
      </c>
      <c r="O112" s="254">
        <f>+'Resumen anual Congrio dorado'!B$3</f>
        <v>43508</v>
      </c>
    </row>
    <row r="113" spans="1:15" s="275" customFormat="1">
      <c r="A113" s="24" t="s">
        <v>184</v>
      </c>
      <c r="B113" s="24" t="s">
        <v>134</v>
      </c>
      <c r="C113" s="24" t="s">
        <v>185</v>
      </c>
      <c r="D113" s="24" t="s">
        <v>186</v>
      </c>
      <c r="E113" s="24" t="s">
        <v>186</v>
      </c>
      <c r="F113" s="24" t="s">
        <v>33</v>
      </c>
      <c r="G113" s="24" t="s">
        <v>44</v>
      </c>
      <c r="H113" s="25">
        <f>'Fuera UP'!E8+'Fuera UP'!E9</f>
        <v>105</v>
      </c>
      <c r="I113" s="24" t="s">
        <v>171</v>
      </c>
      <c r="J113" s="25">
        <f>H113</f>
        <v>105</v>
      </c>
      <c r="K113" s="25">
        <f>'Fuera UP'!I8+'Fuera UP'!I9</f>
        <v>54.395000000000003</v>
      </c>
      <c r="L113" s="25">
        <f>H113-K113</f>
        <v>50.604999999999997</v>
      </c>
      <c r="M113" s="253">
        <f>K113/H113</f>
        <v>0.51804761904761909</v>
      </c>
      <c r="N113" s="170" t="s">
        <v>171</v>
      </c>
      <c r="O113" s="254">
        <f>+'Resumen anual Congrio dorado'!B$3</f>
        <v>43508</v>
      </c>
    </row>
  </sheetData>
  <pageMargins left="0.7" right="0.7" top="0.75" bottom="0.75" header="0.3" footer="0.3"/>
  <ignoredErrors>
    <ignoredError sqref="J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Kamila Molina</cp:lastModifiedBy>
  <dcterms:created xsi:type="dcterms:W3CDTF">2018-02-13T15:25:58Z</dcterms:created>
  <dcterms:modified xsi:type="dcterms:W3CDTF">2019-02-14T18:36:34Z</dcterms:modified>
</cp:coreProperties>
</file>