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19 Archivos web\48_Semana_19 dic_ al_31 dic_2019\"/>
    </mc:Choice>
  </mc:AlternateContent>
  <bookViews>
    <workbookView xWindow="0" yWindow="0" windowWidth="28800" windowHeight="12030" tabRatio="892" firstSheet="1" activeTab="6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state="hidden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62913"/>
</workbook>
</file>

<file path=xl/calcChain.xml><?xml version="1.0" encoding="utf-8"?>
<calcChain xmlns="http://schemas.openxmlformats.org/spreadsheetml/2006/main">
  <c r="H18" i="7" l="1"/>
  <c r="G29" i="4" l="1"/>
  <c r="F12" i="4"/>
  <c r="F14" i="4"/>
  <c r="H30" i="2" l="1"/>
  <c r="N9" i="4" l="1"/>
  <c r="H33" i="4" l="1"/>
  <c r="L57" i="2" l="1"/>
  <c r="O57" i="2"/>
  <c r="O47" i="2"/>
  <c r="F16" i="4" l="1"/>
  <c r="F10" i="4" l="1"/>
  <c r="F70" i="2" l="1"/>
  <c r="G70" i="2" s="1"/>
  <c r="J70" i="2" s="1"/>
  <c r="E70" i="2"/>
  <c r="E52" i="2" l="1"/>
  <c r="G52" i="2" s="1"/>
  <c r="H41" i="2"/>
  <c r="H40" i="2"/>
  <c r="G40" i="2"/>
  <c r="E41" i="2"/>
  <c r="G41" i="2" s="1"/>
  <c r="E40" i="2"/>
  <c r="H31" i="2"/>
  <c r="E31" i="2"/>
  <c r="E30" i="2"/>
  <c r="G30" i="2" s="1"/>
  <c r="J52" i="2" l="1"/>
  <c r="I52" i="2"/>
  <c r="I41" i="2"/>
  <c r="J30" i="2"/>
  <c r="J40" i="2"/>
  <c r="J41" i="2"/>
  <c r="I40" i="2"/>
  <c r="I30" i="2"/>
  <c r="F29" i="4" l="1"/>
  <c r="F35" i="4"/>
  <c r="F7" i="4"/>
  <c r="F13" i="4"/>
  <c r="B3" i="2" l="1"/>
  <c r="O3" i="9" l="1"/>
  <c r="P3" i="9" s="1"/>
  <c r="O4" i="9"/>
  <c r="P4" i="9" s="1"/>
  <c r="O5" i="9"/>
  <c r="P5" i="9" s="1"/>
  <c r="O6" i="9"/>
  <c r="P6" i="9" s="1"/>
  <c r="O7" i="9"/>
  <c r="P7" i="9" s="1"/>
  <c r="O8" i="9"/>
  <c r="P8" i="9" s="1"/>
  <c r="O9" i="9"/>
  <c r="P9" i="9" s="1"/>
  <c r="O10" i="9"/>
  <c r="P10" i="9" s="1"/>
  <c r="O11" i="9"/>
  <c r="P11" i="9" s="1"/>
  <c r="O12" i="9"/>
  <c r="P12" i="9" s="1"/>
  <c r="O13" i="9"/>
  <c r="P13" i="9" s="1"/>
  <c r="O14" i="9"/>
  <c r="P14" i="9" s="1"/>
  <c r="O15" i="9"/>
  <c r="P15" i="9" s="1"/>
  <c r="O16" i="9"/>
  <c r="P16" i="9" s="1"/>
  <c r="O17" i="9"/>
  <c r="P17" i="9" s="1"/>
  <c r="O18" i="9"/>
  <c r="P18" i="9" s="1"/>
  <c r="O19" i="9"/>
  <c r="P19" i="9" s="1"/>
  <c r="O20" i="9"/>
  <c r="P20" i="9" s="1"/>
  <c r="O21" i="9"/>
  <c r="P21" i="9" s="1"/>
  <c r="O22" i="9"/>
  <c r="P22" i="9" s="1"/>
  <c r="O23" i="9"/>
  <c r="P23" i="9" s="1"/>
  <c r="O24" i="9"/>
  <c r="P24" i="9" s="1"/>
  <c r="O25" i="9"/>
  <c r="P25" i="9" s="1"/>
  <c r="O26" i="9"/>
  <c r="P26" i="9" s="1"/>
  <c r="O27" i="9"/>
  <c r="P27" i="9" s="1"/>
  <c r="O28" i="9"/>
  <c r="P28" i="9" s="1"/>
  <c r="O29" i="9"/>
  <c r="P29" i="9" s="1"/>
  <c r="O30" i="9"/>
  <c r="P30" i="9" s="1"/>
  <c r="O31" i="9"/>
  <c r="P31" i="9" s="1"/>
  <c r="O32" i="9"/>
  <c r="P32" i="9" s="1"/>
  <c r="O33" i="9"/>
  <c r="P33" i="9" s="1"/>
  <c r="O34" i="9"/>
  <c r="P34" i="9" s="1"/>
  <c r="O35" i="9"/>
  <c r="P35" i="9" s="1"/>
  <c r="O36" i="9"/>
  <c r="P36" i="9" s="1"/>
  <c r="O37" i="9"/>
  <c r="P37" i="9" s="1"/>
  <c r="O38" i="9"/>
  <c r="P38" i="9" s="1"/>
  <c r="O39" i="9"/>
  <c r="P39" i="9" s="1"/>
  <c r="O40" i="9"/>
  <c r="P40" i="9" s="1"/>
  <c r="O41" i="9"/>
  <c r="P41" i="9" s="1"/>
  <c r="O42" i="9"/>
  <c r="P42" i="9" s="1"/>
  <c r="O43" i="9"/>
  <c r="P43" i="9" s="1"/>
  <c r="O44" i="9"/>
  <c r="P44" i="9" s="1"/>
  <c r="O45" i="9"/>
  <c r="P45" i="9" s="1"/>
  <c r="O46" i="9"/>
  <c r="P46" i="9" s="1"/>
  <c r="O47" i="9"/>
  <c r="P47" i="9" s="1"/>
  <c r="O48" i="9"/>
  <c r="P48" i="9" s="1"/>
  <c r="O49" i="9"/>
  <c r="P49" i="9" s="1"/>
  <c r="O50" i="9"/>
  <c r="P50" i="9" s="1"/>
  <c r="O51" i="9"/>
  <c r="P51" i="9" s="1"/>
  <c r="O52" i="9"/>
  <c r="P52" i="9" s="1"/>
  <c r="O53" i="9"/>
  <c r="P53" i="9" s="1"/>
  <c r="O54" i="9"/>
  <c r="P54" i="9" s="1"/>
  <c r="O55" i="9"/>
  <c r="P55" i="9" s="1"/>
  <c r="O56" i="9"/>
  <c r="P56" i="9" s="1"/>
  <c r="O57" i="9"/>
  <c r="P57" i="9" s="1"/>
  <c r="O58" i="9"/>
  <c r="P58" i="9" s="1"/>
  <c r="O59" i="9"/>
  <c r="P59" i="9" s="1"/>
  <c r="O60" i="9"/>
  <c r="P60" i="9" s="1"/>
  <c r="O61" i="9"/>
  <c r="P61" i="9" s="1"/>
  <c r="O62" i="9"/>
  <c r="P62" i="9" s="1"/>
  <c r="O63" i="9"/>
  <c r="P63" i="9" s="1"/>
  <c r="O64" i="9"/>
  <c r="P64" i="9" s="1"/>
  <c r="O65" i="9"/>
  <c r="P65" i="9" s="1"/>
  <c r="O66" i="9"/>
  <c r="P66" i="9" s="1"/>
  <c r="O67" i="9"/>
  <c r="P67" i="9" s="1"/>
  <c r="O68" i="9"/>
  <c r="P68" i="9" s="1"/>
  <c r="O69" i="9"/>
  <c r="P69" i="9" s="1"/>
  <c r="O70" i="9"/>
  <c r="P70" i="9" s="1"/>
  <c r="O71" i="9"/>
  <c r="P71" i="9" s="1"/>
  <c r="O72" i="9"/>
  <c r="P72" i="9" s="1"/>
  <c r="O73" i="9"/>
  <c r="P73" i="9" s="1"/>
  <c r="O74" i="9"/>
  <c r="P74" i="9" s="1"/>
  <c r="O75" i="9"/>
  <c r="P75" i="9" s="1"/>
  <c r="O76" i="9"/>
  <c r="P76" i="9" s="1"/>
  <c r="O77" i="9"/>
  <c r="P77" i="9" s="1"/>
  <c r="O78" i="9"/>
  <c r="P78" i="9" s="1"/>
  <c r="O79" i="9"/>
  <c r="P79" i="9" s="1"/>
  <c r="O80" i="9"/>
  <c r="P80" i="9" s="1"/>
  <c r="O81" i="9"/>
  <c r="P81" i="9" s="1"/>
  <c r="O82" i="9"/>
  <c r="P82" i="9" s="1"/>
  <c r="O83" i="9"/>
  <c r="P83" i="9" s="1"/>
  <c r="O84" i="9"/>
  <c r="P84" i="9" s="1"/>
  <c r="O85" i="9"/>
  <c r="P85" i="9" s="1"/>
  <c r="O86" i="9"/>
  <c r="P86" i="9" s="1"/>
  <c r="O87" i="9"/>
  <c r="P87" i="9" s="1"/>
  <c r="O88" i="9"/>
  <c r="P88" i="9" s="1"/>
  <c r="O89" i="9"/>
  <c r="P89" i="9" s="1"/>
  <c r="O90" i="9"/>
  <c r="P90" i="9" s="1"/>
  <c r="O91" i="9"/>
  <c r="P91" i="9" s="1"/>
  <c r="O92" i="9"/>
  <c r="P92" i="9" s="1"/>
  <c r="O93" i="9"/>
  <c r="P93" i="9" s="1"/>
  <c r="O94" i="9"/>
  <c r="P94" i="9" s="1"/>
  <c r="O95" i="9"/>
  <c r="P95" i="9" s="1"/>
  <c r="O96" i="9"/>
  <c r="P96" i="9" s="1"/>
  <c r="O97" i="9"/>
  <c r="P97" i="9" s="1"/>
  <c r="O98" i="9"/>
  <c r="P98" i="9" s="1"/>
  <c r="O99" i="9"/>
  <c r="P99" i="9" s="1"/>
  <c r="O100" i="9"/>
  <c r="P100" i="9" s="1"/>
  <c r="O101" i="9"/>
  <c r="P101" i="9" s="1"/>
  <c r="O102" i="9"/>
  <c r="P102" i="9" s="1"/>
  <c r="O103" i="9"/>
  <c r="P103" i="9" s="1"/>
  <c r="O104" i="9"/>
  <c r="P104" i="9" s="1"/>
  <c r="O105" i="9"/>
  <c r="P105" i="9" s="1"/>
  <c r="O106" i="9"/>
  <c r="P106" i="9" s="1"/>
  <c r="O107" i="9"/>
  <c r="P107" i="9" s="1"/>
  <c r="O108" i="9"/>
  <c r="P108" i="9" s="1"/>
  <c r="O109" i="9"/>
  <c r="P109" i="9" s="1"/>
  <c r="O110" i="9"/>
  <c r="P110" i="9" s="1"/>
  <c r="O111" i="9"/>
  <c r="P111" i="9" s="1"/>
  <c r="O112" i="9"/>
  <c r="P112" i="9" s="1"/>
  <c r="O113" i="9"/>
  <c r="P113" i="9" s="1"/>
  <c r="O2" i="9"/>
  <c r="P2" i="9" s="1"/>
  <c r="B3" i="5"/>
  <c r="B3" i="4"/>
  <c r="H36" i="6" l="1"/>
  <c r="H35" i="6"/>
  <c r="F34" i="6"/>
  <c r="H34" i="6"/>
  <c r="F33" i="6"/>
  <c r="H33" i="6"/>
  <c r="I45" i="9"/>
  <c r="K45" i="9"/>
  <c r="H45" i="9"/>
  <c r="I44" i="9"/>
  <c r="K44" i="9"/>
  <c r="H44" i="9"/>
  <c r="I42" i="9"/>
  <c r="K42" i="9"/>
  <c r="H42" i="9"/>
  <c r="I41" i="9"/>
  <c r="K41" i="9"/>
  <c r="H41" i="9"/>
  <c r="I24" i="9"/>
  <c r="K24" i="9"/>
  <c r="H24" i="9"/>
  <c r="I23" i="9"/>
  <c r="K23" i="9"/>
  <c r="H23" i="9"/>
  <c r="I21" i="9"/>
  <c r="K21" i="9"/>
  <c r="I20" i="9"/>
  <c r="K20" i="9"/>
  <c r="K41" i="4" l="1"/>
  <c r="L41" i="4"/>
  <c r="I46" i="9" s="1"/>
  <c r="N41" i="4"/>
  <c r="K46" i="9" s="1"/>
  <c r="K39" i="4"/>
  <c r="L39" i="4"/>
  <c r="I43" i="9" s="1"/>
  <c r="N39" i="4"/>
  <c r="J39" i="4"/>
  <c r="M41" i="9" s="1"/>
  <c r="I39" i="4"/>
  <c r="L41" i="9" s="1"/>
  <c r="G41" i="4"/>
  <c r="J44" i="9" s="1"/>
  <c r="G39" i="4"/>
  <c r="J41" i="9" s="1"/>
  <c r="K21" i="4"/>
  <c r="L21" i="4"/>
  <c r="I25" i="9" s="1"/>
  <c r="N21" i="4"/>
  <c r="K25" i="9" s="1"/>
  <c r="L19" i="4"/>
  <c r="I22" i="9" s="1"/>
  <c r="N19" i="4"/>
  <c r="G21" i="4"/>
  <c r="J23" i="9" s="1"/>
  <c r="G17" i="4"/>
  <c r="F43" i="4"/>
  <c r="H43" i="4"/>
  <c r="E36" i="4"/>
  <c r="E35" i="4"/>
  <c r="E30" i="4"/>
  <c r="E36" i="6" s="1"/>
  <c r="E29" i="4"/>
  <c r="E14" i="4"/>
  <c r="E13" i="4"/>
  <c r="J41" i="4" l="1"/>
  <c r="M44" i="9" s="1"/>
  <c r="I41" i="4"/>
  <c r="M21" i="4"/>
  <c r="H25" i="9"/>
  <c r="G40" i="4"/>
  <c r="M41" i="4"/>
  <c r="H46" i="9"/>
  <c r="I21" i="4"/>
  <c r="J21" i="4"/>
  <c r="M23" i="9" s="1"/>
  <c r="M39" i="4"/>
  <c r="P39" i="4" s="1"/>
  <c r="M43" i="9" s="1"/>
  <c r="H43" i="9"/>
  <c r="E35" i="6"/>
  <c r="K22" i="9"/>
  <c r="E43" i="4"/>
  <c r="K43" i="9"/>
  <c r="P21" i="4"/>
  <c r="M25" i="9" s="1"/>
  <c r="L44" i="9" l="1"/>
  <c r="G42" i="4"/>
  <c r="I40" i="4"/>
  <c r="L42" i="9" s="1"/>
  <c r="J42" i="9"/>
  <c r="J40" i="4"/>
  <c r="M42" i="9" s="1"/>
  <c r="O41" i="4"/>
  <c r="L46" i="9" s="1"/>
  <c r="J46" i="9"/>
  <c r="P41" i="4"/>
  <c r="M46" i="9" s="1"/>
  <c r="O39" i="4"/>
  <c r="L43" i="9" s="1"/>
  <c r="J43" i="9"/>
  <c r="G22" i="4"/>
  <c r="L23" i="9"/>
  <c r="O21" i="4"/>
  <c r="L25" i="9" s="1"/>
  <c r="J25" i="9"/>
  <c r="E8" i="4"/>
  <c r="E7" i="4"/>
  <c r="F23" i="4"/>
  <c r="H23" i="4"/>
  <c r="E20" i="4"/>
  <c r="H21" i="9" s="1"/>
  <c r="E19" i="4"/>
  <c r="E34" i="6" l="1"/>
  <c r="J45" i="9"/>
  <c r="I42" i="4"/>
  <c r="L45" i="9" s="1"/>
  <c r="J42" i="4"/>
  <c r="M45" i="9" s="1"/>
  <c r="H20" i="9"/>
  <c r="G19" i="4"/>
  <c r="K19" i="4"/>
  <c r="E33" i="6"/>
  <c r="E23" i="4"/>
  <c r="I22" i="4"/>
  <c r="L24" i="9" s="1"/>
  <c r="J24" i="9"/>
  <c r="J22" i="4"/>
  <c r="M24" i="9" s="1"/>
  <c r="I90" i="9"/>
  <c r="K90" i="9"/>
  <c r="N90" i="9"/>
  <c r="H90" i="9"/>
  <c r="O45" i="2"/>
  <c r="M47" i="2"/>
  <c r="M45" i="2"/>
  <c r="L47" i="2"/>
  <c r="N47" i="2" s="1"/>
  <c r="P47" i="2" s="1"/>
  <c r="I48" i="2"/>
  <c r="L90" i="9" s="1"/>
  <c r="G48" i="2"/>
  <c r="J48" i="2" s="1"/>
  <c r="M90" i="9" s="1"/>
  <c r="N85" i="9"/>
  <c r="N79" i="9"/>
  <c r="I18" i="9"/>
  <c r="K18" i="9"/>
  <c r="I17" i="9"/>
  <c r="K17" i="9"/>
  <c r="H18" i="9"/>
  <c r="H17" i="9"/>
  <c r="F36" i="6"/>
  <c r="F35" i="6"/>
  <c r="J90" i="9" l="1"/>
  <c r="Q47" i="2"/>
  <c r="H22" i="9"/>
  <c r="M19" i="4"/>
  <c r="J20" i="9"/>
  <c r="J19" i="4"/>
  <c r="M20" i="9" s="1"/>
  <c r="I19" i="4"/>
  <c r="F17" i="6"/>
  <c r="H17" i="6"/>
  <c r="E18" i="6"/>
  <c r="E17" i="6"/>
  <c r="E16" i="6"/>
  <c r="E11" i="6"/>
  <c r="E10" i="6"/>
  <c r="E8" i="6"/>
  <c r="E7" i="6"/>
  <c r="G20" i="4" l="1"/>
  <c r="L20" i="9"/>
  <c r="D9" i="7"/>
  <c r="O19" i="4"/>
  <c r="L22" i="9" s="1"/>
  <c r="J22" i="9"/>
  <c r="P19" i="4"/>
  <c r="M22" i="9" s="1"/>
  <c r="G17" i="6"/>
  <c r="I17" i="6" s="1"/>
  <c r="B3" i="8"/>
  <c r="B4" i="6"/>
  <c r="J17" i="6" l="1"/>
  <c r="I20" i="4"/>
  <c r="L21" i="9" s="1"/>
  <c r="J21" i="9"/>
  <c r="J20" i="4"/>
  <c r="M21" i="9" s="1"/>
  <c r="I9" i="5"/>
  <c r="I10" i="5"/>
  <c r="K17" i="4" l="1"/>
  <c r="H19" i="9" s="1"/>
  <c r="L17" i="4"/>
  <c r="I19" i="9" s="1"/>
  <c r="N17" i="4"/>
  <c r="K19" i="9" s="1"/>
  <c r="J17" i="4" l="1"/>
  <c r="M17" i="9" s="1"/>
  <c r="J17" i="9"/>
  <c r="M17" i="4"/>
  <c r="I17" i="4"/>
  <c r="G18" i="4" l="1"/>
  <c r="J18" i="9" s="1"/>
  <c r="L17" i="9"/>
  <c r="O17" i="4"/>
  <c r="L19" i="9" s="1"/>
  <c r="J19" i="9"/>
  <c r="I18" i="4"/>
  <c r="L18" i="9" s="1"/>
  <c r="J18" i="4"/>
  <c r="M18" i="9" s="1"/>
  <c r="P17" i="4"/>
  <c r="M19" i="9" s="1"/>
  <c r="I9" i="8"/>
  <c r="H9" i="8"/>
  <c r="H7" i="8"/>
  <c r="I7" i="8"/>
  <c r="F8" i="5" l="1"/>
  <c r="F10" i="5"/>
  <c r="F7" i="5"/>
  <c r="L35" i="2" l="1"/>
  <c r="G35" i="2"/>
  <c r="O35" i="2"/>
  <c r="K10" i="5" l="1"/>
  <c r="I8" i="5"/>
  <c r="K8" i="5" s="1"/>
  <c r="I60" i="9" l="1"/>
  <c r="G26" i="7" l="1"/>
  <c r="G7" i="4" l="1"/>
  <c r="N112" i="9"/>
  <c r="N111" i="9"/>
  <c r="H113" i="9"/>
  <c r="J113" i="9" s="1"/>
  <c r="H112" i="9"/>
  <c r="H111" i="9"/>
  <c r="J111" i="9" s="1"/>
  <c r="N84" i="9" l="1"/>
  <c r="N81" i="9"/>
  <c r="N80" i="9"/>
  <c r="N74" i="9"/>
  <c r="N69" i="9"/>
  <c r="N68" i="9"/>
  <c r="N66" i="9"/>
  <c r="N65" i="9"/>
  <c r="N63" i="9"/>
  <c r="N62" i="9"/>
  <c r="N60" i="9"/>
  <c r="N59" i="9"/>
  <c r="N57" i="9"/>
  <c r="N54" i="9"/>
  <c r="N53" i="9"/>
  <c r="N51" i="9"/>
  <c r="N50" i="9"/>
  <c r="N48" i="9"/>
  <c r="N47" i="9"/>
  <c r="N86" i="9" l="1"/>
  <c r="N83" i="9"/>
  <c r="N78" i="9"/>
  <c r="N77" i="9"/>
  <c r="N75" i="9"/>
  <c r="N72" i="9"/>
  <c r="N71" i="9"/>
  <c r="N56" i="9"/>
  <c r="H94" i="9" l="1"/>
  <c r="I94" i="9"/>
  <c r="K94" i="9"/>
  <c r="H95" i="9"/>
  <c r="I95" i="9"/>
  <c r="K95" i="9"/>
  <c r="H96" i="9"/>
  <c r="I96" i="9"/>
  <c r="K96" i="9"/>
  <c r="H97" i="9"/>
  <c r="I97" i="9"/>
  <c r="K97" i="9"/>
  <c r="H98" i="9"/>
  <c r="I98" i="9"/>
  <c r="K98" i="9"/>
  <c r="H99" i="9"/>
  <c r="I99" i="9"/>
  <c r="K99" i="9"/>
  <c r="H100" i="9"/>
  <c r="I100" i="9"/>
  <c r="K100" i="9"/>
  <c r="H101" i="9"/>
  <c r="I101" i="9"/>
  <c r="K101" i="9"/>
  <c r="H102" i="9"/>
  <c r="I102" i="9"/>
  <c r="K102" i="9"/>
  <c r="H103" i="9"/>
  <c r="I103" i="9"/>
  <c r="K103" i="9"/>
  <c r="H104" i="9"/>
  <c r="I104" i="9"/>
  <c r="K104" i="9"/>
  <c r="I93" i="9"/>
  <c r="K93" i="9"/>
  <c r="H93" i="9"/>
  <c r="H87" i="9"/>
  <c r="I87" i="9"/>
  <c r="K87" i="9"/>
  <c r="H89" i="9"/>
  <c r="I89" i="9"/>
  <c r="K89" i="9"/>
  <c r="H91" i="9"/>
  <c r="I91" i="9"/>
  <c r="K91" i="9"/>
  <c r="I86" i="9"/>
  <c r="K86" i="9"/>
  <c r="H86" i="9"/>
  <c r="H81" i="9"/>
  <c r="I81" i="9"/>
  <c r="K81" i="9"/>
  <c r="H83" i="9"/>
  <c r="I83" i="9"/>
  <c r="K83" i="9"/>
  <c r="H84" i="9"/>
  <c r="I84" i="9"/>
  <c r="K84" i="9"/>
  <c r="I80" i="9"/>
  <c r="K80" i="9"/>
  <c r="H80" i="9"/>
  <c r="H48" i="9"/>
  <c r="I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H68" i="9"/>
  <c r="I68" i="9"/>
  <c r="K68" i="9"/>
  <c r="H69" i="9"/>
  <c r="I69" i="9"/>
  <c r="K69" i="9"/>
  <c r="H71" i="9"/>
  <c r="I71" i="9"/>
  <c r="K71" i="9"/>
  <c r="H72" i="9"/>
  <c r="I72" i="9"/>
  <c r="K72" i="9"/>
  <c r="H74" i="9"/>
  <c r="I74" i="9"/>
  <c r="K74" i="9"/>
  <c r="H75" i="9"/>
  <c r="I75" i="9"/>
  <c r="K75" i="9"/>
  <c r="H77" i="9"/>
  <c r="I77" i="9"/>
  <c r="K77" i="9"/>
  <c r="H78" i="9"/>
  <c r="I78" i="9"/>
  <c r="K78" i="9"/>
  <c r="I47" i="9"/>
  <c r="K47" i="9"/>
  <c r="H47" i="9"/>
  <c r="I38" i="9"/>
  <c r="K38" i="9"/>
  <c r="I39" i="9"/>
  <c r="K39" i="9"/>
  <c r="H39" i="9"/>
  <c r="H38" i="9"/>
  <c r="I32" i="9"/>
  <c r="K32" i="9"/>
  <c r="I33" i="9"/>
  <c r="K33" i="9"/>
  <c r="I35" i="9"/>
  <c r="K35" i="9"/>
  <c r="I36" i="9"/>
  <c r="K36" i="9"/>
  <c r="H33" i="9"/>
  <c r="H35" i="9"/>
  <c r="H36" i="9"/>
  <c r="H32" i="9"/>
  <c r="K30" i="9"/>
  <c r="K29" i="9"/>
  <c r="I30" i="9"/>
  <c r="I29" i="9"/>
  <c r="H30" i="9"/>
  <c r="H29" i="9"/>
  <c r="K27" i="9"/>
  <c r="K26" i="9"/>
  <c r="I27" i="9"/>
  <c r="I26" i="9"/>
  <c r="H27" i="9"/>
  <c r="H26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H105" i="9" l="1"/>
  <c r="H15" i="6" l="1"/>
  <c r="G28" i="7"/>
  <c r="G27" i="7"/>
  <c r="D28" i="7"/>
  <c r="D27" i="7"/>
  <c r="F27" i="7" s="1"/>
  <c r="D26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F32" i="6"/>
  <c r="E15" i="7" s="1"/>
  <c r="F31" i="6"/>
  <c r="F30" i="6"/>
  <c r="F29" i="6"/>
  <c r="F28" i="6"/>
  <c r="F27" i="6"/>
  <c r="F26" i="6"/>
  <c r="F25" i="6"/>
  <c r="F24" i="6"/>
  <c r="F23" i="6"/>
  <c r="F22" i="6"/>
  <c r="F21" i="6"/>
  <c r="F20" i="6"/>
  <c r="E32" i="6"/>
  <c r="E22" i="6"/>
  <c r="E23" i="6"/>
  <c r="E24" i="6"/>
  <c r="E25" i="6"/>
  <c r="E26" i="6"/>
  <c r="E27" i="6"/>
  <c r="E28" i="6"/>
  <c r="E29" i="6"/>
  <c r="E30" i="6"/>
  <c r="E31" i="6"/>
  <c r="E21" i="6"/>
  <c r="E20" i="6"/>
  <c r="H19" i="6"/>
  <c r="H18" i="6"/>
  <c r="H16" i="6"/>
  <c r="F19" i="6"/>
  <c r="E14" i="7" s="1"/>
  <c r="F18" i="6"/>
  <c r="F16" i="6"/>
  <c r="E19" i="6"/>
  <c r="E15" i="6"/>
  <c r="D13" i="7" s="1"/>
  <c r="H14" i="6"/>
  <c r="H13" i="6"/>
  <c r="F14" i="6"/>
  <c r="F13" i="6"/>
  <c r="E14" i="6"/>
  <c r="E13" i="6"/>
  <c r="H12" i="6"/>
  <c r="F12" i="6"/>
  <c r="E12" i="7" s="1"/>
  <c r="E12" i="6"/>
  <c r="H9" i="6"/>
  <c r="G11" i="7" s="1"/>
  <c r="F9" i="6"/>
  <c r="E11" i="7" s="1"/>
  <c r="E9" i="6"/>
  <c r="D11" i="7" s="1"/>
  <c r="D10" i="7" l="1"/>
  <c r="D15" i="7"/>
  <c r="G32" i="6"/>
  <c r="D12" i="7"/>
  <c r="G12" i="6"/>
  <c r="J12" i="6" s="1"/>
  <c r="D14" i="7"/>
  <c r="G19" i="6"/>
  <c r="F26" i="7"/>
  <c r="I26" i="7"/>
  <c r="G15" i="7"/>
  <c r="G12" i="7"/>
  <c r="G14" i="7"/>
  <c r="G13" i="7"/>
  <c r="I28" i="7"/>
  <c r="H28" i="7"/>
  <c r="G9" i="7"/>
  <c r="E9" i="7"/>
  <c r="G13" i="6"/>
  <c r="G10" i="7"/>
  <c r="K110" i="9" s="1"/>
  <c r="H110" i="9"/>
  <c r="E10" i="7"/>
  <c r="I110" i="9" s="1"/>
  <c r="E8" i="7"/>
  <c r="D8" i="7"/>
  <c r="G8" i="7"/>
  <c r="F28" i="7"/>
  <c r="I27" i="7"/>
  <c r="H26" i="7"/>
  <c r="H27" i="7"/>
  <c r="H109" i="9" l="1"/>
  <c r="I109" i="9"/>
  <c r="K109" i="9"/>
  <c r="F14" i="7"/>
  <c r="H14" i="7" s="1"/>
  <c r="F12" i="7"/>
  <c r="H12" i="7" s="1"/>
  <c r="F10" i="7"/>
  <c r="J110" i="9" s="1"/>
  <c r="F8" i="7"/>
  <c r="I32" i="6"/>
  <c r="J32" i="6"/>
  <c r="G20" i="6"/>
  <c r="I19" i="6"/>
  <c r="J19" i="6"/>
  <c r="I15" i="6"/>
  <c r="F15" i="6"/>
  <c r="I12" i="6"/>
  <c r="I8" i="7" l="1"/>
  <c r="I18" i="7"/>
  <c r="E13" i="7"/>
  <c r="G15" i="6"/>
  <c r="J15" i="6" s="1"/>
  <c r="I13" i="6"/>
  <c r="G14" i="6" s="1"/>
  <c r="J14" i="6" s="1"/>
  <c r="F11" i="7"/>
  <c r="H11" i="7" s="1"/>
  <c r="H10" i="7"/>
  <c r="L110" i="9" s="1"/>
  <c r="F15" i="7"/>
  <c r="H15" i="7" s="1"/>
  <c r="H8" i="7"/>
  <c r="F13" i="7"/>
  <c r="H13" i="7" s="1"/>
  <c r="F9" i="7"/>
  <c r="H9" i="7" s="1"/>
  <c r="I12" i="7"/>
  <c r="I14" i="7"/>
  <c r="I10" i="7"/>
  <c r="M110" i="9" s="1"/>
  <c r="G9" i="6"/>
  <c r="J9" i="6" s="1"/>
  <c r="G16" i="6"/>
  <c r="I16" i="6" s="1"/>
  <c r="G18" i="6" s="1"/>
  <c r="I18" i="6" s="1"/>
  <c r="J20" i="6"/>
  <c r="I20" i="6"/>
  <c r="G21" i="6" s="1"/>
  <c r="I21" i="6" s="1"/>
  <c r="G22" i="6" s="1"/>
  <c r="J13" i="6"/>
  <c r="J109" i="9" l="1"/>
  <c r="M109" i="9" s="1"/>
  <c r="L109" i="9"/>
  <c r="I15" i="7"/>
  <c r="I11" i="7"/>
  <c r="I14" i="6"/>
  <c r="I9" i="6"/>
  <c r="I9" i="7"/>
  <c r="I13" i="7"/>
  <c r="J16" i="6"/>
  <c r="J21" i="6"/>
  <c r="J18" i="6"/>
  <c r="I22" i="6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G31" i="6" s="1"/>
  <c r="J30" i="6"/>
  <c r="I31" i="6" l="1"/>
  <c r="J31" i="6"/>
  <c r="H7" i="6" l="1"/>
  <c r="L27" i="2"/>
  <c r="H79" i="9" s="1"/>
  <c r="J10" i="5" l="1"/>
  <c r="J7" i="5"/>
  <c r="I7" i="5"/>
  <c r="K7" i="5" s="1"/>
  <c r="N37" i="4"/>
  <c r="K40" i="9" s="1"/>
  <c r="L37" i="4"/>
  <c r="I40" i="9" s="1"/>
  <c r="K37" i="4"/>
  <c r="H40" i="9" s="1"/>
  <c r="G37" i="4"/>
  <c r="N35" i="4"/>
  <c r="K37" i="9" s="1"/>
  <c r="L35" i="4"/>
  <c r="I37" i="9" s="1"/>
  <c r="K35" i="4"/>
  <c r="H37" i="9" s="1"/>
  <c r="G35" i="4"/>
  <c r="N33" i="4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L29" i="4"/>
  <c r="L43" i="4" s="1"/>
  <c r="K29" i="4"/>
  <c r="K43" i="4" s="1"/>
  <c r="G35" i="6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D16" i="7"/>
  <c r="H106" i="9" s="1"/>
  <c r="L9" i="4"/>
  <c r="I7" i="9" s="1"/>
  <c r="K9" i="4"/>
  <c r="H7" i="9" s="1"/>
  <c r="G9" i="4"/>
  <c r="G33" i="6" s="1"/>
  <c r="N7" i="4"/>
  <c r="L7" i="4"/>
  <c r="K7" i="4"/>
  <c r="K23" i="4" l="1"/>
  <c r="L23" i="4"/>
  <c r="K34" i="9"/>
  <c r="N43" i="4"/>
  <c r="K7" i="9"/>
  <c r="N23" i="4"/>
  <c r="K28" i="9"/>
  <c r="I28" i="9"/>
  <c r="K4" i="9"/>
  <c r="H4" i="9"/>
  <c r="I29" i="4"/>
  <c r="J26" i="9"/>
  <c r="J31" i="4"/>
  <c r="M29" i="9" s="1"/>
  <c r="J29" i="9"/>
  <c r="D17" i="7"/>
  <c r="H107" i="9" s="1"/>
  <c r="K112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H28" i="9"/>
  <c r="M31" i="4"/>
  <c r="J31" i="9" s="1"/>
  <c r="J33" i="4"/>
  <c r="J32" i="9"/>
  <c r="J35" i="4"/>
  <c r="M35" i="9" s="1"/>
  <c r="J35" i="9"/>
  <c r="J37" i="4"/>
  <c r="M38" i="9" s="1"/>
  <c r="J38" i="9"/>
  <c r="I4" i="9"/>
  <c r="K16" i="9"/>
  <c r="K113" i="9"/>
  <c r="K111" i="9"/>
  <c r="M111" i="9"/>
  <c r="J8" i="5"/>
  <c r="F9" i="5" s="1"/>
  <c r="J9" i="5" s="1"/>
  <c r="G17" i="7"/>
  <c r="E16" i="7"/>
  <c r="E17" i="7"/>
  <c r="M9" i="4"/>
  <c r="M11" i="4"/>
  <c r="J10" i="9" s="1"/>
  <c r="M13" i="4"/>
  <c r="M15" i="4"/>
  <c r="M33" i="4"/>
  <c r="J34" i="9" s="1"/>
  <c r="M35" i="4"/>
  <c r="P35" i="4" s="1"/>
  <c r="M37" i="9" s="1"/>
  <c r="M37" i="4"/>
  <c r="G16" i="7"/>
  <c r="K106" i="9" s="1"/>
  <c r="O33" i="4"/>
  <c r="I31" i="4"/>
  <c r="I7" i="4"/>
  <c r="M7" i="4"/>
  <c r="I9" i="4"/>
  <c r="J11" i="4"/>
  <c r="M8" i="9" s="1"/>
  <c r="J13" i="4"/>
  <c r="M11" i="9" s="1"/>
  <c r="J15" i="4"/>
  <c r="M14" i="9" s="1"/>
  <c r="J29" i="4"/>
  <c r="M26" i="9" s="1"/>
  <c r="I33" i="4"/>
  <c r="I35" i="4"/>
  <c r="I37" i="4"/>
  <c r="J7" i="4"/>
  <c r="M2" i="9" s="1"/>
  <c r="M29" i="4"/>
  <c r="K107" i="9" l="1"/>
  <c r="O11" i="4"/>
  <c r="L10" i="9" s="1"/>
  <c r="M23" i="4"/>
  <c r="P23" i="4" s="1"/>
  <c r="M43" i="4"/>
  <c r="P43" i="4" s="1"/>
  <c r="I35" i="6"/>
  <c r="L34" i="9"/>
  <c r="M32" i="9"/>
  <c r="J35" i="6"/>
  <c r="I33" i="6"/>
  <c r="L26" i="9"/>
  <c r="J28" i="9"/>
  <c r="P33" i="4"/>
  <c r="M34" i="9" s="1"/>
  <c r="P11" i="4"/>
  <c r="M10" i="9" s="1"/>
  <c r="G30" i="4"/>
  <c r="L111" i="9"/>
  <c r="J112" i="9" s="1"/>
  <c r="P31" i="4"/>
  <c r="M31" i="9" s="1"/>
  <c r="O31" i="4"/>
  <c r="L31" i="9" s="1"/>
  <c r="G14" i="4"/>
  <c r="J12" i="9" s="1"/>
  <c r="G16" i="4"/>
  <c r="J15" i="9" s="1"/>
  <c r="O13" i="4"/>
  <c r="L13" i="9" s="1"/>
  <c r="J13" i="9"/>
  <c r="G38" i="4"/>
  <c r="J39" i="9" s="1"/>
  <c r="L38" i="9"/>
  <c r="G12" i="4"/>
  <c r="J9" i="9" s="1"/>
  <c r="O9" i="4"/>
  <c r="J7" i="9"/>
  <c r="O35" i="4"/>
  <c r="L37" i="9" s="1"/>
  <c r="J37" i="9"/>
  <c r="G34" i="4"/>
  <c r="L32" i="9"/>
  <c r="G8" i="4"/>
  <c r="L2" i="9"/>
  <c r="P9" i="4"/>
  <c r="M7" i="9" s="1"/>
  <c r="P13" i="4"/>
  <c r="M13" i="9" s="1"/>
  <c r="O37" i="4"/>
  <c r="L40" i="9" s="1"/>
  <c r="J40" i="9"/>
  <c r="O15" i="4"/>
  <c r="L16" i="9" s="1"/>
  <c r="J16" i="9"/>
  <c r="F17" i="7"/>
  <c r="I107" i="9"/>
  <c r="P15" i="4"/>
  <c r="M16" i="9" s="1"/>
  <c r="P7" i="4"/>
  <c r="M4" i="9" s="1"/>
  <c r="J4" i="9"/>
  <c r="F16" i="7"/>
  <c r="J106" i="9" s="1"/>
  <c r="I106" i="9"/>
  <c r="M113" i="9"/>
  <c r="L113" i="9"/>
  <c r="G32" i="4"/>
  <c r="L29" i="9"/>
  <c r="G10" i="4"/>
  <c r="L5" i="9"/>
  <c r="G36" i="4"/>
  <c r="J36" i="9" s="1"/>
  <c r="L35" i="9"/>
  <c r="J33" i="6"/>
  <c r="P37" i="4"/>
  <c r="M40" i="9" s="1"/>
  <c r="O29" i="4"/>
  <c r="O7" i="4"/>
  <c r="J30" i="4"/>
  <c r="M27" i="9" s="1"/>
  <c r="P29" i="4"/>
  <c r="M28" i="9" s="1"/>
  <c r="J107" i="9" l="1"/>
  <c r="H17" i="7"/>
  <c r="L107" i="9" s="1"/>
  <c r="O43" i="4"/>
  <c r="I12" i="4"/>
  <c r="L9" i="9" s="1"/>
  <c r="J33" i="9"/>
  <c r="G36" i="6"/>
  <c r="G43" i="4"/>
  <c r="J43" i="4" s="1"/>
  <c r="G34" i="6"/>
  <c r="L7" i="9"/>
  <c r="O23" i="4"/>
  <c r="G23" i="4"/>
  <c r="J23" i="4" s="1"/>
  <c r="J27" i="9"/>
  <c r="I14" i="4"/>
  <c r="L12" i="9" s="1"/>
  <c r="I10" i="4"/>
  <c r="J14" i="4"/>
  <c r="M12" i="9" s="1"/>
  <c r="I30" i="4"/>
  <c r="J16" i="4"/>
  <c r="M15" i="9" s="1"/>
  <c r="I16" i="4"/>
  <c r="L15" i="9" s="1"/>
  <c r="L112" i="9"/>
  <c r="K9" i="5"/>
  <c r="M112" i="9" s="1"/>
  <c r="I34" i="4"/>
  <c r="J12" i="4"/>
  <c r="M9" i="9" s="1"/>
  <c r="J34" i="4"/>
  <c r="J38" i="4"/>
  <c r="M39" i="9" s="1"/>
  <c r="I38" i="4"/>
  <c r="L39" i="9" s="1"/>
  <c r="I36" i="4"/>
  <c r="L36" i="9" s="1"/>
  <c r="I8" i="4"/>
  <c r="J3" i="9"/>
  <c r="L4" i="9"/>
  <c r="I16" i="7"/>
  <c r="M106" i="9" s="1"/>
  <c r="H16" i="7"/>
  <c r="L106" i="9" s="1"/>
  <c r="J32" i="4"/>
  <c r="M30" i="9" s="1"/>
  <c r="J30" i="9"/>
  <c r="I32" i="4"/>
  <c r="L30" i="9" s="1"/>
  <c r="L28" i="9"/>
  <c r="J36" i="4"/>
  <c r="M36" i="9" s="1"/>
  <c r="J6" i="9"/>
  <c r="J10" i="4"/>
  <c r="J8" i="4"/>
  <c r="M3" i="9" s="1"/>
  <c r="M33" i="9" l="1"/>
  <c r="J36" i="6"/>
  <c r="L33" i="9"/>
  <c r="I36" i="6"/>
  <c r="I43" i="4"/>
  <c r="L6" i="9"/>
  <c r="I34" i="6"/>
  <c r="M6" i="9"/>
  <c r="J34" i="6"/>
  <c r="I23" i="4"/>
  <c r="L27" i="9"/>
  <c r="L3" i="9"/>
  <c r="O70" i="2" l="1"/>
  <c r="L70" i="2"/>
  <c r="O80" i="2"/>
  <c r="M80" i="2"/>
  <c r="L80" i="2"/>
  <c r="G80" i="2"/>
  <c r="N80" i="2" s="1"/>
  <c r="O79" i="2"/>
  <c r="M79" i="2"/>
  <c r="L79" i="2"/>
  <c r="G79" i="2"/>
  <c r="J79" i="2" s="1"/>
  <c r="Q79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I76" i="2" s="1"/>
  <c r="M70" i="2"/>
  <c r="K105" i="9"/>
  <c r="M57" i="2"/>
  <c r="N57" i="2" s="1"/>
  <c r="P57" i="2" s="1"/>
  <c r="G57" i="2"/>
  <c r="E53" i="2"/>
  <c r="E51" i="2"/>
  <c r="G51" i="2" s="1"/>
  <c r="K92" i="9"/>
  <c r="I92" i="9"/>
  <c r="H92" i="9"/>
  <c r="G47" i="2"/>
  <c r="K88" i="9"/>
  <c r="I88" i="9"/>
  <c r="L45" i="2"/>
  <c r="G45" i="2"/>
  <c r="H11" i="6"/>
  <c r="F11" i="6"/>
  <c r="O37" i="2"/>
  <c r="K85" i="9" s="1"/>
  <c r="M37" i="2"/>
  <c r="I85" i="9" s="1"/>
  <c r="L37" i="2"/>
  <c r="H85" i="9" s="1"/>
  <c r="G37" i="2"/>
  <c r="K82" i="9"/>
  <c r="M35" i="2"/>
  <c r="I82" i="9" s="1"/>
  <c r="H82" i="9"/>
  <c r="H8" i="6"/>
  <c r="F8" i="6"/>
  <c r="O27" i="2"/>
  <c r="K79" i="9" s="1"/>
  <c r="M27" i="2"/>
  <c r="G27" i="2"/>
  <c r="J27" i="2" s="1"/>
  <c r="O25" i="2"/>
  <c r="K76" i="9" s="1"/>
  <c r="M25" i="2"/>
  <c r="I76" i="9" s="1"/>
  <c r="L25" i="2"/>
  <c r="H76" i="9" s="1"/>
  <c r="G25" i="2"/>
  <c r="O23" i="2"/>
  <c r="K73" i="9" s="1"/>
  <c r="M23" i="2"/>
  <c r="I73" i="9" s="1"/>
  <c r="L23" i="2"/>
  <c r="H73" i="9" s="1"/>
  <c r="G23" i="2"/>
  <c r="O21" i="2"/>
  <c r="K70" i="9" s="1"/>
  <c r="M21" i="2"/>
  <c r="I70" i="9" s="1"/>
  <c r="L21" i="2"/>
  <c r="H70" i="9" s="1"/>
  <c r="G21" i="2"/>
  <c r="O19" i="2"/>
  <c r="K67" i="9" s="1"/>
  <c r="M19" i="2"/>
  <c r="I67" i="9" s="1"/>
  <c r="L19" i="2"/>
  <c r="H67" i="9" s="1"/>
  <c r="G19" i="2"/>
  <c r="O17" i="2"/>
  <c r="K64" i="9" s="1"/>
  <c r="M17" i="2"/>
  <c r="I64" i="9" s="1"/>
  <c r="L17" i="2"/>
  <c r="H64" i="9" s="1"/>
  <c r="G17" i="2"/>
  <c r="O15" i="2"/>
  <c r="K61" i="9" s="1"/>
  <c r="M15" i="2"/>
  <c r="I61" i="9" s="1"/>
  <c r="L15" i="2"/>
  <c r="H61" i="9" s="1"/>
  <c r="G15" i="2"/>
  <c r="O13" i="2"/>
  <c r="K58" i="9" s="1"/>
  <c r="M13" i="2"/>
  <c r="I58" i="9" s="1"/>
  <c r="L13" i="2"/>
  <c r="H58" i="9" s="1"/>
  <c r="G13" i="2"/>
  <c r="O11" i="2"/>
  <c r="K55" i="9" s="1"/>
  <c r="M11" i="2"/>
  <c r="I55" i="9" s="1"/>
  <c r="L11" i="2"/>
  <c r="H55" i="9" s="1"/>
  <c r="G11" i="2"/>
  <c r="O9" i="2"/>
  <c r="K52" i="9" s="1"/>
  <c r="M9" i="2"/>
  <c r="I52" i="9" s="1"/>
  <c r="L9" i="2"/>
  <c r="H52" i="9" s="1"/>
  <c r="G9" i="2"/>
  <c r="O7" i="2"/>
  <c r="K49" i="9" s="1"/>
  <c r="M7" i="2"/>
  <c r="I49" i="9" s="1"/>
  <c r="L7" i="2"/>
  <c r="H49" i="9" s="1"/>
  <c r="G7" i="2"/>
  <c r="I51" i="2" l="1"/>
  <c r="J51" i="2"/>
  <c r="H88" i="9"/>
  <c r="N45" i="2"/>
  <c r="P45" i="2" s="1"/>
  <c r="J7" i="2"/>
  <c r="M47" i="9" s="1"/>
  <c r="J47" i="9"/>
  <c r="J13" i="2"/>
  <c r="M56" i="9" s="1"/>
  <c r="J56" i="9"/>
  <c r="J19" i="2"/>
  <c r="M65" i="9" s="1"/>
  <c r="J65" i="9"/>
  <c r="J25" i="2"/>
  <c r="M74" i="9" s="1"/>
  <c r="J74" i="9"/>
  <c r="N27" i="2"/>
  <c r="J79" i="9" s="1"/>
  <c r="I79" i="9"/>
  <c r="J45" i="2"/>
  <c r="M86" i="9" s="1"/>
  <c r="J86" i="9"/>
  <c r="J47" i="2"/>
  <c r="M89" i="9" s="1"/>
  <c r="J89" i="9"/>
  <c r="J9" i="2"/>
  <c r="M50" i="9" s="1"/>
  <c r="J50" i="9"/>
  <c r="J17" i="2"/>
  <c r="M62" i="9" s="1"/>
  <c r="J62" i="9"/>
  <c r="J23" i="2"/>
  <c r="M71" i="9" s="1"/>
  <c r="J71" i="9"/>
  <c r="M77" i="9"/>
  <c r="J77" i="9"/>
  <c r="I57" i="2"/>
  <c r="G58" i="2" s="1"/>
  <c r="J93" i="9"/>
  <c r="J11" i="2"/>
  <c r="M53" i="9" s="1"/>
  <c r="J53" i="9"/>
  <c r="J21" i="2"/>
  <c r="M68" i="9" s="1"/>
  <c r="J68" i="9"/>
  <c r="J35" i="2"/>
  <c r="M80" i="9" s="1"/>
  <c r="J80" i="9"/>
  <c r="J37" i="2"/>
  <c r="M83" i="9" s="1"/>
  <c r="J83" i="9"/>
  <c r="J105" i="9"/>
  <c r="I105" i="9"/>
  <c r="J15" i="2"/>
  <c r="M59" i="9" s="1"/>
  <c r="J59" i="9"/>
  <c r="N7" i="2"/>
  <c r="J49" i="9" s="1"/>
  <c r="I9" i="2"/>
  <c r="I21" i="2"/>
  <c r="G53" i="2"/>
  <c r="I53" i="2" s="1"/>
  <c r="N23" i="2"/>
  <c r="J73" i="9" s="1"/>
  <c r="I25" i="2"/>
  <c r="I17" i="2"/>
  <c r="N11" i="2"/>
  <c r="I13" i="2"/>
  <c r="O30" i="2"/>
  <c r="N15" i="2"/>
  <c r="N19" i="2"/>
  <c r="J67" i="9" s="1"/>
  <c r="N76" i="2"/>
  <c r="Q76" i="2" s="1"/>
  <c r="O40" i="2"/>
  <c r="H10" i="6"/>
  <c r="G7" i="7" s="1"/>
  <c r="I7" i="2"/>
  <c r="N13" i="2"/>
  <c r="I15" i="2"/>
  <c r="N21" i="2"/>
  <c r="J70" i="9" s="1"/>
  <c r="I23" i="2"/>
  <c r="G31" i="2"/>
  <c r="I35" i="2"/>
  <c r="G36" i="2" s="1"/>
  <c r="N35" i="2" s="1"/>
  <c r="P35" i="2" s="1"/>
  <c r="I45" i="2"/>
  <c r="G46" i="2" s="1"/>
  <c r="L30" i="2"/>
  <c r="I37" i="2"/>
  <c r="L40" i="2"/>
  <c r="I47" i="2"/>
  <c r="I70" i="2"/>
  <c r="N9" i="2"/>
  <c r="I11" i="2"/>
  <c r="L53" i="9" s="1"/>
  <c r="N17" i="2"/>
  <c r="I19" i="2"/>
  <c r="N25" i="2"/>
  <c r="Q25" i="2" s="1"/>
  <c r="M76" i="9" s="1"/>
  <c r="I27" i="2"/>
  <c r="M30" i="2"/>
  <c r="F7" i="6"/>
  <c r="E6" i="7" s="1"/>
  <c r="G6" i="7"/>
  <c r="M40" i="2"/>
  <c r="F10" i="6"/>
  <c r="E7" i="7" s="1"/>
  <c r="M51" i="2"/>
  <c r="O51" i="2"/>
  <c r="P27" i="2"/>
  <c r="L79" i="9" s="1"/>
  <c r="N70" i="2"/>
  <c r="P70" i="2" s="1"/>
  <c r="Q7" i="2"/>
  <c r="M49" i="9" s="1"/>
  <c r="Q27" i="2"/>
  <c r="M79" i="9" s="1"/>
  <c r="L51" i="2"/>
  <c r="J57" i="2"/>
  <c r="M93" i="9" s="1"/>
  <c r="J76" i="2"/>
  <c r="I77" i="2"/>
  <c r="N77" i="2"/>
  <c r="J78" i="2"/>
  <c r="I79" i="2"/>
  <c r="N79" i="2"/>
  <c r="J80" i="2"/>
  <c r="I78" i="2"/>
  <c r="I80" i="2"/>
  <c r="J31" i="2" l="1"/>
  <c r="I31" i="2"/>
  <c r="P21" i="2"/>
  <c r="L70" i="9" s="1"/>
  <c r="Q21" i="2"/>
  <c r="M70" i="9" s="1"/>
  <c r="J88" i="9"/>
  <c r="Q19" i="2"/>
  <c r="M67" i="9" s="1"/>
  <c r="P19" i="2"/>
  <c r="L67" i="9" s="1"/>
  <c r="Q23" i="2"/>
  <c r="M73" i="9" s="1"/>
  <c r="P7" i="2"/>
  <c r="L49" i="9" s="1"/>
  <c r="Q57" i="2"/>
  <c r="M105" i="9" s="1"/>
  <c r="Q45" i="2"/>
  <c r="M88" i="9" s="1"/>
  <c r="J53" i="2"/>
  <c r="J94" i="9"/>
  <c r="I58" i="2"/>
  <c r="G59" i="2" s="1"/>
  <c r="J95" i="9" s="1"/>
  <c r="I108" i="9"/>
  <c r="G38" i="2"/>
  <c r="N37" i="2" s="1"/>
  <c r="P37" i="2" s="1"/>
  <c r="L85" i="9" s="1"/>
  <c r="L83" i="9"/>
  <c r="P23" i="2"/>
  <c r="L73" i="9" s="1"/>
  <c r="P17" i="2"/>
  <c r="L64" i="9" s="1"/>
  <c r="J64" i="9"/>
  <c r="L82" i="9"/>
  <c r="J82" i="9"/>
  <c r="L93" i="9"/>
  <c r="P13" i="2"/>
  <c r="L58" i="9" s="1"/>
  <c r="J58" i="9"/>
  <c r="L88" i="9"/>
  <c r="L92" i="9"/>
  <c r="J92" i="9"/>
  <c r="K108" i="9"/>
  <c r="P25" i="2"/>
  <c r="L76" i="9" s="1"/>
  <c r="J76" i="9"/>
  <c r="Q9" i="2"/>
  <c r="M52" i="9" s="1"/>
  <c r="J52" i="9"/>
  <c r="Q11" i="2"/>
  <c r="M55" i="9" s="1"/>
  <c r="J55" i="9"/>
  <c r="L105" i="9"/>
  <c r="Q15" i="2"/>
  <c r="M61" i="9" s="1"/>
  <c r="J61" i="9"/>
  <c r="G26" i="2"/>
  <c r="I26" i="2" s="1"/>
  <c r="L75" i="9" s="1"/>
  <c r="L74" i="9"/>
  <c r="G8" i="2"/>
  <c r="L47" i="9"/>
  <c r="G49" i="2"/>
  <c r="I49" i="2" s="1"/>
  <c r="L91" i="9" s="1"/>
  <c r="L89" i="9"/>
  <c r="G22" i="2"/>
  <c r="L68" i="9"/>
  <c r="G20" i="2"/>
  <c r="J20" i="2" s="1"/>
  <c r="M66" i="9" s="1"/>
  <c r="L65" i="9"/>
  <c r="G16" i="2"/>
  <c r="J16" i="2" s="1"/>
  <c r="M60" i="9" s="1"/>
  <c r="L59" i="9"/>
  <c r="J58" i="2"/>
  <c r="M94" i="9" s="1"/>
  <c r="I46" i="2"/>
  <c r="L87" i="9" s="1"/>
  <c r="L86" i="9"/>
  <c r="J36" i="2"/>
  <c r="M81" i="9" s="1"/>
  <c r="L80" i="9"/>
  <c r="G28" i="2"/>
  <c r="L77" i="9"/>
  <c r="G24" i="2"/>
  <c r="L71" i="9"/>
  <c r="G18" i="2"/>
  <c r="L62" i="9"/>
  <c r="G14" i="2"/>
  <c r="I14" i="2" s="1"/>
  <c r="L57" i="9" s="1"/>
  <c r="L56" i="9"/>
  <c r="G10" i="2"/>
  <c r="L50" i="9"/>
  <c r="Q13" i="2"/>
  <c r="M58" i="9" s="1"/>
  <c r="P76" i="2"/>
  <c r="M92" i="9"/>
  <c r="N51" i="2"/>
  <c r="P51" i="2" s="1"/>
  <c r="P9" i="2"/>
  <c r="L52" i="9" s="1"/>
  <c r="N40" i="2"/>
  <c r="P40" i="2" s="1"/>
  <c r="N30" i="2"/>
  <c r="P30" i="2" s="1"/>
  <c r="P11" i="2"/>
  <c r="L55" i="9" s="1"/>
  <c r="Q35" i="2"/>
  <c r="M82" i="9" s="1"/>
  <c r="Q17" i="2"/>
  <c r="M64" i="9" s="1"/>
  <c r="P15" i="2"/>
  <c r="L61" i="9" s="1"/>
  <c r="G12" i="2"/>
  <c r="D7" i="7"/>
  <c r="F7" i="7" s="1"/>
  <c r="G10" i="6"/>
  <c r="D6" i="7"/>
  <c r="F6" i="7" s="1"/>
  <c r="I6" i="7" s="1"/>
  <c r="G7" i="6"/>
  <c r="P80" i="2"/>
  <c r="Q80" i="2"/>
  <c r="P79" i="2"/>
  <c r="P78" i="2"/>
  <c r="Q78" i="2"/>
  <c r="P77" i="2"/>
  <c r="Q70" i="2"/>
  <c r="H7" i="7" l="1"/>
  <c r="I17" i="7"/>
  <c r="M107" i="9" s="1"/>
  <c r="L94" i="9"/>
  <c r="I28" i="2"/>
  <c r="L78" i="9" s="1"/>
  <c r="J28" i="2"/>
  <c r="M78" i="9" s="1"/>
  <c r="Q51" i="2"/>
  <c r="Q37" i="2"/>
  <c r="M85" i="9" s="1"/>
  <c r="J85" i="9"/>
  <c r="J84" i="9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 i="9"/>
  <c r="I12" i="2"/>
  <c r="L54" i="9" s="1"/>
  <c r="J54" i="9"/>
  <c r="I8" i="2"/>
  <c r="L48" i="9" s="1"/>
  <c r="J48" i="9"/>
  <c r="J8" i="2"/>
  <c r="M48" i="9" s="1"/>
  <c r="J49" i="2"/>
  <c r="M91" i="9" s="1"/>
  <c r="J91" i="9"/>
  <c r="J22" i="2"/>
  <c r="M69" i="9" s="1"/>
  <c r="J69" i="9"/>
  <c r="I22" i="2"/>
  <c r="L69" i="9" s="1"/>
  <c r="I20" i="2"/>
  <c r="L66" i="9" s="1"/>
  <c r="J66" i="9"/>
  <c r="I16" i="2"/>
  <c r="L60" i="9" s="1"/>
  <c r="J60" i="9"/>
  <c r="J46" i="2"/>
  <c r="M87" i="9" s="1"/>
  <c r="J87" i="9"/>
  <c r="I36" i="2"/>
  <c r="L81" i="9" s="1"/>
  <c r="J81" i="9"/>
  <c r="J78" i="9"/>
  <c r="J24" i="2"/>
  <c r="M72" i="9" s="1"/>
  <c r="J72" i="9"/>
  <c r="I24" i="2"/>
  <c r="L72" i="9" s="1"/>
  <c r="J18" i="2"/>
  <c r="M63" i="9" s="1"/>
  <c r="J63" i="9"/>
  <c r="I18" i="2"/>
  <c r="L63" i="9" s="1"/>
  <c r="J14" i="2"/>
  <c r="M57" i="9" s="1"/>
  <c r="J57" i="9"/>
  <c r="J51" i="9"/>
  <c r="J10" i="2"/>
  <c r="M51" i="9" s="1"/>
  <c r="I10" i="2"/>
  <c r="L51" i="9" s="1"/>
  <c r="Q40" i="2"/>
  <c r="J12" i="2"/>
  <c r="M54" i="9" s="1"/>
  <c r="I7" i="7"/>
  <c r="J10" i="6"/>
  <c r="I10" i="6"/>
  <c r="G11" i="6" s="1"/>
  <c r="I7" i="6"/>
  <c r="G8" i="6" s="1"/>
  <c r="J7" i="6"/>
  <c r="G60" i="2" l="1"/>
  <c r="J96" i="9" s="1"/>
  <c r="H6" i="7"/>
  <c r="L108" i="9" s="1"/>
  <c r="J108" i="9"/>
  <c r="M108" i="9" s="1"/>
  <c r="J11" i="6"/>
  <c r="I8" i="6"/>
  <c r="J8" i="6"/>
  <c r="J60" i="2" l="1"/>
  <c r="M96" i="9" s="1"/>
  <c r="I60" i="2"/>
  <c r="G61" i="2" s="1"/>
  <c r="J61" i="2" s="1"/>
  <c r="M97" i="9" s="1"/>
  <c r="I11" i="6"/>
  <c r="J97" i="9" l="1"/>
  <c r="L96" i="9"/>
  <c r="I61" i="2"/>
  <c r="L97" i="9" s="1"/>
  <c r="G62" i="2" l="1"/>
  <c r="J62" i="2" s="1"/>
  <c r="M98" i="9" s="1"/>
  <c r="J98" i="9" l="1"/>
  <c r="I62" i="2"/>
  <c r="G63" i="2" s="1"/>
  <c r="L98" i="9" l="1"/>
  <c r="J99" i="9"/>
  <c r="I63" i="2"/>
  <c r="J63" i="2"/>
  <c r="M99" i="9" s="1"/>
  <c r="G64" i="2" l="1"/>
  <c r="L99" i="9"/>
  <c r="J100" i="9" l="1"/>
  <c r="I64" i="2"/>
  <c r="J64" i="2"/>
  <c r="M100" i="9" s="1"/>
  <c r="G65" i="2" l="1"/>
  <c r="L100" i="9"/>
  <c r="J101" i="9" l="1"/>
  <c r="J65" i="2"/>
  <c r="M101" i="9" s="1"/>
  <c r="I65" i="2"/>
  <c r="G66" i="2" l="1"/>
  <c r="L101" i="9"/>
  <c r="J102" i="9" l="1"/>
  <c r="I66" i="2"/>
  <c r="J66" i="2"/>
  <c r="M102" i="9" s="1"/>
  <c r="G67" i="2" l="1"/>
  <c r="L102" i="9"/>
  <c r="J103" i="9" l="1"/>
  <c r="I67" i="2"/>
  <c r="J67" i="2"/>
  <c r="M103" i="9" s="1"/>
  <c r="G68" i="2" l="1"/>
  <c r="L103" i="9"/>
  <c r="J104" i="9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856 (21-03-2019)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57672 (01-07-2019)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26,631 Ton a 26,522 Ton (Res. Ex. N°723-2019)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26,630 Ton a 26,518 Ton (Res. Ex. N°723-2019)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17186 (05-02-2019)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1473 (29-08-2019)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1057 (29-06-2019)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a Pesca Cisne S.A. NE (Res. Ex.398-2019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desde Deris S.A. NE (Res. Ex.1963-19)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a Pesq. Grimar S.A. NE (Res. Ex.1963-19)
( C) Cesion de 46,004 Ton a Pesq. Sur Austral NE (Res. Ex.2038-19)
( C) Cesion de 28,741 Ton desde Pesca Cisne S.A. NE (Res. Ex.3713-19)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desde Emdepes S.A. NE (Res. Ex.398-2019)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28,741 Ton a Deris S.A. NE (Res. Ex 3713-19)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46,004 Ton desde Deris S.A. NE (Res. Ex.2038-19)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a Pesca Cisne S.A. SE (Res. Ex.448-2019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4,064 Ton que corresponden al año 2018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desde Emdepes S.A. SE (Res. Ex.448-2019)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136314 (09-02-2019)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2997 (05-07-2019)</t>
        </r>
      </text>
    </comment>
  </commentList>
</comments>
</file>

<file path=xl/sharedStrings.xml><?xml version="1.0" encoding="utf-8"?>
<sst xmlns="http://schemas.openxmlformats.org/spreadsheetml/2006/main" count="1311" uniqueCount="221">
  <si>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</si>
  <si>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</si>
  <si>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</si>
  <si>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</si>
  <si>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</si>
  <si>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</si>
  <si>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</si>
  <si>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</si>
  <si>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</si>
  <si>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</si>
  <si>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</si>
  <si>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</si>
  <si>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</si>
  <si>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</si>
  <si>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</si>
  <si>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</si>
  <si>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</si>
  <si>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</si>
  <si>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</si>
  <si>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</si>
  <si>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</si>
  <si>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</si>
  <si>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</si>
  <si>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</si>
  <si>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</si>
  <si>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</si>
  <si>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</si>
  <si>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</si>
  <si>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</si>
  <si>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</si>
  <si>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</si>
  <si>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</si>
  <si>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</si>
  <si>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</si>
  <si>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</si>
  <si>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</si>
  <si>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</si>
  <si>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</si>
  <si>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</si>
  <si>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</si>
  <si>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</si>
  <si>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</si>
  <si>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</si>
  <si>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</si>
  <si>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</si>
  <si>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</si>
  <si>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</si>
  <si>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</si>
  <si>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</si>
  <si>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</si>
  <si>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</si>
  <si>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</si>
  <si>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</si>
  <si>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</si>
  <si>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</si>
  <si>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</si>
  <si>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</si>
  <si>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</si>
  <si>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</si>
  <si>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</si>
  <si>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</si>
  <si>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</si>
  <si>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</si>
  <si>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</si>
  <si>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</si>
  <si>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</si>
  <si>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</si>
  <si>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</si>
  <si>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</si>
  <si>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</si>
  <si>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</si>
  <si>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</si>
  <si>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</si>
  <si>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</si>
  <si>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</si>
  <si>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</si>
  <si>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</si>
  <si>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</si>
  <si>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</si>
  <si>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</si>
  <si>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</si>
  <si>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</si>
  <si>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</si>
  <si>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</si>
  <si>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</si>
  <si>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</si>
  <si>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</si>
  <si>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</si>
  <si>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</si>
  <si>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</si>
  <si>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</si>
  <si>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</si>
  <si>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</si>
  <si>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</si>
  <si>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</si>
  <si>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</si>
  <si>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</si>
  <si>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</si>
  <si>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</si>
  <si>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</si>
  <si>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</si>
  <si>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</si>
  <si>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</si>
  <si>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</si>
  <si>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</si>
  <si>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</si>
  <si>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</si>
  <si>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</si>
  <si>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</si>
  <si>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</si>
  <si>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</si>
  <si>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</si>
  <si>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</si>
  <si>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</si>
  <si>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</si>
  <si>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</si>
  <si>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</si>
  <si>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</si>
  <si>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</si>
  <si>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</si>
  <si>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</si>
  <si>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</si>
  <si>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</si>
  <si>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</si>
  <si>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</si>
  <si>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</si>
  <si>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</si>
  <si>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</si>
  <si>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</si>
  <si>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</si>
  <si>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</si>
  <si>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</si>
  <si>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</si>
  <si>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</si>
  <si>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</si>
  <si>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</si>
  <si>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</si>
  <si>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</si>
  <si>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</si>
  <si>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</si>
  <si>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</si>
  <si>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</si>
  <si>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</si>
  <si>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</si>
  <si>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</si>
  <si>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</si>
  <si>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</si>
  <si>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</si>
  <si>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</si>
  <si>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</si>
  <si>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</si>
  <si>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</si>
  <si>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</si>
  <si>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</si>
  <si>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</si>
  <si>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</si>
  <si>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</si>
  <si>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</si>
  <si>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</si>
  <si>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</si>
  <si>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</si>
  <si>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</si>
  <si>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</si>
  <si>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</si>
  <si>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</si>
  <si>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</si>
  <si>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</si>
  <si>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</si>
  <si>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</si>
  <si>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</si>
  <si>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</si>
  <si>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</si>
  <si>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</si>
  <si>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</si>
  <si>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</si>
  <si>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</si>
  <si>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</si>
  <si>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</si>
  <si>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</si>
  <si>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</si>
  <si>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</si>
  <si>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</si>
  <si>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</si>
  <si>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</si>
  <si>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</si>
  <si>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</si>
  <si>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</si>
  <si>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</si>
  <si>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</si>
  <si>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</si>
  <si>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</si>
  <si>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</si>
  <si>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</si>
  <si>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</si>
  <si>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</si>
  <si>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</si>
  <si>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</si>
  <si>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</si>
  <si>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</si>
  <si>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</si>
  <si>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</si>
  <si>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</si>
  <si>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</si>
  <si>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</si>
  <si>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</si>
  <si>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</si>
  <si>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</si>
  <si>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</si>
  <si>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</si>
  <si>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</si>
  <si>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</si>
  <si>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</si>
  <si>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</si>
  <si>
    <t>año</t>
  </si>
  <si>
    <t>mensaje</t>
  </si>
  <si>
    <t>Fauna Acompañante X &gt; 12 mts eslora</t>
  </si>
  <si>
    <t>Fauna Acompañante X ≤ 12 mts eslora</t>
  </si>
  <si>
    <t>Fuera área</t>
  </si>
  <si>
    <t>Artesanal-Industrial</t>
  </si>
  <si>
    <t>Investigacion</t>
  </si>
  <si>
    <t>Decreto Ex. N°459: 1368,800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</si>
</sst>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.000_ ;[Red]\-#,##0.000\ "/>
    <numFmt numFmtId="175" formatCode="yyyy/mm/dd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165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19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6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3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6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8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6" fontId="32" fillId="0" borderId="45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4" borderId="64" xfId="0" applyFont="1" applyFill="1" applyBorder="1" applyAlignment="1">
      <alignment horizontal="center" vertical="center"/>
    </xf>
    <xf numFmtId="166" fontId="30" fillId="0" borderId="45" xfId="0" applyNumberFormat="1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/>
    </xf>
    <xf numFmtId="174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4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7" borderId="45" xfId="0" applyFill="1" applyBorder="1"/>
    <xf numFmtId="0" fontId="0" fillId="38" borderId="45" xfId="0" applyFill="1" applyBorder="1"/>
    <xf numFmtId="0" fontId="0" fillId="37" borderId="45" xfId="0" applyFill="1" applyBorder="1" applyAlignment="1">
      <alignment horizontal="center"/>
    </xf>
    <xf numFmtId="0" fontId="0" fillId="37" borderId="54" xfId="0" applyFill="1" applyBorder="1" applyAlignment="1">
      <alignment horizontal="center"/>
    </xf>
    <xf numFmtId="0" fontId="0" fillId="37" borderId="3" xfId="0" applyFill="1" applyBorder="1" applyAlignment="1">
      <alignment horizontal="center"/>
    </xf>
    <xf numFmtId="0" fontId="0" fillId="37" borderId="45" xfId="0" applyFill="1" applyBorder="1" applyAlignment="1">
      <alignment horizontal="center" vertical="center"/>
    </xf>
    <xf numFmtId="0" fontId="0" fillId="37" borderId="54" xfId="0" applyFill="1" applyBorder="1"/>
    <xf numFmtId="0" fontId="0" fillId="37" borderId="54" xfId="0" applyFill="1" applyBorder="1" applyAlignment="1">
      <alignment horizontal="center" vertical="center"/>
    </xf>
    <xf numFmtId="0" fontId="0" fillId="38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8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7" borderId="3" xfId="0" applyFill="1" applyBorder="1"/>
    <xf numFmtId="171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6" borderId="59" xfId="0" applyFont="1" applyFill="1" applyBorder="1" applyAlignment="1">
      <alignment horizontal="center" vertical="center"/>
    </xf>
    <xf numFmtId="0" fontId="30" fillId="36" borderId="60" xfId="0" applyFont="1" applyFill="1" applyBorder="1" applyAlignment="1">
      <alignment horizontal="center" vertical="center"/>
    </xf>
    <xf numFmtId="0" fontId="30" fillId="36" borderId="61" xfId="0" applyFont="1" applyFill="1" applyBorder="1" applyAlignment="1">
      <alignment horizontal="center" vertical="center"/>
    </xf>
    <xf numFmtId="0" fontId="0" fillId="38" borderId="50" xfId="0" applyFill="1" applyBorder="1" applyAlignment="1">
      <alignment horizontal="center"/>
    </xf>
    <xf numFmtId="0" fontId="0" fillId="37" borderId="3" xfId="0" applyFill="1" applyBorder="1" applyAlignment="1">
      <alignment horizontal="center" vertical="center"/>
    </xf>
    <xf numFmtId="166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66" fontId="30" fillId="0" borderId="62" xfId="0" applyNumberFormat="1" applyFont="1" applyFill="1" applyBorder="1" applyAlignment="1">
      <alignment horizontal="center"/>
    </xf>
    <xf numFmtId="166" fontId="30" fillId="0" borderId="44" xfId="0" applyNumberFormat="1" applyFont="1" applyFill="1" applyBorder="1" applyAlignment="1">
      <alignment horizontal="center"/>
    </xf>
    <xf numFmtId="166" fontId="30" fillId="0" borderId="36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 vertical="center"/>
    </xf>
    <xf numFmtId="167" fontId="2" fillId="0" borderId="45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8" fontId="30" fillId="0" borderId="63" xfId="1" applyNumberFormat="1" applyFont="1" applyFill="1" applyBorder="1" applyAlignment="1">
      <alignment horizontal="center" vertical="center" wrapText="1"/>
    </xf>
    <xf numFmtId="168" fontId="30" fillId="0" borderId="46" xfId="1" applyNumberFormat="1" applyFont="1" applyFill="1" applyBorder="1" applyAlignment="1">
      <alignment horizontal="center" vertical="center" wrapText="1"/>
    </xf>
    <xf numFmtId="168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6" fontId="0" fillId="2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2" fillId="2" borderId="44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166" fontId="0" fillId="2" borderId="62" xfId="0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Fill="1" applyBorder="1" applyAlignment="1">
      <alignment horizontal="center" vertical="center" wrapText="1"/>
    </xf>
    <xf numFmtId="166" fontId="0" fillId="0" borderId="45" xfId="0" applyNumberFormat="1" applyFont="1" applyFill="1" applyBorder="1" applyAlignment="1">
      <alignment horizontal="center" vertical="center" wrapText="1"/>
    </xf>
    <xf numFmtId="166" fontId="0" fillId="0" borderId="36" xfId="0" applyNumberFormat="1" applyFont="1" applyFill="1" applyBorder="1" applyAlignment="1">
      <alignment horizontal="center" vertical="center" wrapText="1"/>
    </xf>
    <xf numFmtId="166" fontId="0" fillId="0" borderId="50" xfId="0" applyNumberFormat="1" applyFont="1" applyFill="1" applyBorder="1" applyAlignment="1">
      <alignment horizontal="center" vertical="center" wrapText="1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2" borderId="45" xfId="0" applyFont="1" applyFill="1" applyBorder="1" applyAlignment="1">
      <alignment horizontal="center" vertical="center" wrapText="1"/>
    </xf>
    <xf numFmtId="0" fontId="36" fillId="32" borderId="45" xfId="200" applyFont="1" applyFill="1" applyBorder="1" applyAlignment="1">
      <alignment horizontal="center" vertical="center" wrapText="1"/>
    </xf>
    <xf numFmtId="0" fontId="36" fillId="32" borderId="45" xfId="41860" applyFont="1" applyFill="1" applyBorder="1" applyAlignment="1">
      <alignment horizontal="center" vertical="center" wrapText="1"/>
    </xf>
    <xf numFmtId="172" fontId="36" fillId="32" borderId="45" xfId="200" applyNumberFormat="1" applyFont="1" applyFill="1" applyBorder="1" applyAlignment="1">
      <alignment horizontal="center" vertical="center" wrapText="1"/>
    </xf>
    <xf numFmtId="10" fontId="36" fillId="32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3" fontId="27" fillId="0" borderId="45" xfId="1" applyNumberFormat="1" applyFont="1" applyFill="1" applyBorder="1" applyAlignment="1">
      <alignment horizontal="center" vertical="center"/>
    </xf>
    <xf numFmtId="173" fontId="27" fillId="39" borderId="45" xfId="1" applyNumberFormat="1" applyFont="1" applyFill="1" applyBorder="1" applyAlignment="1">
      <alignment horizontal="center" vertical="center"/>
    </xf>
    <xf numFmtId="173" fontId="27" fillId="29" borderId="0" xfId="1" applyNumberFormat="1" applyFont="1" applyFill="1" applyBorder="1" applyAlignment="1">
      <alignment vertical="center"/>
    </xf>
    <xf numFmtId="0" fontId="30" fillId="39" borderId="45" xfId="0" applyFont="1" applyFill="1" applyBorder="1" applyAlignment="1">
      <alignment horizontal="center" vertical="center"/>
    </xf>
    <xf numFmtId="166" fontId="30" fillId="39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66" fontId="0" fillId="2" borderId="66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0" fillId="2" borderId="53" xfId="0" applyNumberFormat="1" applyFont="1" applyFill="1" applyBorder="1" applyAlignment="1">
      <alignment horizontal="center" vertical="center"/>
    </xf>
    <xf numFmtId="173" fontId="32" fillId="0" borderId="65" xfId="1" applyNumberFormat="1" applyFont="1" applyFill="1" applyBorder="1" applyAlignment="1">
      <alignment horizontal="center" vertical="center"/>
    </xf>
    <xf numFmtId="173" fontId="30" fillId="0" borderId="52" xfId="1" applyNumberFormat="1" applyFont="1" applyFill="1" applyBorder="1" applyAlignment="1">
      <alignment horizontal="center" vertical="center"/>
    </xf>
    <xf numFmtId="166" fontId="0" fillId="2" borderId="56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66" fontId="0" fillId="2" borderId="48" xfId="0" applyNumberFormat="1" applyFont="1" applyFill="1" applyBorder="1" applyAlignment="1">
      <alignment horizontal="center" vertical="center"/>
    </xf>
    <xf numFmtId="173" fontId="30" fillId="0" borderId="47" xfId="1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74" fontId="2" fillId="0" borderId="59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4" fontId="2" fillId="0" borderId="36" xfId="0" applyNumberFormat="1" applyFont="1" applyFill="1" applyBorder="1" applyAlignment="1">
      <alignment horizontal="center" vertical="center"/>
    </xf>
    <xf numFmtId="174" fontId="2" fillId="0" borderId="51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70" fontId="37" fillId="28" borderId="45" xfId="0" applyNumberFormat="1" applyFont="1" applyFill="1" applyBorder="1" applyAlignment="1">
      <alignment horizontal="center" vertical="center" wrapText="1"/>
    </xf>
    <xf numFmtId="166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30" fillId="0" borderId="45" xfId="0" applyFont="1" applyFill="1" applyBorder="1" applyAlignment="1">
      <alignment horizontal="left" vertical="center" wrapText="1"/>
    </xf>
    <xf numFmtId="174" fontId="2" fillId="0" borderId="45" xfId="0" applyNumberFormat="1" applyFont="1" applyFill="1" applyBorder="1" applyAlignment="1">
      <alignment horizontal="center" vertical="center" wrapText="1"/>
    </xf>
    <xf numFmtId="14" fontId="30" fillId="40" borderId="71" xfId="0" applyNumberFormat="1" applyFont="1" applyFill="1" applyBorder="1" applyAlignment="1">
      <alignment horizontal="center" vertical="center"/>
    </xf>
    <xf numFmtId="14" fontId="30" fillId="40" borderId="70" xfId="0" applyNumberFormat="1" applyFont="1" applyFill="1" applyBorder="1" applyAlignment="1">
      <alignment horizontal="center" vertical="center"/>
    </xf>
    <xf numFmtId="14" fontId="30" fillId="40" borderId="55" xfId="0" applyNumberFormat="1" applyFont="1" applyFill="1" applyBorder="1" applyAlignment="1">
      <alignment horizontal="center" vertical="center"/>
    </xf>
    <xf numFmtId="14" fontId="30" fillId="40" borderId="74" xfId="0" applyNumberFormat="1" applyFont="1" applyFill="1" applyBorder="1" applyAlignment="1">
      <alignment horizontal="center" vertical="center"/>
    </xf>
    <xf numFmtId="14" fontId="30" fillId="40" borderId="26" xfId="0" applyNumberFormat="1" applyFont="1" applyFill="1" applyBorder="1" applyAlignment="1">
      <alignment horizontal="center"/>
    </xf>
    <xf numFmtId="0" fontId="0" fillId="30" borderId="73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0" borderId="68" xfId="0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14" fontId="2" fillId="0" borderId="15" xfId="1" applyNumberFormat="1" applyFont="1" applyFill="1" applyBorder="1" applyAlignment="1">
      <alignment horizontal="center" vertical="center"/>
    </xf>
    <xf numFmtId="14" fontId="2" fillId="0" borderId="53" xfId="1" applyNumberFormat="1" applyFont="1" applyFill="1" applyBorder="1" applyAlignment="1">
      <alignment horizontal="center" vertical="center"/>
    </xf>
    <xf numFmtId="14" fontId="2" fillId="0" borderId="48" xfId="1" applyNumberFormat="1" applyFont="1" applyFill="1" applyBorder="1" applyAlignment="1">
      <alignment horizontal="center" vertical="center"/>
    </xf>
    <xf numFmtId="10" fontId="32" fillId="0" borderId="7" xfId="1" applyNumberFormat="1" applyFont="1" applyFill="1" applyBorder="1" applyAlignment="1">
      <alignment horizontal="center" vertical="center"/>
    </xf>
    <xf numFmtId="10" fontId="32" fillId="0" borderId="46" xfId="1" applyNumberFormat="1" applyFont="1" applyFill="1" applyBorder="1" applyAlignment="1">
      <alignment horizontal="center" vertical="center"/>
    </xf>
    <xf numFmtId="10" fontId="32" fillId="0" borderId="51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0" fillId="30" borderId="71" xfId="0" applyFill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166" fontId="2" fillId="0" borderId="60" xfId="0" applyNumberFormat="1" applyFont="1" applyFill="1" applyBorder="1" applyAlignment="1">
      <alignment horizontal="center" vertical="center"/>
    </xf>
    <xf numFmtId="168" fontId="30" fillId="0" borderId="14" xfId="0" applyNumberFormat="1" applyFont="1" applyFill="1" applyBorder="1" applyAlignment="1">
      <alignment horizontal="center" vertical="center"/>
    </xf>
    <xf numFmtId="168" fontId="30" fillId="0" borderId="52" xfId="0" applyNumberFormat="1" applyFont="1" applyFill="1" applyBorder="1" applyAlignment="1">
      <alignment horizontal="center" vertical="center"/>
    </xf>
    <xf numFmtId="168" fontId="30" fillId="0" borderId="52" xfId="1" applyNumberFormat="1" applyFont="1" applyFill="1" applyBorder="1" applyAlignment="1">
      <alignment horizontal="center" vertical="center"/>
    </xf>
    <xf numFmtId="168" fontId="32" fillId="0" borderId="52" xfId="0" applyNumberFormat="1" applyFont="1" applyFill="1" applyBorder="1" applyAlignment="1">
      <alignment horizontal="center" vertical="center"/>
    </xf>
    <xf numFmtId="168" fontId="32" fillId="0" borderId="47" xfId="0" applyNumberFormat="1" applyFont="1" applyFill="1" applyBorder="1" applyAlignment="1">
      <alignment horizontal="center" vertical="center"/>
    </xf>
    <xf numFmtId="0" fontId="0" fillId="40" borderId="71" xfId="0" applyFont="1" applyFill="1" applyBorder="1" applyAlignment="1">
      <alignment horizontal="center" vertical="center"/>
    </xf>
    <xf numFmtId="168" fontId="30" fillId="0" borderId="45" xfId="1" applyNumberFormat="1" applyFont="1" applyFill="1" applyBorder="1" applyAlignment="1">
      <alignment horizontal="center" vertical="center"/>
    </xf>
    <xf numFmtId="168" fontId="30" fillId="0" borderId="45" xfId="0" applyNumberFormat="1" applyFont="1" applyFill="1" applyBorder="1" applyAlignment="1">
      <alignment horizontal="center" vertical="center"/>
    </xf>
    <xf numFmtId="168" fontId="32" fillId="0" borderId="45" xfId="208" applyNumberFormat="1" applyFont="1" applyFill="1" applyBorder="1" applyAlignment="1">
      <alignment horizont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31" fillId="33" borderId="45" xfId="0" applyFont="1" applyFill="1" applyBorder="1" applyAlignment="1">
      <alignment horizontal="center" vertical="center" wrapText="1"/>
    </xf>
    <xf numFmtId="0" fontId="51" fillId="29" borderId="0" xfId="0" applyFont="1" applyFill="1"/>
    <xf numFmtId="167" fontId="0" fillId="0" borderId="12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167" fontId="43" fillId="0" borderId="45" xfId="41709" applyNumberFormat="1" applyFont="1" applyFill="1" applyBorder="1" applyAlignment="1">
      <alignment horizontal="center" vertical="center" wrapText="1"/>
    </xf>
    <xf numFmtId="167" fontId="2" fillId="0" borderId="45" xfId="158" applyNumberFormat="1" applyFont="1" applyFill="1" applyBorder="1" applyAlignment="1">
      <alignment horizontal="center" vertical="center"/>
    </xf>
    <xf numFmtId="167" fontId="0" fillId="0" borderId="50" xfId="0" applyNumberFormat="1" applyFont="1" applyFill="1" applyBorder="1" applyAlignment="1">
      <alignment horizontal="center" vertical="center"/>
    </xf>
    <xf numFmtId="166" fontId="2" fillId="0" borderId="3" xfId="158" applyNumberFormat="1" applyFont="1" applyFill="1" applyBorder="1" applyAlignment="1">
      <alignment horizontal="center" vertical="center"/>
    </xf>
    <xf numFmtId="166" fontId="2" fillId="0" borderId="45" xfId="158" applyNumberFormat="1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174" fontId="0" fillId="0" borderId="38" xfId="0" applyNumberFormat="1" applyFont="1" applyFill="1" applyBorder="1" applyAlignment="1">
      <alignment horizontal="center" vertical="center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3" borderId="45" xfId="0" applyFont="1" applyFill="1" applyBorder="1" applyAlignment="1">
      <alignment horizontal="center" vertical="center"/>
    </xf>
    <xf numFmtId="0" fontId="30" fillId="33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71" fontId="37" fillId="28" borderId="19" xfId="0" applyNumberFormat="1" applyFont="1" applyFill="1" applyBorder="1" applyAlignment="1">
      <alignment horizontal="center" vertical="center"/>
    </xf>
    <xf numFmtId="171" fontId="37" fillId="28" borderId="6" xfId="0" applyNumberFormat="1" applyFont="1" applyFill="1" applyBorder="1" applyAlignment="1">
      <alignment horizontal="center" vertical="center"/>
    </xf>
    <xf numFmtId="171" fontId="37" fillId="28" borderId="23" xfId="0" applyNumberFormat="1" applyFont="1" applyFill="1" applyBorder="1" applyAlignment="1">
      <alignment horizontal="center" vertical="center"/>
    </xf>
    <xf numFmtId="0" fontId="31" fillId="33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3" borderId="45" xfId="0" applyFont="1" applyFill="1" applyBorder="1" applyAlignment="1">
      <alignment vertical="center" wrapText="1"/>
    </xf>
    <xf numFmtId="0" fontId="30" fillId="33" borderId="45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173" fontId="30" fillId="0" borderId="63" xfId="1" applyNumberFormat="1" applyFont="1" applyFill="1" applyBorder="1" applyAlignment="1">
      <alignment horizontal="center" vertical="center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45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46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66" fontId="0" fillId="31" borderId="66" xfId="0" applyNumberFormat="1" applyFont="1" applyFill="1" applyBorder="1" applyAlignment="1">
      <alignment horizontal="center" vertical="center"/>
    </xf>
    <xf numFmtId="166" fontId="0" fillId="31" borderId="53" xfId="0" applyNumberFormat="1" applyFont="1" applyFill="1" applyBorder="1" applyAlignment="1">
      <alignment horizontal="center" vertical="center"/>
    </xf>
    <xf numFmtId="166" fontId="0" fillId="31" borderId="48" xfId="0" applyNumberFormat="1" applyFont="1" applyFill="1" applyBorder="1" applyAlignment="1">
      <alignment horizontal="center" vertical="center"/>
    </xf>
    <xf numFmtId="166" fontId="0" fillId="31" borderId="3" xfId="0" applyNumberFormat="1" applyFont="1" applyFill="1" applyBorder="1" applyAlignment="1">
      <alignment horizontal="center" vertical="center"/>
    </xf>
    <xf numFmtId="166" fontId="0" fillId="31" borderId="45" xfId="0" applyNumberFormat="1" applyFont="1" applyFill="1" applyBorder="1" applyAlignment="1">
      <alignment horizontal="center" vertical="center"/>
    </xf>
    <xf numFmtId="166" fontId="0" fillId="31" borderId="5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1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167" fontId="0" fillId="31" borderId="66" xfId="0" applyNumberFormat="1" applyFont="1" applyFill="1" applyBorder="1" applyAlignment="1">
      <alignment horizontal="center" vertical="center"/>
    </xf>
    <xf numFmtId="167" fontId="0" fillId="31" borderId="53" xfId="0" applyNumberFormat="1" applyFont="1" applyFill="1" applyBorder="1" applyAlignment="1">
      <alignment horizontal="center" vertical="center"/>
    </xf>
    <xf numFmtId="167" fontId="0" fillId="31" borderId="3" xfId="0" applyNumberFormat="1" applyFont="1" applyFill="1" applyBorder="1" applyAlignment="1">
      <alignment horizontal="center" vertical="center"/>
    </xf>
    <xf numFmtId="167" fontId="0" fillId="31" borderId="45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166" fontId="30" fillId="31" borderId="44" xfId="0" applyNumberFormat="1" applyFont="1" applyFill="1" applyBorder="1" applyAlignment="1">
      <alignment horizontal="center" vertical="center"/>
    </xf>
    <xf numFmtId="166" fontId="30" fillId="31" borderId="36" xfId="0" applyNumberFormat="1" applyFont="1" applyFill="1" applyBorder="1" applyAlignment="1">
      <alignment horizontal="center" vertical="center"/>
    </xf>
    <xf numFmtId="166" fontId="30" fillId="31" borderId="45" xfId="0" applyNumberFormat="1" applyFont="1" applyFill="1" applyBorder="1" applyAlignment="1">
      <alignment horizontal="center" vertical="center"/>
    </xf>
    <xf numFmtId="166" fontId="30" fillId="31" borderId="50" xfId="0" applyNumberFormat="1" applyFont="1" applyFill="1" applyBorder="1" applyAlignment="1">
      <alignment horizontal="center" vertical="center"/>
    </xf>
    <xf numFmtId="166" fontId="30" fillId="31" borderId="3" xfId="0" applyNumberFormat="1" applyFont="1" applyFill="1" applyBorder="1" applyAlignment="1">
      <alignment horizontal="center" vertical="center"/>
    </xf>
    <xf numFmtId="173" fontId="30" fillId="41" borderId="46" xfId="1" applyNumberFormat="1" applyFont="1" applyFill="1" applyBorder="1" applyAlignment="1">
      <alignment horizontal="center" vertical="center"/>
    </xf>
    <xf numFmtId="173" fontId="30" fillId="41" borderId="51" xfId="1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6" fontId="30" fillId="31" borderId="62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9" xfId="0" applyFont="1" applyFill="1" applyBorder="1" applyAlignment="1">
      <alignment horizontal="left" vertical="center" wrapText="1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0" fontId="0" fillId="30" borderId="68" xfId="0" applyFont="1" applyFill="1" applyBorder="1" applyAlignment="1">
      <alignment horizontal="center" vertical="center"/>
    </xf>
    <xf numFmtId="166" fontId="0" fillId="31" borderId="15" xfId="0" applyNumberFormat="1" applyFont="1" applyFill="1" applyBorder="1" applyAlignment="1">
      <alignment horizontal="center" vertical="center"/>
    </xf>
    <xf numFmtId="166" fontId="0" fillId="31" borderId="12" xfId="0" applyNumberFormat="1" applyFont="1" applyFill="1" applyBorder="1" applyAlignment="1">
      <alignment horizontal="center" vertical="center"/>
    </xf>
    <xf numFmtId="0" fontId="41" fillId="28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3" fontId="30" fillId="0" borderId="7" xfId="1" applyNumberFormat="1" applyFont="1" applyFill="1" applyBorder="1" applyAlignment="1">
      <alignment horizontal="center" vertical="center"/>
    </xf>
    <xf numFmtId="167" fontId="0" fillId="31" borderId="56" xfId="0" applyNumberFormat="1" applyFont="1" applyFill="1" applyBorder="1" applyAlignment="1">
      <alignment horizontal="center" vertical="center"/>
    </xf>
    <xf numFmtId="167" fontId="0" fillId="31" borderId="48" xfId="0" applyNumberFormat="1" applyFont="1" applyFill="1" applyBorder="1" applyAlignment="1">
      <alignment horizontal="center" vertical="center"/>
    </xf>
    <xf numFmtId="167" fontId="0" fillId="31" borderId="54" xfId="0" applyNumberFormat="1" applyFont="1" applyFill="1" applyBorder="1" applyAlignment="1">
      <alignment horizontal="center" vertical="center"/>
    </xf>
    <xf numFmtId="167" fontId="0" fillId="31" borderId="50" xfId="0" applyNumberFormat="1" applyFont="1" applyFill="1" applyBorder="1" applyAlignment="1">
      <alignment horizontal="center" vertical="center"/>
    </xf>
    <xf numFmtId="173" fontId="30" fillId="0" borderId="77" xfId="1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 wrapText="1"/>
    </xf>
    <xf numFmtId="173" fontId="27" fillId="0" borderId="45" xfId="1" applyNumberFormat="1" applyFont="1" applyFill="1" applyBorder="1" applyAlignment="1">
      <alignment horizontal="center" vertical="center"/>
    </xf>
    <xf numFmtId="166" fontId="0" fillId="27" borderId="45" xfId="0" applyNumberForma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39" borderId="52" xfId="0" applyFont="1" applyFill="1" applyBorder="1" applyAlignment="1">
      <alignment horizontal="center" vertical="center" wrapText="1"/>
    </xf>
    <xf numFmtId="0" fontId="30" fillId="39" borderId="53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left" vertical="center" wrapText="1"/>
    </xf>
    <xf numFmtId="0" fontId="0" fillId="26" borderId="3" xfId="0" applyFill="1" applyBorder="1" applyAlignment="1">
      <alignment horizontal="left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6" fillId="32" borderId="45" xfId="193" applyFont="1" applyFill="1" applyBorder="1" applyAlignment="1">
      <alignment horizontal="center" vertical="center" wrapText="1"/>
    </xf>
    <xf numFmtId="0" fontId="36" fillId="32" borderId="45" xfId="194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left" vertical="center" wrapText="1"/>
    </xf>
    <xf numFmtId="0" fontId="35" fillId="32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39" borderId="45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4" fillId="28" borderId="20" xfId="0" applyNumberFormat="1" applyFont="1" applyFill="1" applyBorder="1" applyAlignment="1">
      <alignment horizontal="center" vertical="center"/>
    </xf>
    <xf numFmtId="171" fontId="34" fillId="28" borderId="21" xfId="0" applyNumberFormat="1" applyFont="1" applyFill="1" applyBorder="1" applyAlignment="1">
      <alignment horizontal="center" vertical="center"/>
    </xf>
    <xf numFmtId="171" fontId="34" fillId="28" borderId="22" xfId="0" applyNumberFormat="1" applyFont="1" applyFill="1" applyBorder="1" applyAlignment="1">
      <alignment horizontal="center" vertical="center"/>
    </xf>
    <xf numFmtId="171" fontId="42" fillId="28" borderId="19" xfId="0" applyNumberFormat="1" applyFont="1" applyFill="1" applyBorder="1" applyAlignment="1">
      <alignment horizontal="center" vertical="center"/>
    </xf>
    <xf numFmtId="171" fontId="42" fillId="28" borderId="6" xfId="0" applyNumberFormat="1" applyFont="1" applyFill="1" applyBorder="1" applyAlignment="1">
      <alignment horizontal="center" vertical="center"/>
    </xf>
    <xf numFmtId="171" fontId="42" fillId="28" borderId="23" xfId="0" applyNumberFormat="1" applyFont="1" applyFill="1" applyBorder="1" applyAlignment="1">
      <alignment horizontal="center" vertical="center"/>
    </xf>
    <xf numFmtId="3" fontId="41" fillId="34" borderId="17" xfId="0" applyNumberFormat="1" applyFont="1" applyFill="1" applyBorder="1" applyAlignment="1">
      <alignment horizontal="center" vertical="center" wrapText="1"/>
    </xf>
    <xf numFmtId="3" fontId="41" fillId="34" borderId="58" xfId="0" applyNumberFormat="1" applyFont="1" applyFill="1" applyBorder="1" applyAlignment="1">
      <alignment horizontal="center" vertical="center" wrapText="1"/>
    </xf>
    <xf numFmtId="3" fontId="41" fillId="34" borderId="68" xfId="0" applyNumberFormat="1" applyFont="1" applyFill="1" applyBorder="1" applyAlignment="1">
      <alignment horizontal="center" vertical="center" wrapText="1"/>
    </xf>
    <xf numFmtId="3" fontId="41" fillId="34" borderId="70" xfId="0" applyNumberFormat="1" applyFont="1" applyFill="1" applyBorder="1" applyAlignment="1">
      <alignment horizontal="center" vertical="center" wrapText="1"/>
    </xf>
    <xf numFmtId="0" fontId="41" fillId="34" borderId="20" xfId="0" applyFont="1" applyFill="1" applyBorder="1" applyAlignment="1">
      <alignment horizontal="center" vertical="center"/>
    </xf>
    <xf numFmtId="0" fontId="41" fillId="34" borderId="19" xfId="0" applyFont="1" applyFill="1" applyBorder="1" applyAlignment="1">
      <alignment horizontal="center" vertical="center"/>
    </xf>
    <xf numFmtId="3" fontId="41" fillId="34" borderId="11" xfId="0" applyNumberFormat="1" applyFont="1" applyFill="1" applyBorder="1" applyAlignment="1">
      <alignment horizontal="center" vertical="center" wrapText="1"/>
    </xf>
    <xf numFmtId="3" fontId="41" fillId="34" borderId="36" xfId="0" applyNumberFormat="1" applyFont="1" applyFill="1" applyBorder="1" applyAlignment="1">
      <alignment horizontal="center" vertical="center" wrapText="1"/>
    </xf>
    <xf numFmtId="0" fontId="41" fillId="34" borderId="15" xfId="0" applyFont="1" applyFill="1" applyBorder="1" applyAlignment="1">
      <alignment horizontal="center" vertical="center"/>
    </xf>
    <xf numFmtId="0" fontId="41" fillId="34" borderId="7" xfId="0" applyFont="1" applyFill="1" applyBorder="1" applyAlignment="1">
      <alignment horizontal="center" vertical="center"/>
    </xf>
    <xf numFmtId="0" fontId="41" fillId="34" borderId="9" xfId="0" applyFont="1" applyFill="1" applyBorder="1" applyAlignment="1">
      <alignment horizontal="center" vertical="center" wrapText="1"/>
    </xf>
    <xf numFmtId="0" fontId="41" fillId="34" borderId="8" xfId="0" applyFont="1" applyFill="1" applyBorder="1" applyAlignment="1">
      <alignment horizontal="center" vertical="center" wrapText="1"/>
    </xf>
    <xf numFmtId="3" fontId="41" fillId="34" borderId="9" xfId="0" applyNumberFormat="1" applyFont="1" applyFill="1" applyBorder="1" applyAlignment="1">
      <alignment horizontal="center" vertical="center"/>
    </xf>
    <xf numFmtId="3" fontId="41" fillId="34" borderId="8" xfId="0" applyNumberFormat="1" applyFont="1" applyFill="1" applyBorder="1" applyAlignment="1">
      <alignment horizontal="center" vertical="center"/>
    </xf>
    <xf numFmtId="3" fontId="41" fillId="34" borderId="69" xfId="0" applyNumberFormat="1" applyFont="1" applyFill="1" applyBorder="1" applyAlignment="1">
      <alignment horizontal="center" vertical="center" wrapText="1"/>
    </xf>
    <xf numFmtId="3" fontId="41" fillId="34" borderId="39" xfId="0" applyNumberFormat="1" applyFont="1" applyFill="1" applyBorder="1" applyAlignment="1">
      <alignment horizontal="center" vertical="center" wrapText="1"/>
    </xf>
    <xf numFmtId="3" fontId="41" fillId="34" borderId="57" xfId="0" applyNumberFormat="1" applyFont="1" applyFill="1" applyBorder="1" applyAlignment="1">
      <alignment horizontal="center" vertical="center" wrapText="1"/>
    </xf>
    <xf numFmtId="3" fontId="41" fillId="34" borderId="7" xfId="0" applyNumberFormat="1" applyFont="1" applyFill="1" applyBorder="1" applyAlignment="1">
      <alignment horizontal="center" vertical="center" wrapText="1"/>
    </xf>
    <xf numFmtId="3" fontId="41" fillId="34" borderId="51" xfId="0" applyNumberFormat="1" applyFont="1" applyFill="1" applyBorder="1" applyAlignment="1">
      <alignment horizontal="center" vertical="center" wrapText="1"/>
    </xf>
    <xf numFmtId="0" fontId="30" fillId="35" borderId="20" xfId="0" applyFont="1" applyFill="1" applyBorder="1" applyAlignment="1">
      <alignment horizontal="center"/>
    </xf>
    <xf numFmtId="0" fontId="30" fillId="35" borderId="21" xfId="0" applyFont="1" applyFill="1" applyBorder="1" applyAlignment="1">
      <alignment horizontal="center"/>
    </xf>
    <xf numFmtId="0" fontId="30" fillId="35" borderId="22" xfId="0" applyFont="1" applyFill="1" applyBorder="1" applyAlignment="1">
      <alignment horizontal="center"/>
    </xf>
    <xf numFmtId="171" fontId="30" fillId="35" borderId="19" xfId="0" applyNumberFormat="1" applyFont="1" applyFill="1" applyBorder="1" applyAlignment="1">
      <alignment horizontal="center"/>
    </xf>
    <xf numFmtId="171" fontId="30" fillId="35" borderId="6" xfId="0" applyNumberFormat="1" applyFont="1" applyFill="1" applyBorder="1" applyAlignment="1">
      <alignment horizontal="center"/>
    </xf>
    <xf numFmtId="171" fontId="30" fillId="35" borderId="23" xfId="0" applyNumberFormat="1" applyFont="1" applyFill="1" applyBorder="1" applyAlignment="1">
      <alignment horizontal="center"/>
    </xf>
    <xf numFmtId="14" fontId="0" fillId="38" borderId="46" xfId="0" applyNumberFormat="1" applyFill="1" applyBorder="1" applyAlignment="1">
      <alignment horizontal="center" vertical="center"/>
    </xf>
    <xf numFmtId="0" fontId="0" fillId="38" borderId="46" xfId="0" applyFill="1" applyBorder="1" applyAlignment="1">
      <alignment horizontal="center" vertical="center"/>
    </xf>
    <xf numFmtId="0" fontId="0" fillId="38" borderId="51" xfId="0" applyFill="1" applyBorder="1" applyAlignment="1">
      <alignment horizontal="center" vertical="center"/>
    </xf>
    <xf numFmtId="0" fontId="0" fillId="37" borderId="62" xfId="0" applyFill="1" applyBorder="1" applyAlignment="1">
      <alignment horizontal="center" vertical="center"/>
    </xf>
    <xf numFmtId="0" fontId="0" fillId="37" borderId="44" xfId="0" applyFill="1" applyBorder="1" applyAlignment="1">
      <alignment horizontal="center" vertical="center"/>
    </xf>
    <xf numFmtId="0" fontId="0" fillId="37" borderId="64" xfId="0" applyFill="1" applyBorder="1" applyAlignment="1">
      <alignment horizontal="center" vertical="center"/>
    </xf>
    <xf numFmtId="0" fontId="0" fillId="37" borderId="76" xfId="0" applyFill="1" applyBorder="1" applyAlignment="1">
      <alignment horizontal="center" vertical="center"/>
    </xf>
    <xf numFmtId="14" fontId="0" fillId="37" borderId="5" xfId="0" applyNumberFormat="1" applyFill="1" applyBorder="1" applyAlignment="1">
      <alignment horizontal="center" vertical="center"/>
    </xf>
    <xf numFmtId="14" fontId="0" fillId="37" borderId="63" xfId="0" applyNumberFormat="1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0" fillId="38" borderId="54" xfId="0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38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8"/>
  <sheetViews>
    <sheetView showGridLines="0" zoomScale="93" zoomScaleNormal="93" workbookViewId="0">
      <selection activeCell="F16" sqref="F16"/>
    </sheetView>
  </sheetViews>
  <sheetFormatPr baseColWidth="10" defaultColWidth="11.42578125" defaultRowHeight="15"/>
  <cols>
    <col min="1" max="1" width="29.85546875" style="1" customWidth="1"/>
    <col min="2" max="2" width="21.7109375" style="1" customWidth="1"/>
    <col min="3" max="3" width="35.570312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9.5" customHeight="1">
      <c r="B2" s="314" t="s">
        <v>203</v>
      </c>
      <c r="C2" s="315"/>
      <c r="D2" s="315"/>
      <c r="E2" s="315"/>
      <c r="F2" s="315"/>
      <c r="G2" s="315"/>
      <c r="H2" s="315"/>
      <c r="I2" s="316"/>
    </row>
    <row r="3" spans="2:9" ht="23.25" customHeight="1" thickBot="1">
      <c r="B3" s="317">
        <v>43829</v>
      </c>
      <c r="C3" s="318"/>
      <c r="D3" s="318"/>
      <c r="E3" s="318"/>
      <c r="F3" s="318"/>
      <c r="G3" s="318"/>
      <c r="H3" s="318"/>
      <c r="I3" s="319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49" t="s">
        <v>111</v>
      </c>
      <c r="C5" s="249" t="s">
        <v>115</v>
      </c>
      <c r="D5" s="250" t="s">
        <v>4</v>
      </c>
      <c r="E5" s="251" t="s">
        <v>5</v>
      </c>
      <c r="F5" s="249" t="s">
        <v>6</v>
      </c>
      <c r="G5" s="249" t="s">
        <v>7</v>
      </c>
      <c r="H5" s="249" t="s">
        <v>8</v>
      </c>
      <c r="I5" s="249" t="s">
        <v>9</v>
      </c>
    </row>
    <row r="6" spans="2:9">
      <c r="B6" s="313" t="s">
        <v>106</v>
      </c>
      <c r="C6" s="259" t="s">
        <v>53</v>
      </c>
      <c r="D6" s="113">
        <f>'Resumen Periodo Congrio dorado'!E7+'Resumen Periodo Congrio dorado'!E8</f>
        <v>202.24</v>
      </c>
      <c r="E6" s="113">
        <f>'Resumen Periodo Congrio dorado'!F7+'Resumen Periodo Congrio dorado'!F8</f>
        <v>0</v>
      </c>
      <c r="F6" s="120">
        <f>D6+E6</f>
        <v>202.24</v>
      </c>
      <c r="G6" s="113">
        <f>'Resumen Periodo Congrio dorado'!H7+'Resumen Periodo Congrio dorado'!H8</f>
        <v>168.971</v>
      </c>
      <c r="H6" s="120">
        <f t="shared" ref="H6:H15" si="0">F6-G6</f>
        <v>33.269000000000005</v>
      </c>
      <c r="I6" s="293">
        <f>G6/F6</f>
        <v>0.83549742879746836</v>
      </c>
    </row>
    <row r="7" spans="2:9" ht="18" customHeight="1">
      <c r="B7" s="313"/>
      <c r="C7" s="259" t="s">
        <v>55</v>
      </c>
      <c r="D7" s="120">
        <f>'Resumen Periodo Congrio dorado'!E10+'Resumen Periodo Congrio dorado'!E11</f>
        <v>134.56</v>
      </c>
      <c r="E7" s="120">
        <f>'Resumen Periodo Congrio dorado'!F10+'Resumen Periodo Congrio dorado'!F11</f>
        <v>0</v>
      </c>
      <c r="F7" s="120">
        <f t="shared" ref="F7:F17" si="1">D7+E7</f>
        <v>134.56</v>
      </c>
      <c r="G7" s="120">
        <f>'Resumen Periodo Congrio dorado'!H10+'Resumen Periodo Congrio dorado'!H11</f>
        <v>136.34899999999999</v>
      </c>
      <c r="H7" s="120">
        <f t="shared" si="0"/>
        <v>-1.7889999999999873</v>
      </c>
      <c r="I7" s="293">
        <f t="shared" ref="I7:I10" si="2">G7/F7</f>
        <v>1.0132951843043994</v>
      </c>
    </row>
    <row r="8" spans="2:9" ht="18" customHeight="1">
      <c r="B8" s="313"/>
      <c r="C8" s="259" t="s">
        <v>56</v>
      </c>
      <c r="D8" s="113">
        <f>'Resumen Periodo Congrio dorado'!E13+'Resumen Periodo Congrio dorado'!E14</f>
        <v>144.19999999999999</v>
      </c>
      <c r="E8" s="113">
        <f>'Resumen Periodo Congrio dorado'!F13+'Resumen Periodo Congrio dorado'!F14</f>
        <v>0</v>
      </c>
      <c r="F8" s="120">
        <f t="shared" si="1"/>
        <v>144.19999999999999</v>
      </c>
      <c r="G8" s="113">
        <f>'Resumen Periodo Congrio dorado'!H13+'Resumen Periodo Congrio dorado'!H14</f>
        <v>155.24199999999999</v>
      </c>
      <c r="H8" s="120">
        <f t="shared" si="0"/>
        <v>-11.042000000000002</v>
      </c>
      <c r="I8" s="293">
        <f t="shared" si="2"/>
        <v>1.0765742024965326</v>
      </c>
    </row>
    <row r="9" spans="2:9" ht="18" customHeight="1">
      <c r="B9" s="313"/>
      <c r="C9" s="259" t="s">
        <v>57</v>
      </c>
      <c r="D9" s="120">
        <f>SUM('Resumen Periodo Congrio dorado'!E16+'Resumen Periodo Congrio dorado'!E17+'Resumen Periodo Congrio dorado'!E18)</f>
        <v>12.5</v>
      </c>
      <c r="E9" s="120">
        <f>'Resumen Periodo Congrio dorado'!F16+'Resumen Periodo Congrio dorado'!F18</f>
        <v>0</v>
      </c>
      <c r="F9" s="120">
        <f t="shared" si="1"/>
        <v>12.5</v>
      </c>
      <c r="G9" s="120">
        <f>'Resumen Periodo Congrio dorado'!H16+'Resumen Periodo Congrio dorado'!H18</f>
        <v>9.8320000000000007</v>
      </c>
      <c r="H9" s="120">
        <f t="shared" si="0"/>
        <v>2.6679999999999993</v>
      </c>
      <c r="I9" s="293">
        <f t="shared" si="2"/>
        <v>0.78656000000000004</v>
      </c>
    </row>
    <row r="10" spans="2:9" ht="18" customHeight="1">
      <c r="B10" s="313"/>
      <c r="C10" s="259" t="s">
        <v>52</v>
      </c>
      <c r="D10" s="113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13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20">
        <f t="shared" si="1"/>
        <v>112.5</v>
      </c>
      <c r="G10" s="113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51.445000000000007</v>
      </c>
      <c r="H10" s="120">
        <f t="shared" si="0"/>
        <v>61.054999999999993</v>
      </c>
      <c r="I10" s="293">
        <f t="shared" si="2"/>
        <v>0.45728888888888897</v>
      </c>
    </row>
    <row r="11" spans="2:9" ht="18" customHeight="1">
      <c r="B11" s="313"/>
      <c r="C11" s="259" t="s">
        <v>216</v>
      </c>
      <c r="D11" s="120">
        <f>'Resumen Periodo Congrio dorado'!E9</f>
        <v>22</v>
      </c>
      <c r="E11" s="120">
        <f>'Resumen Periodo Congrio dorado'!F9</f>
        <v>0</v>
      </c>
      <c r="F11" s="120">
        <f t="shared" si="1"/>
        <v>22</v>
      </c>
      <c r="G11" s="120">
        <f>'Resumen Periodo Congrio dorado'!H9</f>
        <v>0.379</v>
      </c>
      <c r="H11" s="120">
        <f t="shared" si="0"/>
        <v>21.620999999999999</v>
      </c>
      <c r="I11" s="294">
        <f t="shared" ref="I11:I16" si="3">G11/F11</f>
        <v>1.7227272727272726E-2</v>
      </c>
    </row>
    <row r="12" spans="2:9" ht="18" customHeight="1">
      <c r="B12" s="313"/>
      <c r="C12" s="259" t="s">
        <v>215</v>
      </c>
      <c r="D12" s="113">
        <f>'Resumen Periodo Congrio dorado'!E12</f>
        <v>15</v>
      </c>
      <c r="E12" s="113">
        <f>'Resumen Periodo Congrio dorado'!F12</f>
        <v>0</v>
      </c>
      <c r="F12" s="120">
        <f t="shared" si="1"/>
        <v>15</v>
      </c>
      <c r="G12" s="113">
        <f>'Resumen Periodo Congrio dorado'!H12</f>
        <v>0</v>
      </c>
      <c r="H12" s="120">
        <f t="shared" si="0"/>
        <v>15</v>
      </c>
      <c r="I12" s="293">
        <f t="shared" si="3"/>
        <v>0</v>
      </c>
    </row>
    <row r="13" spans="2:9" ht="18" customHeight="1">
      <c r="B13" s="313"/>
      <c r="C13" s="259" t="s">
        <v>108</v>
      </c>
      <c r="D13" s="120">
        <f>'Resumen Periodo Congrio dorado'!E15</f>
        <v>16</v>
      </c>
      <c r="E13" s="120">
        <f>'Resumen Periodo Congrio dorado'!F15</f>
        <v>0</v>
      </c>
      <c r="F13" s="120">
        <f t="shared" si="1"/>
        <v>16</v>
      </c>
      <c r="G13" s="120">
        <f>'Resumen Periodo Congrio dorado'!H15</f>
        <v>6.28</v>
      </c>
      <c r="H13" s="120">
        <f t="shared" si="0"/>
        <v>9.7199999999999989</v>
      </c>
      <c r="I13" s="293">
        <f t="shared" si="3"/>
        <v>0.39250000000000002</v>
      </c>
    </row>
    <row r="14" spans="2:9" ht="18" customHeight="1">
      <c r="B14" s="313"/>
      <c r="C14" s="259" t="s">
        <v>109</v>
      </c>
      <c r="D14" s="113">
        <f>'Resumen Periodo Congrio dorado'!E19</f>
        <v>1.4</v>
      </c>
      <c r="E14" s="113">
        <f>'Resumen Periodo Congrio dorado'!F19</f>
        <v>0</v>
      </c>
      <c r="F14" s="120">
        <f t="shared" si="1"/>
        <v>1.4</v>
      </c>
      <c r="G14" s="113">
        <f>'Resumen Periodo Congrio dorado'!H19</f>
        <v>0</v>
      </c>
      <c r="H14" s="120">
        <f t="shared" si="0"/>
        <v>1.4</v>
      </c>
      <c r="I14" s="293">
        <f t="shared" si="3"/>
        <v>0</v>
      </c>
    </row>
    <row r="15" spans="2:9" ht="18" customHeight="1">
      <c r="B15" s="313"/>
      <c r="C15" s="259" t="s">
        <v>110</v>
      </c>
      <c r="D15" s="120">
        <f>'Resumen Periodo Congrio dorado'!E32</f>
        <v>12.6</v>
      </c>
      <c r="E15" s="120">
        <f>'Resumen Periodo Congrio dorado'!F32</f>
        <v>0</v>
      </c>
      <c r="F15" s="120">
        <f t="shared" si="1"/>
        <v>12.6</v>
      </c>
      <c r="G15" s="120">
        <f>'Resumen Periodo Congrio dorado'!H32</f>
        <v>0</v>
      </c>
      <c r="H15" s="120">
        <f t="shared" si="0"/>
        <v>12.6</v>
      </c>
      <c r="I15" s="293">
        <f t="shared" si="3"/>
        <v>0</v>
      </c>
    </row>
    <row r="16" spans="2:9" ht="18" customHeight="1">
      <c r="B16" s="320" t="s">
        <v>105</v>
      </c>
      <c r="C16" s="259" t="s">
        <v>112</v>
      </c>
      <c r="D16" s="113">
        <f>'Resumen Periodo Congrio dorado'!E33+'Resumen Periodo Congrio dorado'!E34</f>
        <v>534.00009999999997</v>
      </c>
      <c r="E16" s="113">
        <f>'Resumen Periodo Congrio dorado'!F33+'Resumen Periodo Congrio dorado'!F34</f>
        <v>-7.1054273576010019E-15</v>
      </c>
      <c r="F16" s="120">
        <f t="shared" si="1"/>
        <v>534.00009999999997</v>
      </c>
      <c r="G16" s="113">
        <f>'Resumen Periodo Congrio dorado'!H33+'Resumen Periodo Congrio dorado'!H34</f>
        <v>500.73200000000003</v>
      </c>
      <c r="H16" s="120">
        <f t="shared" ref="H16" si="4">F16-G16</f>
        <v>33.268099999999947</v>
      </c>
      <c r="I16" s="293">
        <f t="shared" si="3"/>
        <v>0.93770019893254708</v>
      </c>
    </row>
    <row r="17" spans="2:9">
      <c r="B17" s="320"/>
      <c r="C17" s="259" t="s">
        <v>113</v>
      </c>
      <c r="D17" s="120">
        <f>'Resumen Periodo Congrio dorado'!E35+'Resumen Periodo Congrio dorado'!E36</f>
        <v>139</v>
      </c>
      <c r="E17" s="120">
        <f>'Resumen Periodo Congrio dorado'!F35+'Resumen Periodo Congrio dorado'!F36</f>
        <v>0</v>
      </c>
      <c r="F17" s="120">
        <f t="shared" si="1"/>
        <v>139</v>
      </c>
      <c r="G17" s="120">
        <f>'Resumen Periodo Congrio dorado'!H35+'Resumen Periodo Congrio dorado'!H36</f>
        <v>117.68700000000001</v>
      </c>
      <c r="H17" s="120">
        <f>F17-G17</f>
        <v>21.312999999999988</v>
      </c>
      <c r="I17" s="293">
        <f>G17/F7</f>
        <v>0.87460612366230683</v>
      </c>
    </row>
    <row r="18" spans="2:9" ht="15.75">
      <c r="B18" s="298" t="s">
        <v>218</v>
      </c>
      <c r="C18" s="259" t="s">
        <v>219</v>
      </c>
      <c r="D18" s="120">
        <v>22.8</v>
      </c>
      <c r="E18" s="120">
        <v>0</v>
      </c>
      <c r="F18" s="120">
        <v>0</v>
      </c>
      <c r="G18" s="120">
        <v>0</v>
      </c>
      <c r="H18" s="120">
        <f>F18-G18</f>
        <v>0</v>
      </c>
      <c r="I18" s="293">
        <f>G18/F8</f>
        <v>0</v>
      </c>
    </row>
    <row r="20" spans="2:9">
      <c r="B20" s="299" t="s">
        <v>220</v>
      </c>
    </row>
    <row r="21" spans="2:9" ht="36" customHeight="1" thickBot="1">
      <c r="H21" s="111"/>
    </row>
    <row r="22" spans="2:9" ht="19.5" customHeight="1">
      <c r="B22" s="321" t="s">
        <v>204</v>
      </c>
      <c r="C22" s="322"/>
      <c r="D22" s="322"/>
      <c r="E22" s="322"/>
      <c r="F22" s="322"/>
      <c r="G22" s="322"/>
      <c r="H22" s="322"/>
      <c r="I22" s="323"/>
    </row>
    <row r="23" spans="2:9" ht="15.75" thickBot="1">
      <c r="B23" s="309"/>
      <c r="C23" s="310"/>
      <c r="D23" s="310"/>
      <c r="E23" s="310"/>
      <c r="F23" s="310"/>
      <c r="G23" s="310"/>
      <c r="H23" s="310"/>
      <c r="I23" s="311"/>
    </row>
    <row r="25" spans="2:9" ht="31.5">
      <c r="B25" s="29" t="s">
        <v>111</v>
      </c>
      <c r="C25" s="30" t="s">
        <v>115</v>
      </c>
      <c r="D25" s="30" t="s">
        <v>116</v>
      </c>
      <c r="E25" s="30" t="s">
        <v>5</v>
      </c>
      <c r="F25" s="30" t="s">
        <v>6</v>
      </c>
      <c r="G25" s="30" t="s">
        <v>7</v>
      </c>
      <c r="H25" s="30" t="s">
        <v>8</v>
      </c>
      <c r="I25" s="30" t="s">
        <v>117</v>
      </c>
    </row>
    <row r="26" spans="2:9" ht="14.25" customHeight="1">
      <c r="B26" s="312" t="s">
        <v>96</v>
      </c>
      <c r="C26" s="296" t="s">
        <v>217</v>
      </c>
      <c r="D26" s="121">
        <f>+'Fuera UP'!E8+'Fuera UP'!E9</f>
        <v>105</v>
      </c>
      <c r="E26" s="121">
        <v>0</v>
      </c>
      <c r="F26" s="121">
        <f>+D26+E26</f>
        <v>105</v>
      </c>
      <c r="G26" s="260">
        <f>+'Fuera UP'!G8+'Fuera UP'!H8+'Fuera UP'!G9+'Fuera UP'!H9</f>
        <v>113.321</v>
      </c>
      <c r="H26" s="121">
        <f t="shared" ref="H26:H28" si="5">D26-G26</f>
        <v>-8.320999999999998</v>
      </c>
      <c r="I26" s="295">
        <f>G26/D26</f>
        <v>1.079247619047619</v>
      </c>
    </row>
    <row r="27" spans="2:9">
      <c r="B27" s="312"/>
      <c r="C27" s="296" t="s">
        <v>99</v>
      </c>
      <c r="D27" s="121">
        <f>+'Fuera UP'!E10</f>
        <v>11</v>
      </c>
      <c r="E27" s="121">
        <v>0</v>
      </c>
      <c r="F27" s="121">
        <f>+D27+E27</f>
        <v>11</v>
      </c>
      <c r="G27" s="260">
        <f>+'Fuera UP'!G10+'Fuera UP'!H10</f>
        <v>1.046</v>
      </c>
      <c r="H27" s="121">
        <f t="shared" si="5"/>
        <v>9.9540000000000006</v>
      </c>
      <c r="I27" s="295">
        <f>G27/D27</f>
        <v>9.5090909090909101E-2</v>
      </c>
    </row>
    <row r="28" spans="2:9">
      <c r="B28" s="312"/>
      <c r="C28" s="297" t="s">
        <v>95</v>
      </c>
      <c r="D28" s="122">
        <f>+'Fuera UP'!E7</f>
        <v>2</v>
      </c>
      <c r="E28" s="121">
        <v>0</v>
      </c>
      <c r="F28" s="121">
        <f>+D28+E28</f>
        <v>2</v>
      </c>
      <c r="G28" s="122">
        <f>+'Fuera UP'!G7+'Fuera UP'!H7</f>
        <v>0</v>
      </c>
      <c r="H28" s="121">
        <f t="shared" si="5"/>
        <v>2</v>
      </c>
      <c r="I28" s="295">
        <f>G28/D28</f>
        <v>0</v>
      </c>
    </row>
  </sheetData>
  <mergeCells count="7">
    <mergeCell ref="B23:I23"/>
    <mergeCell ref="B26:B28"/>
    <mergeCell ref="B6:B15"/>
    <mergeCell ref="B2:I2"/>
    <mergeCell ref="B3:I3"/>
    <mergeCell ref="B16:B17"/>
    <mergeCell ref="B22:I22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6"/>
  <sheetViews>
    <sheetView showGridLines="0" topLeftCell="A4" zoomScale="90" zoomScaleNormal="90" workbookViewId="0">
      <selection activeCell="K26" sqref="K26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21.1406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15.85546875" style="1" bestFit="1" customWidth="1"/>
    <col min="12" max="16384" width="11.42578125" style="1"/>
  </cols>
  <sheetData>
    <row r="1" spans="2:11" ht="15.75" thickBot="1"/>
    <row r="2" spans="2:11">
      <c r="B2" s="314" t="s">
        <v>205</v>
      </c>
      <c r="C2" s="315"/>
      <c r="D2" s="315"/>
      <c r="E2" s="315"/>
      <c r="F2" s="315"/>
      <c r="G2" s="315"/>
      <c r="H2" s="315"/>
      <c r="I2" s="315"/>
      <c r="J2" s="315"/>
      <c r="K2" s="316"/>
    </row>
    <row r="3" spans="2:11" ht="15" customHeight="1">
      <c r="B3" s="324"/>
      <c r="C3" s="325"/>
      <c r="D3" s="325"/>
      <c r="E3" s="325"/>
      <c r="F3" s="325"/>
      <c r="G3" s="325"/>
      <c r="H3" s="325"/>
      <c r="I3" s="325"/>
      <c r="J3" s="325"/>
      <c r="K3" s="326"/>
    </row>
    <row r="4" spans="2:11" ht="16.5" thickBot="1">
      <c r="B4" s="317">
        <f>'Resumen anual Congrio dorado'!B3:I3</f>
        <v>43829</v>
      </c>
      <c r="C4" s="318"/>
      <c r="D4" s="318"/>
      <c r="E4" s="318"/>
      <c r="F4" s="318"/>
      <c r="G4" s="318"/>
      <c r="H4" s="318"/>
      <c r="I4" s="318"/>
      <c r="J4" s="318"/>
      <c r="K4" s="319"/>
    </row>
    <row r="6" spans="2:11" ht="31.5">
      <c r="B6" s="249" t="s">
        <v>111</v>
      </c>
      <c r="C6" s="249" t="s">
        <v>1</v>
      </c>
      <c r="D6" s="249" t="s">
        <v>3</v>
      </c>
      <c r="E6" s="250" t="s">
        <v>4</v>
      </c>
      <c r="F6" s="251" t="s">
        <v>5</v>
      </c>
      <c r="G6" s="249" t="s">
        <v>6</v>
      </c>
      <c r="H6" s="249" t="s">
        <v>7</v>
      </c>
      <c r="I6" s="249" t="s">
        <v>8</v>
      </c>
      <c r="J6" s="249" t="s">
        <v>9</v>
      </c>
      <c r="K6" s="249" t="s">
        <v>10</v>
      </c>
    </row>
    <row r="7" spans="2:11">
      <c r="B7" s="313" t="s">
        <v>106</v>
      </c>
      <c r="C7" s="328" t="s">
        <v>53</v>
      </c>
      <c r="D7" s="253" t="s">
        <v>13</v>
      </c>
      <c r="E7" s="120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101.12</v>
      </c>
      <c r="F7" s="120">
        <f>'Congrio dorado Artesanal'!F30</f>
        <v>0</v>
      </c>
      <c r="G7" s="120">
        <f>E7+F7</f>
        <v>101.12</v>
      </c>
      <c r="H7" s="120">
        <f>'Congrio dorado Artesanal'!H30</f>
        <v>96.746000000000009</v>
      </c>
      <c r="I7" s="120">
        <f t="shared" ref="I7:I11" si="0">G7-H7</f>
        <v>4.3739999999999952</v>
      </c>
      <c r="J7" s="252">
        <f t="shared" ref="J7:J32" si="1">H7/G7</f>
        <v>0.95674446202531649</v>
      </c>
      <c r="K7" s="253"/>
    </row>
    <row r="8" spans="2:11">
      <c r="B8" s="313"/>
      <c r="C8" s="328"/>
      <c r="D8" s="253" t="s">
        <v>14</v>
      </c>
      <c r="E8" s="120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101.12</v>
      </c>
      <c r="F8" s="120">
        <f>'Congrio dorado Artesanal'!F31</f>
        <v>0</v>
      </c>
      <c r="G8" s="120">
        <f>E8+F8+I7</f>
        <v>105.494</v>
      </c>
      <c r="H8" s="120">
        <f>'Congrio dorado Artesanal'!H31</f>
        <v>72.224999999999994</v>
      </c>
      <c r="I8" s="120">
        <f t="shared" si="0"/>
        <v>33.269000000000005</v>
      </c>
      <c r="J8" s="252">
        <f t="shared" si="1"/>
        <v>0.68463609304794582</v>
      </c>
      <c r="K8" s="253"/>
    </row>
    <row r="9" spans="2:11">
      <c r="B9" s="313"/>
      <c r="C9" s="328"/>
      <c r="D9" s="253" t="s">
        <v>54</v>
      </c>
      <c r="E9" s="120">
        <f>'Congrio dorado Artesanal'!E76</f>
        <v>22</v>
      </c>
      <c r="F9" s="120">
        <f>'Congrio dorado Artesanal'!F76</f>
        <v>0</v>
      </c>
      <c r="G9" s="120">
        <f>E9+F9</f>
        <v>22</v>
      </c>
      <c r="H9" s="120">
        <f>'Congrio dorado Artesanal'!H76</f>
        <v>0.379</v>
      </c>
      <c r="I9" s="120">
        <f t="shared" si="0"/>
        <v>21.620999999999999</v>
      </c>
      <c r="J9" s="252">
        <f t="shared" si="1"/>
        <v>1.7227272727272726E-2</v>
      </c>
      <c r="K9" s="254"/>
    </row>
    <row r="10" spans="2:11">
      <c r="B10" s="313"/>
      <c r="C10" s="328" t="s">
        <v>55</v>
      </c>
      <c r="D10" s="253" t="s">
        <v>13</v>
      </c>
      <c r="E10" s="120">
        <f>SUM('Congrio dorado Artesanal'!E35+'Congrio dorado Artesanal'!E37)</f>
        <v>67.28</v>
      </c>
      <c r="F10" s="120">
        <f>'Congrio dorado Artesanal'!F40</f>
        <v>0</v>
      </c>
      <c r="G10" s="120">
        <f>E10+F10</f>
        <v>67.28</v>
      </c>
      <c r="H10" s="120">
        <f>'Congrio dorado Artesanal'!H40</f>
        <v>55.935000000000002</v>
      </c>
      <c r="I10" s="120">
        <f t="shared" si="0"/>
        <v>11.344999999999999</v>
      </c>
      <c r="J10" s="252">
        <f t="shared" si="1"/>
        <v>0.83137633769322239</v>
      </c>
      <c r="K10" s="254"/>
    </row>
    <row r="11" spans="2:11">
      <c r="B11" s="313"/>
      <c r="C11" s="328"/>
      <c r="D11" s="253" t="s">
        <v>14</v>
      </c>
      <c r="E11" s="120">
        <f>SUM('Congrio dorado Artesanal'!E36+'Congrio dorado Artesanal'!E38)</f>
        <v>67.28</v>
      </c>
      <c r="F11" s="120">
        <f>'Congrio dorado Artesanal'!F41</f>
        <v>0</v>
      </c>
      <c r="G11" s="120">
        <f>E11+F11+I10</f>
        <v>78.625</v>
      </c>
      <c r="H11" s="120">
        <f>'Congrio dorado Artesanal'!H41</f>
        <v>80.414000000000001</v>
      </c>
      <c r="I11" s="120">
        <f t="shared" si="0"/>
        <v>-1.7890000000000015</v>
      </c>
      <c r="J11" s="252">
        <f t="shared" si="1"/>
        <v>1.0227535771065184</v>
      </c>
      <c r="K11" s="254"/>
    </row>
    <row r="12" spans="2:11">
      <c r="B12" s="313"/>
      <c r="C12" s="328"/>
      <c r="D12" s="253" t="s">
        <v>54</v>
      </c>
      <c r="E12" s="120">
        <f>'Congrio dorado Artesanal'!E77</f>
        <v>15</v>
      </c>
      <c r="F12" s="120">
        <f>'Congrio dorado Artesanal'!F77</f>
        <v>0</v>
      </c>
      <c r="G12" s="120">
        <f>E12+F12</f>
        <v>15</v>
      </c>
      <c r="H12" s="120">
        <f>'Congrio dorado Artesanal'!H77</f>
        <v>0</v>
      </c>
      <c r="I12" s="120">
        <f>'[1]CONGRIO DORADO'!H74</f>
        <v>0</v>
      </c>
      <c r="J12" s="252">
        <f>H12/G12</f>
        <v>0</v>
      </c>
      <c r="K12" s="254"/>
    </row>
    <row r="13" spans="2:11">
      <c r="B13" s="313"/>
      <c r="C13" s="328" t="s">
        <v>56</v>
      </c>
      <c r="D13" s="253" t="s">
        <v>97</v>
      </c>
      <c r="E13" s="120">
        <f>'Congrio dorado Artesanal'!E45</f>
        <v>72.099999999999994</v>
      </c>
      <c r="F13" s="120">
        <f>'Congrio dorado Artesanal'!F45</f>
        <v>0</v>
      </c>
      <c r="G13" s="120">
        <f>E13+F13</f>
        <v>72.099999999999994</v>
      </c>
      <c r="H13" s="120">
        <f>'Congrio dorado Artesanal'!H45</f>
        <v>104.666</v>
      </c>
      <c r="I13" s="120">
        <f>G13-H13</f>
        <v>-32.566000000000003</v>
      </c>
      <c r="J13" s="252">
        <f t="shared" si="1"/>
        <v>1.4516782246879334</v>
      </c>
      <c r="K13" s="254"/>
    </row>
    <row r="14" spans="2:11">
      <c r="B14" s="313"/>
      <c r="C14" s="328"/>
      <c r="D14" s="253" t="s">
        <v>98</v>
      </c>
      <c r="E14" s="120">
        <f>'Congrio dorado Artesanal'!E46</f>
        <v>72.099999999999994</v>
      </c>
      <c r="F14" s="120">
        <f>'Congrio dorado Artesanal'!F46</f>
        <v>0</v>
      </c>
      <c r="G14" s="120">
        <f>E14+F14+I13</f>
        <v>39.533999999999992</v>
      </c>
      <c r="H14" s="120">
        <f>'Congrio dorado Artesanal'!H46</f>
        <v>50.576000000000001</v>
      </c>
      <c r="I14" s="120">
        <f>G14-H14</f>
        <v>-11.042000000000009</v>
      </c>
      <c r="J14" s="252">
        <f t="shared" si="1"/>
        <v>1.2793038903222544</v>
      </c>
      <c r="K14" s="253"/>
    </row>
    <row r="15" spans="2:11">
      <c r="B15" s="313"/>
      <c r="C15" s="328"/>
      <c r="D15" s="255" t="s">
        <v>54</v>
      </c>
      <c r="E15" s="120">
        <f>'Congrio dorado Artesanal'!E78</f>
        <v>16</v>
      </c>
      <c r="F15" s="120">
        <f>'[1]CONGRIO DORADO'!E75</f>
        <v>0</v>
      </c>
      <c r="G15" s="120">
        <f>E15+F15</f>
        <v>16</v>
      </c>
      <c r="H15" s="120">
        <f>'Congrio dorado Artesanal'!H78</f>
        <v>6.28</v>
      </c>
      <c r="I15" s="120">
        <f>'[1]CONGRIO DORADO'!H75</f>
        <v>0</v>
      </c>
      <c r="J15" s="252">
        <f>H15/G15</f>
        <v>0.39250000000000002</v>
      </c>
      <c r="K15" s="253"/>
    </row>
    <row r="16" spans="2:11">
      <c r="B16" s="313"/>
      <c r="C16" s="328" t="s">
        <v>57</v>
      </c>
      <c r="D16" s="253" t="s">
        <v>198</v>
      </c>
      <c r="E16" s="120">
        <f>'Congrio dorado Artesanal'!E47</f>
        <v>6</v>
      </c>
      <c r="F16" s="120">
        <f>'Congrio dorado Artesanal'!F47</f>
        <v>0</v>
      </c>
      <c r="G16" s="120">
        <f>E16+F16</f>
        <v>6</v>
      </c>
      <c r="H16" s="120">
        <f>'Congrio dorado Artesanal'!H47</f>
        <v>5.9370000000000003</v>
      </c>
      <c r="I16" s="120">
        <f t="shared" ref="I16:I29" si="2">G16-H16</f>
        <v>6.2999999999999723E-2</v>
      </c>
      <c r="J16" s="252">
        <f t="shared" si="1"/>
        <v>0.98950000000000005</v>
      </c>
      <c r="K16" s="253"/>
    </row>
    <row r="17" spans="2:11">
      <c r="B17" s="313"/>
      <c r="C17" s="328"/>
      <c r="D17" s="253" t="s">
        <v>65</v>
      </c>
      <c r="E17" s="120">
        <f>'Congrio dorado Artesanal'!E48</f>
        <v>0.1</v>
      </c>
      <c r="F17" s="120">
        <f>'Congrio dorado Artesanal'!F48</f>
        <v>0</v>
      </c>
      <c r="G17" s="120">
        <f>E17+F17</f>
        <v>0.1</v>
      </c>
      <c r="H17" s="120">
        <f>'Congrio dorado Artesanal'!H48</f>
        <v>0</v>
      </c>
      <c r="I17" s="120">
        <f t="shared" ref="I17" si="3">G17-H17</f>
        <v>0.1</v>
      </c>
      <c r="J17" s="252">
        <f>H17/G17</f>
        <v>0</v>
      </c>
      <c r="K17" s="253"/>
    </row>
    <row r="18" spans="2:11">
      <c r="B18" s="313"/>
      <c r="C18" s="328"/>
      <c r="D18" s="253" t="s">
        <v>200</v>
      </c>
      <c r="E18" s="120">
        <f>'Congrio dorado Artesanal'!E49</f>
        <v>6.4</v>
      </c>
      <c r="F18" s="120">
        <f>'Congrio dorado Artesanal'!F49</f>
        <v>0</v>
      </c>
      <c r="G18" s="120">
        <f>E18+F18+I16</f>
        <v>6.4630000000000001</v>
      </c>
      <c r="H18" s="120">
        <f>'Congrio dorado Artesanal'!H49</f>
        <v>3.895</v>
      </c>
      <c r="I18" s="120">
        <f t="shared" si="2"/>
        <v>2.5680000000000001</v>
      </c>
      <c r="J18" s="252">
        <f t="shared" si="1"/>
        <v>0.60266130280055696</v>
      </c>
      <c r="K18" s="253"/>
    </row>
    <row r="19" spans="2:11">
      <c r="B19" s="313"/>
      <c r="C19" s="328"/>
      <c r="D19" s="255" t="s">
        <v>54</v>
      </c>
      <c r="E19" s="120">
        <f>'Congrio dorado Artesanal'!E79</f>
        <v>1.4</v>
      </c>
      <c r="F19" s="120">
        <f>'Congrio dorado Artesanal'!F79</f>
        <v>0</v>
      </c>
      <c r="G19" s="120">
        <f>E19+F19</f>
        <v>1.4</v>
      </c>
      <c r="H19" s="120">
        <f>'Congrio dorado Artesanal'!H79</f>
        <v>0</v>
      </c>
      <c r="I19" s="120">
        <f>'[1]CONGRIO DORADO'!H76</f>
        <v>0</v>
      </c>
      <c r="J19" s="252">
        <f t="shared" si="1"/>
        <v>0</v>
      </c>
      <c r="K19" s="253"/>
    </row>
    <row r="20" spans="2:11">
      <c r="B20" s="313"/>
      <c r="C20" s="328" t="s">
        <v>52</v>
      </c>
      <c r="D20" s="253" t="s">
        <v>58</v>
      </c>
      <c r="E20" s="120">
        <f>'Congrio dorado Artesanal'!E57</f>
        <v>10.3</v>
      </c>
      <c r="F20" s="120">
        <f>'Congrio dorado Artesanal'!F57</f>
        <v>0</v>
      </c>
      <c r="G20" s="120">
        <f>E20+F20</f>
        <v>10.3</v>
      </c>
      <c r="H20" s="120">
        <f>'Congrio dorado Artesanal'!H57</f>
        <v>4.9160000000000004</v>
      </c>
      <c r="I20" s="120">
        <f t="shared" si="2"/>
        <v>5.3840000000000003</v>
      </c>
      <c r="J20" s="252">
        <f t="shared" si="1"/>
        <v>0.47728155339805828</v>
      </c>
      <c r="K20" s="253"/>
    </row>
    <row r="21" spans="2:11">
      <c r="B21" s="313"/>
      <c r="C21" s="328"/>
      <c r="D21" s="253" t="s">
        <v>59</v>
      </c>
      <c r="E21" s="120">
        <f>'Congrio dorado Artesanal'!E58</f>
        <v>10.199999999999999</v>
      </c>
      <c r="F21" s="120">
        <f>'Congrio dorado Artesanal'!F58</f>
        <v>0</v>
      </c>
      <c r="G21" s="120">
        <f>E21+F21+I20</f>
        <v>15.584</v>
      </c>
      <c r="H21" s="120">
        <f>'Congrio dorado Artesanal'!H58</f>
        <v>3.1019999999999999</v>
      </c>
      <c r="I21" s="120">
        <f t="shared" si="2"/>
        <v>12.481999999999999</v>
      </c>
      <c r="J21" s="252">
        <f t="shared" si="1"/>
        <v>0.19905030800821355</v>
      </c>
      <c r="K21" s="253"/>
    </row>
    <row r="22" spans="2:11">
      <c r="B22" s="313"/>
      <c r="C22" s="328"/>
      <c r="D22" s="253" t="s">
        <v>60</v>
      </c>
      <c r="E22" s="120">
        <f>'Congrio dorado Artesanal'!E59</f>
        <v>9</v>
      </c>
      <c r="F22" s="120">
        <f>'Congrio dorado Artesanal'!F59</f>
        <v>0</v>
      </c>
      <c r="G22" s="120">
        <f t="shared" ref="G22:G30" si="4">E22+F22+I21</f>
        <v>21.481999999999999</v>
      </c>
      <c r="H22" s="120">
        <f>'Congrio dorado Artesanal'!H59</f>
        <v>4.2290000000000001</v>
      </c>
      <c r="I22" s="120">
        <f t="shared" si="2"/>
        <v>17.253</v>
      </c>
      <c r="J22" s="252">
        <f t="shared" si="1"/>
        <v>0.1968624895261149</v>
      </c>
      <c r="K22" s="253"/>
    </row>
    <row r="23" spans="2:11">
      <c r="B23" s="313"/>
      <c r="C23" s="328"/>
      <c r="D23" s="253" t="s">
        <v>61</v>
      </c>
      <c r="E23" s="120">
        <f>'Congrio dorado Artesanal'!E60</f>
        <v>9</v>
      </c>
      <c r="F23" s="120">
        <f>'Congrio dorado Artesanal'!F60</f>
        <v>0</v>
      </c>
      <c r="G23" s="120">
        <f t="shared" si="4"/>
        <v>26.253</v>
      </c>
      <c r="H23" s="120">
        <f>'Congrio dorado Artesanal'!H60</f>
        <v>8.3309999999999995</v>
      </c>
      <c r="I23" s="120">
        <f t="shared" si="2"/>
        <v>17.922000000000001</v>
      </c>
      <c r="J23" s="252">
        <f t="shared" si="1"/>
        <v>0.31733516169580617</v>
      </c>
      <c r="K23" s="253"/>
    </row>
    <row r="24" spans="2:11">
      <c r="B24" s="313"/>
      <c r="C24" s="328"/>
      <c r="D24" s="253" t="s">
        <v>62</v>
      </c>
      <c r="E24" s="120">
        <f>'Congrio dorado Artesanal'!E61</f>
        <v>9</v>
      </c>
      <c r="F24" s="120">
        <f>'Congrio dorado Artesanal'!F61</f>
        <v>0</v>
      </c>
      <c r="G24" s="120">
        <f t="shared" si="4"/>
        <v>26.922000000000001</v>
      </c>
      <c r="H24" s="120">
        <f>'Congrio dorado Artesanal'!H61</f>
        <v>5.1369999999999996</v>
      </c>
      <c r="I24" s="120">
        <f t="shared" si="2"/>
        <v>21.785</v>
      </c>
      <c r="J24" s="252">
        <f t="shared" si="1"/>
        <v>0.19081048956243962</v>
      </c>
      <c r="K24" s="253"/>
    </row>
    <row r="25" spans="2:11">
      <c r="B25" s="313"/>
      <c r="C25" s="328"/>
      <c r="D25" s="253" t="s">
        <v>63</v>
      </c>
      <c r="E25" s="120">
        <f>'Congrio dorado Artesanal'!E62</f>
        <v>9</v>
      </c>
      <c r="F25" s="120">
        <f>'Congrio dorado Artesanal'!F62</f>
        <v>0</v>
      </c>
      <c r="G25" s="120">
        <f t="shared" si="4"/>
        <v>30.785</v>
      </c>
      <c r="H25" s="120">
        <f>'Congrio dorado Artesanal'!H62</f>
        <v>6.3739999999999997</v>
      </c>
      <c r="I25" s="120">
        <f t="shared" si="2"/>
        <v>24.411000000000001</v>
      </c>
      <c r="J25" s="252">
        <f t="shared" si="1"/>
        <v>0.20704888744518432</v>
      </c>
      <c r="K25" s="253"/>
    </row>
    <row r="26" spans="2:11">
      <c r="B26" s="313"/>
      <c r="C26" s="328"/>
      <c r="D26" s="253" t="s">
        <v>64</v>
      </c>
      <c r="E26" s="120">
        <f>'Congrio dorado Artesanal'!E63</f>
        <v>9</v>
      </c>
      <c r="F26" s="120">
        <f>'Congrio dorado Artesanal'!F63</f>
        <v>0</v>
      </c>
      <c r="G26" s="120">
        <f t="shared" si="4"/>
        <v>33.411000000000001</v>
      </c>
      <c r="H26" s="120">
        <f>'Congrio dorado Artesanal'!H63</f>
        <v>4.609</v>
      </c>
      <c r="I26" s="120">
        <f t="shared" si="2"/>
        <v>28.802</v>
      </c>
      <c r="J26" s="252">
        <f t="shared" si="1"/>
        <v>0.13794857980904493</v>
      </c>
      <c r="K26" s="253"/>
    </row>
    <row r="27" spans="2:11">
      <c r="B27" s="313"/>
      <c r="C27" s="328"/>
      <c r="D27" s="253" t="s">
        <v>65</v>
      </c>
      <c r="E27" s="120">
        <f>'Congrio dorado Artesanal'!E64</f>
        <v>9</v>
      </c>
      <c r="F27" s="120">
        <f>'Congrio dorado Artesanal'!F64</f>
        <v>0</v>
      </c>
      <c r="G27" s="120">
        <f t="shared" si="4"/>
        <v>37.802</v>
      </c>
      <c r="H27" s="120">
        <f>'Congrio dorado Artesanal'!H64</f>
        <v>3.407</v>
      </c>
      <c r="I27" s="120">
        <f t="shared" si="2"/>
        <v>34.394999999999996</v>
      </c>
      <c r="J27" s="252">
        <f t="shared" si="1"/>
        <v>9.012750648113857E-2</v>
      </c>
      <c r="K27" s="253"/>
    </row>
    <row r="28" spans="2:11">
      <c r="B28" s="313"/>
      <c r="C28" s="328"/>
      <c r="D28" s="253" t="s">
        <v>66</v>
      </c>
      <c r="E28" s="120">
        <f>'Congrio dorado Artesanal'!E65</f>
        <v>9</v>
      </c>
      <c r="F28" s="120">
        <f>'Congrio dorado Artesanal'!F65</f>
        <v>0</v>
      </c>
      <c r="G28" s="120">
        <f t="shared" si="4"/>
        <v>43.394999999999996</v>
      </c>
      <c r="H28" s="120">
        <f>'Congrio dorado Artesanal'!H65</f>
        <v>3.7789999999999999</v>
      </c>
      <c r="I28" s="120">
        <f t="shared" si="2"/>
        <v>39.616</v>
      </c>
      <c r="J28" s="252">
        <f t="shared" si="1"/>
        <v>8.7083765410761613E-2</v>
      </c>
      <c r="K28" s="253"/>
    </row>
    <row r="29" spans="2:11">
      <c r="B29" s="313"/>
      <c r="C29" s="328"/>
      <c r="D29" s="253" t="s">
        <v>67</v>
      </c>
      <c r="E29" s="120">
        <f>'Congrio dorado Artesanal'!E66</f>
        <v>9</v>
      </c>
      <c r="F29" s="120">
        <f>'Congrio dorado Artesanal'!F66</f>
        <v>0</v>
      </c>
      <c r="G29" s="120">
        <f t="shared" si="4"/>
        <v>48.616</v>
      </c>
      <c r="H29" s="120">
        <f>'Congrio dorado Artesanal'!H66</f>
        <v>3.262</v>
      </c>
      <c r="I29" s="120">
        <f t="shared" si="2"/>
        <v>45.353999999999999</v>
      </c>
      <c r="J29" s="252">
        <f t="shared" si="1"/>
        <v>6.7097251933519828E-2</v>
      </c>
      <c r="K29" s="253"/>
    </row>
    <row r="30" spans="2:11">
      <c r="B30" s="313"/>
      <c r="C30" s="328"/>
      <c r="D30" s="253" t="s">
        <v>68</v>
      </c>
      <c r="E30" s="120">
        <f>'Congrio dorado Artesanal'!E67</f>
        <v>10</v>
      </c>
      <c r="F30" s="120">
        <f>'Congrio dorado Artesanal'!F67</f>
        <v>0</v>
      </c>
      <c r="G30" s="120">
        <f t="shared" si="4"/>
        <v>55.353999999999999</v>
      </c>
      <c r="H30" s="120">
        <f>'Congrio dorado Artesanal'!H67</f>
        <v>3.27</v>
      </c>
      <c r="I30" s="120">
        <f>G30-H30</f>
        <v>52.083999999999996</v>
      </c>
      <c r="J30" s="252">
        <f t="shared" si="1"/>
        <v>5.9074321638905955E-2</v>
      </c>
      <c r="K30" s="253"/>
    </row>
    <row r="31" spans="2:11">
      <c r="B31" s="313"/>
      <c r="C31" s="328"/>
      <c r="D31" s="253" t="s">
        <v>69</v>
      </c>
      <c r="E31" s="120">
        <f>'Congrio dorado Artesanal'!E68</f>
        <v>10</v>
      </c>
      <c r="F31" s="120">
        <f>'Congrio dorado Artesanal'!F68</f>
        <v>0</v>
      </c>
      <c r="G31" s="120">
        <f>E31+F31+I30</f>
        <v>62.083999999999996</v>
      </c>
      <c r="H31" s="120">
        <f>'Congrio dorado Artesanal'!H68</f>
        <v>1.0289999999999999</v>
      </c>
      <c r="I31" s="120">
        <f>G31-H31</f>
        <v>61.054999999999993</v>
      </c>
      <c r="J31" s="252">
        <f t="shared" si="1"/>
        <v>1.657431866503447E-2</v>
      </c>
      <c r="K31" s="253"/>
    </row>
    <row r="32" spans="2:11">
      <c r="B32" s="313"/>
      <c r="C32" s="328"/>
      <c r="D32" s="253" t="s">
        <v>70</v>
      </c>
      <c r="E32" s="120">
        <f>'Congrio dorado Artesanal'!E80</f>
        <v>12.6</v>
      </c>
      <c r="F32" s="120">
        <f>'Congrio dorado Artesanal'!F80</f>
        <v>0</v>
      </c>
      <c r="G32" s="120">
        <f>E32+F32</f>
        <v>12.6</v>
      </c>
      <c r="H32" s="120">
        <f>'Congrio dorado Artesanal'!H80</f>
        <v>0</v>
      </c>
      <c r="I32" s="120">
        <f>'[1]CONGRIO DORADO'!H77</f>
        <v>0</v>
      </c>
      <c r="J32" s="252">
        <f t="shared" si="1"/>
        <v>0</v>
      </c>
      <c r="K32" s="253"/>
    </row>
    <row r="33" spans="2:11">
      <c r="B33" s="320" t="s">
        <v>105</v>
      </c>
      <c r="C33" s="313" t="s">
        <v>112</v>
      </c>
      <c r="D33" s="253" t="s">
        <v>81</v>
      </c>
      <c r="E33" s="120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267.00004999999999</v>
      </c>
      <c r="F33" s="120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20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267.00004999999993</v>
      </c>
      <c r="H33" s="120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64.177000000000007</v>
      </c>
      <c r="I33" s="120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202.82305000000002</v>
      </c>
      <c r="J33" s="252">
        <f t="shared" ref="J33" si="5">H33/G33</f>
        <v>0.24036325086830518</v>
      </c>
      <c r="K33" s="253"/>
    </row>
    <row r="34" spans="2:11">
      <c r="B34" s="320"/>
      <c r="C34" s="327"/>
      <c r="D34" s="253" t="s">
        <v>85</v>
      </c>
      <c r="E34" s="120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267.00004999999999</v>
      </c>
      <c r="F34" s="120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-7.1054273576010019E-15</v>
      </c>
      <c r="G34" s="120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469.82310000000007</v>
      </c>
      <c r="H34" s="120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436.55500000000001</v>
      </c>
      <c r="I34" s="120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33.268099999999983</v>
      </c>
      <c r="J34" s="252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4.7017340668085623</v>
      </c>
      <c r="K34" s="253"/>
    </row>
    <row r="35" spans="2:11">
      <c r="B35" s="320"/>
      <c r="C35" s="313" t="s">
        <v>113</v>
      </c>
      <c r="D35" s="253" t="s">
        <v>81</v>
      </c>
      <c r="E35" s="120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20">
        <f>SUM('Congrio dorado Industrial'!F29+'Congrio dorado Industrial'!F31+'Congrio dorado Industrial'!F33+'Congrio dorado Industrial'!F35+'Congrio dorado Industrial'!F37)</f>
        <v>0</v>
      </c>
      <c r="G35" s="120">
        <f>SUM('Congrio dorado Industrial'!G29+'Congrio dorado Industrial'!G31+'Congrio dorado Industrial'!G33+'Congrio dorado Industrial'!G35+'Congrio dorado Industrial'!G37)</f>
        <v>67.275000000000006</v>
      </c>
      <c r="H35" s="120">
        <f>SUM('Congrio dorado Industrial'!H29+'Congrio dorado Industrial'!H31+'Congrio dorado Industrial'!H33+'Congrio dorado Industrial'!H35+'Congrio dorado Industrial'!H37)</f>
        <v>17.108000000000001</v>
      </c>
      <c r="I35" s="120">
        <f>SUM('Congrio dorado Industrial'!I29+'Congrio dorado Industrial'!I31+'Congrio dorado Industrial'!I33+'Congrio dorado Industrial'!I35+'Congrio dorado Industrial'!I37)</f>
        <v>50.166999999999994</v>
      </c>
      <c r="J35" s="252">
        <f>SUM('Congrio dorado Industrial'!J29+'Congrio dorado Industrial'!J31+'Congrio dorado Industrial'!J33+'Congrio dorado Industrial'!J35+'Congrio dorado Industrial'!J37)</f>
        <v>0.40407189588795206</v>
      </c>
      <c r="K35" s="253"/>
    </row>
    <row r="36" spans="2:11">
      <c r="B36" s="320"/>
      <c r="C36" s="327"/>
      <c r="D36" s="253" t="s">
        <v>85</v>
      </c>
      <c r="E36" s="120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20">
        <f>SUM('Congrio dorado Industrial'!F30+'Congrio dorado Industrial'!F32+'Congrio dorado Industrial'!F34+'Congrio dorado Industrial'!F36+'Congrio dorado Industrial'!F38)</f>
        <v>0</v>
      </c>
      <c r="G36" s="120">
        <f>SUM('Congrio dorado Industrial'!G30+'Congrio dorado Industrial'!G32+'Congrio dorado Industrial'!G34+'Congrio dorado Industrial'!G36+'Congrio dorado Industrial'!G38)</f>
        <v>118.41699999999999</v>
      </c>
      <c r="H36" s="120">
        <f>SUM('Congrio dorado Industrial'!H30+'Congrio dorado Industrial'!H32+'Congrio dorado Industrial'!H34+'Congrio dorado Industrial'!H36+'Congrio dorado Industrial'!H38)</f>
        <v>100.57900000000001</v>
      </c>
      <c r="I36" s="120">
        <f>SUM('Congrio dorado Industrial'!I30+'Congrio dorado Industrial'!I32+'Congrio dorado Industrial'!I34+'Congrio dorado Industrial'!I36+'Congrio dorado Industrial'!I38)</f>
        <v>17.837999999999994</v>
      </c>
      <c r="J36" s="252">
        <f>SUM('Congrio dorado Industrial'!J30+'Congrio dorado Industrial'!J32+'Congrio dorado Industrial'!J34+'Congrio dorado Industrial'!J36+'Congrio dorado Industrial'!J38)</f>
        <v>3.1969143795820645</v>
      </c>
      <c r="K36" s="253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showGridLines="0" topLeftCell="B1" zoomScaleNormal="100" workbookViewId="0">
      <selection activeCell="H76" sqref="H76:H78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11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425" t="s">
        <v>206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7"/>
      <c r="R2" s="4"/>
      <c r="S2" s="4"/>
    </row>
    <row r="3" spans="2:19" ht="16.5" thickBot="1">
      <c r="B3" s="317">
        <f>'Resumen anual Congrio dorado'!B3:I3</f>
        <v>43829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396" t="s">
        <v>1</v>
      </c>
      <c r="C5" s="396" t="s">
        <v>2</v>
      </c>
      <c r="D5" s="436" t="s">
        <v>3</v>
      </c>
      <c r="E5" s="394" t="s">
        <v>4</v>
      </c>
      <c r="F5" s="390" t="s">
        <v>5</v>
      </c>
      <c r="G5" s="390" t="s">
        <v>6</v>
      </c>
      <c r="H5" s="390" t="s">
        <v>7</v>
      </c>
      <c r="I5" s="390" t="s">
        <v>8</v>
      </c>
      <c r="J5" s="434" t="s">
        <v>9</v>
      </c>
      <c r="K5" s="388" t="s">
        <v>10</v>
      </c>
      <c r="L5" s="416" t="s">
        <v>0</v>
      </c>
      <c r="M5" s="416"/>
      <c r="N5" s="416"/>
      <c r="O5" s="416"/>
      <c r="P5" s="416"/>
      <c r="Q5" s="417"/>
      <c r="R5" s="4"/>
      <c r="S5" s="4"/>
    </row>
    <row r="6" spans="2:19" ht="30.75" thickBot="1">
      <c r="B6" s="424"/>
      <c r="C6" s="424"/>
      <c r="D6" s="437"/>
      <c r="E6" s="395"/>
      <c r="F6" s="391"/>
      <c r="G6" s="391"/>
      <c r="H6" s="391"/>
      <c r="I6" s="391"/>
      <c r="J6" s="435"/>
      <c r="K6" s="389"/>
      <c r="L6" s="177" t="s">
        <v>4</v>
      </c>
      <c r="M6" s="178" t="s">
        <v>5</v>
      </c>
      <c r="N6" s="178" t="s">
        <v>6</v>
      </c>
      <c r="O6" s="178" t="s">
        <v>7</v>
      </c>
      <c r="P6" s="178" t="s">
        <v>8</v>
      </c>
      <c r="Q6" s="179" t="s">
        <v>9</v>
      </c>
      <c r="R6" s="4"/>
      <c r="S6" s="4"/>
    </row>
    <row r="7" spans="2:19">
      <c r="B7" s="418" t="s">
        <v>107</v>
      </c>
      <c r="C7" s="421" t="s">
        <v>12</v>
      </c>
      <c r="D7" s="266" t="s">
        <v>13</v>
      </c>
      <c r="E7" s="197">
        <v>3.2130000000000001</v>
      </c>
      <c r="F7" s="37"/>
      <c r="G7" s="37">
        <f>E7+F7</f>
        <v>3.2130000000000001</v>
      </c>
      <c r="H7" s="300">
        <v>1.111</v>
      </c>
      <c r="I7" s="37">
        <f>G7-H7</f>
        <v>2.1020000000000003</v>
      </c>
      <c r="J7" s="287">
        <f>(H7/G7)</f>
        <v>0.3457827575474634</v>
      </c>
      <c r="K7" s="112" t="s">
        <v>167</v>
      </c>
      <c r="L7" s="422">
        <f>E7+E8</f>
        <v>6.4269999999999996</v>
      </c>
      <c r="M7" s="423">
        <f>F7+F8</f>
        <v>0</v>
      </c>
      <c r="N7" s="423">
        <f>L7+M7</f>
        <v>6.4269999999999996</v>
      </c>
      <c r="O7" s="423">
        <f>H7+H8</f>
        <v>2.5460000000000003</v>
      </c>
      <c r="P7" s="423">
        <f>N7-O7</f>
        <v>3.8809999999999993</v>
      </c>
      <c r="Q7" s="438">
        <f>O7/N7</f>
        <v>0.39614127897930612</v>
      </c>
      <c r="R7" s="4"/>
      <c r="S7" s="4"/>
    </row>
    <row r="8" spans="2:19">
      <c r="B8" s="419"/>
      <c r="C8" s="407"/>
      <c r="D8" s="38" t="s">
        <v>152</v>
      </c>
      <c r="E8" s="198">
        <v>3.214</v>
      </c>
      <c r="F8" s="39"/>
      <c r="G8" s="39">
        <f>E8+F8+I7</f>
        <v>5.3160000000000007</v>
      </c>
      <c r="H8" s="301">
        <v>1.4350000000000001</v>
      </c>
      <c r="I8" s="39">
        <f>G8-H8</f>
        <v>3.8810000000000007</v>
      </c>
      <c r="J8" s="288">
        <f t="shared" ref="J8:J38" si="0">(H8/G8)</f>
        <v>0.26993980436418358</v>
      </c>
      <c r="K8" s="83" t="s">
        <v>167</v>
      </c>
      <c r="L8" s="356"/>
      <c r="M8" s="359"/>
      <c r="N8" s="359"/>
      <c r="O8" s="359"/>
      <c r="P8" s="359"/>
      <c r="Q8" s="334"/>
      <c r="R8" s="4"/>
      <c r="S8" s="4"/>
    </row>
    <row r="9" spans="2:19">
      <c r="B9" s="419"/>
      <c r="C9" s="407" t="s">
        <v>15</v>
      </c>
      <c r="D9" s="38" t="s">
        <v>13</v>
      </c>
      <c r="E9" s="198">
        <v>3.4369999999999998</v>
      </c>
      <c r="F9" s="39"/>
      <c r="G9" s="39">
        <f t="shared" ref="G9" si="1">E9+F9</f>
        <v>3.4369999999999998</v>
      </c>
      <c r="H9" s="302">
        <v>1.6539999999999999</v>
      </c>
      <c r="I9" s="39">
        <f t="shared" ref="I9:I38" si="2">G9-H9</f>
        <v>1.7829999999999999</v>
      </c>
      <c r="J9" s="288">
        <f t="shared" si="0"/>
        <v>0.4812336339831248</v>
      </c>
      <c r="K9" s="77" t="s">
        <v>167</v>
      </c>
      <c r="L9" s="356">
        <f>E9+E10</f>
        <v>6.8739999999999997</v>
      </c>
      <c r="M9" s="359">
        <f>F9+F10</f>
        <v>0</v>
      </c>
      <c r="N9" s="359">
        <f>L9+M9</f>
        <v>6.8739999999999997</v>
      </c>
      <c r="O9" s="359">
        <f t="shared" ref="O9" si="3">H9+H10</f>
        <v>2.1829999999999998</v>
      </c>
      <c r="P9" s="359">
        <f>N9-O9</f>
        <v>4.6909999999999998</v>
      </c>
      <c r="Q9" s="334">
        <f>O9/N9</f>
        <v>0.31757346523130636</v>
      </c>
      <c r="R9" s="4"/>
      <c r="S9" s="4"/>
    </row>
    <row r="10" spans="2:19">
      <c r="B10" s="419"/>
      <c r="C10" s="407"/>
      <c r="D10" s="38" t="s">
        <v>152</v>
      </c>
      <c r="E10" s="198">
        <v>3.4369999999999998</v>
      </c>
      <c r="F10" s="39"/>
      <c r="G10" s="39">
        <f t="shared" ref="G10" si="4">E10+F10+I9</f>
        <v>5.22</v>
      </c>
      <c r="H10" s="301">
        <v>0.52900000000000003</v>
      </c>
      <c r="I10" s="39">
        <f t="shared" si="2"/>
        <v>4.6909999999999998</v>
      </c>
      <c r="J10" s="288">
        <f t="shared" si="0"/>
        <v>0.10134099616858239</v>
      </c>
      <c r="K10" s="83" t="s">
        <v>167</v>
      </c>
      <c r="L10" s="356"/>
      <c r="M10" s="359"/>
      <c r="N10" s="359"/>
      <c r="O10" s="359"/>
      <c r="P10" s="359"/>
      <c r="Q10" s="334"/>
      <c r="R10" s="4"/>
      <c r="S10" s="4"/>
    </row>
    <row r="11" spans="2:19">
      <c r="B11" s="419"/>
      <c r="C11" s="406" t="s">
        <v>16</v>
      </c>
      <c r="D11" s="38" t="s">
        <v>13</v>
      </c>
      <c r="E11" s="198">
        <v>2.0990000000000002</v>
      </c>
      <c r="F11" s="39"/>
      <c r="G11" s="39">
        <f t="shared" ref="G11" si="5">E11+F11</f>
        <v>2.0990000000000002</v>
      </c>
      <c r="H11" s="301">
        <v>0.99099999999999999</v>
      </c>
      <c r="I11" s="39">
        <f t="shared" si="2"/>
        <v>1.1080000000000001</v>
      </c>
      <c r="J11" s="288">
        <f t="shared" si="0"/>
        <v>0.47212958551691275</v>
      </c>
      <c r="K11" s="83" t="s">
        <v>167</v>
      </c>
      <c r="L11" s="356">
        <f>E11+E12</f>
        <v>4.1989999999999998</v>
      </c>
      <c r="M11" s="359">
        <f>F11+F12</f>
        <v>0</v>
      </c>
      <c r="N11" s="359">
        <f>L11+M11</f>
        <v>4.1989999999999998</v>
      </c>
      <c r="O11" s="359">
        <f t="shared" ref="O11" si="6">H11+H12</f>
        <v>3.806</v>
      </c>
      <c r="P11" s="359">
        <f>N11-O11</f>
        <v>0.39299999999999979</v>
      </c>
      <c r="Q11" s="334">
        <f>O11/N11</f>
        <v>0.90640628721124084</v>
      </c>
      <c r="R11" s="4"/>
      <c r="S11" s="4"/>
    </row>
    <row r="12" spans="2:19">
      <c r="B12" s="419"/>
      <c r="C12" s="415"/>
      <c r="D12" s="38" t="s">
        <v>152</v>
      </c>
      <c r="E12" s="198">
        <v>2.1</v>
      </c>
      <c r="F12" s="39"/>
      <c r="G12" s="39">
        <f>E12+F12+I11</f>
        <v>3.2080000000000002</v>
      </c>
      <c r="H12" s="301">
        <v>2.8149999999999999</v>
      </c>
      <c r="I12" s="39">
        <f t="shared" si="2"/>
        <v>0.39300000000000024</v>
      </c>
      <c r="J12" s="288">
        <f t="shared" si="0"/>
        <v>0.87749376558603487</v>
      </c>
      <c r="K12" s="83" t="s">
        <v>167</v>
      </c>
      <c r="L12" s="356"/>
      <c r="M12" s="359"/>
      <c r="N12" s="359"/>
      <c r="O12" s="359"/>
      <c r="P12" s="359"/>
      <c r="Q12" s="334"/>
      <c r="R12" s="4"/>
      <c r="S12" s="4"/>
    </row>
    <row r="13" spans="2:19">
      <c r="B13" s="419"/>
      <c r="C13" s="407" t="s">
        <v>17</v>
      </c>
      <c r="D13" s="38" t="s">
        <v>13</v>
      </c>
      <c r="E13" s="198">
        <v>7.2359999999999998</v>
      </c>
      <c r="F13" s="39"/>
      <c r="G13" s="39">
        <f t="shared" ref="G13" si="7">E13+F13</f>
        <v>7.2359999999999998</v>
      </c>
      <c r="H13" s="303">
        <v>10.574</v>
      </c>
      <c r="I13" s="39">
        <f t="shared" si="2"/>
        <v>-3.3380000000000001</v>
      </c>
      <c r="J13" s="289">
        <f t="shared" si="0"/>
        <v>1.4613045881702598</v>
      </c>
      <c r="K13" s="261">
        <v>43545</v>
      </c>
      <c r="L13" s="356">
        <f>E13+E14</f>
        <v>14.472</v>
      </c>
      <c r="M13" s="359">
        <f>F13+F14</f>
        <v>0</v>
      </c>
      <c r="N13" s="359">
        <f>L13+M13</f>
        <v>14.472</v>
      </c>
      <c r="O13" s="359">
        <f t="shared" ref="O13" si="8">H13+H14</f>
        <v>14.196999999999999</v>
      </c>
      <c r="P13" s="359">
        <f>N13-O13</f>
        <v>0.27500000000000036</v>
      </c>
      <c r="Q13" s="334">
        <f>O13/N13</f>
        <v>0.98099778883360966</v>
      </c>
      <c r="R13" s="4"/>
      <c r="S13" s="4"/>
    </row>
    <row r="14" spans="2:19">
      <c r="B14" s="419"/>
      <c r="C14" s="407"/>
      <c r="D14" s="38" t="s">
        <v>152</v>
      </c>
      <c r="E14" s="198">
        <v>7.2359999999999998</v>
      </c>
      <c r="F14" s="39"/>
      <c r="G14" s="39">
        <f t="shared" ref="G14" si="9">E14+F14+I13</f>
        <v>3.8979999999999997</v>
      </c>
      <c r="H14" s="301">
        <v>3.6230000000000002</v>
      </c>
      <c r="I14" s="39">
        <f t="shared" si="2"/>
        <v>0.27499999999999947</v>
      </c>
      <c r="J14" s="289">
        <f t="shared" si="0"/>
        <v>0.92945100051308371</v>
      </c>
      <c r="K14" s="261">
        <v>43647</v>
      </c>
      <c r="L14" s="356"/>
      <c r="M14" s="359"/>
      <c r="N14" s="359"/>
      <c r="O14" s="359"/>
      <c r="P14" s="359"/>
      <c r="Q14" s="334"/>
      <c r="R14" s="4"/>
      <c r="S14" s="4"/>
    </row>
    <row r="15" spans="2:19">
      <c r="B15" s="419"/>
      <c r="C15" s="406" t="s">
        <v>18</v>
      </c>
      <c r="D15" s="38" t="s">
        <v>13</v>
      </c>
      <c r="E15" s="198">
        <v>13.484999999999999</v>
      </c>
      <c r="F15" s="39"/>
      <c r="G15" s="39">
        <f t="shared" ref="G15" si="10">E15+F15</f>
        <v>13.484999999999999</v>
      </c>
      <c r="H15" s="303">
        <v>13.763999999999999</v>
      </c>
      <c r="I15" s="39">
        <f t="shared" si="2"/>
        <v>-0.27899999999999991</v>
      </c>
      <c r="J15" s="288">
        <f t="shared" si="0"/>
        <v>1.0206896551724138</v>
      </c>
      <c r="K15" s="292" t="s">
        <v>167</v>
      </c>
      <c r="L15" s="356">
        <f>E15+E16</f>
        <v>26.97</v>
      </c>
      <c r="M15" s="359">
        <f>F15+F16</f>
        <v>0</v>
      </c>
      <c r="N15" s="359">
        <f>L15+M15</f>
        <v>26.97</v>
      </c>
      <c r="O15" s="359">
        <f t="shared" ref="O15" si="11">H15+H16</f>
        <v>26.533999999999999</v>
      </c>
      <c r="P15" s="359">
        <f>N15-O15</f>
        <v>0.43599999999999994</v>
      </c>
      <c r="Q15" s="334">
        <f>O15/N15</f>
        <v>0.98383388950685946</v>
      </c>
      <c r="R15" s="4"/>
      <c r="S15" s="4"/>
    </row>
    <row r="16" spans="2:19">
      <c r="B16" s="419"/>
      <c r="C16" s="415"/>
      <c r="D16" s="38" t="s">
        <v>152</v>
      </c>
      <c r="E16" s="198">
        <v>13.484999999999999</v>
      </c>
      <c r="F16" s="39"/>
      <c r="G16" s="39">
        <f t="shared" ref="G16" si="12">E16+F16+I15</f>
        <v>13.206</v>
      </c>
      <c r="H16" s="301">
        <v>12.77</v>
      </c>
      <c r="I16" s="39">
        <f t="shared" si="2"/>
        <v>0.43599999999999994</v>
      </c>
      <c r="J16" s="288">
        <f t="shared" si="0"/>
        <v>0.9669847039224595</v>
      </c>
      <c r="K16" s="83" t="s">
        <v>167</v>
      </c>
      <c r="L16" s="356"/>
      <c r="M16" s="359"/>
      <c r="N16" s="359"/>
      <c r="O16" s="359"/>
      <c r="P16" s="359"/>
      <c r="Q16" s="334"/>
      <c r="R16" s="4"/>
      <c r="S16" s="4"/>
    </row>
    <row r="17" spans="1:19">
      <c r="B17" s="419"/>
      <c r="C17" s="407" t="s">
        <v>19</v>
      </c>
      <c r="D17" s="38" t="s">
        <v>13</v>
      </c>
      <c r="E17" s="199">
        <v>34.039000000000001</v>
      </c>
      <c r="F17" s="39"/>
      <c r="G17" s="39">
        <f t="shared" ref="G17" si="13">E17+F17</f>
        <v>34.039000000000001</v>
      </c>
      <c r="H17" s="303">
        <v>4.1100000000000003</v>
      </c>
      <c r="I17" s="39">
        <f t="shared" si="2"/>
        <v>29.929000000000002</v>
      </c>
      <c r="J17" s="288">
        <f t="shared" si="0"/>
        <v>0.12074385263961926</v>
      </c>
      <c r="K17" s="83" t="s">
        <v>167</v>
      </c>
      <c r="L17" s="356">
        <f>E17+E18</f>
        <v>68.078000000000003</v>
      </c>
      <c r="M17" s="359">
        <f>F17+F18</f>
        <v>0</v>
      </c>
      <c r="N17" s="359">
        <f>L17+M17</f>
        <v>68.078000000000003</v>
      </c>
      <c r="O17" s="359">
        <f t="shared" ref="O17" si="14">H17+H18</f>
        <v>36.082999999999998</v>
      </c>
      <c r="P17" s="359">
        <f>N17-O17</f>
        <v>31.995000000000005</v>
      </c>
      <c r="Q17" s="334">
        <f>O17/N17</f>
        <v>0.53002438379505856</v>
      </c>
      <c r="R17" s="4"/>
      <c r="S17" s="4"/>
    </row>
    <row r="18" spans="1:19">
      <c r="B18" s="419"/>
      <c r="C18" s="407"/>
      <c r="D18" s="38" t="s">
        <v>152</v>
      </c>
      <c r="E18" s="198">
        <v>34.039000000000001</v>
      </c>
      <c r="F18" s="39"/>
      <c r="G18" s="39">
        <f t="shared" ref="G18" si="15">E18+F18+I17</f>
        <v>63.968000000000004</v>
      </c>
      <c r="H18" s="301">
        <v>31.972999999999999</v>
      </c>
      <c r="I18" s="39">
        <f t="shared" si="2"/>
        <v>31.995000000000005</v>
      </c>
      <c r="J18" s="288">
        <f t="shared" si="0"/>
        <v>0.49982803901950973</v>
      </c>
      <c r="K18" s="83" t="s">
        <v>167</v>
      </c>
      <c r="L18" s="356"/>
      <c r="M18" s="359"/>
      <c r="N18" s="359"/>
      <c r="O18" s="359"/>
      <c r="P18" s="359"/>
      <c r="Q18" s="334"/>
      <c r="R18" s="4"/>
      <c r="S18" s="4"/>
    </row>
    <row r="19" spans="1:19">
      <c r="B19" s="419"/>
      <c r="C19" s="406" t="s">
        <v>20</v>
      </c>
      <c r="D19" s="38" t="s">
        <v>13</v>
      </c>
      <c r="E19" s="198">
        <v>6.9</v>
      </c>
      <c r="F19" s="39"/>
      <c r="G19" s="39">
        <f t="shared" ref="G19" si="16">E19+F19</f>
        <v>6.9</v>
      </c>
      <c r="H19" s="301">
        <v>1.21</v>
      </c>
      <c r="I19" s="39">
        <f t="shared" si="2"/>
        <v>5.69</v>
      </c>
      <c r="J19" s="288">
        <f t="shared" si="0"/>
        <v>0.17536231884057971</v>
      </c>
      <c r="K19" s="261">
        <v>43539</v>
      </c>
      <c r="L19" s="356">
        <f>E19+E20</f>
        <v>13.8</v>
      </c>
      <c r="M19" s="359">
        <f>F19+F20</f>
        <v>0</v>
      </c>
      <c r="N19" s="359">
        <f>L19+M19</f>
        <v>13.8</v>
      </c>
      <c r="O19" s="359">
        <f t="shared" ref="O19" si="17">H19+H20</f>
        <v>14.135000000000002</v>
      </c>
      <c r="P19" s="359">
        <f>N19-O19</f>
        <v>-0.33500000000000085</v>
      </c>
      <c r="Q19" s="334">
        <f>O19/N19</f>
        <v>1.0242753623188405</v>
      </c>
      <c r="R19" s="4"/>
      <c r="S19" s="4"/>
    </row>
    <row r="20" spans="1:19">
      <c r="B20" s="419"/>
      <c r="C20" s="415"/>
      <c r="D20" s="38" t="s">
        <v>152</v>
      </c>
      <c r="E20" s="198">
        <v>6.9</v>
      </c>
      <c r="F20" s="39"/>
      <c r="G20" s="39">
        <f t="shared" ref="G20" si="18">E20+F20+I19</f>
        <v>12.59</v>
      </c>
      <c r="H20" s="301">
        <v>12.925000000000001</v>
      </c>
      <c r="I20" s="39">
        <f t="shared" si="2"/>
        <v>-0.33500000000000085</v>
      </c>
      <c r="J20" s="288">
        <f t="shared" si="0"/>
        <v>1.0266084193804608</v>
      </c>
      <c r="K20" s="261">
        <v>43539</v>
      </c>
      <c r="L20" s="356"/>
      <c r="M20" s="359"/>
      <c r="N20" s="359"/>
      <c r="O20" s="359"/>
      <c r="P20" s="359"/>
      <c r="Q20" s="334"/>
      <c r="R20" s="4"/>
      <c r="S20" s="4"/>
    </row>
    <row r="21" spans="1:19">
      <c r="B21" s="419"/>
      <c r="C21" s="407" t="s">
        <v>21</v>
      </c>
      <c r="D21" s="38" t="s">
        <v>13</v>
      </c>
      <c r="E21" s="198">
        <v>3.2869999999999999</v>
      </c>
      <c r="F21" s="39"/>
      <c r="G21" s="39">
        <f t="shared" ref="G21" si="19">E21+F21</f>
        <v>3.2869999999999999</v>
      </c>
      <c r="H21" s="301">
        <v>1.0840000000000001</v>
      </c>
      <c r="I21" s="39">
        <f t="shared" si="2"/>
        <v>2.2029999999999998</v>
      </c>
      <c r="J21" s="288">
        <f t="shared" si="0"/>
        <v>0.32978399756616977</v>
      </c>
      <c r="K21" s="83" t="s">
        <v>167</v>
      </c>
      <c r="L21" s="356">
        <f>E21+E22</f>
        <v>6.5739999999999998</v>
      </c>
      <c r="M21" s="359">
        <f>F21+F22</f>
        <v>0</v>
      </c>
      <c r="N21" s="359">
        <f>L21+M21</f>
        <v>6.5739999999999998</v>
      </c>
      <c r="O21" s="359">
        <f t="shared" ref="O21" si="20">H21+H22</f>
        <v>3.4649999999999999</v>
      </c>
      <c r="P21" s="359">
        <f>N21-O21</f>
        <v>3.109</v>
      </c>
      <c r="Q21" s="334">
        <f>O21/N21</f>
        <v>0.52707636142379066</v>
      </c>
      <c r="R21" s="4"/>
      <c r="S21" s="4"/>
    </row>
    <row r="22" spans="1:19">
      <c r="B22" s="419"/>
      <c r="C22" s="407"/>
      <c r="D22" s="38" t="s">
        <v>152</v>
      </c>
      <c r="E22" s="198">
        <v>3.2869999999999999</v>
      </c>
      <c r="F22" s="39"/>
      <c r="G22" s="39">
        <f t="shared" ref="G22" si="21">E22+F22+I21</f>
        <v>5.49</v>
      </c>
      <c r="H22" s="301">
        <v>2.3809999999999998</v>
      </c>
      <c r="I22" s="39">
        <f t="shared" si="2"/>
        <v>3.1090000000000004</v>
      </c>
      <c r="J22" s="288">
        <f t="shared" si="0"/>
        <v>0.43369763205828776</v>
      </c>
      <c r="K22" s="83" t="s">
        <v>167</v>
      </c>
      <c r="L22" s="356"/>
      <c r="M22" s="359"/>
      <c r="N22" s="359"/>
      <c r="O22" s="359"/>
      <c r="P22" s="359"/>
      <c r="Q22" s="334"/>
      <c r="R22" s="4"/>
      <c r="S22" s="4"/>
    </row>
    <row r="23" spans="1:19">
      <c r="B23" s="419"/>
      <c r="C23" s="406" t="s">
        <v>22</v>
      </c>
      <c r="D23" s="38" t="s">
        <v>13</v>
      </c>
      <c r="E23" s="198">
        <v>0.114</v>
      </c>
      <c r="F23" s="39"/>
      <c r="G23" s="39">
        <f t="shared" ref="G23" si="22">E23+F23</f>
        <v>0.114</v>
      </c>
      <c r="H23" s="301"/>
      <c r="I23" s="39">
        <f t="shared" si="2"/>
        <v>0.114</v>
      </c>
      <c r="J23" s="288">
        <f t="shared" si="0"/>
        <v>0</v>
      </c>
      <c r="K23" s="83" t="s">
        <v>167</v>
      </c>
      <c r="L23" s="356">
        <f>E23+E24</f>
        <v>0.22900000000000001</v>
      </c>
      <c r="M23" s="359">
        <f>F23+F24</f>
        <v>0</v>
      </c>
      <c r="N23" s="359">
        <f>L23+M23</f>
        <v>0.22900000000000001</v>
      </c>
      <c r="O23" s="359">
        <f t="shared" ref="O23" si="23">H23+H24</f>
        <v>0</v>
      </c>
      <c r="P23" s="359">
        <f>N23-O23</f>
        <v>0.22900000000000001</v>
      </c>
      <c r="Q23" s="334">
        <f>O23/N23</f>
        <v>0</v>
      </c>
      <c r="R23" s="4"/>
      <c r="S23" s="4"/>
    </row>
    <row r="24" spans="1:19">
      <c r="B24" s="419"/>
      <c r="C24" s="415"/>
      <c r="D24" s="38" t="s">
        <v>152</v>
      </c>
      <c r="E24" s="198">
        <v>0.115</v>
      </c>
      <c r="F24" s="39"/>
      <c r="G24" s="39">
        <f t="shared" ref="G24" si="24">E24+F24+I23</f>
        <v>0.22900000000000001</v>
      </c>
      <c r="H24" s="301"/>
      <c r="I24" s="39">
        <f t="shared" si="2"/>
        <v>0.22900000000000001</v>
      </c>
      <c r="J24" s="288">
        <f t="shared" si="0"/>
        <v>0</v>
      </c>
      <c r="K24" s="83" t="s">
        <v>167</v>
      </c>
      <c r="L24" s="356"/>
      <c r="M24" s="359"/>
      <c r="N24" s="359"/>
      <c r="O24" s="359"/>
      <c r="P24" s="359"/>
      <c r="Q24" s="334"/>
      <c r="R24" s="4"/>
      <c r="S24" s="4"/>
    </row>
    <row r="25" spans="1:19">
      <c r="B25" s="419"/>
      <c r="C25" s="414" t="s">
        <v>23</v>
      </c>
      <c r="D25" s="40" t="s">
        <v>13</v>
      </c>
      <c r="E25" s="200">
        <v>0.78800000000000003</v>
      </c>
      <c r="F25" s="41"/>
      <c r="G25" s="39">
        <f t="shared" ref="G25" si="25">E25+F25</f>
        <v>0.78800000000000003</v>
      </c>
      <c r="H25" s="303">
        <v>0.19400000000000001</v>
      </c>
      <c r="I25" s="41">
        <f t="shared" si="2"/>
        <v>0.59400000000000008</v>
      </c>
      <c r="J25" s="290">
        <f t="shared" si="0"/>
        <v>0.24619289340101522</v>
      </c>
      <c r="K25" s="261">
        <v>43500</v>
      </c>
      <c r="L25" s="356">
        <f>E25+E26</f>
        <v>1.577</v>
      </c>
      <c r="M25" s="359">
        <f>F25+F26</f>
        <v>0</v>
      </c>
      <c r="N25" s="359">
        <f>L25+M25</f>
        <v>1.577</v>
      </c>
      <c r="O25" s="359">
        <f t="shared" ref="O25" si="26">H25+H26</f>
        <v>0.19400000000000001</v>
      </c>
      <c r="P25" s="359">
        <f>N25-O25</f>
        <v>1.383</v>
      </c>
      <c r="Q25" s="334">
        <f>O25/N25</f>
        <v>0.12301838934686113</v>
      </c>
      <c r="R25" s="4"/>
      <c r="S25" s="4"/>
    </row>
    <row r="26" spans="1:19">
      <c r="B26" s="419"/>
      <c r="C26" s="414"/>
      <c r="D26" s="40" t="s">
        <v>152</v>
      </c>
      <c r="E26" s="200">
        <v>0.78900000000000003</v>
      </c>
      <c r="F26" s="41"/>
      <c r="G26" s="39">
        <f t="shared" ref="G26" si="27">E26+F26+I25</f>
        <v>1.383</v>
      </c>
      <c r="H26" s="164"/>
      <c r="I26" s="41">
        <f t="shared" si="2"/>
        <v>1.383</v>
      </c>
      <c r="J26" s="290">
        <f t="shared" si="0"/>
        <v>0</v>
      </c>
      <c r="K26" s="261">
        <v>43500</v>
      </c>
      <c r="L26" s="356"/>
      <c r="M26" s="359"/>
      <c r="N26" s="359"/>
      <c r="O26" s="359"/>
      <c r="P26" s="359"/>
      <c r="Q26" s="334"/>
      <c r="R26" s="4"/>
      <c r="S26" s="4"/>
    </row>
    <row r="27" spans="1:19">
      <c r="B27" s="419"/>
      <c r="C27" s="406" t="s">
        <v>24</v>
      </c>
      <c r="D27" s="38" t="s">
        <v>13</v>
      </c>
      <c r="E27" s="198">
        <v>26.521999999999998</v>
      </c>
      <c r="F27" s="39"/>
      <c r="G27" s="39">
        <f t="shared" ref="G27" si="28">E27+F27</f>
        <v>26.521999999999998</v>
      </c>
      <c r="H27" s="303">
        <v>62.054000000000002</v>
      </c>
      <c r="I27" s="39">
        <f t="shared" si="2"/>
        <v>-35.532000000000004</v>
      </c>
      <c r="J27" s="290">
        <f t="shared" si="0"/>
        <v>2.3397179699871806</v>
      </c>
      <c r="K27" s="261">
        <v>43479</v>
      </c>
      <c r="L27" s="356">
        <f>E27+E28</f>
        <v>53.04</v>
      </c>
      <c r="M27" s="359">
        <f>F27+F28</f>
        <v>0</v>
      </c>
      <c r="N27" s="359">
        <f>L27+M27</f>
        <v>53.04</v>
      </c>
      <c r="O27" s="359">
        <f t="shared" ref="O27" si="29">H27+H28</f>
        <v>65.828000000000003</v>
      </c>
      <c r="P27" s="359">
        <f>N27-O27</f>
        <v>-12.788000000000004</v>
      </c>
      <c r="Q27" s="403">
        <f>O27/N27</f>
        <v>1.2411010558069382</v>
      </c>
      <c r="R27" s="4"/>
      <c r="S27" s="4"/>
    </row>
    <row r="28" spans="1:19" ht="15.75" thickBot="1">
      <c r="B28" s="420"/>
      <c r="C28" s="409"/>
      <c r="D28" s="42" t="s">
        <v>152</v>
      </c>
      <c r="E28" s="201">
        <v>26.518000000000001</v>
      </c>
      <c r="F28" s="43"/>
      <c r="G28" s="43">
        <f t="shared" ref="G28" si="30">E28+F28+I27</f>
        <v>-9.0140000000000029</v>
      </c>
      <c r="H28" s="304">
        <v>3.774</v>
      </c>
      <c r="I28" s="43">
        <f t="shared" si="2"/>
        <v>-12.788000000000004</v>
      </c>
      <c r="J28" s="291">
        <f t="shared" si="0"/>
        <v>-0.41868205014422</v>
      </c>
      <c r="K28" s="262">
        <v>43483</v>
      </c>
      <c r="L28" s="357"/>
      <c r="M28" s="360"/>
      <c r="N28" s="360"/>
      <c r="O28" s="360"/>
      <c r="P28" s="360"/>
      <c r="Q28" s="404"/>
      <c r="R28" s="4"/>
      <c r="S28" s="4"/>
    </row>
    <row r="29" spans="1:19" ht="15.75" thickBot="1">
      <c r="A29" s="6"/>
      <c r="B29" s="44"/>
      <c r="C29" s="45"/>
      <c r="D29" s="45"/>
      <c r="E29" s="45"/>
      <c r="F29" s="45"/>
      <c r="G29" s="45"/>
      <c r="H29" s="45"/>
      <c r="I29" s="45"/>
      <c r="J29" s="46"/>
      <c r="K29" s="47"/>
      <c r="L29" s="45"/>
      <c r="M29" s="45"/>
      <c r="N29" s="45"/>
      <c r="O29" s="45"/>
      <c r="P29" s="45"/>
      <c r="Q29" s="48"/>
      <c r="R29" s="4"/>
      <c r="S29" s="4"/>
    </row>
    <row r="30" spans="1:19">
      <c r="A30" s="6"/>
      <c r="B30" s="49"/>
      <c r="C30" s="361" t="s">
        <v>25</v>
      </c>
      <c r="D30" s="50" t="s">
        <v>13</v>
      </c>
      <c r="E30" s="269">
        <f>SUM(E7+E9+E11+E13+E15+E17+E19+E21+E23+E25+E27)</f>
        <v>101.12</v>
      </c>
      <c r="F30" s="51"/>
      <c r="G30" s="273">
        <f>E30+F30</f>
        <v>101.12</v>
      </c>
      <c r="H30" s="165">
        <f>H7+H9+H11+H13+H15+H17+H19+H21+H23+H25+H27</f>
        <v>96.746000000000009</v>
      </c>
      <c r="I30" s="165">
        <f>G30-H30</f>
        <v>4.3739999999999952</v>
      </c>
      <c r="J30" s="183">
        <f>(H30/G30)</f>
        <v>0.95674446202531649</v>
      </c>
      <c r="K30" s="109" t="s">
        <v>167</v>
      </c>
      <c r="L30" s="384">
        <f>E30+E31</f>
        <v>202.24</v>
      </c>
      <c r="M30" s="410">
        <f>F30+F31</f>
        <v>0</v>
      </c>
      <c r="N30" s="410">
        <f>L30+M30</f>
        <v>202.24</v>
      </c>
      <c r="O30" s="386">
        <f>H30+H31</f>
        <v>168.971</v>
      </c>
      <c r="P30" s="410">
        <f>N30-O30</f>
        <v>33.269000000000005</v>
      </c>
      <c r="Q30" s="412">
        <f>O30/N30</f>
        <v>0.83549742879746836</v>
      </c>
      <c r="R30" s="12"/>
      <c r="S30" s="12"/>
    </row>
    <row r="31" spans="1:19" ht="15.75" thickBot="1">
      <c r="A31" s="6"/>
      <c r="B31" s="49"/>
      <c r="C31" s="363"/>
      <c r="D31" s="53" t="s">
        <v>153</v>
      </c>
      <c r="E31" s="270">
        <f>SUM(E8+E10+E12+E14+E16+E18+E20+E22+E24+E26+E28)</f>
        <v>101.12</v>
      </c>
      <c r="F31" s="54"/>
      <c r="G31" s="54">
        <f>E31+F31</f>
        <v>101.12</v>
      </c>
      <c r="H31" s="163">
        <f>H8+H10+H12+H14+H16+H18+H20+H22+H24+H26+H28</f>
        <v>72.224999999999994</v>
      </c>
      <c r="I31" s="163">
        <f>G31-H31</f>
        <v>28.89500000000001</v>
      </c>
      <c r="J31" s="184">
        <f>(H31/G31)</f>
        <v>0.71425039556962011</v>
      </c>
      <c r="K31" s="110" t="s">
        <v>167</v>
      </c>
      <c r="L31" s="385"/>
      <c r="M31" s="411"/>
      <c r="N31" s="411"/>
      <c r="O31" s="387"/>
      <c r="P31" s="411"/>
      <c r="Q31" s="413"/>
      <c r="R31" s="12"/>
      <c r="S31" s="12"/>
    </row>
    <row r="32" spans="1:19" ht="50.25" customHeight="1" thickBot="1">
      <c r="A32" s="6"/>
      <c r="B32" s="49"/>
      <c r="C32" s="56"/>
      <c r="D32" s="57"/>
      <c r="E32" s="58"/>
      <c r="F32" s="57"/>
      <c r="G32" s="57"/>
      <c r="H32" s="59"/>
      <c r="I32" s="60"/>
      <c r="J32" s="61"/>
      <c r="K32" s="62"/>
      <c r="L32" s="45"/>
      <c r="M32" s="45"/>
      <c r="N32" s="45"/>
      <c r="O32" s="45"/>
      <c r="P32" s="45"/>
      <c r="Q32" s="48"/>
      <c r="R32" s="12"/>
      <c r="S32" s="12"/>
    </row>
    <row r="33" spans="1:20">
      <c r="B33" s="396" t="s">
        <v>1</v>
      </c>
      <c r="C33" s="396" t="s">
        <v>2</v>
      </c>
      <c r="D33" s="396" t="s">
        <v>3</v>
      </c>
      <c r="E33" s="432" t="s">
        <v>4</v>
      </c>
      <c r="F33" s="390" t="s">
        <v>5</v>
      </c>
      <c r="G33" s="390" t="s">
        <v>6</v>
      </c>
      <c r="H33" s="392" t="s">
        <v>7</v>
      </c>
      <c r="I33" s="390" t="s">
        <v>8</v>
      </c>
      <c r="J33" s="430" t="s">
        <v>9</v>
      </c>
      <c r="K33" s="428" t="s">
        <v>10</v>
      </c>
      <c r="L33" s="405" t="s">
        <v>0</v>
      </c>
      <c r="M33" s="347"/>
      <c r="N33" s="347"/>
      <c r="O33" s="347"/>
      <c r="P33" s="347"/>
      <c r="Q33" s="348"/>
      <c r="R33" s="12"/>
      <c r="S33" s="12"/>
    </row>
    <row r="34" spans="1:20" ht="45.75" thickBot="1">
      <c r="B34" s="424"/>
      <c r="C34" s="424"/>
      <c r="D34" s="424"/>
      <c r="E34" s="433"/>
      <c r="F34" s="391"/>
      <c r="G34" s="391"/>
      <c r="H34" s="393"/>
      <c r="I34" s="391"/>
      <c r="J34" s="431"/>
      <c r="K34" s="429"/>
      <c r="L34" s="63" t="s">
        <v>11</v>
      </c>
      <c r="M34" s="64" t="s">
        <v>5</v>
      </c>
      <c r="N34" s="64" t="s">
        <v>6</v>
      </c>
      <c r="O34" s="64" t="s">
        <v>7</v>
      </c>
      <c r="P34" s="64" t="s">
        <v>8</v>
      </c>
      <c r="Q34" s="65" t="s">
        <v>9</v>
      </c>
      <c r="R34" s="12"/>
      <c r="S34" s="12"/>
    </row>
    <row r="35" spans="1:20">
      <c r="B35" s="349" t="s">
        <v>26</v>
      </c>
      <c r="C35" s="406" t="s">
        <v>27</v>
      </c>
      <c r="D35" s="173" t="s">
        <v>13</v>
      </c>
      <c r="E35" s="202">
        <v>54.05</v>
      </c>
      <c r="F35" s="194"/>
      <c r="G35" s="194">
        <f>E35+F35</f>
        <v>54.05</v>
      </c>
      <c r="H35" s="305">
        <v>21.872</v>
      </c>
      <c r="I35" s="194">
        <f>G35-H35</f>
        <v>32.177999999999997</v>
      </c>
      <c r="J35" s="180">
        <f t="shared" si="0"/>
        <v>0.40466234967622572</v>
      </c>
      <c r="K35" s="67" t="s">
        <v>167</v>
      </c>
      <c r="L35" s="408">
        <f>E35+E36</f>
        <v>108.1</v>
      </c>
      <c r="M35" s="402">
        <f>F35+F36</f>
        <v>0</v>
      </c>
      <c r="N35" s="402">
        <f>G35+G36</f>
        <v>140.27799999999999</v>
      </c>
      <c r="O35" s="402">
        <f>H35+H36</f>
        <v>102.286</v>
      </c>
      <c r="P35" s="402">
        <f>N35-O35</f>
        <v>37.99199999999999</v>
      </c>
      <c r="Q35" s="333">
        <f>O35/N35</f>
        <v>0.72916636963743431</v>
      </c>
      <c r="R35" s="4"/>
      <c r="S35" s="4"/>
    </row>
    <row r="36" spans="1:20">
      <c r="B36" s="350"/>
      <c r="C36" s="407"/>
      <c r="D36" s="174" t="s">
        <v>152</v>
      </c>
      <c r="E36" s="198">
        <v>54.05</v>
      </c>
      <c r="F36" s="195"/>
      <c r="G36" s="195">
        <f>E36+F36+I35</f>
        <v>86.227999999999994</v>
      </c>
      <c r="H36" s="195">
        <v>80.414000000000001</v>
      </c>
      <c r="I36" s="195">
        <f>G36-H36</f>
        <v>5.813999999999993</v>
      </c>
      <c r="J36" s="181">
        <f t="shared" si="0"/>
        <v>0.93257410585888578</v>
      </c>
      <c r="K36" s="69" t="s">
        <v>167</v>
      </c>
      <c r="L36" s="398"/>
      <c r="M36" s="400"/>
      <c r="N36" s="400"/>
      <c r="O36" s="400"/>
      <c r="P36" s="400"/>
      <c r="Q36" s="334"/>
      <c r="R36" s="4"/>
      <c r="S36" s="4"/>
    </row>
    <row r="37" spans="1:20">
      <c r="B37" s="350"/>
      <c r="C37" s="407" t="s">
        <v>24</v>
      </c>
      <c r="D37" s="174" t="s">
        <v>13</v>
      </c>
      <c r="E37" s="198">
        <v>13.23</v>
      </c>
      <c r="F37" s="195"/>
      <c r="G37" s="195">
        <f t="shared" ref="G37" si="31">E37+F37</f>
        <v>13.23</v>
      </c>
      <c r="H37" s="306">
        <v>34.063000000000002</v>
      </c>
      <c r="I37" s="195">
        <f t="shared" si="2"/>
        <v>-20.833000000000002</v>
      </c>
      <c r="J37" s="181">
        <f t="shared" si="0"/>
        <v>2.5746787603930463</v>
      </c>
      <c r="K37" s="263">
        <v>43479</v>
      </c>
      <c r="L37" s="398">
        <f>E37+E38</f>
        <v>26.46</v>
      </c>
      <c r="M37" s="400">
        <f>F37+F38</f>
        <v>0</v>
      </c>
      <c r="N37" s="402">
        <f>G37+G38</f>
        <v>5.6269999999999989</v>
      </c>
      <c r="O37" s="400">
        <f>H37+H38</f>
        <v>34.063000000000002</v>
      </c>
      <c r="P37" s="400">
        <f>N37-O37</f>
        <v>-28.436000000000003</v>
      </c>
      <c r="Q37" s="403">
        <f>O37/N37</f>
        <v>6.05349209170073</v>
      </c>
      <c r="R37" s="4"/>
      <c r="S37" s="4"/>
    </row>
    <row r="38" spans="1:20" ht="15.75" thickBot="1">
      <c r="B38" s="351"/>
      <c r="C38" s="409"/>
      <c r="D38" s="175" t="s">
        <v>152</v>
      </c>
      <c r="E38" s="201">
        <v>13.23</v>
      </c>
      <c r="F38" s="196"/>
      <c r="G38" s="196">
        <f t="shared" ref="G38" si="32">E38+F38+I37</f>
        <v>-7.6030000000000015</v>
      </c>
      <c r="H38" s="196"/>
      <c r="I38" s="196">
        <f t="shared" si="2"/>
        <v>-7.6030000000000015</v>
      </c>
      <c r="J38" s="182">
        <f t="shared" si="0"/>
        <v>0</v>
      </c>
      <c r="K38" s="264">
        <v>43479</v>
      </c>
      <c r="L38" s="399"/>
      <c r="M38" s="401"/>
      <c r="N38" s="401"/>
      <c r="O38" s="401"/>
      <c r="P38" s="401"/>
      <c r="Q38" s="404"/>
      <c r="R38" s="4"/>
      <c r="S38" s="4"/>
    </row>
    <row r="39" spans="1:20" ht="15.75" thickBot="1">
      <c r="B39" s="71"/>
      <c r="C39" s="72"/>
      <c r="D39" s="45"/>
      <c r="E39" s="45"/>
      <c r="F39" s="45"/>
      <c r="G39" s="45"/>
      <c r="H39" s="45"/>
      <c r="I39" s="45"/>
      <c r="J39" s="45"/>
      <c r="K39" s="61"/>
      <c r="L39" s="73"/>
      <c r="M39" s="45"/>
      <c r="N39" s="45"/>
      <c r="O39" s="45"/>
      <c r="P39" s="45"/>
      <c r="Q39" s="45"/>
      <c r="R39" s="10"/>
      <c r="S39" s="10"/>
    </row>
    <row r="40" spans="1:20">
      <c r="A40" s="6"/>
      <c r="B40" s="49"/>
      <c r="C40" s="382" t="s">
        <v>25</v>
      </c>
      <c r="D40" s="74" t="s">
        <v>13</v>
      </c>
      <c r="E40" s="271">
        <f>E35+E37</f>
        <v>67.28</v>
      </c>
      <c r="F40" s="51"/>
      <c r="G40" s="273">
        <f>E40+F40</f>
        <v>67.28</v>
      </c>
      <c r="H40" s="52">
        <f>H35+H37</f>
        <v>55.935000000000002</v>
      </c>
      <c r="I40" s="166">
        <f>G40-H40</f>
        <v>11.344999999999999</v>
      </c>
      <c r="J40" s="183">
        <f>(H40/G40)</f>
        <v>0.83137633769322239</v>
      </c>
      <c r="K40" s="109" t="s">
        <v>167</v>
      </c>
      <c r="L40" s="384">
        <f>E40+E41</f>
        <v>134.56</v>
      </c>
      <c r="M40" s="386">
        <f>F40+F41</f>
        <v>0</v>
      </c>
      <c r="N40" s="386">
        <f>L40+M40</f>
        <v>134.56</v>
      </c>
      <c r="O40" s="386">
        <f>H40+H41</f>
        <v>136.34899999999999</v>
      </c>
      <c r="P40" s="373">
        <f>N40-O40</f>
        <v>-1.7889999999999873</v>
      </c>
      <c r="Q40" s="375">
        <f>O40/N40</f>
        <v>1.0132951843043994</v>
      </c>
      <c r="R40" s="12"/>
      <c r="S40" s="12"/>
    </row>
    <row r="41" spans="1:20" ht="15.75" thickBot="1">
      <c r="A41" s="6"/>
      <c r="B41" s="49"/>
      <c r="C41" s="383"/>
      <c r="D41" s="75" t="s">
        <v>153</v>
      </c>
      <c r="E41" s="272">
        <f>E36+E38</f>
        <v>67.28</v>
      </c>
      <c r="F41" s="54"/>
      <c r="G41" s="257">
        <f>E41+F41</f>
        <v>67.28</v>
      </c>
      <c r="H41" s="55">
        <f>H36+H38</f>
        <v>80.414000000000001</v>
      </c>
      <c r="I41" s="167">
        <f>G41-H41</f>
        <v>-13.134</v>
      </c>
      <c r="J41" s="184">
        <f>(H41/G41)</f>
        <v>1.1952140309155768</v>
      </c>
      <c r="K41" s="110" t="s">
        <v>167</v>
      </c>
      <c r="L41" s="385"/>
      <c r="M41" s="387"/>
      <c r="N41" s="387"/>
      <c r="O41" s="387"/>
      <c r="P41" s="374"/>
      <c r="Q41" s="376"/>
      <c r="R41" s="12"/>
      <c r="S41" s="12"/>
    </row>
    <row r="42" spans="1:20" ht="48" customHeight="1" thickBot="1">
      <c r="B42" s="49"/>
      <c r="C42" s="56"/>
      <c r="D42" s="57"/>
      <c r="E42" s="57"/>
      <c r="F42" s="57"/>
      <c r="G42" s="57"/>
      <c r="H42" s="59"/>
      <c r="I42" s="60"/>
      <c r="J42" s="61"/>
      <c r="K42" s="62"/>
      <c r="L42" s="45"/>
      <c r="M42" s="45"/>
      <c r="N42" s="45"/>
      <c r="O42" s="45"/>
      <c r="P42" s="45"/>
      <c r="Q42" s="48"/>
      <c r="R42" s="12"/>
      <c r="S42" s="12"/>
    </row>
    <row r="43" spans="1:20">
      <c r="B43" s="396" t="s">
        <v>1</v>
      </c>
      <c r="C43" s="396" t="s">
        <v>2</v>
      </c>
      <c r="D43" s="396" t="s">
        <v>3</v>
      </c>
      <c r="E43" s="394" t="s">
        <v>4</v>
      </c>
      <c r="F43" s="390" t="s">
        <v>5</v>
      </c>
      <c r="G43" s="390" t="s">
        <v>6</v>
      </c>
      <c r="H43" s="392" t="s">
        <v>7</v>
      </c>
      <c r="I43" s="390" t="s">
        <v>8</v>
      </c>
      <c r="J43" s="390" t="s">
        <v>9</v>
      </c>
      <c r="K43" s="388" t="s">
        <v>10</v>
      </c>
      <c r="L43" s="346" t="s">
        <v>0</v>
      </c>
      <c r="M43" s="347"/>
      <c r="N43" s="347"/>
      <c r="O43" s="347"/>
      <c r="P43" s="347"/>
      <c r="Q43" s="348"/>
      <c r="R43" s="4"/>
      <c r="S43" s="4"/>
    </row>
    <row r="44" spans="1:20" ht="45.75" thickBot="1">
      <c r="B44" s="424"/>
      <c r="C44" s="424"/>
      <c r="D44" s="397"/>
      <c r="E44" s="395"/>
      <c r="F44" s="391"/>
      <c r="G44" s="391"/>
      <c r="H44" s="393"/>
      <c r="I44" s="391"/>
      <c r="J44" s="391"/>
      <c r="K44" s="389"/>
      <c r="L44" s="76" t="s">
        <v>11</v>
      </c>
      <c r="M44" s="64" t="s">
        <v>5</v>
      </c>
      <c r="N44" s="64" t="s">
        <v>6</v>
      </c>
      <c r="O44" s="64" t="s">
        <v>7</v>
      </c>
      <c r="P44" s="64" t="s">
        <v>8</v>
      </c>
      <c r="Q44" s="65" t="s">
        <v>9</v>
      </c>
      <c r="R44" s="4"/>
      <c r="S44" s="4"/>
    </row>
    <row r="45" spans="1:20" ht="28.5" customHeight="1">
      <c r="B45" s="349" t="s">
        <v>28</v>
      </c>
      <c r="C45" s="352" t="s">
        <v>29</v>
      </c>
      <c r="D45" s="174" t="s">
        <v>97</v>
      </c>
      <c r="E45" s="226">
        <v>72.099999999999994</v>
      </c>
      <c r="F45" s="194"/>
      <c r="G45" s="194">
        <f>E45+F45</f>
        <v>72.099999999999994</v>
      </c>
      <c r="H45" s="227">
        <v>104.666</v>
      </c>
      <c r="I45" s="227">
        <f t="shared" ref="I45:I53" si="33">G45-H45</f>
        <v>-32.566000000000003</v>
      </c>
      <c r="J45" s="229">
        <f t="shared" ref="J45:J53" si="34">(H45/G45)</f>
        <v>1.4516782246879334</v>
      </c>
      <c r="K45" s="261">
        <v>43501</v>
      </c>
      <c r="L45" s="378">
        <f>E45+E46</f>
        <v>144.19999999999999</v>
      </c>
      <c r="M45" s="380">
        <f>F45+F46</f>
        <v>0</v>
      </c>
      <c r="N45" s="380">
        <f>L45+M45</f>
        <v>144.19999999999999</v>
      </c>
      <c r="O45" s="380">
        <f>H45+H46</f>
        <v>155.24199999999999</v>
      </c>
      <c r="P45" s="380">
        <f>N45-O45</f>
        <v>-11.042000000000002</v>
      </c>
      <c r="Q45" s="333">
        <f>O45/N45</f>
        <v>1.0765742024965326</v>
      </c>
      <c r="R45" s="4"/>
      <c r="S45" s="4"/>
    </row>
    <row r="46" spans="1:20" ht="24" customHeight="1">
      <c r="B46" s="350"/>
      <c r="C46" s="353"/>
      <c r="D46" s="174" t="s">
        <v>98</v>
      </c>
      <c r="E46" s="228">
        <v>72.099999999999994</v>
      </c>
      <c r="F46" s="195"/>
      <c r="G46" s="195">
        <f>E46+F46+I45</f>
        <v>39.533999999999992</v>
      </c>
      <c r="H46" s="256">
        <v>50.576000000000001</v>
      </c>
      <c r="I46" s="195">
        <f t="shared" si="33"/>
        <v>-11.042000000000009</v>
      </c>
      <c r="J46" s="230">
        <f>(H46/G46)</f>
        <v>1.2793038903222544</v>
      </c>
      <c r="K46" s="261">
        <v>43713</v>
      </c>
      <c r="L46" s="379"/>
      <c r="M46" s="381"/>
      <c r="N46" s="381"/>
      <c r="O46" s="381"/>
      <c r="P46" s="381"/>
      <c r="Q46" s="334"/>
      <c r="R46" s="4"/>
      <c r="S46" s="4"/>
      <c r="T46" s="28">
        <v>1</v>
      </c>
    </row>
    <row r="47" spans="1:20">
      <c r="B47" s="350"/>
      <c r="C47" s="353" t="s">
        <v>30</v>
      </c>
      <c r="D47" s="174" t="s">
        <v>198</v>
      </c>
      <c r="E47" s="228">
        <v>6</v>
      </c>
      <c r="F47" s="195"/>
      <c r="G47" s="195">
        <f>E47+F47</f>
        <v>6</v>
      </c>
      <c r="H47" s="256">
        <v>5.9370000000000003</v>
      </c>
      <c r="I47" s="195">
        <f t="shared" si="33"/>
        <v>6.2999999999999723E-2</v>
      </c>
      <c r="J47" s="230">
        <f t="shared" si="34"/>
        <v>0.98950000000000005</v>
      </c>
      <c r="K47" s="261">
        <v>43645</v>
      </c>
      <c r="L47" s="379">
        <f>SUM(E47+E48+E49)</f>
        <v>12.5</v>
      </c>
      <c r="M47" s="381">
        <f>SUM(F47+F48+F49)</f>
        <v>0</v>
      </c>
      <c r="N47" s="381">
        <f>L47+M47</f>
        <v>12.5</v>
      </c>
      <c r="O47" s="381">
        <f>SUM(H47+H48+H49)</f>
        <v>9.8320000000000007</v>
      </c>
      <c r="P47" s="381">
        <f>N47-O47</f>
        <v>2.6679999999999993</v>
      </c>
      <c r="Q47" s="334">
        <f>O47/N47</f>
        <v>0.78656000000000004</v>
      </c>
      <c r="R47" s="4"/>
      <c r="S47" s="4"/>
    </row>
    <row r="48" spans="1:20">
      <c r="B48" s="377"/>
      <c r="C48" s="444"/>
      <c r="D48" s="174" t="s">
        <v>199</v>
      </c>
      <c r="E48" s="231">
        <v>0.1</v>
      </c>
      <c r="F48" s="232"/>
      <c r="G48" s="195">
        <f>E48+F48</f>
        <v>0.1</v>
      </c>
      <c r="H48" s="307">
        <v>0</v>
      </c>
      <c r="I48" s="195">
        <f t="shared" si="33"/>
        <v>0.1</v>
      </c>
      <c r="J48" s="230">
        <f t="shared" si="34"/>
        <v>0</v>
      </c>
      <c r="K48" s="176" t="s">
        <v>167</v>
      </c>
      <c r="L48" s="439"/>
      <c r="M48" s="441"/>
      <c r="N48" s="441"/>
      <c r="O48" s="441"/>
      <c r="P48" s="441"/>
      <c r="Q48" s="443"/>
      <c r="R48" s="4"/>
      <c r="S48" s="4"/>
    </row>
    <row r="49" spans="2:19" ht="15.75" thickBot="1">
      <c r="B49" s="351"/>
      <c r="C49" s="354"/>
      <c r="D49" s="175" t="s">
        <v>200</v>
      </c>
      <c r="E49" s="233">
        <v>6.4</v>
      </c>
      <c r="F49" s="196"/>
      <c r="G49" s="196">
        <f>E49+F49+I47</f>
        <v>6.4630000000000001</v>
      </c>
      <c r="H49" s="257">
        <v>3.895</v>
      </c>
      <c r="I49" s="196">
        <f t="shared" si="33"/>
        <v>2.5680000000000001</v>
      </c>
      <c r="J49" s="234">
        <f t="shared" si="34"/>
        <v>0.60266130280055696</v>
      </c>
      <c r="K49" s="78" t="s">
        <v>167</v>
      </c>
      <c r="L49" s="440"/>
      <c r="M49" s="442"/>
      <c r="N49" s="442"/>
      <c r="O49" s="442"/>
      <c r="P49" s="442"/>
      <c r="Q49" s="335"/>
      <c r="R49" s="10"/>
      <c r="S49" s="10"/>
    </row>
    <row r="50" spans="2:19" ht="15.95" customHeight="1" thickBot="1">
      <c r="B50" s="44"/>
      <c r="C50" s="71"/>
      <c r="D50" s="45"/>
      <c r="E50" s="45"/>
      <c r="F50" s="45"/>
      <c r="G50" s="45"/>
      <c r="H50" s="59"/>
      <c r="I50" s="168"/>
      <c r="J50" s="61"/>
      <c r="K50" s="47"/>
      <c r="L50" s="45"/>
      <c r="M50" s="45"/>
      <c r="N50" s="45"/>
      <c r="O50" s="45"/>
      <c r="P50" s="45"/>
      <c r="Q50" s="45"/>
      <c r="R50" s="12"/>
      <c r="S50" s="12"/>
    </row>
    <row r="51" spans="2:19">
      <c r="B51" s="44"/>
      <c r="C51" s="361" t="s">
        <v>25</v>
      </c>
      <c r="D51" s="268" t="s">
        <v>97</v>
      </c>
      <c r="E51" s="281">
        <f>E45+E47</f>
        <v>78.099999999999994</v>
      </c>
      <c r="F51" s="51"/>
      <c r="G51" s="51">
        <f>E51+F51</f>
        <v>78.099999999999994</v>
      </c>
      <c r="H51" s="52"/>
      <c r="I51" s="165">
        <f>G51-H51</f>
        <v>78.099999999999994</v>
      </c>
      <c r="J51" s="278">
        <f>(H51/G51)</f>
        <v>0</v>
      </c>
      <c r="K51" s="275" t="s">
        <v>167</v>
      </c>
      <c r="L51" s="340">
        <f>L45+L47</f>
        <v>156.69999999999999</v>
      </c>
      <c r="M51" s="340">
        <f>M45+M47</f>
        <v>0</v>
      </c>
      <c r="N51" s="340">
        <f>L51+M51</f>
        <v>156.69999999999999</v>
      </c>
      <c r="O51" s="340">
        <f>O45+O47</f>
        <v>165.07399999999998</v>
      </c>
      <c r="P51" s="340">
        <f>N51-O51</f>
        <v>-8.3739999999999952</v>
      </c>
      <c r="Q51" s="343">
        <f>O51/N51</f>
        <v>1.0534396936821953</v>
      </c>
      <c r="R51" s="12"/>
      <c r="S51" s="12"/>
    </row>
    <row r="52" spans="2:19">
      <c r="B52" s="44"/>
      <c r="C52" s="362"/>
      <c r="D52" s="284" t="s">
        <v>199</v>
      </c>
      <c r="E52" s="282">
        <f>E48</f>
        <v>0.1</v>
      </c>
      <c r="F52" s="41"/>
      <c r="G52" s="256">
        <f>E52+F52</f>
        <v>0.1</v>
      </c>
      <c r="H52" s="274"/>
      <c r="I52" s="164">
        <f>G52-H52</f>
        <v>0.1</v>
      </c>
      <c r="J52" s="279">
        <f>(H52/G52)</f>
        <v>0</v>
      </c>
      <c r="K52" s="276"/>
      <c r="L52" s="341"/>
      <c r="M52" s="341"/>
      <c r="N52" s="341"/>
      <c r="O52" s="341"/>
      <c r="P52" s="341"/>
      <c r="Q52" s="344"/>
      <c r="R52" s="12"/>
      <c r="S52" s="12"/>
    </row>
    <row r="53" spans="2:19" ht="15.75" thickBot="1">
      <c r="B53" s="44"/>
      <c r="C53" s="363"/>
      <c r="D53" s="267" t="s">
        <v>98</v>
      </c>
      <c r="E53" s="283">
        <f>E46+E49</f>
        <v>78.5</v>
      </c>
      <c r="F53" s="54"/>
      <c r="G53" s="54">
        <f>E53+F53</f>
        <v>78.5</v>
      </c>
      <c r="H53" s="55"/>
      <c r="I53" s="163">
        <f t="shared" si="33"/>
        <v>78.5</v>
      </c>
      <c r="J53" s="280">
        <f t="shared" si="34"/>
        <v>0</v>
      </c>
      <c r="K53" s="277" t="s">
        <v>167</v>
      </c>
      <c r="L53" s="342"/>
      <c r="M53" s="342"/>
      <c r="N53" s="342"/>
      <c r="O53" s="342"/>
      <c r="P53" s="342"/>
      <c r="Q53" s="345"/>
      <c r="R53" s="12"/>
      <c r="S53" s="12"/>
    </row>
    <row r="54" spans="2:19" ht="50.25" customHeight="1" thickBot="1">
      <c r="B54" s="44"/>
      <c r="C54" s="56"/>
      <c r="D54" s="57"/>
      <c r="E54" s="57"/>
      <c r="F54" s="57"/>
      <c r="G54" s="57"/>
      <c r="H54" s="60"/>
      <c r="I54" s="60"/>
      <c r="J54" s="79"/>
      <c r="K54" s="62"/>
      <c r="L54" s="80"/>
      <c r="M54" s="80"/>
      <c r="N54" s="80"/>
      <c r="O54" s="80"/>
      <c r="P54" s="80"/>
      <c r="Q54" s="81"/>
      <c r="R54" s="11"/>
      <c r="S54" s="11"/>
    </row>
    <row r="55" spans="2:19">
      <c r="B55" s="396" t="s">
        <v>1</v>
      </c>
      <c r="C55" s="396" t="s">
        <v>2</v>
      </c>
      <c r="D55" s="396" t="s">
        <v>3</v>
      </c>
      <c r="E55" s="432" t="s">
        <v>4</v>
      </c>
      <c r="F55" s="390" t="s">
        <v>5</v>
      </c>
      <c r="G55" s="390" t="s">
        <v>6</v>
      </c>
      <c r="H55" s="390" t="s">
        <v>7</v>
      </c>
      <c r="I55" s="390" t="s">
        <v>8</v>
      </c>
      <c r="J55" s="390" t="s">
        <v>9</v>
      </c>
      <c r="K55" s="388" t="s">
        <v>10</v>
      </c>
      <c r="L55" s="346" t="s">
        <v>0</v>
      </c>
      <c r="M55" s="347"/>
      <c r="N55" s="347"/>
      <c r="O55" s="347"/>
      <c r="P55" s="347"/>
      <c r="Q55" s="348"/>
      <c r="R55" s="4"/>
      <c r="S55" s="4"/>
    </row>
    <row r="56" spans="2:19" ht="33" customHeight="1" thickBot="1">
      <c r="B56" s="424"/>
      <c r="C56" s="424"/>
      <c r="D56" s="424"/>
      <c r="E56" s="433"/>
      <c r="F56" s="391"/>
      <c r="G56" s="391"/>
      <c r="H56" s="391"/>
      <c r="I56" s="391"/>
      <c r="J56" s="391"/>
      <c r="K56" s="389"/>
      <c r="L56" s="76" t="s">
        <v>11</v>
      </c>
      <c r="M56" s="64" t="s">
        <v>5</v>
      </c>
      <c r="N56" s="64" t="s">
        <v>6</v>
      </c>
      <c r="O56" s="64" t="s">
        <v>7</v>
      </c>
      <c r="P56" s="64" t="s">
        <v>8</v>
      </c>
      <c r="Q56" s="65" t="s">
        <v>9</v>
      </c>
      <c r="R56" s="4"/>
      <c r="S56" s="4"/>
    </row>
    <row r="57" spans="2:19">
      <c r="B57" s="349" t="s">
        <v>31</v>
      </c>
      <c r="C57" s="352" t="s">
        <v>32</v>
      </c>
      <c r="D57" s="66" t="s">
        <v>33</v>
      </c>
      <c r="E57" s="235">
        <v>10.3</v>
      </c>
      <c r="F57" s="194"/>
      <c r="G57" s="194">
        <f>E57+F57</f>
        <v>10.3</v>
      </c>
      <c r="H57" s="194">
        <v>4.9160000000000004</v>
      </c>
      <c r="I57" s="194">
        <f>G57-H57</f>
        <v>5.3840000000000003</v>
      </c>
      <c r="J57" s="211">
        <f>(H57/G57)</f>
        <v>0.47728155339805828</v>
      </c>
      <c r="K57" s="82" t="s">
        <v>167</v>
      </c>
      <c r="L57" s="355">
        <f>E57+E58+E59+E60+E61+E62+E63+E64+E65+E66+E67+E68</f>
        <v>112.5</v>
      </c>
      <c r="M57" s="358">
        <f>F57+F58+F59+F60+F61+F62+F63+F64+F65+F66+F67+F68</f>
        <v>0</v>
      </c>
      <c r="N57" s="358">
        <f>L57+M57</f>
        <v>112.5</v>
      </c>
      <c r="O57" s="358">
        <f>H57+H58+H59+H60+H61+H62+H63+H64+H65+H66+H67+H68</f>
        <v>51.445000000000007</v>
      </c>
      <c r="P57" s="358">
        <f>N57-O57</f>
        <v>61.054999999999993</v>
      </c>
      <c r="Q57" s="333">
        <f>O57/N57</f>
        <v>0.45728888888888897</v>
      </c>
      <c r="R57" s="4"/>
      <c r="S57" s="4"/>
    </row>
    <row r="58" spans="2:19">
      <c r="B58" s="350"/>
      <c r="C58" s="353"/>
      <c r="D58" s="68" t="s">
        <v>34</v>
      </c>
      <c r="E58" s="199">
        <v>10.199999999999999</v>
      </c>
      <c r="F58" s="195"/>
      <c r="G58" s="195">
        <f t="shared" ref="G58:G63" si="35">E58+F58+I57</f>
        <v>15.584</v>
      </c>
      <c r="H58" s="195">
        <v>3.1019999999999999</v>
      </c>
      <c r="I58" s="195">
        <f>G58-H58</f>
        <v>12.481999999999999</v>
      </c>
      <c r="J58" s="209">
        <f t="shared" ref="J58:J68" si="36">(H58/G58)</f>
        <v>0.19905030800821355</v>
      </c>
      <c r="K58" s="83" t="s">
        <v>167</v>
      </c>
      <c r="L58" s="356"/>
      <c r="M58" s="359"/>
      <c r="N58" s="359"/>
      <c r="O58" s="359"/>
      <c r="P58" s="359"/>
      <c r="Q58" s="334"/>
      <c r="R58" s="4"/>
      <c r="S58" s="4"/>
    </row>
    <row r="59" spans="2:19">
      <c r="B59" s="350"/>
      <c r="C59" s="353"/>
      <c r="D59" s="68" t="s">
        <v>35</v>
      </c>
      <c r="E59" s="199">
        <v>9</v>
      </c>
      <c r="F59" s="195"/>
      <c r="G59" s="195">
        <f t="shared" si="35"/>
        <v>21.481999999999999</v>
      </c>
      <c r="H59" s="195">
        <v>4.2290000000000001</v>
      </c>
      <c r="I59" s="195">
        <f t="shared" ref="I59:I68" si="37">G59-H59</f>
        <v>17.253</v>
      </c>
      <c r="J59" s="209">
        <f t="shared" si="36"/>
        <v>0.1968624895261149</v>
      </c>
      <c r="K59" s="83" t="s">
        <v>167</v>
      </c>
      <c r="L59" s="356"/>
      <c r="M59" s="359"/>
      <c r="N59" s="359"/>
      <c r="O59" s="359"/>
      <c r="P59" s="359"/>
      <c r="Q59" s="334"/>
      <c r="R59" s="4"/>
      <c r="S59" s="4"/>
    </row>
    <row r="60" spans="2:19">
      <c r="B60" s="350"/>
      <c r="C60" s="353"/>
      <c r="D60" s="68" t="s">
        <v>36</v>
      </c>
      <c r="E60" s="199">
        <v>9</v>
      </c>
      <c r="F60" s="195"/>
      <c r="G60" s="195">
        <f t="shared" si="35"/>
        <v>26.253</v>
      </c>
      <c r="H60" s="195">
        <v>8.3309999999999995</v>
      </c>
      <c r="I60" s="195">
        <f t="shared" si="37"/>
        <v>17.922000000000001</v>
      </c>
      <c r="J60" s="209">
        <f>(H60/G60)</f>
        <v>0.31733516169580617</v>
      </c>
      <c r="K60" s="83" t="s">
        <v>167</v>
      </c>
      <c r="L60" s="356"/>
      <c r="M60" s="359"/>
      <c r="N60" s="359"/>
      <c r="O60" s="359"/>
      <c r="P60" s="359"/>
      <c r="Q60" s="334"/>
      <c r="R60" s="4"/>
      <c r="S60" s="4"/>
    </row>
    <row r="61" spans="2:19">
      <c r="B61" s="350"/>
      <c r="C61" s="353"/>
      <c r="D61" s="68" t="s">
        <v>37</v>
      </c>
      <c r="E61" s="199">
        <v>9</v>
      </c>
      <c r="F61" s="195"/>
      <c r="G61" s="195">
        <f t="shared" si="35"/>
        <v>26.922000000000001</v>
      </c>
      <c r="H61" s="195">
        <v>5.1369999999999996</v>
      </c>
      <c r="I61" s="195">
        <f>G61-H61</f>
        <v>21.785</v>
      </c>
      <c r="J61" s="209">
        <f t="shared" si="36"/>
        <v>0.19081048956243962</v>
      </c>
      <c r="K61" s="83" t="s">
        <v>167</v>
      </c>
      <c r="L61" s="356"/>
      <c r="M61" s="359"/>
      <c r="N61" s="359"/>
      <c r="O61" s="359"/>
      <c r="P61" s="359"/>
      <c r="Q61" s="334"/>
      <c r="R61" s="4"/>
      <c r="S61" s="4"/>
    </row>
    <row r="62" spans="2:19">
      <c r="B62" s="350"/>
      <c r="C62" s="353"/>
      <c r="D62" s="68" t="s">
        <v>38</v>
      </c>
      <c r="E62" s="199">
        <v>9</v>
      </c>
      <c r="F62" s="195"/>
      <c r="G62" s="195">
        <f t="shared" si="35"/>
        <v>30.785</v>
      </c>
      <c r="H62" s="195">
        <v>6.3739999999999997</v>
      </c>
      <c r="I62" s="195">
        <f t="shared" si="37"/>
        <v>24.411000000000001</v>
      </c>
      <c r="J62" s="209">
        <f>(H62/G62)</f>
        <v>0.20704888744518432</v>
      </c>
      <c r="K62" s="83" t="s">
        <v>167</v>
      </c>
      <c r="L62" s="356"/>
      <c r="M62" s="359"/>
      <c r="N62" s="359"/>
      <c r="O62" s="359"/>
      <c r="P62" s="359"/>
      <c r="Q62" s="334"/>
      <c r="R62" s="4"/>
      <c r="S62" s="27">
        <v>1</v>
      </c>
    </row>
    <row r="63" spans="2:19">
      <c r="B63" s="350"/>
      <c r="C63" s="353"/>
      <c r="D63" s="68" t="s">
        <v>39</v>
      </c>
      <c r="E63" s="199">
        <v>9</v>
      </c>
      <c r="F63" s="195"/>
      <c r="G63" s="195">
        <f t="shared" si="35"/>
        <v>33.411000000000001</v>
      </c>
      <c r="H63" s="195">
        <v>4.609</v>
      </c>
      <c r="I63" s="195">
        <f t="shared" si="37"/>
        <v>28.802</v>
      </c>
      <c r="J63" s="209">
        <f t="shared" si="36"/>
        <v>0.13794857980904493</v>
      </c>
      <c r="K63" s="83" t="s">
        <v>167</v>
      </c>
      <c r="L63" s="356"/>
      <c r="M63" s="359"/>
      <c r="N63" s="359"/>
      <c r="O63" s="359"/>
      <c r="P63" s="359"/>
      <c r="Q63" s="334"/>
      <c r="R63" s="4"/>
      <c r="S63" s="4"/>
    </row>
    <row r="64" spans="2:19">
      <c r="B64" s="350"/>
      <c r="C64" s="353"/>
      <c r="D64" s="68" t="s">
        <v>40</v>
      </c>
      <c r="E64" s="199">
        <v>9</v>
      </c>
      <c r="F64" s="195"/>
      <c r="G64" s="195">
        <f>E64+F64+I63</f>
        <v>37.802</v>
      </c>
      <c r="H64" s="195">
        <v>3.407</v>
      </c>
      <c r="I64" s="195">
        <f t="shared" si="37"/>
        <v>34.394999999999996</v>
      </c>
      <c r="J64" s="209">
        <f t="shared" si="36"/>
        <v>9.012750648113857E-2</v>
      </c>
      <c r="K64" s="77" t="s">
        <v>167</v>
      </c>
      <c r="L64" s="356"/>
      <c r="M64" s="359"/>
      <c r="N64" s="359"/>
      <c r="O64" s="359"/>
      <c r="P64" s="359"/>
      <c r="Q64" s="334"/>
      <c r="R64" s="4"/>
      <c r="S64" s="4"/>
    </row>
    <row r="65" spans="2:19">
      <c r="B65" s="350"/>
      <c r="C65" s="353"/>
      <c r="D65" s="68" t="s">
        <v>41</v>
      </c>
      <c r="E65" s="199">
        <v>9</v>
      </c>
      <c r="F65" s="195"/>
      <c r="G65" s="195">
        <f>E65+F65+I64</f>
        <v>43.394999999999996</v>
      </c>
      <c r="H65" s="195">
        <v>3.7789999999999999</v>
      </c>
      <c r="I65" s="195">
        <f t="shared" si="37"/>
        <v>39.616</v>
      </c>
      <c r="J65" s="209">
        <f t="shared" si="36"/>
        <v>8.7083765410761613E-2</v>
      </c>
      <c r="K65" s="77" t="s">
        <v>167</v>
      </c>
      <c r="L65" s="356"/>
      <c r="M65" s="359"/>
      <c r="N65" s="359"/>
      <c r="O65" s="359"/>
      <c r="P65" s="359"/>
      <c r="Q65" s="334"/>
      <c r="R65" s="27">
        <v>1</v>
      </c>
      <c r="S65" s="4"/>
    </row>
    <row r="66" spans="2:19">
      <c r="B66" s="350"/>
      <c r="C66" s="353"/>
      <c r="D66" s="68" t="s">
        <v>42</v>
      </c>
      <c r="E66" s="199">
        <v>9</v>
      </c>
      <c r="F66" s="195"/>
      <c r="G66" s="195">
        <f>E66+F66+I65</f>
        <v>48.616</v>
      </c>
      <c r="H66" s="195">
        <v>3.262</v>
      </c>
      <c r="I66" s="195">
        <f t="shared" si="37"/>
        <v>45.353999999999999</v>
      </c>
      <c r="J66" s="209">
        <f t="shared" si="36"/>
        <v>6.7097251933519828E-2</v>
      </c>
      <c r="K66" s="77" t="s">
        <v>167</v>
      </c>
      <c r="L66" s="356"/>
      <c r="M66" s="359"/>
      <c r="N66" s="359"/>
      <c r="O66" s="359"/>
      <c r="P66" s="359"/>
      <c r="Q66" s="334"/>
      <c r="R66" s="4"/>
      <c r="S66" s="4"/>
    </row>
    <row r="67" spans="2:19">
      <c r="B67" s="350"/>
      <c r="C67" s="353"/>
      <c r="D67" s="68" t="s">
        <v>43</v>
      </c>
      <c r="E67" s="199">
        <v>10</v>
      </c>
      <c r="F67" s="195"/>
      <c r="G67" s="195">
        <f>E67+F67+I66</f>
        <v>55.353999999999999</v>
      </c>
      <c r="H67" s="195">
        <v>3.27</v>
      </c>
      <c r="I67" s="195">
        <f t="shared" si="37"/>
        <v>52.083999999999996</v>
      </c>
      <c r="J67" s="209">
        <f t="shared" si="36"/>
        <v>5.9074321638905955E-2</v>
      </c>
      <c r="K67" s="77" t="s">
        <v>167</v>
      </c>
      <c r="L67" s="356"/>
      <c r="M67" s="359"/>
      <c r="N67" s="359"/>
      <c r="O67" s="359"/>
      <c r="P67" s="359"/>
      <c r="Q67" s="334"/>
      <c r="R67" s="12"/>
      <c r="S67" s="12"/>
    </row>
    <row r="68" spans="2:19" ht="15.75" thickBot="1">
      <c r="B68" s="351"/>
      <c r="C68" s="354"/>
      <c r="D68" s="70" t="s">
        <v>44</v>
      </c>
      <c r="E68" s="236">
        <v>10</v>
      </c>
      <c r="F68" s="196"/>
      <c r="G68" s="196">
        <f>E68+F68+I67</f>
        <v>62.083999999999996</v>
      </c>
      <c r="H68" s="196">
        <v>1.0289999999999999</v>
      </c>
      <c r="I68" s="196">
        <f t="shared" si="37"/>
        <v>61.054999999999993</v>
      </c>
      <c r="J68" s="210">
        <f t="shared" si="36"/>
        <v>1.657431866503447E-2</v>
      </c>
      <c r="K68" s="78" t="s">
        <v>167</v>
      </c>
      <c r="L68" s="357"/>
      <c r="M68" s="360"/>
      <c r="N68" s="360"/>
      <c r="O68" s="360"/>
      <c r="P68" s="360"/>
      <c r="Q68" s="335"/>
      <c r="R68" s="10"/>
      <c r="S68" s="10"/>
    </row>
    <row r="69" spans="2:19" ht="15.95" customHeight="1" thickBot="1">
      <c r="B69" s="44"/>
      <c r="C69" s="71"/>
      <c r="D69" s="45"/>
      <c r="E69" s="45"/>
      <c r="F69" s="45"/>
      <c r="G69" s="169"/>
      <c r="H69" s="169"/>
      <c r="I69" s="169"/>
      <c r="J69" s="61"/>
      <c r="K69" s="47"/>
      <c r="L69" s="45"/>
      <c r="M69" s="45"/>
      <c r="N69" s="45"/>
      <c r="O69" s="45"/>
      <c r="P69" s="45"/>
      <c r="Q69" s="84"/>
      <c r="R69" s="10"/>
      <c r="S69" s="10"/>
    </row>
    <row r="70" spans="2:19" ht="15.75" thickBot="1">
      <c r="B70" s="85"/>
      <c r="C70" s="86" t="s">
        <v>25</v>
      </c>
      <c r="D70" s="87" t="s">
        <v>45</v>
      </c>
      <c r="E70" s="285">
        <f>SUM(E57+E58+E59+E60+E61+E62+E63+E64+E65+E66+E67+E68)</f>
        <v>112.5</v>
      </c>
      <c r="F70" s="286">
        <f>SUM(F57+F58+F59+F60+F61+F62+F63+F64+F65+F66+F67+F68)</f>
        <v>0</v>
      </c>
      <c r="G70" s="170">
        <f>E70+F70</f>
        <v>112.5</v>
      </c>
      <c r="H70" s="170"/>
      <c r="I70" s="170">
        <f>G70-H70</f>
        <v>112.5</v>
      </c>
      <c r="J70" s="185">
        <f>(H70/G70)</f>
        <v>0</v>
      </c>
      <c r="K70" s="88" t="s">
        <v>167</v>
      </c>
      <c r="L70" s="171">
        <f>E70</f>
        <v>112.5</v>
      </c>
      <c r="M70" s="172">
        <f>F70</f>
        <v>0</v>
      </c>
      <c r="N70" s="172">
        <f>L70+M70</f>
        <v>112.5</v>
      </c>
      <c r="O70" s="172">
        <f>H70</f>
        <v>0</v>
      </c>
      <c r="P70" s="172">
        <f>N70-O70</f>
        <v>112.5</v>
      </c>
      <c r="Q70" s="186">
        <f>O70/N70</f>
        <v>0</v>
      </c>
      <c r="R70" s="10"/>
      <c r="S70" s="10"/>
    </row>
    <row r="71" spans="2:19" ht="36.75" customHeight="1" thickBot="1">
      <c r="B71" s="44"/>
      <c r="C71" s="56"/>
      <c r="D71" s="56"/>
      <c r="E71" s="57"/>
      <c r="F71" s="57"/>
      <c r="G71" s="57"/>
      <c r="H71" s="57"/>
      <c r="I71" s="60"/>
      <c r="J71" s="60"/>
      <c r="K71" s="81"/>
      <c r="L71" s="62"/>
      <c r="M71" s="57"/>
      <c r="N71" s="57"/>
      <c r="O71" s="57"/>
      <c r="P71" s="60"/>
      <c r="Q71" s="60"/>
      <c r="R71" s="10"/>
      <c r="S71" s="10"/>
    </row>
    <row r="72" spans="2:19" ht="15" customHeight="1">
      <c r="B72" s="364" t="s">
        <v>46</v>
      </c>
      <c r="C72" s="365"/>
      <c r="D72" s="365"/>
      <c r="E72" s="365"/>
      <c r="F72" s="365"/>
      <c r="G72" s="365"/>
      <c r="H72" s="365"/>
      <c r="I72" s="365"/>
      <c r="J72" s="365"/>
      <c r="K72" s="370"/>
      <c r="L72" s="364" t="s">
        <v>0</v>
      </c>
      <c r="M72" s="365"/>
      <c r="N72" s="365"/>
      <c r="O72" s="365"/>
      <c r="P72" s="365"/>
      <c r="Q72" s="365"/>
      <c r="R72" s="10"/>
      <c r="S72" s="10"/>
    </row>
    <row r="73" spans="2:19" ht="15" customHeight="1">
      <c r="B73" s="366"/>
      <c r="C73" s="367"/>
      <c r="D73" s="367"/>
      <c r="E73" s="367"/>
      <c r="F73" s="367"/>
      <c r="G73" s="367"/>
      <c r="H73" s="367"/>
      <c r="I73" s="367"/>
      <c r="J73" s="367"/>
      <c r="K73" s="371"/>
      <c r="L73" s="366"/>
      <c r="M73" s="367"/>
      <c r="N73" s="367"/>
      <c r="O73" s="367"/>
      <c r="P73" s="367"/>
      <c r="Q73" s="367"/>
      <c r="R73" s="10"/>
      <c r="S73" s="10"/>
    </row>
    <row r="74" spans="2:19" ht="15" customHeight="1" thickBot="1">
      <c r="B74" s="368"/>
      <c r="C74" s="369"/>
      <c r="D74" s="369"/>
      <c r="E74" s="369"/>
      <c r="F74" s="369"/>
      <c r="G74" s="369"/>
      <c r="H74" s="369"/>
      <c r="I74" s="369"/>
      <c r="J74" s="369"/>
      <c r="K74" s="372"/>
      <c r="L74" s="368"/>
      <c r="M74" s="369"/>
      <c r="N74" s="369"/>
      <c r="O74" s="369"/>
      <c r="P74" s="369"/>
      <c r="Q74" s="369"/>
      <c r="R74" s="13"/>
      <c r="S74" s="13"/>
    </row>
    <row r="75" spans="2:19" ht="45.75" thickBot="1">
      <c r="B75" s="336" t="s">
        <v>1</v>
      </c>
      <c r="C75" s="337"/>
      <c r="D75" s="89" t="s">
        <v>3</v>
      </c>
      <c r="E75" s="90" t="s">
        <v>4</v>
      </c>
      <c r="F75" s="91" t="s">
        <v>5</v>
      </c>
      <c r="G75" s="91" t="s">
        <v>6</v>
      </c>
      <c r="H75" s="91" t="s">
        <v>7</v>
      </c>
      <c r="I75" s="91" t="s">
        <v>8</v>
      </c>
      <c r="J75" s="92" t="s">
        <v>9</v>
      </c>
      <c r="K75" s="93" t="s">
        <v>10</v>
      </c>
      <c r="L75" s="94" t="s">
        <v>11</v>
      </c>
      <c r="M75" s="95" t="s">
        <v>5</v>
      </c>
      <c r="N75" s="95" t="s">
        <v>6</v>
      </c>
      <c r="O75" s="95" t="s">
        <v>7</v>
      </c>
      <c r="P75" s="95" t="s">
        <v>8</v>
      </c>
      <c r="Q75" s="96" t="s">
        <v>9</v>
      </c>
      <c r="R75" s="14"/>
      <c r="S75" s="14"/>
    </row>
    <row r="76" spans="2:19">
      <c r="B76" s="338" t="s">
        <v>114</v>
      </c>
      <c r="C76" s="339"/>
      <c r="D76" s="97" t="s">
        <v>47</v>
      </c>
      <c r="E76" s="203">
        <v>22</v>
      </c>
      <c r="F76" s="204"/>
      <c r="G76" s="204">
        <f>E76+F76</f>
        <v>22</v>
      </c>
      <c r="H76" s="204">
        <v>0.379</v>
      </c>
      <c r="I76" s="204">
        <f>G76-H76</f>
        <v>21.620999999999999</v>
      </c>
      <c r="J76" s="187">
        <f>(H76/G76)</f>
        <v>1.7227272727272726E-2</v>
      </c>
      <c r="K76" s="98" t="s">
        <v>167</v>
      </c>
      <c r="L76" s="99">
        <f>E76</f>
        <v>22</v>
      </c>
      <c r="M76" s="100">
        <f>F76</f>
        <v>0</v>
      </c>
      <c r="N76" s="100">
        <f>L76-M76</f>
        <v>22</v>
      </c>
      <c r="O76" s="100">
        <f>H76</f>
        <v>0.379</v>
      </c>
      <c r="P76" s="100">
        <f>N76-O76</f>
        <v>21.620999999999999</v>
      </c>
      <c r="Q76" s="190">
        <f>O76/N76</f>
        <v>1.7227272727272726E-2</v>
      </c>
      <c r="R76" s="15"/>
      <c r="S76" s="15"/>
    </row>
    <row r="77" spans="2:19">
      <c r="B77" s="329" t="s">
        <v>48</v>
      </c>
      <c r="C77" s="330"/>
      <c r="D77" s="101" t="s">
        <v>47</v>
      </c>
      <c r="E77" s="205">
        <v>15</v>
      </c>
      <c r="F77" s="206"/>
      <c r="G77" s="206">
        <f t="shared" ref="G77:G80" si="38">E77+F77</f>
        <v>15</v>
      </c>
      <c r="H77" s="206"/>
      <c r="I77" s="206">
        <f t="shared" ref="I77:I80" si="39">G77-H77</f>
        <v>15</v>
      </c>
      <c r="J77" s="188">
        <f>H77/G77</f>
        <v>0</v>
      </c>
      <c r="K77" s="102" t="s">
        <v>167</v>
      </c>
      <c r="L77" s="103">
        <f>E77</f>
        <v>15</v>
      </c>
      <c r="M77" s="104">
        <f t="shared" ref="M77:P80" si="40">F77</f>
        <v>0</v>
      </c>
      <c r="N77" s="104">
        <f t="shared" si="40"/>
        <v>15</v>
      </c>
      <c r="O77" s="104">
        <f t="shared" si="40"/>
        <v>0</v>
      </c>
      <c r="P77" s="104">
        <f t="shared" si="40"/>
        <v>15</v>
      </c>
      <c r="Q77" s="191">
        <f>J77</f>
        <v>0</v>
      </c>
      <c r="R77" s="13"/>
      <c r="S77" s="13"/>
    </row>
    <row r="78" spans="2:19">
      <c r="B78" s="329" t="s">
        <v>49</v>
      </c>
      <c r="C78" s="330"/>
      <c r="D78" s="101" t="s">
        <v>47</v>
      </c>
      <c r="E78" s="205">
        <v>16</v>
      </c>
      <c r="F78" s="206"/>
      <c r="G78" s="206">
        <f t="shared" si="38"/>
        <v>16</v>
      </c>
      <c r="H78" s="206">
        <v>6.28</v>
      </c>
      <c r="I78" s="206">
        <f t="shared" si="39"/>
        <v>9.7199999999999989</v>
      </c>
      <c r="J78" s="188">
        <f>H78/G78</f>
        <v>0.39250000000000002</v>
      </c>
      <c r="K78" s="102" t="s">
        <v>167</v>
      </c>
      <c r="L78" s="103">
        <f>E78</f>
        <v>16</v>
      </c>
      <c r="M78" s="104">
        <f t="shared" si="40"/>
        <v>0</v>
      </c>
      <c r="N78" s="104">
        <f t="shared" si="40"/>
        <v>16</v>
      </c>
      <c r="O78" s="104">
        <f t="shared" si="40"/>
        <v>6.28</v>
      </c>
      <c r="P78" s="104">
        <f t="shared" si="40"/>
        <v>9.7199999999999989</v>
      </c>
      <c r="Q78" s="191">
        <f>J78</f>
        <v>0.39250000000000002</v>
      </c>
      <c r="R78" s="10"/>
      <c r="S78" s="10"/>
    </row>
    <row r="79" spans="2:19">
      <c r="B79" s="329" t="s">
        <v>50</v>
      </c>
      <c r="C79" s="330"/>
      <c r="D79" s="101" t="s">
        <v>47</v>
      </c>
      <c r="E79" s="205">
        <v>1.4</v>
      </c>
      <c r="F79" s="206"/>
      <c r="G79" s="206">
        <f t="shared" si="38"/>
        <v>1.4</v>
      </c>
      <c r="H79" s="206"/>
      <c r="I79" s="206">
        <f t="shared" si="39"/>
        <v>1.4</v>
      </c>
      <c r="J79" s="188">
        <f>H79/G79</f>
        <v>0</v>
      </c>
      <c r="K79" s="102" t="s">
        <v>167</v>
      </c>
      <c r="L79" s="103">
        <f>E79</f>
        <v>1.4</v>
      </c>
      <c r="M79" s="104">
        <f t="shared" si="40"/>
        <v>0</v>
      </c>
      <c r="N79" s="104">
        <f t="shared" si="40"/>
        <v>1.4</v>
      </c>
      <c r="O79" s="104">
        <f t="shared" si="40"/>
        <v>0</v>
      </c>
      <c r="P79" s="104">
        <f t="shared" si="40"/>
        <v>1.4</v>
      </c>
      <c r="Q79" s="191">
        <f>J79</f>
        <v>0</v>
      </c>
      <c r="R79" s="10"/>
      <c r="S79" s="10"/>
    </row>
    <row r="80" spans="2:19" ht="15.75" thickBot="1">
      <c r="B80" s="331" t="s">
        <v>51</v>
      </c>
      <c r="C80" s="332"/>
      <c r="D80" s="105" t="s">
        <v>47</v>
      </c>
      <c r="E80" s="207">
        <v>12.6</v>
      </c>
      <c r="F80" s="208"/>
      <c r="G80" s="208">
        <f t="shared" si="38"/>
        <v>12.6</v>
      </c>
      <c r="H80" s="208"/>
      <c r="I80" s="208">
        <f t="shared" si="39"/>
        <v>12.6</v>
      </c>
      <c r="J80" s="189">
        <f>H80/G80</f>
        <v>0</v>
      </c>
      <c r="K80" s="106" t="s">
        <v>167</v>
      </c>
      <c r="L80" s="107">
        <f>E80</f>
        <v>12.6</v>
      </c>
      <c r="M80" s="108">
        <f t="shared" si="40"/>
        <v>0</v>
      </c>
      <c r="N80" s="108">
        <f t="shared" si="40"/>
        <v>12.6</v>
      </c>
      <c r="O80" s="108">
        <f t="shared" si="40"/>
        <v>0</v>
      </c>
      <c r="P80" s="108">
        <f t="shared" si="40"/>
        <v>12.6</v>
      </c>
      <c r="Q80" s="192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58"/>
      <c r="C85" s="20"/>
    </row>
    <row r="86" spans="2:19">
      <c r="B86" s="258"/>
      <c r="C86" s="17"/>
    </row>
    <row r="87" spans="2:19">
      <c r="B87" s="258"/>
      <c r="C87" s="17"/>
    </row>
  </sheetData>
  <mergeCells count="191"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S43"/>
  <sheetViews>
    <sheetView zoomScale="90" zoomScaleNormal="90" workbookViewId="0">
      <selection activeCell="T37" sqref="T37"/>
    </sheetView>
  </sheetViews>
  <sheetFormatPr baseColWidth="10" defaultColWidth="11.42578125" defaultRowHeight="15"/>
  <cols>
    <col min="1" max="1" width="7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425" t="s">
        <v>207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7"/>
    </row>
    <row r="3" spans="2:19" s="17" customFormat="1" ht="16.5" thickBot="1">
      <c r="B3" s="317">
        <f>+'Resumen anual Congrio dorado'!B$3</f>
        <v>43829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56" t="s">
        <v>73</v>
      </c>
      <c r="C5" s="456" t="s">
        <v>74</v>
      </c>
      <c r="D5" s="457" t="s">
        <v>3</v>
      </c>
      <c r="E5" s="459" t="s">
        <v>71</v>
      </c>
      <c r="F5" s="459"/>
      <c r="G5" s="459"/>
      <c r="H5" s="459" t="s">
        <v>72</v>
      </c>
      <c r="I5" s="459"/>
      <c r="J5" s="459"/>
      <c r="K5" s="459" t="s">
        <v>159</v>
      </c>
      <c r="L5" s="459"/>
      <c r="M5" s="459"/>
      <c r="N5" s="459"/>
      <c r="O5" s="459"/>
      <c r="P5" s="459"/>
    </row>
    <row r="6" spans="2:19" s="16" customFormat="1" ht="58.5" customHeight="1">
      <c r="B6" s="456"/>
      <c r="C6" s="456"/>
      <c r="D6" s="457"/>
      <c r="E6" s="213" t="s">
        <v>197</v>
      </c>
      <c r="F6" s="213" t="s">
        <v>75</v>
      </c>
      <c r="G6" s="213" t="s">
        <v>6</v>
      </c>
      <c r="H6" s="214" t="s">
        <v>76</v>
      </c>
      <c r="I6" s="214" t="s">
        <v>77</v>
      </c>
      <c r="J6" s="214" t="s">
        <v>78</v>
      </c>
      <c r="K6" s="215" t="s">
        <v>79</v>
      </c>
      <c r="L6" s="214" t="s">
        <v>75</v>
      </c>
      <c r="M6" s="214" t="s">
        <v>6</v>
      </c>
      <c r="N6" s="214" t="s">
        <v>76</v>
      </c>
      <c r="O6" s="216" t="s">
        <v>77</v>
      </c>
      <c r="P6" s="217" t="s">
        <v>78</v>
      </c>
    </row>
    <row r="7" spans="2:19" s="17" customFormat="1" ht="15" customHeight="1">
      <c r="B7" s="460" t="s">
        <v>80</v>
      </c>
      <c r="C7" s="458" t="s">
        <v>154</v>
      </c>
      <c r="D7" s="218" t="s">
        <v>81</v>
      </c>
      <c r="E7" s="25">
        <f>10.245+3.3375</f>
        <v>13.5825</v>
      </c>
      <c r="F7" s="24">
        <f>-8.573</f>
        <v>-8.5730000000000004</v>
      </c>
      <c r="G7" s="25">
        <f>E7+F7</f>
        <v>5.0094999999999992</v>
      </c>
      <c r="H7" s="24"/>
      <c r="I7" s="25">
        <f>G7-H7</f>
        <v>5.0094999999999992</v>
      </c>
      <c r="J7" s="219">
        <f>H7/G7</f>
        <v>0</v>
      </c>
      <c r="K7" s="446">
        <f>E7+E8</f>
        <v>27.164999999999999</v>
      </c>
      <c r="L7" s="446">
        <f>F7+F8</f>
        <v>-8.5730000000000004</v>
      </c>
      <c r="M7" s="446">
        <f>K7+L7</f>
        <v>18.591999999999999</v>
      </c>
      <c r="N7" s="446">
        <f>H7+H8</f>
        <v>16.744</v>
      </c>
      <c r="O7" s="446">
        <f>M7-N7</f>
        <v>1.847999999999999</v>
      </c>
      <c r="P7" s="445">
        <f>N7/M7</f>
        <v>0.90060240963855431</v>
      </c>
    </row>
    <row r="8" spans="2:19" s="17" customFormat="1">
      <c r="B8" s="460"/>
      <c r="C8" s="458"/>
      <c r="D8" s="218" t="s">
        <v>85</v>
      </c>
      <c r="E8" s="25">
        <f>10.245+3.3375</f>
        <v>13.5825</v>
      </c>
      <c r="F8" s="25"/>
      <c r="G8" s="25">
        <f>E8+F8+I7</f>
        <v>18.591999999999999</v>
      </c>
      <c r="H8" s="24">
        <v>16.744</v>
      </c>
      <c r="I8" s="25">
        <f>G8-H8</f>
        <v>1.847999999999999</v>
      </c>
      <c r="J8" s="219">
        <f>H8/G8</f>
        <v>0.90060240963855431</v>
      </c>
      <c r="K8" s="446"/>
      <c r="L8" s="446"/>
      <c r="M8" s="446"/>
      <c r="N8" s="446"/>
      <c r="O8" s="446"/>
      <c r="P8" s="445"/>
      <c r="R8" s="22"/>
      <c r="S8" s="23"/>
    </row>
    <row r="9" spans="2:19" s="17" customFormat="1" ht="15" customHeight="1">
      <c r="B9" s="460"/>
      <c r="C9" s="458" t="s">
        <v>155</v>
      </c>
      <c r="D9" s="218" t="s">
        <v>81</v>
      </c>
      <c r="E9" s="25">
        <v>9.3620000000000001</v>
      </c>
      <c r="F9" s="24"/>
      <c r="G9" s="25">
        <f>E9+F9</f>
        <v>9.3620000000000001</v>
      </c>
      <c r="H9" s="24">
        <v>2.0049999999999999</v>
      </c>
      <c r="I9" s="25">
        <f t="shared" ref="I9:I22" si="0">G9-H9</f>
        <v>7.3570000000000002</v>
      </c>
      <c r="J9" s="219">
        <f t="shared" ref="J9:J16" si="1">H9/G9</f>
        <v>0.21416364024781029</v>
      </c>
      <c r="K9" s="446">
        <f>E9+E10</f>
        <v>18.724</v>
      </c>
      <c r="L9" s="446">
        <f t="shared" ref="L9" si="2">F9+F10</f>
        <v>25.001999999999999</v>
      </c>
      <c r="M9" s="446">
        <f t="shared" ref="M9" si="3">K9+L9</f>
        <v>43.725999999999999</v>
      </c>
      <c r="N9" s="446">
        <f>H9+H10</f>
        <v>43.133000000000003</v>
      </c>
      <c r="O9" s="446">
        <f t="shared" ref="O9" si="4">M9-N9</f>
        <v>0.59299999999999642</v>
      </c>
      <c r="P9" s="445">
        <f t="shared" ref="P9" si="5">N9/M9</f>
        <v>0.98643827471069856</v>
      </c>
    </row>
    <row r="10" spans="2:19" s="17" customFormat="1" ht="15.75" customHeight="1">
      <c r="B10" s="460"/>
      <c r="C10" s="458"/>
      <c r="D10" s="218" t="s">
        <v>85</v>
      </c>
      <c r="E10" s="25">
        <v>9.3620000000000001</v>
      </c>
      <c r="F10" s="24">
        <f>25.002</f>
        <v>25.001999999999999</v>
      </c>
      <c r="G10" s="25">
        <f>E10+F10+I9</f>
        <v>41.720999999999997</v>
      </c>
      <c r="H10" s="24">
        <v>41.128</v>
      </c>
      <c r="I10" s="25">
        <f t="shared" si="0"/>
        <v>0.59299999999999642</v>
      </c>
      <c r="J10" s="219">
        <f>H10/G10</f>
        <v>0.98578653435919572</v>
      </c>
      <c r="K10" s="446"/>
      <c r="L10" s="446"/>
      <c r="M10" s="446"/>
      <c r="N10" s="446"/>
      <c r="O10" s="446"/>
      <c r="P10" s="445"/>
    </row>
    <row r="11" spans="2:19" s="17" customFormat="1">
      <c r="B11" s="460"/>
      <c r="C11" s="458" t="s">
        <v>156</v>
      </c>
      <c r="D11" s="218" t="s">
        <v>81</v>
      </c>
      <c r="E11" s="25">
        <v>206.614</v>
      </c>
      <c r="F11" s="24"/>
      <c r="G11" s="25">
        <f>E11+F11</f>
        <v>206.614</v>
      </c>
      <c r="H11" s="24">
        <v>60.237000000000002</v>
      </c>
      <c r="I11" s="25">
        <f t="shared" si="0"/>
        <v>146.37700000000001</v>
      </c>
      <c r="J11" s="219">
        <f t="shared" si="1"/>
        <v>0.291543651446659</v>
      </c>
      <c r="K11" s="446">
        <f>E11+E12</f>
        <v>413.22800000000001</v>
      </c>
      <c r="L11" s="446">
        <f t="shared" ref="L11" si="6">F11+F12</f>
        <v>-42.265000000000001</v>
      </c>
      <c r="M11" s="446">
        <f t="shared" ref="M11" si="7">K11+L11</f>
        <v>370.96300000000002</v>
      </c>
      <c r="N11" s="446">
        <f t="shared" ref="N11" si="8">H11+H12</f>
        <v>366.78700000000003</v>
      </c>
      <c r="O11" s="446">
        <f t="shared" ref="O11" si="9">M11-N11</f>
        <v>4.1759999999999877</v>
      </c>
      <c r="P11" s="445">
        <f t="shared" ref="P11" si="10">N11/M11</f>
        <v>0.988742812625518</v>
      </c>
    </row>
    <row r="12" spans="2:19" s="17" customFormat="1">
      <c r="B12" s="460"/>
      <c r="C12" s="458"/>
      <c r="D12" s="218" t="s">
        <v>85</v>
      </c>
      <c r="E12" s="25">
        <v>206.614</v>
      </c>
      <c r="F12" s="25">
        <f>-25.002-46.004+28.741</f>
        <v>-42.265000000000001</v>
      </c>
      <c r="G12" s="25">
        <f>E12+F12+I11</f>
        <v>310.726</v>
      </c>
      <c r="H12" s="24">
        <v>306.55</v>
      </c>
      <c r="I12" s="25">
        <f t="shared" si="0"/>
        <v>4.1759999999999877</v>
      </c>
      <c r="J12" s="219">
        <f t="shared" si="1"/>
        <v>0.98656050668434569</v>
      </c>
      <c r="K12" s="446"/>
      <c r="L12" s="446"/>
      <c r="M12" s="446"/>
      <c r="N12" s="446"/>
      <c r="O12" s="446"/>
      <c r="P12" s="445"/>
    </row>
    <row r="13" spans="2:19" s="17" customFormat="1">
      <c r="B13" s="460"/>
      <c r="C13" s="458" t="s">
        <v>157</v>
      </c>
      <c r="D13" s="218" t="s">
        <v>81</v>
      </c>
      <c r="E13" s="25">
        <f>10.718+3.338</f>
        <v>14.056000000000001</v>
      </c>
      <c r="F13" s="24">
        <f>8.573</f>
        <v>8.5730000000000004</v>
      </c>
      <c r="G13" s="25">
        <f t="shared" ref="G13" si="11">E13+F13</f>
        <v>22.629000000000001</v>
      </c>
      <c r="H13" s="24"/>
      <c r="I13" s="25">
        <f t="shared" si="0"/>
        <v>22.629000000000001</v>
      </c>
      <c r="J13" s="219">
        <f t="shared" si="1"/>
        <v>0</v>
      </c>
      <c r="K13" s="446">
        <f>E13+E14</f>
        <v>28.112000000000002</v>
      </c>
      <c r="L13" s="446">
        <f t="shared" ref="L13" si="12">F13+F14</f>
        <v>-20.167999999999999</v>
      </c>
      <c r="M13" s="446">
        <f t="shared" ref="M13" si="13">K13+L13</f>
        <v>7.9440000000000026</v>
      </c>
      <c r="N13" s="446">
        <f t="shared" ref="N13" si="14">H13+H14</f>
        <v>7.9429999999999996</v>
      </c>
      <c r="O13" s="446">
        <f t="shared" ref="O13" si="15">M13-N13</f>
        <v>1.0000000000029985E-3</v>
      </c>
      <c r="P13" s="445">
        <f t="shared" ref="P13" si="16">N13/M13</f>
        <v>0.99987411883182242</v>
      </c>
    </row>
    <row r="14" spans="2:19" s="17" customFormat="1">
      <c r="B14" s="460"/>
      <c r="C14" s="458"/>
      <c r="D14" s="218" t="s">
        <v>85</v>
      </c>
      <c r="E14" s="25">
        <f>10.718+3.338</f>
        <v>14.056000000000001</v>
      </c>
      <c r="F14" s="24">
        <f>-28.741</f>
        <v>-28.741</v>
      </c>
      <c r="G14" s="25">
        <f t="shared" ref="G14" si="17">E14+F14+I13</f>
        <v>7.9440000000000026</v>
      </c>
      <c r="H14" s="24">
        <v>7.9429999999999996</v>
      </c>
      <c r="I14" s="25">
        <f t="shared" si="0"/>
        <v>1.0000000000029985E-3</v>
      </c>
      <c r="J14" s="219">
        <f t="shared" si="1"/>
        <v>0.99987411883182242</v>
      </c>
      <c r="K14" s="446"/>
      <c r="L14" s="446"/>
      <c r="M14" s="446"/>
      <c r="N14" s="446"/>
      <c r="O14" s="446"/>
      <c r="P14" s="445"/>
    </row>
    <row r="15" spans="2:19" s="17" customFormat="1">
      <c r="B15" s="460"/>
      <c r="C15" s="458" t="s">
        <v>158</v>
      </c>
      <c r="D15" s="218" t="s">
        <v>81</v>
      </c>
      <c r="E15" s="25">
        <v>16.684999999999999</v>
      </c>
      <c r="F15" s="24"/>
      <c r="G15" s="25">
        <f t="shared" ref="G15" si="18">E15+F15</f>
        <v>16.684999999999999</v>
      </c>
      <c r="H15" s="24">
        <v>1.9350000000000001</v>
      </c>
      <c r="I15" s="25">
        <f t="shared" si="0"/>
        <v>14.749999999999998</v>
      </c>
      <c r="J15" s="219">
        <f t="shared" si="1"/>
        <v>0.1159724303266407</v>
      </c>
      <c r="K15" s="446">
        <f>E15+E16</f>
        <v>33.369999999999997</v>
      </c>
      <c r="L15" s="446">
        <f t="shared" ref="L15" si="19">F15+F16</f>
        <v>46.003999999999998</v>
      </c>
      <c r="M15" s="446">
        <f t="shared" ref="M15" si="20">K15+L15</f>
        <v>79.373999999999995</v>
      </c>
      <c r="N15" s="446">
        <f t="shared" ref="N15" si="21">H15+H16</f>
        <v>66.125</v>
      </c>
      <c r="O15" s="446">
        <f t="shared" ref="O15" si="22">M15-N15</f>
        <v>13.248999999999995</v>
      </c>
      <c r="P15" s="445">
        <f>N15/M15</f>
        <v>0.83308136165495006</v>
      </c>
    </row>
    <row r="16" spans="2:19" s="17" customFormat="1">
      <c r="B16" s="460"/>
      <c r="C16" s="458"/>
      <c r="D16" s="218" t="s">
        <v>85</v>
      </c>
      <c r="E16" s="25">
        <v>16.684999999999999</v>
      </c>
      <c r="F16" s="24">
        <f>46.004</f>
        <v>46.003999999999998</v>
      </c>
      <c r="G16" s="25">
        <f t="shared" ref="G16" si="23">E16+F16+I15</f>
        <v>77.438999999999993</v>
      </c>
      <c r="H16" s="24">
        <v>64.19</v>
      </c>
      <c r="I16" s="25">
        <f t="shared" si="0"/>
        <v>13.248999999999995</v>
      </c>
      <c r="J16" s="219">
        <f t="shared" si="1"/>
        <v>0.82891049729464483</v>
      </c>
      <c r="K16" s="446"/>
      <c r="L16" s="446"/>
      <c r="M16" s="446"/>
      <c r="N16" s="446"/>
      <c r="O16" s="446"/>
      <c r="P16" s="445"/>
    </row>
    <row r="17" spans="2:16" s="17" customFormat="1" ht="15" customHeight="1">
      <c r="B17" s="460"/>
      <c r="C17" s="458" t="s">
        <v>196</v>
      </c>
      <c r="D17" s="218" t="s">
        <v>81</v>
      </c>
      <c r="E17" s="25">
        <v>2.5350000000000001E-2</v>
      </c>
      <c r="F17" s="24"/>
      <c r="G17" s="25">
        <f>E17+F17</f>
        <v>2.5350000000000001E-2</v>
      </c>
      <c r="H17" s="24"/>
      <c r="I17" s="25">
        <f>G17-H17</f>
        <v>2.5350000000000001E-2</v>
      </c>
      <c r="J17" s="219">
        <f t="shared" ref="J17:J23" si="24">H17/G17</f>
        <v>0</v>
      </c>
      <c r="K17" s="446">
        <f>E17+E18</f>
        <v>5.0700000000000002E-2</v>
      </c>
      <c r="L17" s="446">
        <f>F17+F18</f>
        <v>0</v>
      </c>
      <c r="M17" s="446">
        <f t="shared" ref="M17" si="25">K17+L17</f>
        <v>5.0700000000000002E-2</v>
      </c>
      <c r="N17" s="446">
        <f>H17+H18</f>
        <v>0</v>
      </c>
      <c r="O17" s="446">
        <f t="shared" ref="O17" si="26">M17-N17</f>
        <v>5.0700000000000002E-2</v>
      </c>
      <c r="P17" s="445">
        <f>N17/M17</f>
        <v>0</v>
      </c>
    </row>
    <row r="18" spans="2:16" s="17" customFormat="1">
      <c r="B18" s="460"/>
      <c r="C18" s="458"/>
      <c r="D18" s="218" t="s">
        <v>85</v>
      </c>
      <c r="E18" s="25">
        <v>2.5350000000000001E-2</v>
      </c>
      <c r="F18" s="24"/>
      <c r="G18" s="25">
        <f>E18+F18+I17</f>
        <v>5.0700000000000002E-2</v>
      </c>
      <c r="H18" s="24"/>
      <c r="I18" s="25">
        <f t="shared" si="0"/>
        <v>5.0700000000000002E-2</v>
      </c>
      <c r="J18" s="219">
        <f t="shared" si="24"/>
        <v>0</v>
      </c>
      <c r="K18" s="446"/>
      <c r="L18" s="446"/>
      <c r="M18" s="446"/>
      <c r="N18" s="446"/>
      <c r="O18" s="446"/>
      <c r="P18" s="445"/>
    </row>
    <row r="19" spans="2:16" s="17" customFormat="1">
      <c r="B19" s="460"/>
      <c r="C19" s="452" t="s">
        <v>210</v>
      </c>
      <c r="D19" s="218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19">
        <f t="shared" si="24"/>
        <v>0</v>
      </c>
      <c r="K19" s="446">
        <f>E19+E20</f>
        <v>10.0128</v>
      </c>
      <c r="L19" s="446">
        <f>F19+F20</f>
        <v>0</v>
      </c>
      <c r="M19" s="446">
        <f t="shared" ref="M19" si="27">K19+L19</f>
        <v>10.0128</v>
      </c>
      <c r="N19" s="446">
        <f>H19+H20</f>
        <v>0</v>
      </c>
      <c r="O19" s="446">
        <f t="shared" ref="O19" si="28">M19-N19</f>
        <v>10.0128</v>
      </c>
      <c r="P19" s="445">
        <f>N19/M19</f>
        <v>0</v>
      </c>
    </row>
    <row r="20" spans="2:16" s="17" customFormat="1">
      <c r="B20" s="460"/>
      <c r="C20" s="453"/>
      <c r="D20" s="218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19">
        <f t="shared" si="24"/>
        <v>0</v>
      </c>
      <c r="K20" s="446"/>
      <c r="L20" s="446"/>
      <c r="M20" s="446"/>
      <c r="N20" s="446"/>
      <c r="O20" s="446"/>
      <c r="P20" s="445"/>
    </row>
    <row r="21" spans="2:16" s="17" customFormat="1">
      <c r="B21" s="460"/>
      <c r="C21" s="452" t="s">
        <v>211</v>
      </c>
      <c r="D21" s="218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19">
        <f t="shared" si="24"/>
        <v>0</v>
      </c>
      <c r="K21" s="446">
        <f>E21+E22</f>
        <v>3.3376000000000001</v>
      </c>
      <c r="L21" s="446">
        <f>F21+F22</f>
        <v>0</v>
      </c>
      <c r="M21" s="446">
        <f t="shared" ref="M21" si="29">K21+L21</f>
        <v>3.3376000000000001</v>
      </c>
      <c r="N21" s="446">
        <f>H21+H22</f>
        <v>0</v>
      </c>
      <c r="O21" s="446">
        <f t="shared" ref="O21" si="30">M21-N21</f>
        <v>3.3376000000000001</v>
      </c>
      <c r="P21" s="445">
        <f>N21/M21</f>
        <v>0</v>
      </c>
    </row>
    <row r="22" spans="2:16" s="17" customFormat="1">
      <c r="B22" s="460"/>
      <c r="C22" s="453"/>
      <c r="D22" s="218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19">
        <f t="shared" si="24"/>
        <v>0</v>
      </c>
      <c r="K22" s="446"/>
      <c r="L22" s="446"/>
      <c r="M22" s="446"/>
      <c r="N22" s="446"/>
      <c r="O22" s="446"/>
      <c r="P22" s="445"/>
    </row>
    <row r="23" spans="2:16" s="17" customFormat="1" ht="17.25" customHeight="1">
      <c r="B23" s="460"/>
      <c r="C23" s="461" t="s">
        <v>201</v>
      </c>
      <c r="D23" s="461"/>
      <c r="E23" s="223">
        <f>SUM(E7:E22)</f>
        <v>534.00009999999997</v>
      </c>
      <c r="F23" s="223">
        <f t="shared" ref="F23:H23" si="31">SUM(F7:F22)</f>
        <v>0</v>
      </c>
      <c r="G23" s="223">
        <f t="shared" si="31"/>
        <v>736.82314999999983</v>
      </c>
      <c r="H23" s="222">
        <f t="shared" si="31"/>
        <v>500.73199999999997</v>
      </c>
      <c r="I23" s="223">
        <f>SUM(I7:I22)</f>
        <v>236.09115000000003</v>
      </c>
      <c r="J23" s="220">
        <f t="shared" si="24"/>
        <v>0.67958233939853829</v>
      </c>
      <c r="K23" s="223">
        <f>SUM(K7:K22)</f>
        <v>534.00009999999997</v>
      </c>
      <c r="L23" s="223">
        <f t="shared" ref="L23:O23" si="32">SUM(L7:L22)</f>
        <v>-7.1054273576010019E-15</v>
      </c>
      <c r="M23" s="223">
        <f t="shared" si="32"/>
        <v>534.00009999999997</v>
      </c>
      <c r="N23" s="223">
        <f>SUM(N7:N22)</f>
        <v>500.73200000000003</v>
      </c>
      <c r="O23" s="223">
        <f t="shared" si="32"/>
        <v>33.268099999999983</v>
      </c>
      <c r="P23" s="220">
        <f>N23/M23</f>
        <v>0.93770019893254708</v>
      </c>
    </row>
    <row r="24" spans="2:16" s="17" customFormat="1" ht="17.25" customHeight="1">
      <c r="B24" s="18"/>
      <c r="C24" s="19"/>
      <c r="D24" s="20"/>
      <c r="E24" s="20"/>
      <c r="F24" s="155"/>
      <c r="G24" s="20"/>
      <c r="H24" s="20"/>
      <c r="I24" s="20"/>
      <c r="J24" s="21"/>
      <c r="K24" s="20"/>
      <c r="L24" s="20"/>
      <c r="M24" s="20"/>
      <c r="N24" s="20"/>
      <c r="O24" s="20"/>
      <c r="P24" s="221"/>
    </row>
    <row r="25" spans="2:16" s="17" customFormat="1" ht="17.25" customHeight="1">
      <c r="B25" s="18"/>
      <c r="C25" s="19"/>
      <c r="D25" s="20"/>
      <c r="E25" s="20"/>
      <c r="F25" s="155"/>
      <c r="G25" s="20"/>
      <c r="H25" s="20"/>
      <c r="I25" s="20"/>
      <c r="J25" s="21"/>
      <c r="K25" s="20"/>
      <c r="L25" s="20"/>
      <c r="M25" s="20"/>
      <c r="N25" s="20"/>
      <c r="O25" s="20"/>
      <c r="P25" s="221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56" t="s">
        <v>73</v>
      </c>
      <c r="C27" s="456" t="s">
        <v>74</v>
      </c>
      <c r="D27" s="457" t="s">
        <v>3</v>
      </c>
      <c r="E27" s="459" t="s">
        <v>71</v>
      </c>
      <c r="F27" s="459"/>
      <c r="G27" s="459"/>
      <c r="H27" s="459" t="s">
        <v>72</v>
      </c>
      <c r="I27" s="459"/>
      <c r="J27" s="459"/>
      <c r="K27" s="459" t="s">
        <v>159</v>
      </c>
      <c r="L27" s="459"/>
      <c r="M27" s="459"/>
      <c r="N27" s="459"/>
      <c r="O27" s="459"/>
      <c r="P27" s="459"/>
    </row>
    <row r="28" spans="2:16" s="17" customFormat="1" ht="51">
      <c r="B28" s="456"/>
      <c r="C28" s="456"/>
      <c r="D28" s="457"/>
      <c r="E28" s="213" t="s">
        <v>197</v>
      </c>
      <c r="F28" s="213"/>
      <c r="G28" s="213" t="s">
        <v>6</v>
      </c>
      <c r="H28" s="214" t="s">
        <v>76</v>
      </c>
      <c r="I28" s="214" t="s">
        <v>77</v>
      </c>
      <c r="J28" s="214" t="s">
        <v>78</v>
      </c>
      <c r="K28" s="215" t="s">
        <v>79</v>
      </c>
      <c r="L28" s="214" t="s">
        <v>75</v>
      </c>
      <c r="M28" s="214" t="s">
        <v>6</v>
      </c>
      <c r="N28" s="214" t="s">
        <v>76</v>
      </c>
      <c r="O28" s="216" t="s">
        <v>77</v>
      </c>
      <c r="P28" s="217" t="s">
        <v>78</v>
      </c>
    </row>
    <row r="29" spans="2:16" s="17" customFormat="1" ht="15" customHeight="1">
      <c r="B29" s="447" t="s">
        <v>89</v>
      </c>
      <c r="C29" s="458" t="s">
        <v>90</v>
      </c>
      <c r="D29" s="218" t="s">
        <v>81</v>
      </c>
      <c r="E29" s="24">
        <f>14.157+0.8625</f>
        <v>15.019500000000001</v>
      </c>
      <c r="F29" s="24">
        <f>-12.901</f>
        <v>-12.901</v>
      </c>
      <c r="G29" s="24">
        <f>E29+F29</f>
        <v>2.1185000000000009</v>
      </c>
      <c r="H29" s="24"/>
      <c r="I29" s="25">
        <f>G29-H29</f>
        <v>2.1185000000000009</v>
      </c>
      <c r="J29" s="219">
        <f>H29/G29</f>
        <v>0</v>
      </c>
      <c r="K29" s="446">
        <f>E29+E30</f>
        <v>30.2575</v>
      </c>
      <c r="L29" s="446">
        <f>F29+F30</f>
        <v>-12.901</v>
      </c>
      <c r="M29" s="446">
        <f>K29+L29</f>
        <v>17.3565</v>
      </c>
      <c r="N29" s="446">
        <f>H29+H30</f>
        <v>17.082000000000001</v>
      </c>
      <c r="O29" s="446">
        <f>M29-N29</f>
        <v>0.27449999999999974</v>
      </c>
      <c r="P29" s="445">
        <f>N29/M29</f>
        <v>0.98418459942960856</v>
      </c>
    </row>
    <row r="30" spans="2:16" s="17" customFormat="1">
      <c r="B30" s="448"/>
      <c r="C30" s="458"/>
      <c r="D30" s="218" t="s">
        <v>85</v>
      </c>
      <c r="E30" s="24">
        <f>14.363+0.875</f>
        <v>15.238</v>
      </c>
      <c r="F30" s="24"/>
      <c r="G30" s="24">
        <f>E30+F30+I29</f>
        <v>17.3565</v>
      </c>
      <c r="H30" s="24">
        <v>17.082000000000001</v>
      </c>
      <c r="I30" s="25">
        <f t="shared" ref="I30:I42" si="33">G30-H30</f>
        <v>0.27449999999999974</v>
      </c>
      <c r="J30" s="219">
        <f>H30/G30</f>
        <v>0.98418459942960856</v>
      </c>
      <c r="K30" s="446"/>
      <c r="L30" s="446"/>
      <c r="M30" s="446"/>
      <c r="N30" s="446"/>
      <c r="O30" s="446"/>
      <c r="P30" s="445"/>
    </row>
    <row r="31" spans="2:16" s="17" customFormat="1" ht="15" customHeight="1">
      <c r="B31" s="448"/>
      <c r="C31" s="458" t="s">
        <v>91</v>
      </c>
      <c r="D31" s="218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3"/>
        <v>0.21299999999999999</v>
      </c>
      <c r="J31" s="219">
        <f t="shared" ref="J31:J43" si="34">H31/G31</f>
        <v>0</v>
      </c>
      <c r="K31" s="446">
        <f>E31+E32</f>
        <v>0.42899999999999999</v>
      </c>
      <c r="L31" s="446">
        <f t="shared" ref="L31" si="35">F31+F32</f>
        <v>0</v>
      </c>
      <c r="M31" s="446">
        <f t="shared" ref="M31" si="36">K31+L31</f>
        <v>0.42899999999999999</v>
      </c>
      <c r="N31" s="446">
        <f t="shared" ref="N31" si="37">H31+H32</f>
        <v>0</v>
      </c>
      <c r="O31" s="446">
        <f t="shared" ref="O31" si="38">M31-N31</f>
        <v>0.42899999999999999</v>
      </c>
      <c r="P31" s="445">
        <f t="shared" ref="P31" si="39">N31/M31</f>
        <v>0</v>
      </c>
    </row>
    <row r="32" spans="2:16" s="17" customFormat="1" ht="15.75" customHeight="1">
      <c r="B32" s="448"/>
      <c r="C32" s="458"/>
      <c r="D32" s="218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3"/>
        <v>0.42899999999999999</v>
      </c>
      <c r="J32" s="219">
        <f t="shared" si="34"/>
        <v>0</v>
      </c>
      <c r="K32" s="446"/>
      <c r="L32" s="446"/>
      <c r="M32" s="446"/>
      <c r="N32" s="446"/>
      <c r="O32" s="446"/>
      <c r="P32" s="445"/>
    </row>
    <row r="33" spans="2:16" s="17" customFormat="1">
      <c r="B33" s="448"/>
      <c r="C33" s="458" t="s">
        <v>93</v>
      </c>
      <c r="D33" s="218" t="s">
        <v>81</v>
      </c>
      <c r="E33" s="24">
        <v>42.338999999999999</v>
      </c>
      <c r="F33" s="24"/>
      <c r="G33" s="24">
        <f>E33+F33</f>
        <v>42.338999999999999</v>
      </c>
      <c r="H33" s="24">
        <f>21.172-4.064</f>
        <v>17.108000000000001</v>
      </c>
      <c r="I33" s="25">
        <f t="shared" si="33"/>
        <v>25.230999999999998</v>
      </c>
      <c r="J33" s="219">
        <f t="shared" si="34"/>
        <v>0.40407189588795206</v>
      </c>
      <c r="K33" s="446">
        <f>E33+E34</f>
        <v>85.292000000000002</v>
      </c>
      <c r="L33" s="446">
        <f t="shared" ref="L33" si="40">F33+F34</f>
        <v>0</v>
      </c>
      <c r="M33" s="446">
        <f t="shared" ref="M33" si="41">K33+L33</f>
        <v>85.292000000000002</v>
      </c>
      <c r="N33" s="446">
        <f t="shared" ref="N33" si="42">H33+H34</f>
        <v>76.171000000000006</v>
      </c>
      <c r="O33" s="446">
        <f t="shared" ref="O33" si="43">M33-N33</f>
        <v>9.1209999999999951</v>
      </c>
      <c r="P33" s="445">
        <f t="shared" ref="P33" si="44">N33/M33</f>
        <v>0.89306148290578258</v>
      </c>
    </row>
    <row r="34" spans="2:16" s="17" customFormat="1">
      <c r="B34" s="448"/>
      <c r="C34" s="458"/>
      <c r="D34" s="218" t="s">
        <v>85</v>
      </c>
      <c r="E34" s="24">
        <v>42.953000000000003</v>
      </c>
      <c r="F34" s="24"/>
      <c r="G34" s="24">
        <f>E34+F34+I33</f>
        <v>68.183999999999997</v>
      </c>
      <c r="H34" s="24">
        <v>59.063000000000002</v>
      </c>
      <c r="I34" s="25">
        <f t="shared" si="33"/>
        <v>9.1209999999999951</v>
      </c>
      <c r="J34" s="219">
        <f t="shared" si="34"/>
        <v>0.86622961398568588</v>
      </c>
      <c r="K34" s="446"/>
      <c r="L34" s="446"/>
      <c r="M34" s="446"/>
      <c r="N34" s="446"/>
      <c r="O34" s="446"/>
      <c r="P34" s="445"/>
    </row>
    <row r="35" spans="2:16" s="17" customFormat="1">
      <c r="B35" s="448"/>
      <c r="C35" s="458" t="s">
        <v>88</v>
      </c>
      <c r="D35" s="218" t="s">
        <v>81</v>
      </c>
      <c r="E35" s="24">
        <f>8.736+0.8625</f>
        <v>9.5985000000000014</v>
      </c>
      <c r="F35" s="24">
        <f>12.901</f>
        <v>12.901</v>
      </c>
      <c r="G35" s="24">
        <f t="shared" ref="G35" si="45">E35+F35</f>
        <v>22.499500000000001</v>
      </c>
      <c r="H35" s="24"/>
      <c r="I35" s="25">
        <f t="shared" si="33"/>
        <v>22.499500000000001</v>
      </c>
      <c r="J35" s="219">
        <f t="shared" si="34"/>
        <v>0</v>
      </c>
      <c r="K35" s="446">
        <f>E35+E36</f>
        <v>19.335500000000003</v>
      </c>
      <c r="L35" s="446">
        <f t="shared" ref="L35" si="46">F35+F36</f>
        <v>12.901</v>
      </c>
      <c r="M35" s="446">
        <f t="shared" ref="M35" si="47">K35+L35</f>
        <v>32.236500000000007</v>
      </c>
      <c r="N35" s="446">
        <f t="shared" ref="N35" si="48">H35+H36</f>
        <v>24.309000000000001</v>
      </c>
      <c r="O35" s="446">
        <f t="shared" ref="O35" si="49">M35-N35</f>
        <v>7.9275000000000055</v>
      </c>
      <c r="P35" s="445">
        <f t="shared" ref="P35" si="50">N35/M35</f>
        <v>0.75408310455539518</v>
      </c>
    </row>
    <row r="36" spans="2:16" s="17" customFormat="1">
      <c r="B36" s="448"/>
      <c r="C36" s="458"/>
      <c r="D36" s="218" t="s">
        <v>85</v>
      </c>
      <c r="E36" s="24">
        <f>8.862+0.875</f>
        <v>9.7370000000000001</v>
      </c>
      <c r="F36" s="24"/>
      <c r="G36" s="24">
        <f t="shared" ref="G36" si="51">E36+F36+I35</f>
        <v>32.236499999999999</v>
      </c>
      <c r="H36" s="24">
        <v>24.309000000000001</v>
      </c>
      <c r="I36" s="25">
        <f t="shared" si="33"/>
        <v>7.9274999999999984</v>
      </c>
      <c r="J36" s="219">
        <f t="shared" si="34"/>
        <v>0.75408310455539529</v>
      </c>
      <c r="K36" s="446"/>
      <c r="L36" s="446"/>
      <c r="M36" s="446"/>
      <c r="N36" s="446"/>
      <c r="O36" s="446"/>
      <c r="P36" s="445"/>
    </row>
    <row r="37" spans="2:16" s="17" customFormat="1">
      <c r="B37" s="448"/>
      <c r="C37" s="458" t="s">
        <v>94</v>
      </c>
      <c r="D37" s="218" t="s">
        <v>81</v>
      </c>
      <c r="E37" s="25">
        <v>0.105</v>
      </c>
      <c r="F37" s="24"/>
      <c r="G37" s="24">
        <f t="shared" ref="G37:G41" si="52">E37+F37</f>
        <v>0.105</v>
      </c>
      <c r="H37" s="24"/>
      <c r="I37" s="25">
        <f t="shared" si="33"/>
        <v>0.105</v>
      </c>
      <c r="J37" s="219">
        <f t="shared" si="34"/>
        <v>0</v>
      </c>
      <c r="K37" s="446">
        <f>E37+E38</f>
        <v>0.21099999999999999</v>
      </c>
      <c r="L37" s="446">
        <f t="shared" ref="L37" si="53">F37+F38</f>
        <v>0</v>
      </c>
      <c r="M37" s="446">
        <f t="shared" ref="M37" si="54">K37+L37</f>
        <v>0.21099999999999999</v>
      </c>
      <c r="N37" s="446">
        <f t="shared" ref="N37" si="55">H37+H38</f>
        <v>0.125</v>
      </c>
      <c r="O37" s="446">
        <f t="shared" ref="O37" si="56">M37-N37</f>
        <v>8.5999999999999993E-2</v>
      </c>
      <c r="P37" s="445">
        <f t="shared" ref="P37" si="57">N37/M37</f>
        <v>0.59241706161137442</v>
      </c>
    </row>
    <row r="38" spans="2:16" s="17" customFormat="1">
      <c r="B38" s="448"/>
      <c r="C38" s="458"/>
      <c r="D38" s="218" t="s">
        <v>85</v>
      </c>
      <c r="E38" s="25">
        <v>0.106</v>
      </c>
      <c r="F38" s="24"/>
      <c r="G38" s="24">
        <f t="shared" ref="G38:G42" si="58">E38+F38+I37</f>
        <v>0.21099999999999999</v>
      </c>
      <c r="H38" s="24">
        <v>0.125</v>
      </c>
      <c r="I38" s="25">
        <f t="shared" si="33"/>
        <v>8.5999999999999993E-2</v>
      </c>
      <c r="J38" s="219">
        <f t="shared" si="34"/>
        <v>0.59241706161137442</v>
      </c>
      <c r="K38" s="446"/>
      <c r="L38" s="446"/>
      <c r="M38" s="446"/>
      <c r="N38" s="446"/>
      <c r="O38" s="446"/>
      <c r="P38" s="445"/>
    </row>
    <row r="39" spans="2:16" s="17" customFormat="1">
      <c r="B39" s="448"/>
      <c r="C39" s="454" t="s">
        <v>210</v>
      </c>
      <c r="D39" s="218" t="s">
        <v>81</v>
      </c>
      <c r="E39" s="25">
        <v>0.86250000000000004</v>
      </c>
      <c r="F39" s="24"/>
      <c r="G39" s="24">
        <f t="shared" si="52"/>
        <v>0.86250000000000004</v>
      </c>
      <c r="H39" s="24"/>
      <c r="I39" s="25">
        <f t="shared" si="33"/>
        <v>0.86250000000000004</v>
      </c>
      <c r="J39" s="219">
        <f t="shared" si="34"/>
        <v>0</v>
      </c>
      <c r="K39" s="446">
        <f>E39+E40</f>
        <v>1.7375</v>
      </c>
      <c r="L39" s="446">
        <f t="shared" ref="L39" si="59">F39+F40</f>
        <v>0</v>
      </c>
      <c r="M39" s="446">
        <f t="shared" ref="M39" si="60">K39+L39</f>
        <v>1.7375</v>
      </c>
      <c r="N39" s="446">
        <f t="shared" ref="N39" si="61">H39+H40</f>
        <v>0</v>
      </c>
      <c r="O39" s="446">
        <f t="shared" ref="O39" si="62">M39-N39</f>
        <v>1.7375</v>
      </c>
      <c r="P39" s="445">
        <f t="shared" ref="P39" si="63">N39/M39</f>
        <v>0</v>
      </c>
    </row>
    <row r="40" spans="2:16" s="17" customFormat="1">
      <c r="B40" s="448"/>
      <c r="C40" s="455"/>
      <c r="D40" s="218" t="s">
        <v>85</v>
      </c>
      <c r="E40" s="25">
        <v>0.875</v>
      </c>
      <c r="F40" s="24"/>
      <c r="G40" s="24">
        <f t="shared" si="58"/>
        <v>1.7375</v>
      </c>
      <c r="H40" s="24"/>
      <c r="I40" s="25">
        <f t="shared" si="33"/>
        <v>1.7375</v>
      </c>
      <c r="J40" s="219">
        <f t="shared" si="34"/>
        <v>0</v>
      </c>
      <c r="K40" s="446"/>
      <c r="L40" s="446"/>
      <c r="M40" s="446"/>
      <c r="N40" s="446"/>
      <c r="O40" s="446"/>
      <c r="P40" s="445"/>
    </row>
    <row r="41" spans="2:16" s="17" customFormat="1">
      <c r="B41" s="448"/>
      <c r="C41" s="454" t="s">
        <v>211</v>
      </c>
      <c r="D41" s="218" t="s">
        <v>81</v>
      </c>
      <c r="E41" s="25">
        <v>0.86250000000000004</v>
      </c>
      <c r="F41" s="24"/>
      <c r="G41" s="24">
        <f t="shared" si="52"/>
        <v>0.86250000000000004</v>
      </c>
      <c r="H41" s="24"/>
      <c r="I41" s="25">
        <f t="shared" si="33"/>
        <v>0.86250000000000004</v>
      </c>
      <c r="J41" s="219">
        <f t="shared" si="34"/>
        <v>0</v>
      </c>
      <c r="K41" s="446">
        <f>E41+E42</f>
        <v>1.7375</v>
      </c>
      <c r="L41" s="446">
        <f t="shared" ref="L41" si="64">F41+F42</f>
        <v>0</v>
      </c>
      <c r="M41" s="446">
        <f t="shared" ref="M41" si="65">K41+L41</f>
        <v>1.7375</v>
      </c>
      <c r="N41" s="446">
        <f t="shared" ref="N41" si="66">H41+H42</f>
        <v>0</v>
      </c>
      <c r="O41" s="446">
        <f t="shared" ref="O41" si="67">M41-N41</f>
        <v>1.7375</v>
      </c>
      <c r="P41" s="445">
        <f t="shared" ref="P41" si="68">N41/M41</f>
        <v>0</v>
      </c>
    </row>
    <row r="42" spans="2:16" s="17" customFormat="1">
      <c r="B42" s="448"/>
      <c r="C42" s="455"/>
      <c r="D42" s="218" t="s">
        <v>85</v>
      </c>
      <c r="E42" s="25">
        <v>0.875</v>
      </c>
      <c r="F42" s="24"/>
      <c r="G42" s="24">
        <f t="shared" si="58"/>
        <v>1.7375</v>
      </c>
      <c r="H42" s="24"/>
      <c r="I42" s="25">
        <f t="shared" si="33"/>
        <v>1.7375</v>
      </c>
      <c r="J42" s="219">
        <f t="shared" si="34"/>
        <v>0</v>
      </c>
      <c r="K42" s="446"/>
      <c r="L42" s="446"/>
      <c r="M42" s="446"/>
      <c r="N42" s="446"/>
      <c r="O42" s="446"/>
      <c r="P42" s="445"/>
    </row>
    <row r="43" spans="2:16" s="17" customFormat="1">
      <c r="B43" s="449"/>
      <c r="C43" s="450" t="s">
        <v>201</v>
      </c>
      <c r="D43" s="451"/>
      <c r="E43" s="223">
        <f>SUM(E29:E42)</f>
        <v>139</v>
      </c>
      <c r="F43" s="223">
        <f t="shared" ref="F43:I43" si="69">SUM(F29:F42)</f>
        <v>0</v>
      </c>
      <c r="G43" s="223">
        <f t="shared" si="69"/>
        <v>190.89200000000005</v>
      </c>
      <c r="H43" s="223">
        <f t="shared" si="69"/>
        <v>117.687</v>
      </c>
      <c r="I43" s="223">
        <f t="shared" si="69"/>
        <v>73.204999999999984</v>
      </c>
      <c r="J43" s="220">
        <f t="shared" si="34"/>
        <v>0.61651090669069408</v>
      </c>
      <c r="K43" s="223">
        <f>SUM(K29:K42)</f>
        <v>139.00000000000003</v>
      </c>
      <c r="L43" s="223">
        <f t="shared" ref="L43:O43" si="70">SUM(L29:L42)</f>
        <v>0</v>
      </c>
      <c r="M43" s="223">
        <f t="shared" si="70"/>
        <v>139.00000000000006</v>
      </c>
      <c r="N43" s="223">
        <f t="shared" si="70"/>
        <v>117.68700000000001</v>
      </c>
      <c r="O43" s="223">
        <f t="shared" si="70"/>
        <v>21.313000000000002</v>
      </c>
      <c r="P43" s="220">
        <f>N43/M43</f>
        <v>0.84666906474820114</v>
      </c>
    </row>
  </sheetData>
  <mergeCells count="123"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G26" sqref="G26"/>
    </sheetView>
  </sheetViews>
  <sheetFormatPr baseColWidth="10" defaultColWidth="11.42578125" defaultRowHeight="15"/>
  <cols>
    <col min="1" max="1" width="15.710937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1" customFormat="1" ht="34.5" customHeight="1" thickBot="1"/>
    <row r="2" spans="2:12" s="31" customFormat="1" ht="20.100000000000001" customHeight="1">
      <c r="B2" s="467" t="s">
        <v>208</v>
      </c>
      <c r="C2" s="468"/>
      <c r="D2" s="468"/>
      <c r="E2" s="468"/>
      <c r="F2" s="468"/>
      <c r="G2" s="468"/>
      <c r="H2" s="468"/>
      <c r="I2" s="468"/>
      <c r="J2" s="468"/>
      <c r="K2" s="468"/>
      <c r="L2" s="469"/>
    </row>
    <row r="3" spans="2:12" s="31" customFormat="1" ht="19.899999999999999" customHeight="1" thickBot="1">
      <c r="B3" s="470">
        <f>+'Resumen anual Congrio dorado'!B$3</f>
        <v>43829</v>
      </c>
      <c r="C3" s="471"/>
      <c r="D3" s="471"/>
      <c r="E3" s="471"/>
      <c r="F3" s="471"/>
      <c r="G3" s="471"/>
      <c r="H3" s="471"/>
      <c r="I3" s="471"/>
      <c r="J3" s="471"/>
      <c r="K3" s="471"/>
      <c r="L3" s="472"/>
    </row>
    <row r="4" spans="2:12" s="31" customFormat="1" ht="22.5" customHeight="1" thickBot="1"/>
    <row r="5" spans="2:12" s="31" customFormat="1" ht="26.25" customHeight="1">
      <c r="B5" s="473" t="s">
        <v>82</v>
      </c>
      <c r="C5" s="475" t="s">
        <v>100</v>
      </c>
      <c r="D5" s="477" t="s">
        <v>86</v>
      </c>
      <c r="E5" s="479" t="s">
        <v>101</v>
      </c>
      <c r="F5" s="490" t="s">
        <v>185</v>
      </c>
      <c r="G5" s="481" t="s">
        <v>102</v>
      </c>
      <c r="H5" s="482"/>
      <c r="I5" s="483" t="s">
        <v>103</v>
      </c>
      <c r="J5" s="485" t="s">
        <v>77</v>
      </c>
      <c r="K5" s="475" t="s">
        <v>104</v>
      </c>
      <c r="L5" s="488" t="s">
        <v>84</v>
      </c>
    </row>
    <row r="6" spans="2:12" s="31" customFormat="1" ht="30.75" customHeight="1" thickBot="1">
      <c r="B6" s="474"/>
      <c r="C6" s="476"/>
      <c r="D6" s="478"/>
      <c r="E6" s="480"/>
      <c r="F6" s="491"/>
      <c r="G6" s="124" t="s">
        <v>105</v>
      </c>
      <c r="H6" s="119" t="s">
        <v>106</v>
      </c>
      <c r="I6" s="484"/>
      <c r="J6" s="486"/>
      <c r="K6" s="487"/>
      <c r="L6" s="489"/>
    </row>
    <row r="7" spans="2:12" s="31" customFormat="1" ht="25.5" customHeight="1" thickBot="1">
      <c r="B7" s="462" t="s">
        <v>212</v>
      </c>
      <c r="C7" s="32" t="s">
        <v>95</v>
      </c>
      <c r="D7" s="123" t="s">
        <v>47</v>
      </c>
      <c r="E7" s="237">
        <v>2</v>
      </c>
      <c r="F7" s="238">
        <f>E7</f>
        <v>2</v>
      </c>
      <c r="G7" s="159"/>
      <c r="H7" s="114"/>
      <c r="I7" s="239">
        <f t="shared" ref="I7" si="0">G7+H7</f>
        <v>0</v>
      </c>
      <c r="J7" s="114">
        <f t="shared" ref="J7:J10" si="1">E7-I7</f>
        <v>2</v>
      </c>
      <c r="K7" s="193">
        <f>I7/E7</f>
        <v>0</v>
      </c>
      <c r="L7" s="26" t="s">
        <v>167</v>
      </c>
    </row>
    <row r="8" spans="2:12" s="31" customFormat="1" ht="20.100000000000001" customHeight="1" thickBot="1">
      <c r="B8" s="463"/>
      <c r="C8" s="465" t="s">
        <v>96</v>
      </c>
      <c r="D8" s="123" t="s">
        <v>97</v>
      </c>
      <c r="E8" s="240">
        <v>52</v>
      </c>
      <c r="F8" s="241">
        <f>E8</f>
        <v>52</v>
      </c>
      <c r="G8" s="159">
        <v>0.315</v>
      </c>
      <c r="H8" s="114">
        <v>73.941000000000003</v>
      </c>
      <c r="I8" s="239">
        <f>G8+H8</f>
        <v>74.256</v>
      </c>
      <c r="J8" s="114">
        <f>E8-I8</f>
        <v>-22.256</v>
      </c>
      <c r="K8" s="193">
        <f>I8/F8</f>
        <v>1.4279999999999999</v>
      </c>
      <c r="L8" s="265">
        <v>43505</v>
      </c>
    </row>
    <row r="9" spans="2:12" s="31" customFormat="1" ht="20.100000000000001" customHeight="1" thickBot="1">
      <c r="B9" s="463"/>
      <c r="C9" s="466"/>
      <c r="D9" s="123" t="s">
        <v>98</v>
      </c>
      <c r="E9" s="242">
        <v>53</v>
      </c>
      <c r="F9" s="243">
        <f>E9+J8</f>
        <v>30.744</v>
      </c>
      <c r="G9" s="159">
        <v>0.79</v>
      </c>
      <c r="H9" s="308">
        <v>38.274999999999999</v>
      </c>
      <c r="I9" s="239">
        <f t="shared" ref="I9:I10" si="2">G9+H9</f>
        <v>39.064999999999998</v>
      </c>
      <c r="J9" s="114">
        <f>F9-I9</f>
        <v>-8.320999999999998</v>
      </c>
      <c r="K9" s="193">
        <f>I9/F9</f>
        <v>1.2706544366380432</v>
      </c>
      <c r="L9" s="265">
        <v>43652</v>
      </c>
    </row>
    <row r="10" spans="2:12" s="31" customFormat="1" ht="20.100000000000001" customHeight="1" thickBot="1">
      <c r="B10" s="464"/>
      <c r="C10" s="33" t="s">
        <v>99</v>
      </c>
      <c r="D10" s="123" t="s">
        <v>47</v>
      </c>
      <c r="E10" s="244">
        <v>11</v>
      </c>
      <c r="F10" s="245">
        <f t="shared" ref="F10" si="3">E10</f>
        <v>11</v>
      </c>
      <c r="G10" s="159"/>
      <c r="H10" s="308">
        <v>1.046</v>
      </c>
      <c r="I10" s="239">
        <f t="shared" si="2"/>
        <v>1.046</v>
      </c>
      <c r="J10" s="114">
        <f t="shared" si="1"/>
        <v>9.9540000000000006</v>
      </c>
      <c r="K10" s="193">
        <f>I10/E10</f>
        <v>9.5090909090909101E-2</v>
      </c>
      <c r="L10" s="26" t="s">
        <v>167</v>
      </c>
    </row>
    <row r="12" spans="2:12" hidden="1">
      <c r="K12" s="28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H17" sqref="H17"/>
    </sheetView>
  </sheetViews>
  <sheetFormatPr baseColWidth="10" defaultColWidth="11.42578125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92" t="s">
        <v>209</v>
      </c>
      <c r="C2" s="493"/>
      <c r="D2" s="493"/>
      <c r="E2" s="493"/>
      <c r="F2" s="493"/>
      <c r="G2" s="493"/>
      <c r="H2" s="493"/>
      <c r="I2" s="494"/>
    </row>
    <row r="3" spans="2:9" ht="15.75" thickBot="1">
      <c r="B3" s="495">
        <f>'Resumen anual Congrio dorado'!B3:I3</f>
        <v>43829</v>
      </c>
      <c r="C3" s="496"/>
      <c r="D3" s="496"/>
      <c r="E3" s="496"/>
      <c r="F3" s="496"/>
      <c r="G3" s="496"/>
      <c r="H3" s="496"/>
      <c r="I3" s="497"/>
    </row>
    <row r="4" spans="2:9">
      <c r="B4" s="148"/>
    </row>
    <row r="5" spans="2:9" ht="15.75" thickBot="1">
      <c r="B5" s="148"/>
    </row>
    <row r="6" spans="2:9" s="17" customFormat="1" ht="19.5" customHeight="1" thickBot="1">
      <c r="B6" s="150" t="s">
        <v>186</v>
      </c>
      <c r="C6" s="151" t="s">
        <v>187</v>
      </c>
      <c r="D6" s="151" t="s">
        <v>188</v>
      </c>
      <c r="E6" s="151" t="s">
        <v>83</v>
      </c>
      <c r="F6" s="152" t="s">
        <v>124</v>
      </c>
      <c r="G6" s="150" t="s">
        <v>7</v>
      </c>
      <c r="H6" s="151" t="s">
        <v>8</v>
      </c>
      <c r="I6" s="152" t="s">
        <v>189</v>
      </c>
    </row>
    <row r="7" spans="2:9">
      <c r="B7" s="144"/>
      <c r="C7" s="145"/>
      <c r="D7" s="146" t="s">
        <v>192</v>
      </c>
      <c r="E7" s="146"/>
      <c r="F7" s="513"/>
      <c r="G7" s="160"/>
      <c r="H7" s="515">
        <f>F7-(G7+G8)</f>
        <v>0</v>
      </c>
      <c r="I7" s="517" t="e">
        <f>(G7+G8)/F7</f>
        <v>#DIV/0!</v>
      </c>
    </row>
    <row r="8" spans="2:9">
      <c r="B8" s="136"/>
      <c r="C8" s="126"/>
      <c r="D8" s="125" t="s">
        <v>192</v>
      </c>
      <c r="E8" s="125"/>
      <c r="F8" s="514"/>
      <c r="G8" s="161"/>
      <c r="H8" s="516"/>
      <c r="I8" s="518"/>
    </row>
    <row r="9" spans="2:9" ht="15.75" thickBot="1">
      <c r="B9" s="137"/>
      <c r="C9" s="138"/>
      <c r="D9" s="139" t="s">
        <v>192</v>
      </c>
      <c r="E9" s="139"/>
      <c r="F9" s="140"/>
      <c r="G9" s="162"/>
      <c r="H9" s="141">
        <f>F9-G9</f>
        <v>0</v>
      </c>
      <c r="I9" s="142" t="e">
        <f>G9/F9</f>
        <v>#DIV/0!</v>
      </c>
    </row>
    <row r="10" spans="2:9">
      <c r="G10" s="149"/>
    </row>
    <row r="11" spans="2:9" ht="22.5" customHeight="1" thickBot="1"/>
    <row r="12" spans="2:9" s="17" customFormat="1" ht="26.25" customHeight="1" thickBot="1">
      <c r="B12" s="150" t="s">
        <v>191</v>
      </c>
      <c r="C12" s="151" t="s">
        <v>190</v>
      </c>
      <c r="D12" s="151" t="s">
        <v>193</v>
      </c>
      <c r="E12" s="151" t="s">
        <v>194</v>
      </c>
      <c r="F12" s="152" t="s">
        <v>195</v>
      </c>
      <c r="G12" s="72"/>
    </row>
    <row r="13" spans="2:9">
      <c r="B13" s="501"/>
      <c r="C13" s="147"/>
      <c r="D13" s="131"/>
      <c r="E13" s="154"/>
      <c r="F13" s="505"/>
      <c r="G13" s="6"/>
    </row>
    <row r="14" spans="2:9">
      <c r="B14" s="502"/>
      <c r="C14" s="127"/>
      <c r="D14" s="129"/>
      <c r="E14" s="132"/>
      <c r="F14" s="505"/>
      <c r="G14" s="6"/>
    </row>
    <row r="15" spans="2:9">
      <c r="B15" s="502"/>
      <c r="C15" s="127"/>
      <c r="D15" s="129"/>
      <c r="E15" s="132"/>
      <c r="F15" s="505"/>
      <c r="G15" s="6"/>
    </row>
    <row r="16" spans="2:9">
      <c r="B16" s="502"/>
      <c r="C16" s="127"/>
      <c r="D16" s="129"/>
      <c r="E16" s="132"/>
      <c r="F16" s="505"/>
    </row>
    <row r="17" spans="2:6">
      <c r="B17" s="502"/>
      <c r="C17" s="127"/>
      <c r="D17" s="129"/>
      <c r="E17" s="132"/>
      <c r="F17" s="505"/>
    </row>
    <row r="18" spans="2:6">
      <c r="B18" s="502"/>
      <c r="C18" s="127"/>
      <c r="D18" s="129"/>
      <c r="E18" s="132"/>
      <c r="F18" s="505"/>
    </row>
    <row r="19" spans="2:6">
      <c r="B19" s="503"/>
      <c r="C19" s="133"/>
      <c r="D19" s="130"/>
      <c r="E19" s="134"/>
      <c r="F19" s="505"/>
    </row>
    <row r="20" spans="2:6">
      <c r="B20" s="504"/>
      <c r="C20" s="133"/>
      <c r="D20" s="130"/>
      <c r="E20" s="134"/>
      <c r="F20" s="505"/>
    </row>
    <row r="21" spans="2:6">
      <c r="B21" s="501"/>
      <c r="C21" s="133"/>
      <c r="D21" s="130"/>
      <c r="E21" s="134"/>
      <c r="F21" s="506"/>
    </row>
    <row r="22" spans="2:6">
      <c r="B22" s="507"/>
      <c r="C22" s="128"/>
      <c r="D22" s="135"/>
      <c r="E22" s="510"/>
      <c r="F22" s="498"/>
    </row>
    <row r="23" spans="2:6">
      <c r="B23" s="508"/>
      <c r="C23" s="128"/>
      <c r="D23" s="135"/>
      <c r="E23" s="511"/>
      <c r="F23" s="499"/>
    </row>
    <row r="24" spans="2:6" ht="15.75" thickBot="1">
      <c r="B24" s="509"/>
      <c r="C24" s="143"/>
      <c r="D24" s="153"/>
      <c r="E24" s="512"/>
      <c r="F24" s="500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113"/>
  <sheetViews>
    <sheetView tabSelected="1" zoomScale="80" zoomScaleNormal="80"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/>
  <cols>
    <col min="1" max="1" width="17.7109375" style="116" customWidth="1"/>
    <col min="2" max="2" width="13.85546875" style="116" customWidth="1"/>
    <col min="3" max="3" width="18" style="116" customWidth="1"/>
    <col min="4" max="4" width="14.7109375" style="116" customWidth="1"/>
    <col min="5" max="5" width="15.5703125" style="116" customWidth="1"/>
    <col min="6" max="6" width="14.5703125" style="116" bestFit="1" customWidth="1"/>
    <col min="7" max="7" width="13.85546875" style="116" bestFit="1" customWidth="1"/>
    <col min="8" max="8" width="9.85546875" style="116" bestFit="1" customWidth="1"/>
    <col min="9" max="9" width="16" style="116" customWidth="1"/>
    <col min="10" max="11" width="15" style="116" bestFit="1" customWidth="1"/>
    <col min="12" max="12" width="11.42578125" style="116" bestFit="1" customWidth="1"/>
    <col min="13" max="13" width="17.7109375" style="118" bestFit="1" customWidth="1"/>
    <col min="14" max="14" width="11.28515625" style="158" bestFit="1" customWidth="1"/>
    <col min="15" max="15" width="11.42578125" style="116" bestFit="1" customWidth="1"/>
    <col min="16" max="16384" width="11.42578125" style="116"/>
  </cols>
  <sheetData>
    <row r="1" spans="1:17" s="115" customFormat="1" ht="15.75">
      <c r="A1" s="34" t="s">
        <v>118</v>
      </c>
      <c r="B1" s="34" t="s">
        <v>119</v>
      </c>
      <c r="C1" s="34" t="s">
        <v>83</v>
      </c>
      <c r="D1" s="34" t="s">
        <v>120</v>
      </c>
      <c r="E1" s="34" t="s">
        <v>121</v>
      </c>
      <c r="F1" s="34" t="s">
        <v>122</v>
      </c>
      <c r="G1" s="34" t="s">
        <v>123</v>
      </c>
      <c r="H1" s="34" t="s">
        <v>124</v>
      </c>
      <c r="I1" s="34" t="s">
        <v>125</v>
      </c>
      <c r="J1" s="34" t="s">
        <v>6</v>
      </c>
      <c r="K1" s="34" t="s">
        <v>126</v>
      </c>
      <c r="L1" s="34" t="s">
        <v>8</v>
      </c>
      <c r="M1" s="35" t="s">
        <v>127</v>
      </c>
      <c r="N1" s="156" t="s">
        <v>128</v>
      </c>
      <c r="O1" s="36" t="s">
        <v>129</v>
      </c>
      <c r="P1" s="36" t="s">
        <v>213</v>
      </c>
      <c r="Q1" s="36" t="s">
        <v>214</v>
      </c>
    </row>
    <row r="2" spans="1:17" s="246" customFormat="1">
      <c r="A2" s="24" t="s">
        <v>136</v>
      </c>
      <c r="B2" s="24" t="s">
        <v>130</v>
      </c>
      <c r="C2" s="24" t="s">
        <v>161</v>
      </c>
      <c r="D2" s="24" t="s">
        <v>131</v>
      </c>
      <c r="E2" s="24" t="s">
        <v>132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-8.5730000000000004</v>
      </c>
      <c r="J2" s="25">
        <f>'Congrio dorado Industrial'!G7</f>
        <v>5.0094999999999992</v>
      </c>
      <c r="K2" s="25">
        <f>'Congrio dorado Industrial'!H7</f>
        <v>0</v>
      </c>
      <c r="L2" s="25">
        <f>'Congrio dorado Industrial'!I7</f>
        <v>5.0094999999999992</v>
      </c>
      <c r="M2" s="224">
        <f>'Congrio dorado Industrial'!J7</f>
        <v>0</v>
      </c>
      <c r="N2" s="157" t="s">
        <v>167</v>
      </c>
      <c r="O2" s="225">
        <f>+'Resumen anual Congrio dorado'!B$3</f>
        <v>43829</v>
      </c>
      <c r="P2" s="24">
        <f>YEAR(O2)</f>
        <v>2019</v>
      </c>
      <c r="Q2" s="24"/>
    </row>
    <row r="3" spans="1:17" s="246" customFormat="1">
      <c r="A3" s="24" t="s">
        <v>136</v>
      </c>
      <c r="B3" s="24" t="s">
        <v>130</v>
      </c>
      <c r="C3" s="24" t="s">
        <v>161</v>
      </c>
      <c r="D3" s="24" t="s">
        <v>131</v>
      </c>
      <c r="E3" s="24" t="s">
        <v>132</v>
      </c>
      <c r="F3" s="24" t="s">
        <v>133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18.591999999999999</v>
      </c>
      <c r="K3" s="25">
        <f>'Congrio dorado Industrial'!H8</f>
        <v>16.744</v>
      </c>
      <c r="L3" s="25">
        <f>'Congrio dorado Industrial'!I8</f>
        <v>1.847999999999999</v>
      </c>
      <c r="M3" s="224">
        <f>'Congrio dorado Industrial'!J8</f>
        <v>0.90060240963855431</v>
      </c>
      <c r="N3" s="157" t="s">
        <v>167</v>
      </c>
      <c r="O3" s="225">
        <f>+'Resumen anual Congrio dorado'!B$3</f>
        <v>43829</v>
      </c>
      <c r="P3" s="24">
        <f t="shared" ref="P3:P66" si="0">YEAR(O3)</f>
        <v>2019</v>
      </c>
      <c r="Q3" s="24"/>
    </row>
    <row r="4" spans="1:17" s="246" customFormat="1">
      <c r="A4" s="24" t="s">
        <v>136</v>
      </c>
      <c r="B4" s="24" t="s">
        <v>130</v>
      </c>
      <c r="C4" s="24" t="s">
        <v>161</v>
      </c>
      <c r="D4" s="24" t="s">
        <v>131</v>
      </c>
      <c r="E4" s="24" t="s">
        <v>132</v>
      </c>
      <c r="F4" s="24" t="s">
        <v>134</v>
      </c>
      <c r="G4" s="24" t="s">
        <v>44</v>
      </c>
      <c r="H4" s="25">
        <f>'Congrio dorado Industrial'!K7</f>
        <v>27.164999999999999</v>
      </c>
      <c r="I4" s="24">
        <f>'Congrio dorado Industrial'!L7</f>
        <v>-8.5730000000000004</v>
      </c>
      <c r="J4" s="25">
        <f>'Congrio dorado Industrial'!M7</f>
        <v>18.591999999999999</v>
      </c>
      <c r="K4" s="25">
        <f>'Congrio dorado Industrial'!N7</f>
        <v>16.744</v>
      </c>
      <c r="L4" s="25">
        <f>'Congrio dorado Industrial'!O7</f>
        <v>1.847999999999999</v>
      </c>
      <c r="M4" s="224">
        <f>'Congrio dorado Industrial'!P7</f>
        <v>0.90060240963855431</v>
      </c>
      <c r="N4" s="157" t="s">
        <v>167</v>
      </c>
      <c r="O4" s="225">
        <f>+'Resumen anual Congrio dorado'!B$3</f>
        <v>43829</v>
      </c>
      <c r="P4" s="24">
        <f t="shared" si="0"/>
        <v>2019</v>
      </c>
      <c r="Q4" s="24"/>
    </row>
    <row r="5" spans="1:17" s="246" customFormat="1">
      <c r="A5" s="24" t="s">
        <v>136</v>
      </c>
      <c r="B5" s="24" t="s">
        <v>130</v>
      </c>
      <c r="C5" s="24" t="s">
        <v>161</v>
      </c>
      <c r="D5" s="24" t="s">
        <v>131</v>
      </c>
      <c r="E5" s="24" t="s">
        <v>170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2.0049999999999999</v>
      </c>
      <c r="L5" s="25">
        <f>'Congrio dorado Industrial'!I9</f>
        <v>7.3570000000000002</v>
      </c>
      <c r="M5" s="224">
        <f>'Congrio dorado Industrial'!J9</f>
        <v>0.21416364024781029</v>
      </c>
      <c r="N5" s="157" t="s">
        <v>167</v>
      </c>
      <c r="O5" s="225">
        <f>+'Resumen anual Congrio dorado'!B$3</f>
        <v>43829</v>
      </c>
      <c r="P5" s="24">
        <f t="shared" si="0"/>
        <v>2019</v>
      </c>
      <c r="Q5" s="24"/>
    </row>
    <row r="6" spans="1:17" s="246" customFormat="1">
      <c r="A6" s="24" t="s">
        <v>136</v>
      </c>
      <c r="B6" s="24" t="s">
        <v>130</v>
      </c>
      <c r="C6" s="24" t="s">
        <v>161</v>
      </c>
      <c r="D6" s="24" t="s">
        <v>131</v>
      </c>
      <c r="E6" s="24" t="s">
        <v>170</v>
      </c>
      <c r="F6" s="24" t="s">
        <v>133</v>
      </c>
      <c r="G6" s="24" t="s">
        <v>44</v>
      </c>
      <c r="H6" s="25">
        <f>'Congrio dorado Industrial'!E10</f>
        <v>9.3620000000000001</v>
      </c>
      <c r="I6" s="24">
        <f>'Congrio dorado Industrial'!F10</f>
        <v>25.001999999999999</v>
      </c>
      <c r="J6" s="25">
        <f>'Congrio dorado Industrial'!G10</f>
        <v>41.720999999999997</v>
      </c>
      <c r="K6" s="25">
        <f>'Congrio dorado Industrial'!H10</f>
        <v>41.128</v>
      </c>
      <c r="L6" s="25">
        <f>'Congrio dorado Industrial'!I10</f>
        <v>0.59299999999999642</v>
      </c>
      <c r="M6" s="224">
        <f>'Congrio dorado Industrial'!J10</f>
        <v>0.98578653435919572</v>
      </c>
      <c r="N6" s="157" t="s">
        <v>167</v>
      </c>
      <c r="O6" s="225">
        <f>+'Resumen anual Congrio dorado'!B$3</f>
        <v>43829</v>
      </c>
      <c r="P6" s="24">
        <f t="shared" si="0"/>
        <v>2019</v>
      </c>
      <c r="Q6" s="24"/>
    </row>
    <row r="7" spans="1:17" s="246" customFormat="1">
      <c r="A7" s="24" t="s">
        <v>136</v>
      </c>
      <c r="B7" s="24" t="s">
        <v>130</v>
      </c>
      <c r="C7" s="24" t="s">
        <v>161</v>
      </c>
      <c r="D7" s="24" t="s">
        <v>131</v>
      </c>
      <c r="E7" s="24" t="s">
        <v>170</v>
      </c>
      <c r="F7" s="24" t="s">
        <v>134</v>
      </c>
      <c r="G7" s="24" t="s">
        <v>44</v>
      </c>
      <c r="H7" s="25">
        <f>'Congrio dorado Industrial'!K9</f>
        <v>18.724</v>
      </c>
      <c r="I7" s="24">
        <f>'Congrio dorado Industrial'!L9</f>
        <v>25.001999999999999</v>
      </c>
      <c r="J7" s="25">
        <f>'Congrio dorado Industrial'!M9</f>
        <v>43.725999999999999</v>
      </c>
      <c r="K7" s="25">
        <f>'Congrio dorado Industrial'!N9</f>
        <v>43.133000000000003</v>
      </c>
      <c r="L7" s="25">
        <f>'Congrio dorado Industrial'!O9</f>
        <v>0.59299999999999642</v>
      </c>
      <c r="M7" s="224">
        <f>'Congrio dorado Industrial'!P9</f>
        <v>0.98643827471069856</v>
      </c>
      <c r="N7" s="157" t="s">
        <v>167</v>
      </c>
      <c r="O7" s="225">
        <f>+'Resumen anual Congrio dorado'!B$3</f>
        <v>43829</v>
      </c>
      <c r="P7" s="24">
        <f t="shared" si="0"/>
        <v>2019</v>
      </c>
      <c r="Q7" s="24"/>
    </row>
    <row r="8" spans="1:17" s="246" customFormat="1">
      <c r="A8" s="24" t="s">
        <v>136</v>
      </c>
      <c r="B8" s="24" t="s">
        <v>130</v>
      </c>
      <c r="C8" s="24" t="s">
        <v>161</v>
      </c>
      <c r="D8" s="24" t="s">
        <v>131</v>
      </c>
      <c r="E8" s="24" t="s">
        <v>171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60.237000000000002</v>
      </c>
      <c r="L8" s="25">
        <f>'Congrio dorado Industrial'!I11</f>
        <v>146.37700000000001</v>
      </c>
      <c r="M8" s="224">
        <f>'Congrio dorado Industrial'!J11</f>
        <v>0.291543651446659</v>
      </c>
      <c r="N8" s="157" t="s">
        <v>167</v>
      </c>
      <c r="O8" s="225">
        <f>+'Resumen anual Congrio dorado'!B$3</f>
        <v>43829</v>
      </c>
      <c r="P8" s="24">
        <f t="shared" si="0"/>
        <v>2019</v>
      </c>
      <c r="Q8" s="24"/>
    </row>
    <row r="9" spans="1:17" s="246" customFormat="1">
      <c r="A9" s="24" t="s">
        <v>136</v>
      </c>
      <c r="B9" s="24" t="s">
        <v>130</v>
      </c>
      <c r="C9" s="24" t="s">
        <v>161</v>
      </c>
      <c r="D9" s="24" t="s">
        <v>131</v>
      </c>
      <c r="E9" s="24" t="s">
        <v>171</v>
      </c>
      <c r="F9" s="24" t="s">
        <v>133</v>
      </c>
      <c r="G9" s="24" t="s">
        <v>44</v>
      </c>
      <c r="H9" s="25">
        <f>'Congrio dorado Industrial'!E12</f>
        <v>206.614</v>
      </c>
      <c r="I9" s="24">
        <f>'Congrio dorado Industrial'!F12</f>
        <v>-42.265000000000001</v>
      </c>
      <c r="J9" s="25">
        <f>'Congrio dorado Industrial'!G12</f>
        <v>310.726</v>
      </c>
      <c r="K9" s="25">
        <f>'Congrio dorado Industrial'!H12</f>
        <v>306.55</v>
      </c>
      <c r="L9" s="25">
        <f>'Congrio dorado Industrial'!I12</f>
        <v>4.1759999999999877</v>
      </c>
      <c r="M9" s="224">
        <f>'Congrio dorado Industrial'!J12</f>
        <v>0.98656050668434569</v>
      </c>
      <c r="N9" s="157" t="s">
        <v>167</v>
      </c>
      <c r="O9" s="225">
        <f>+'Resumen anual Congrio dorado'!B$3</f>
        <v>43829</v>
      </c>
      <c r="P9" s="24">
        <f t="shared" si="0"/>
        <v>2019</v>
      </c>
      <c r="Q9" s="24"/>
    </row>
    <row r="10" spans="1:17" s="246" customFormat="1">
      <c r="A10" s="24" t="s">
        <v>136</v>
      </c>
      <c r="B10" s="24" t="s">
        <v>130</v>
      </c>
      <c r="C10" s="24" t="s">
        <v>161</v>
      </c>
      <c r="D10" s="24" t="s">
        <v>131</v>
      </c>
      <c r="E10" s="24" t="s">
        <v>171</v>
      </c>
      <c r="F10" s="24" t="s">
        <v>134</v>
      </c>
      <c r="G10" s="24" t="s">
        <v>44</v>
      </c>
      <c r="H10" s="25">
        <f>'Congrio dorado Industrial'!K11</f>
        <v>413.22800000000001</v>
      </c>
      <c r="I10" s="24">
        <f>'Congrio dorado Industrial'!L11</f>
        <v>-42.265000000000001</v>
      </c>
      <c r="J10" s="25">
        <f>'Congrio dorado Industrial'!M11</f>
        <v>370.96300000000002</v>
      </c>
      <c r="K10" s="25">
        <f>'Congrio dorado Industrial'!N11</f>
        <v>366.78700000000003</v>
      </c>
      <c r="L10" s="25">
        <f>'Congrio dorado Industrial'!O11</f>
        <v>4.1759999999999877</v>
      </c>
      <c r="M10" s="224">
        <f>'Congrio dorado Industrial'!P11</f>
        <v>0.988742812625518</v>
      </c>
      <c r="N10" s="157" t="s">
        <v>167</v>
      </c>
      <c r="O10" s="225">
        <f>+'Resumen anual Congrio dorado'!B$3</f>
        <v>43829</v>
      </c>
      <c r="P10" s="24">
        <f t="shared" si="0"/>
        <v>2019</v>
      </c>
      <c r="Q10" s="24"/>
    </row>
    <row r="11" spans="1:17" s="246" customFormat="1">
      <c r="A11" s="24" t="s">
        <v>136</v>
      </c>
      <c r="B11" s="24" t="s">
        <v>130</v>
      </c>
      <c r="C11" s="24" t="s">
        <v>161</v>
      </c>
      <c r="D11" s="24" t="s">
        <v>131</v>
      </c>
      <c r="E11" s="24" t="s">
        <v>172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8.5730000000000004</v>
      </c>
      <c r="J11" s="25">
        <f>'Congrio dorado Industrial'!G13</f>
        <v>22.629000000000001</v>
      </c>
      <c r="K11" s="25">
        <f>'Congrio dorado Industrial'!H13</f>
        <v>0</v>
      </c>
      <c r="L11" s="25">
        <f>'Congrio dorado Industrial'!I13</f>
        <v>22.629000000000001</v>
      </c>
      <c r="M11" s="224">
        <f>'Congrio dorado Industrial'!J13</f>
        <v>0</v>
      </c>
      <c r="N11" s="157" t="s">
        <v>167</v>
      </c>
      <c r="O11" s="225">
        <f>+'Resumen anual Congrio dorado'!B$3</f>
        <v>43829</v>
      </c>
      <c r="P11" s="24">
        <f t="shared" si="0"/>
        <v>2019</v>
      </c>
      <c r="Q11" s="24"/>
    </row>
    <row r="12" spans="1:17" s="246" customFormat="1">
      <c r="A12" s="24" t="s">
        <v>136</v>
      </c>
      <c r="B12" s="24" t="s">
        <v>130</v>
      </c>
      <c r="C12" s="24" t="s">
        <v>161</v>
      </c>
      <c r="D12" s="24" t="s">
        <v>131</v>
      </c>
      <c r="E12" s="24" t="s">
        <v>172</v>
      </c>
      <c r="F12" s="24" t="s">
        <v>133</v>
      </c>
      <c r="G12" s="24" t="s">
        <v>44</v>
      </c>
      <c r="H12" s="25">
        <f>'Congrio dorado Industrial'!E14</f>
        <v>14.056000000000001</v>
      </c>
      <c r="I12" s="24">
        <f>'Congrio dorado Industrial'!F14</f>
        <v>-28.741</v>
      </c>
      <c r="J12" s="25">
        <f>'Congrio dorado Industrial'!G14</f>
        <v>7.9440000000000026</v>
      </c>
      <c r="K12" s="25">
        <f>'Congrio dorado Industrial'!H14</f>
        <v>7.9429999999999996</v>
      </c>
      <c r="L12" s="25">
        <f>'Congrio dorado Industrial'!I14</f>
        <v>1.0000000000029985E-3</v>
      </c>
      <c r="M12" s="224">
        <f>'Congrio dorado Industrial'!J14</f>
        <v>0.99987411883182242</v>
      </c>
      <c r="N12" s="157" t="s">
        <v>167</v>
      </c>
      <c r="O12" s="225">
        <f>+'Resumen anual Congrio dorado'!B$3</f>
        <v>43829</v>
      </c>
      <c r="P12" s="24">
        <f t="shared" si="0"/>
        <v>2019</v>
      </c>
      <c r="Q12" s="24"/>
    </row>
    <row r="13" spans="1:17" s="246" customFormat="1">
      <c r="A13" s="24" t="s">
        <v>136</v>
      </c>
      <c r="B13" s="24" t="s">
        <v>130</v>
      </c>
      <c r="C13" s="24" t="s">
        <v>161</v>
      </c>
      <c r="D13" s="24" t="s">
        <v>131</v>
      </c>
      <c r="E13" s="24" t="s">
        <v>172</v>
      </c>
      <c r="F13" s="24" t="s">
        <v>134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-20.167999999999999</v>
      </c>
      <c r="J13" s="25">
        <f>'Congrio dorado Industrial'!M13:M14</f>
        <v>7.9440000000000026</v>
      </c>
      <c r="K13" s="25">
        <f>'Congrio dorado Industrial'!N13</f>
        <v>7.9429999999999996</v>
      </c>
      <c r="L13" s="25">
        <f>'Congrio dorado Industrial'!O13:O14</f>
        <v>1.0000000000029985E-3</v>
      </c>
      <c r="M13" s="224">
        <f>'Congrio dorado Industrial'!P13:P14</f>
        <v>0.99987411883182242</v>
      </c>
      <c r="N13" s="157" t="s">
        <v>167</v>
      </c>
      <c r="O13" s="225">
        <f>+'Resumen anual Congrio dorado'!B$3</f>
        <v>43829</v>
      </c>
      <c r="P13" s="24">
        <f t="shared" si="0"/>
        <v>2019</v>
      </c>
      <c r="Q13" s="24"/>
    </row>
    <row r="14" spans="1:17" s="246" customFormat="1">
      <c r="A14" s="24" t="s">
        <v>136</v>
      </c>
      <c r="B14" s="24" t="s">
        <v>130</v>
      </c>
      <c r="C14" s="24" t="s">
        <v>161</v>
      </c>
      <c r="D14" s="24" t="s">
        <v>131</v>
      </c>
      <c r="E14" s="24" t="s">
        <v>173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1.9350000000000001</v>
      </c>
      <c r="L14" s="25">
        <f>'Congrio dorado Industrial'!I15</f>
        <v>14.749999999999998</v>
      </c>
      <c r="M14" s="224">
        <f>'Congrio dorado Industrial'!J15</f>
        <v>0.1159724303266407</v>
      </c>
      <c r="N14" s="157" t="s">
        <v>167</v>
      </c>
      <c r="O14" s="225">
        <f>+'Resumen anual Congrio dorado'!B$3</f>
        <v>43829</v>
      </c>
      <c r="P14" s="24">
        <f t="shared" si="0"/>
        <v>2019</v>
      </c>
      <c r="Q14" s="24"/>
    </row>
    <row r="15" spans="1:17" s="246" customFormat="1">
      <c r="A15" s="24" t="s">
        <v>136</v>
      </c>
      <c r="B15" s="24" t="s">
        <v>130</v>
      </c>
      <c r="C15" s="24" t="s">
        <v>161</v>
      </c>
      <c r="D15" s="24" t="s">
        <v>131</v>
      </c>
      <c r="E15" s="24" t="s">
        <v>173</v>
      </c>
      <c r="F15" s="24" t="s">
        <v>133</v>
      </c>
      <c r="G15" s="24" t="s">
        <v>44</v>
      </c>
      <c r="H15" s="25">
        <f>'Congrio dorado Industrial'!E16</f>
        <v>16.684999999999999</v>
      </c>
      <c r="I15" s="24">
        <f>'Congrio dorado Industrial'!F16</f>
        <v>46.003999999999998</v>
      </c>
      <c r="J15" s="25">
        <f>'Congrio dorado Industrial'!G16</f>
        <v>77.438999999999993</v>
      </c>
      <c r="K15" s="25">
        <f>'Congrio dorado Industrial'!H16</f>
        <v>64.19</v>
      </c>
      <c r="L15" s="25">
        <f>'Congrio dorado Industrial'!I16</f>
        <v>13.248999999999995</v>
      </c>
      <c r="M15" s="224">
        <f>'Congrio dorado Industrial'!J16</f>
        <v>0.82891049729464483</v>
      </c>
      <c r="N15" s="157" t="s">
        <v>167</v>
      </c>
      <c r="O15" s="225">
        <f>+'Resumen anual Congrio dorado'!B$3</f>
        <v>43829</v>
      </c>
      <c r="P15" s="24">
        <f t="shared" si="0"/>
        <v>2019</v>
      </c>
      <c r="Q15" s="24"/>
    </row>
    <row r="16" spans="1:17" s="246" customFormat="1">
      <c r="A16" s="24" t="s">
        <v>136</v>
      </c>
      <c r="B16" s="24" t="s">
        <v>130</v>
      </c>
      <c r="C16" s="24" t="s">
        <v>161</v>
      </c>
      <c r="D16" s="24" t="s">
        <v>131</v>
      </c>
      <c r="E16" s="24" t="s">
        <v>173</v>
      </c>
      <c r="F16" s="24" t="s">
        <v>134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79.373999999999995</v>
      </c>
      <c r="K16" s="25">
        <f>'Congrio dorado Industrial'!N15</f>
        <v>66.125</v>
      </c>
      <c r="L16" s="25">
        <f>'Congrio dorado Industrial'!O15</f>
        <v>13.248999999999995</v>
      </c>
      <c r="M16" s="224">
        <f>'Congrio dorado Industrial'!P15</f>
        <v>0.83308136165495006</v>
      </c>
      <c r="N16" s="157" t="s">
        <v>167</v>
      </c>
      <c r="O16" s="225">
        <f>+'Resumen anual Congrio dorado'!B$3</f>
        <v>43829</v>
      </c>
      <c r="P16" s="24">
        <f t="shared" si="0"/>
        <v>2019</v>
      </c>
      <c r="Q16" s="24"/>
    </row>
    <row r="17" spans="1:17" s="246" customFormat="1">
      <c r="A17" s="24" t="s">
        <v>136</v>
      </c>
      <c r="B17" s="24" t="s">
        <v>130</v>
      </c>
      <c r="C17" s="24" t="s">
        <v>161</v>
      </c>
      <c r="D17" s="24" t="s">
        <v>131</v>
      </c>
      <c r="E17" s="24" t="s">
        <v>202</v>
      </c>
      <c r="F17" s="24" t="s">
        <v>33</v>
      </c>
      <c r="G17" s="24" t="s">
        <v>34</v>
      </c>
      <c r="H17" s="25">
        <f>'Congrio dorado Industrial'!E17</f>
        <v>2.5350000000000001E-2</v>
      </c>
      <c r="I17" s="24">
        <f>'Congrio dorado Industrial'!F17</f>
        <v>0</v>
      </c>
      <c r="J17" s="25">
        <f>'Congrio dorado Industrial'!G17</f>
        <v>2.5350000000000001E-2</v>
      </c>
      <c r="K17" s="25">
        <f>'Congrio dorado Industrial'!H17</f>
        <v>0</v>
      </c>
      <c r="L17" s="25">
        <f>'Congrio dorado Industrial'!I17</f>
        <v>2.5350000000000001E-2</v>
      </c>
      <c r="M17" s="224">
        <f>'Congrio dorado Industrial'!J17</f>
        <v>0</v>
      </c>
      <c r="N17" s="157" t="s">
        <v>167</v>
      </c>
      <c r="O17" s="225">
        <f>+'Resumen anual Congrio dorado'!B$3</f>
        <v>43829</v>
      </c>
      <c r="P17" s="24">
        <f t="shared" si="0"/>
        <v>2019</v>
      </c>
      <c r="Q17" s="24"/>
    </row>
    <row r="18" spans="1:17" s="246" customFormat="1">
      <c r="A18" s="24" t="s">
        <v>136</v>
      </c>
      <c r="B18" s="24" t="s">
        <v>130</v>
      </c>
      <c r="C18" s="24" t="s">
        <v>161</v>
      </c>
      <c r="D18" s="24" t="s">
        <v>131</v>
      </c>
      <c r="E18" s="24" t="s">
        <v>202</v>
      </c>
      <c r="F18" s="24" t="s">
        <v>133</v>
      </c>
      <c r="G18" s="24" t="s">
        <v>44</v>
      </c>
      <c r="H18" s="25">
        <f>'Congrio dorado Industrial'!E18</f>
        <v>2.5350000000000001E-2</v>
      </c>
      <c r="I18" s="24">
        <f>'Congrio dorado Industrial'!F18</f>
        <v>0</v>
      </c>
      <c r="J18" s="25">
        <f>'Congrio dorado Industrial'!G18</f>
        <v>5.0700000000000002E-2</v>
      </c>
      <c r="K18" s="25">
        <f>'Congrio dorado Industrial'!H18</f>
        <v>0</v>
      </c>
      <c r="L18" s="25">
        <f>'Congrio dorado Industrial'!I18</f>
        <v>5.0700000000000002E-2</v>
      </c>
      <c r="M18" s="224">
        <f>'Congrio dorado Industrial'!J18</f>
        <v>0</v>
      </c>
      <c r="N18" s="157" t="s">
        <v>167</v>
      </c>
      <c r="O18" s="225">
        <f>+'Resumen anual Congrio dorado'!B$3</f>
        <v>43829</v>
      </c>
      <c r="P18" s="24">
        <f t="shared" si="0"/>
        <v>2019</v>
      </c>
      <c r="Q18" s="24"/>
    </row>
    <row r="19" spans="1:17" s="246" customFormat="1">
      <c r="A19" s="24" t="s">
        <v>136</v>
      </c>
      <c r="B19" s="24" t="s">
        <v>130</v>
      </c>
      <c r="C19" s="24" t="s">
        <v>161</v>
      </c>
      <c r="D19" s="24" t="s">
        <v>131</v>
      </c>
      <c r="E19" s="24" t="s">
        <v>202</v>
      </c>
      <c r="F19" s="24" t="s">
        <v>134</v>
      </c>
      <c r="G19" s="24" t="s">
        <v>44</v>
      </c>
      <c r="H19" s="25">
        <f>'Congrio dorado Industrial'!K17</f>
        <v>5.0700000000000002E-2</v>
      </c>
      <c r="I19" s="24">
        <f>'Congrio dorado Industrial'!L17</f>
        <v>0</v>
      </c>
      <c r="J19" s="25">
        <f>'Congrio dorado Industrial'!M17</f>
        <v>5.0700000000000002E-2</v>
      </c>
      <c r="K19" s="25">
        <f>'Congrio dorado Industrial'!N17</f>
        <v>0</v>
      </c>
      <c r="L19" s="25">
        <f>'Congrio dorado Industrial'!O17</f>
        <v>5.0700000000000002E-2</v>
      </c>
      <c r="M19" s="224">
        <f>'Congrio dorado Industrial'!P17</f>
        <v>0</v>
      </c>
      <c r="N19" s="157" t="s">
        <v>167</v>
      </c>
      <c r="O19" s="225">
        <f>+'Resumen anual Congrio dorado'!B$3</f>
        <v>43829</v>
      </c>
      <c r="P19" s="24">
        <f t="shared" si="0"/>
        <v>2019</v>
      </c>
      <c r="Q19" s="24"/>
    </row>
    <row r="20" spans="1:17" s="246" customFormat="1">
      <c r="A20" s="24" t="s">
        <v>136</v>
      </c>
      <c r="B20" s="24" t="s">
        <v>130</v>
      </c>
      <c r="C20" s="24" t="s">
        <v>161</v>
      </c>
      <c r="D20" s="24" t="s">
        <v>131</v>
      </c>
      <c r="E20" s="24" t="s">
        <v>210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24">
        <f>'Congrio dorado Industrial'!J19</f>
        <v>0</v>
      </c>
      <c r="N20" s="157" t="s">
        <v>167</v>
      </c>
      <c r="O20" s="225">
        <f>+'Resumen anual Congrio dorado'!B$3</f>
        <v>43829</v>
      </c>
      <c r="P20" s="24">
        <f t="shared" si="0"/>
        <v>2019</v>
      </c>
      <c r="Q20" s="24"/>
    </row>
    <row r="21" spans="1:17" s="246" customFormat="1">
      <c r="A21" s="24" t="s">
        <v>136</v>
      </c>
      <c r="B21" s="24" t="s">
        <v>130</v>
      </c>
      <c r="C21" s="24" t="s">
        <v>161</v>
      </c>
      <c r="D21" s="24" t="s">
        <v>131</v>
      </c>
      <c r="E21" s="24" t="s">
        <v>210</v>
      </c>
      <c r="F21" s="24" t="s">
        <v>133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24">
        <f>'Congrio dorado Industrial'!J20</f>
        <v>0</v>
      </c>
      <c r="N21" s="157" t="s">
        <v>167</v>
      </c>
      <c r="O21" s="225">
        <f>+'Resumen anual Congrio dorado'!B$3</f>
        <v>43829</v>
      </c>
      <c r="P21" s="24">
        <f t="shared" si="0"/>
        <v>2019</v>
      </c>
      <c r="Q21" s="24"/>
    </row>
    <row r="22" spans="1:17" s="246" customFormat="1">
      <c r="A22" s="24" t="s">
        <v>136</v>
      </c>
      <c r="B22" s="24" t="s">
        <v>130</v>
      </c>
      <c r="C22" s="24" t="s">
        <v>161</v>
      </c>
      <c r="D22" s="24" t="s">
        <v>131</v>
      </c>
      <c r="E22" s="24" t="s">
        <v>210</v>
      </c>
      <c r="F22" s="24" t="s">
        <v>134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24">
        <f>'Congrio dorado Industrial'!P19</f>
        <v>0</v>
      </c>
      <c r="N22" s="157" t="s">
        <v>167</v>
      </c>
      <c r="O22" s="225">
        <f>+'Resumen anual Congrio dorado'!B$3</f>
        <v>43829</v>
      </c>
      <c r="P22" s="24">
        <f t="shared" si="0"/>
        <v>2019</v>
      </c>
      <c r="Q22" s="24"/>
    </row>
    <row r="23" spans="1:17" s="246" customFormat="1">
      <c r="A23" s="24" t="s">
        <v>136</v>
      </c>
      <c r="B23" s="24" t="s">
        <v>130</v>
      </c>
      <c r="C23" s="24" t="s">
        <v>161</v>
      </c>
      <c r="D23" s="24" t="s">
        <v>131</v>
      </c>
      <c r="E23" s="24" t="s">
        <v>211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24">
        <f>'Congrio dorado Industrial'!J21</f>
        <v>0</v>
      </c>
      <c r="N23" s="157" t="s">
        <v>167</v>
      </c>
      <c r="O23" s="225">
        <f>+'Resumen anual Congrio dorado'!B$3</f>
        <v>43829</v>
      </c>
      <c r="P23" s="24">
        <f t="shared" si="0"/>
        <v>2019</v>
      </c>
      <c r="Q23" s="24"/>
    </row>
    <row r="24" spans="1:17" s="246" customFormat="1">
      <c r="A24" s="24" t="s">
        <v>136</v>
      </c>
      <c r="B24" s="24" t="s">
        <v>130</v>
      </c>
      <c r="C24" s="24" t="s">
        <v>161</v>
      </c>
      <c r="D24" s="24" t="s">
        <v>131</v>
      </c>
      <c r="E24" s="24" t="s">
        <v>211</v>
      </c>
      <c r="F24" s="24" t="s">
        <v>133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24">
        <f>'Congrio dorado Industrial'!J22</f>
        <v>0</v>
      </c>
      <c r="N24" s="157" t="s">
        <v>167</v>
      </c>
      <c r="O24" s="225">
        <f>+'Resumen anual Congrio dorado'!B$3</f>
        <v>43829</v>
      </c>
      <c r="P24" s="24">
        <f t="shared" si="0"/>
        <v>2019</v>
      </c>
      <c r="Q24" s="24"/>
    </row>
    <row r="25" spans="1:17" s="246" customFormat="1" ht="15.75" customHeight="1">
      <c r="A25" s="24" t="s">
        <v>136</v>
      </c>
      <c r="B25" s="24" t="s">
        <v>130</v>
      </c>
      <c r="C25" s="24" t="s">
        <v>161</v>
      </c>
      <c r="D25" s="24" t="s">
        <v>131</v>
      </c>
      <c r="E25" s="24" t="s">
        <v>211</v>
      </c>
      <c r="F25" s="24" t="s">
        <v>134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24">
        <f>'Congrio dorado Industrial'!P21</f>
        <v>0</v>
      </c>
      <c r="N25" s="157" t="s">
        <v>167</v>
      </c>
      <c r="O25" s="225">
        <f>+'Resumen anual Congrio dorado'!B$3</f>
        <v>43829</v>
      </c>
      <c r="P25" s="24">
        <f t="shared" si="0"/>
        <v>2019</v>
      </c>
      <c r="Q25" s="24"/>
    </row>
    <row r="26" spans="1:17" s="246" customFormat="1">
      <c r="A26" s="117" t="s">
        <v>163</v>
      </c>
      <c r="B26" s="24" t="s">
        <v>130</v>
      </c>
      <c r="C26" s="24" t="s">
        <v>160</v>
      </c>
      <c r="D26" s="24" t="s">
        <v>131</v>
      </c>
      <c r="E26" s="24" t="s">
        <v>174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-12.901</v>
      </c>
      <c r="J26" s="25">
        <f>'Congrio dorado Industrial'!G29</f>
        <v>2.1185000000000009</v>
      </c>
      <c r="K26" s="25">
        <f>'Congrio dorado Industrial'!H29</f>
        <v>0</v>
      </c>
      <c r="L26" s="25">
        <f>'Congrio dorado Industrial'!I29</f>
        <v>2.1185000000000009</v>
      </c>
      <c r="M26" s="224">
        <f>'Congrio dorado Industrial'!J29</f>
        <v>0</v>
      </c>
      <c r="N26" s="157" t="s">
        <v>167</v>
      </c>
      <c r="O26" s="225">
        <f>+'Resumen anual Congrio dorado'!B$3</f>
        <v>43829</v>
      </c>
      <c r="P26" s="24">
        <f t="shared" si="0"/>
        <v>2019</v>
      </c>
      <c r="Q26" s="24"/>
    </row>
    <row r="27" spans="1:17" s="246" customFormat="1">
      <c r="A27" s="117" t="s">
        <v>163</v>
      </c>
      <c r="B27" s="24" t="s">
        <v>130</v>
      </c>
      <c r="C27" s="24" t="s">
        <v>160</v>
      </c>
      <c r="D27" s="24" t="s">
        <v>131</v>
      </c>
      <c r="E27" s="24" t="s">
        <v>174</v>
      </c>
      <c r="F27" s="24" t="s">
        <v>133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17.3565</v>
      </c>
      <c r="K27" s="25">
        <f>'Congrio dorado Industrial'!H30</f>
        <v>17.082000000000001</v>
      </c>
      <c r="L27" s="25">
        <f>'Congrio dorado Industrial'!I30</f>
        <v>0.27449999999999974</v>
      </c>
      <c r="M27" s="224">
        <f>'Congrio dorado Industrial'!J30</f>
        <v>0.98418459942960856</v>
      </c>
      <c r="N27" s="157" t="s">
        <v>167</v>
      </c>
      <c r="O27" s="225">
        <f>+'Resumen anual Congrio dorado'!B$3</f>
        <v>43829</v>
      </c>
      <c r="P27" s="24">
        <f t="shared" si="0"/>
        <v>2019</v>
      </c>
      <c r="Q27" s="24"/>
    </row>
    <row r="28" spans="1:17" s="246" customFormat="1">
      <c r="A28" s="117" t="s">
        <v>163</v>
      </c>
      <c r="B28" s="24" t="s">
        <v>130</v>
      </c>
      <c r="C28" s="24" t="s">
        <v>160</v>
      </c>
      <c r="D28" s="24" t="s">
        <v>131</v>
      </c>
      <c r="E28" s="24" t="s">
        <v>174</v>
      </c>
      <c r="F28" s="24" t="s">
        <v>134</v>
      </c>
      <c r="G28" s="24" t="s">
        <v>44</v>
      </c>
      <c r="H28" s="25">
        <f>'Congrio dorado Industrial'!K29</f>
        <v>30.2575</v>
      </c>
      <c r="I28" s="24">
        <f>'Congrio dorado Industrial'!L29</f>
        <v>-12.901</v>
      </c>
      <c r="J28" s="25">
        <f>'Congrio dorado Industrial'!M29</f>
        <v>17.3565</v>
      </c>
      <c r="K28" s="25">
        <f>'Congrio dorado Industrial'!N29</f>
        <v>17.082000000000001</v>
      </c>
      <c r="L28" s="25">
        <f>'Congrio dorado Industrial'!O29</f>
        <v>0.27449999999999974</v>
      </c>
      <c r="M28" s="224">
        <f>'Congrio dorado Industrial'!P29</f>
        <v>0.98418459942960856</v>
      </c>
      <c r="N28" s="157" t="s">
        <v>167</v>
      </c>
      <c r="O28" s="225">
        <f>+'Resumen anual Congrio dorado'!B$3</f>
        <v>43829</v>
      </c>
      <c r="P28" s="24">
        <f t="shared" si="0"/>
        <v>2019</v>
      </c>
      <c r="Q28" s="24"/>
    </row>
    <row r="29" spans="1:17" s="246" customFormat="1">
      <c r="A29" s="117" t="s">
        <v>163</v>
      </c>
      <c r="B29" s="24" t="s">
        <v>130</v>
      </c>
      <c r="C29" s="24" t="s">
        <v>160</v>
      </c>
      <c r="D29" s="24" t="s">
        <v>131</v>
      </c>
      <c r="E29" s="24" t="s">
        <v>175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24">
        <f>'Congrio dorado Industrial'!J31</f>
        <v>0</v>
      </c>
      <c r="N29" s="157" t="s">
        <v>167</v>
      </c>
      <c r="O29" s="225">
        <f>+'Resumen anual Congrio dorado'!B$3</f>
        <v>43829</v>
      </c>
      <c r="P29" s="24">
        <f t="shared" si="0"/>
        <v>2019</v>
      </c>
      <c r="Q29" s="24"/>
    </row>
    <row r="30" spans="1:17" s="246" customFormat="1">
      <c r="A30" s="117" t="s">
        <v>163</v>
      </c>
      <c r="B30" s="24" t="s">
        <v>130</v>
      </c>
      <c r="C30" s="24" t="s">
        <v>160</v>
      </c>
      <c r="D30" s="24" t="s">
        <v>131</v>
      </c>
      <c r="E30" s="24" t="s">
        <v>175</v>
      </c>
      <c r="F30" s="24" t="s">
        <v>133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24">
        <f>'Congrio dorado Industrial'!J32</f>
        <v>0</v>
      </c>
      <c r="N30" s="157" t="s">
        <v>167</v>
      </c>
      <c r="O30" s="225">
        <f>+'Resumen anual Congrio dorado'!B$3</f>
        <v>43829</v>
      </c>
      <c r="P30" s="24">
        <f t="shared" si="0"/>
        <v>2019</v>
      </c>
      <c r="Q30" s="24"/>
    </row>
    <row r="31" spans="1:17" s="246" customFormat="1">
      <c r="A31" s="117" t="s">
        <v>163</v>
      </c>
      <c r="B31" s="24" t="s">
        <v>130</v>
      </c>
      <c r="C31" s="24" t="s">
        <v>160</v>
      </c>
      <c r="D31" s="24" t="s">
        <v>131</v>
      </c>
      <c r="E31" s="24" t="s">
        <v>175</v>
      </c>
      <c r="F31" s="24" t="s">
        <v>134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24">
        <f>'Congrio dorado Industrial'!P31</f>
        <v>0</v>
      </c>
      <c r="N31" s="157" t="s">
        <v>167</v>
      </c>
      <c r="O31" s="225">
        <f>+'Resumen anual Congrio dorado'!B$3</f>
        <v>43829</v>
      </c>
      <c r="P31" s="24">
        <f t="shared" si="0"/>
        <v>2019</v>
      </c>
      <c r="Q31" s="24"/>
    </row>
    <row r="32" spans="1:17" s="246" customFormat="1">
      <c r="A32" s="117" t="s">
        <v>163</v>
      </c>
      <c r="B32" s="24" t="s">
        <v>130</v>
      </c>
      <c r="C32" s="24" t="s">
        <v>160</v>
      </c>
      <c r="D32" s="24" t="s">
        <v>131</v>
      </c>
      <c r="E32" s="24" t="s">
        <v>176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17.108000000000001</v>
      </c>
      <c r="L32" s="25">
        <f>'Congrio dorado Industrial'!I33</f>
        <v>25.230999999999998</v>
      </c>
      <c r="M32" s="224">
        <f>'Congrio dorado Industrial'!J33</f>
        <v>0.40407189588795206</v>
      </c>
      <c r="N32" s="157" t="s">
        <v>167</v>
      </c>
      <c r="O32" s="225">
        <f>+'Resumen anual Congrio dorado'!B$3</f>
        <v>43829</v>
      </c>
      <c r="P32" s="24">
        <f t="shared" si="0"/>
        <v>2019</v>
      </c>
      <c r="Q32" s="24"/>
    </row>
    <row r="33" spans="1:17" s="246" customFormat="1">
      <c r="A33" s="117" t="s">
        <v>163</v>
      </c>
      <c r="B33" s="24" t="s">
        <v>130</v>
      </c>
      <c r="C33" s="24" t="s">
        <v>160</v>
      </c>
      <c r="D33" s="24" t="s">
        <v>131</v>
      </c>
      <c r="E33" s="24" t="s">
        <v>176</v>
      </c>
      <c r="F33" s="24" t="s">
        <v>133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68.183999999999997</v>
      </c>
      <c r="K33" s="25">
        <f>'Congrio dorado Industrial'!H34</f>
        <v>59.063000000000002</v>
      </c>
      <c r="L33" s="25">
        <f>'Congrio dorado Industrial'!I34</f>
        <v>9.1209999999999951</v>
      </c>
      <c r="M33" s="224">
        <f>'Congrio dorado Industrial'!J34</f>
        <v>0.86622961398568588</v>
      </c>
      <c r="N33" s="157" t="s">
        <v>167</v>
      </c>
      <c r="O33" s="225">
        <f>+'Resumen anual Congrio dorado'!B$3</f>
        <v>43829</v>
      </c>
      <c r="P33" s="24">
        <f t="shared" si="0"/>
        <v>2019</v>
      </c>
      <c r="Q33" s="24"/>
    </row>
    <row r="34" spans="1:17" s="246" customFormat="1">
      <c r="A34" s="117" t="s">
        <v>163</v>
      </c>
      <c r="B34" s="24" t="s">
        <v>130</v>
      </c>
      <c r="C34" s="24" t="s">
        <v>160</v>
      </c>
      <c r="D34" s="24" t="s">
        <v>131</v>
      </c>
      <c r="E34" s="24" t="s">
        <v>176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76.171000000000006</v>
      </c>
      <c r="L34" s="25">
        <f>'Congrio dorado Industrial'!O33</f>
        <v>9.1209999999999951</v>
      </c>
      <c r="M34" s="224">
        <f>'Congrio dorado Industrial'!P33</f>
        <v>0.89306148290578258</v>
      </c>
      <c r="N34" s="157" t="s">
        <v>167</v>
      </c>
      <c r="O34" s="225">
        <f>+'Resumen anual Congrio dorado'!B$3</f>
        <v>43829</v>
      </c>
      <c r="P34" s="24">
        <f t="shared" si="0"/>
        <v>2019</v>
      </c>
      <c r="Q34" s="24"/>
    </row>
    <row r="35" spans="1:17" s="246" customFormat="1">
      <c r="A35" s="117" t="s">
        <v>163</v>
      </c>
      <c r="B35" s="24" t="s">
        <v>130</v>
      </c>
      <c r="C35" s="24" t="s">
        <v>160</v>
      </c>
      <c r="D35" s="24" t="s">
        <v>131</v>
      </c>
      <c r="E35" s="24" t="s">
        <v>172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12.901</v>
      </c>
      <c r="J35" s="25">
        <f>'Congrio dorado Industrial'!G35</f>
        <v>22.499500000000001</v>
      </c>
      <c r="K35" s="25">
        <f>'Congrio dorado Industrial'!H35</f>
        <v>0</v>
      </c>
      <c r="L35" s="25">
        <f>'Congrio dorado Industrial'!I35</f>
        <v>22.499500000000001</v>
      </c>
      <c r="M35" s="224">
        <f>'Congrio dorado Industrial'!J35</f>
        <v>0</v>
      </c>
      <c r="N35" s="157" t="s">
        <v>167</v>
      </c>
      <c r="O35" s="225">
        <f>+'Resumen anual Congrio dorado'!B$3</f>
        <v>43829</v>
      </c>
      <c r="P35" s="24">
        <f t="shared" si="0"/>
        <v>2019</v>
      </c>
      <c r="Q35" s="24"/>
    </row>
    <row r="36" spans="1:17" s="246" customFormat="1">
      <c r="A36" s="117" t="s">
        <v>163</v>
      </c>
      <c r="B36" s="24" t="s">
        <v>130</v>
      </c>
      <c r="C36" s="24" t="s">
        <v>160</v>
      </c>
      <c r="D36" s="24" t="s">
        <v>131</v>
      </c>
      <c r="E36" s="24" t="s">
        <v>172</v>
      </c>
      <c r="F36" s="24" t="s">
        <v>133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32.236499999999999</v>
      </c>
      <c r="K36" s="25">
        <f>'Congrio dorado Industrial'!H36</f>
        <v>24.309000000000001</v>
      </c>
      <c r="L36" s="25">
        <f>'Congrio dorado Industrial'!I36</f>
        <v>7.9274999999999984</v>
      </c>
      <c r="M36" s="224">
        <f>'Congrio dorado Industrial'!J36</f>
        <v>0.75408310455539529</v>
      </c>
      <c r="N36" s="157" t="s">
        <v>167</v>
      </c>
      <c r="O36" s="225">
        <f>+'Resumen anual Congrio dorado'!B$3</f>
        <v>43829</v>
      </c>
      <c r="P36" s="24">
        <f t="shared" si="0"/>
        <v>2019</v>
      </c>
      <c r="Q36" s="24"/>
    </row>
    <row r="37" spans="1:17" s="246" customFormat="1">
      <c r="A37" s="117" t="s">
        <v>163</v>
      </c>
      <c r="B37" s="24" t="s">
        <v>130</v>
      </c>
      <c r="C37" s="24" t="s">
        <v>160</v>
      </c>
      <c r="D37" s="24" t="s">
        <v>131</v>
      </c>
      <c r="E37" s="24" t="s">
        <v>172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12.901</v>
      </c>
      <c r="J37" s="25">
        <f>'Congrio dorado Industrial'!M35</f>
        <v>32.236500000000007</v>
      </c>
      <c r="K37" s="25">
        <f>'Congrio dorado Industrial'!N35</f>
        <v>24.309000000000001</v>
      </c>
      <c r="L37" s="25">
        <f>'Congrio dorado Industrial'!O35</f>
        <v>7.9275000000000055</v>
      </c>
      <c r="M37" s="224">
        <f>'Congrio dorado Industrial'!P35</f>
        <v>0.75408310455539518</v>
      </c>
      <c r="N37" s="157" t="s">
        <v>167</v>
      </c>
      <c r="O37" s="225">
        <f>+'Resumen anual Congrio dorado'!B$3</f>
        <v>43829</v>
      </c>
      <c r="P37" s="24">
        <f t="shared" si="0"/>
        <v>2019</v>
      </c>
      <c r="Q37" s="24"/>
    </row>
    <row r="38" spans="1:17" s="246" customFormat="1">
      <c r="A38" s="117" t="s">
        <v>163</v>
      </c>
      <c r="B38" s="24" t="s">
        <v>130</v>
      </c>
      <c r="C38" s="24" t="s">
        <v>160</v>
      </c>
      <c r="D38" s="24" t="s">
        <v>131</v>
      </c>
      <c r="E38" s="24" t="s">
        <v>173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24">
        <f>'Congrio dorado Industrial'!J37</f>
        <v>0</v>
      </c>
      <c r="N38" s="157" t="s">
        <v>167</v>
      </c>
      <c r="O38" s="225">
        <f>+'Resumen anual Congrio dorado'!B$3</f>
        <v>43829</v>
      </c>
      <c r="P38" s="24">
        <f t="shared" si="0"/>
        <v>2019</v>
      </c>
      <c r="Q38" s="24"/>
    </row>
    <row r="39" spans="1:17" s="246" customFormat="1">
      <c r="A39" s="117" t="s">
        <v>163</v>
      </c>
      <c r="B39" s="24" t="s">
        <v>130</v>
      </c>
      <c r="C39" s="24" t="s">
        <v>160</v>
      </c>
      <c r="D39" s="24" t="s">
        <v>131</v>
      </c>
      <c r="E39" s="24" t="s">
        <v>173</v>
      </c>
      <c r="F39" s="24" t="s">
        <v>133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0.125</v>
      </c>
      <c r="L39" s="25">
        <f>'Congrio dorado Industrial'!I38</f>
        <v>8.5999999999999993E-2</v>
      </c>
      <c r="M39" s="224">
        <f>'Congrio dorado Industrial'!J38</f>
        <v>0.59241706161137442</v>
      </c>
      <c r="N39" s="157" t="s">
        <v>167</v>
      </c>
      <c r="O39" s="225">
        <f>+'Resumen anual Congrio dorado'!B$3</f>
        <v>43829</v>
      </c>
      <c r="P39" s="24">
        <f t="shared" si="0"/>
        <v>2019</v>
      </c>
      <c r="Q39" s="24"/>
    </row>
    <row r="40" spans="1:17" s="246" customFormat="1">
      <c r="A40" s="117" t="s">
        <v>163</v>
      </c>
      <c r="B40" s="24" t="s">
        <v>130</v>
      </c>
      <c r="C40" s="24" t="s">
        <v>160</v>
      </c>
      <c r="D40" s="24" t="s">
        <v>131</v>
      </c>
      <c r="E40" s="24" t="s">
        <v>173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0.125</v>
      </c>
      <c r="L40" s="25">
        <f>'Congrio dorado Industrial'!O37</f>
        <v>8.5999999999999993E-2</v>
      </c>
      <c r="M40" s="224">
        <f>'Congrio dorado Industrial'!P37</f>
        <v>0.59241706161137442</v>
      </c>
      <c r="N40" s="157" t="s">
        <v>167</v>
      </c>
      <c r="O40" s="225">
        <f>+'Resumen anual Congrio dorado'!B$3</f>
        <v>43829</v>
      </c>
      <c r="P40" s="24">
        <f t="shared" si="0"/>
        <v>2019</v>
      </c>
      <c r="Q40" s="24"/>
    </row>
    <row r="41" spans="1:17" s="246" customFormat="1">
      <c r="A41" s="117" t="s">
        <v>163</v>
      </c>
      <c r="B41" s="24" t="s">
        <v>130</v>
      </c>
      <c r="C41" s="24" t="s">
        <v>160</v>
      </c>
      <c r="D41" s="24" t="s">
        <v>131</v>
      </c>
      <c r="E41" s="24" t="s">
        <v>210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24">
        <f>'Congrio dorado Industrial'!J39</f>
        <v>0</v>
      </c>
      <c r="N41" s="157" t="s">
        <v>167</v>
      </c>
      <c r="O41" s="225">
        <f>+'Resumen anual Congrio dorado'!B$3</f>
        <v>43829</v>
      </c>
      <c r="P41" s="24">
        <f t="shared" si="0"/>
        <v>2019</v>
      </c>
      <c r="Q41" s="24"/>
    </row>
    <row r="42" spans="1:17" s="246" customFormat="1">
      <c r="A42" s="117" t="s">
        <v>163</v>
      </c>
      <c r="B42" s="24" t="s">
        <v>130</v>
      </c>
      <c r="C42" s="24" t="s">
        <v>160</v>
      </c>
      <c r="D42" s="24" t="s">
        <v>131</v>
      </c>
      <c r="E42" s="24" t="s">
        <v>210</v>
      </c>
      <c r="F42" s="24" t="s">
        <v>133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24">
        <f>'Congrio dorado Industrial'!J40</f>
        <v>0</v>
      </c>
      <c r="N42" s="157" t="s">
        <v>167</v>
      </c>
      <c r="O42" s="225">
        <f>+'Resumen anual Congrio dorado'!B$3</f>
        <v>43829</v>
      </c>
      <c r="P42" s="24">
        <f t="shared" si="0"/>
        <v>2019</v>
      </c>
      <c r="Q42" s="24"/>
    </row>
    <row r="43" spans="1:17" s="246" customFormat="1">
      <c r="A43" s="117" t="s">
        <v>163</v>
      </c>
      <c r="B43" s="24" t="s">
        <v>130</v>
      </c>
      <c r="C43" s="24" t="s">
        <v>160</v>
      </c>
      <c r="D43" s="24" t="s">
        <v>131</v>
      </c>
      <c r="E43" s="24" t="s">
        <v>210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24">
        <f>'Congrio dorado Industrial'!P39</f>
        <v>0</v>
      </c>
      <c r="N43" s="157" t="s">
        <v>167</v>
      </c>
      <c r="O43" s="225">
        <f>+'Resumen anual Congrio dorado'!B$3</f>
        <v>43829</v>
      </c>
      <c r="P43" s="24">
        <f t="shared" si="0"/>
        <v>2019</v>
      </c>
      <c r="Q43" s="24"/>
    </row>
    <row r="44" spans="1:17" s="246" customFormat="1">
      <c r="A44" s="117" t="s">
        <v>163</v>
      </c>
      <c r="B44" s="24" t="s">
        <v>130</v>
      </c>
      <c r="C44" s="24" t="s">
        <v>160</v>
      </c>
      <c r="D44" s="24" t="s">
        <v>131</v>
      </c>
      <c r="E44" s="24" t="s">
        <v>211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24">
        <f>'Congrio dorado Industrial'!J41</f>
        <v>0</v>
      </c>
      <c r="N44" s="157" t="s">
        <v>167</v>
      </c>
      <c r="O44" s="225">
        <f>+'Resumen anual Congrio dorado'!B$3</f>
        <v>43829</v>
      </c>
      <c r="P44" s="24">
        <f t="shared" si="0"/>
        <v>2019</v>
      </c>
      <c r="Q44" s="24"/>
    </row>
    <row r="45" spans="1:17" s="246" customFormat="1">
      <c r="A45" s="117" t="s">
        <v>163</v>
      </c>
      <c r="B45" s="24" t="s">
        <v>130</v>
      </c>
      <c r="C45" s="24" t="s">
        <v>160</v>
      </c>
      <c r="D45" s="24" t="s">
        <v>131</v>
      </c>
      <c r="E45" s="24" t="s">
        <v>211</v>
      </c>
      <c r="F45" s="24" t="s">
        <v>133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24">
        <f>'Congrio dorado Industrial'!J42</f>
        <v>0</v>
      </c>
      <c r="N45" s="157" t="s">
        <v>167</v>
      </c>
      <c r="O45" s="225">
        <f>+'Resumen anual Congrio dorado'!B$3</f>
        <v>43829</v>
      </c>
      <c r="P45" s="24">
        <f t="shared" si="0"/>
        <v>2019</v>
      </c>
      <c r="Q45" s="24"/>
    </row>
    <row r="46" spans="1:17" s="246" customFormat="1">
      <c r="A46" s="117" t="s">
        <v>163</v>
      </c>
      <c r="B46" s="24" t="s">
        <v>130</v>
      </c>
      <c r="C46" s="24" t="s">
        <v>160</v>
      </c>
      <c r="D46" s="24" t="s">
        <v>131</v>
      </c>
      <c r="E46" s="24" t="s">
        <v>211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24">
        <f>'Congrio dorado Industrial'!P41</f>
        <v>0</v>
      </c>
      <c r="N46" s="157" t="s">
        <v>167</v>
      </c>
      <c r="O46" s="225">
        <f>+'Resumen anual Congrio dorado'!B$3</f>
        <v>43829</v>
      </c>
      <c r="P46" s="24">
        <f t="shared" si="0"/>
        <v>2019</v>
      </c>
      <c r="Q46" s="24"/>
    </row>
    <row r="47" spans="1:17" s="246" customFormat="1">
      <c r="A47" s="24" t="s">
        <v>177</v>
      </c>
      <c r="B47" s="24" t="s">
        <v>130</v>
      </c>
      <c r="C47" s="24" t="s">
        <v>135</v>
      </c>
      <c r="D47" s="24" t="s">
        <v>137</v>
      </c>
      <c r="E47" s="24" t="s">
        <v>138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1.111</v>
      </c>
      <c r="L47" s="25">
        <f>'Congrio dorado Artesanal'!I7</f>
        <v>2.1020000000000003</v>
      </c>
      <c r="M47" s="224">
        <f>'Congrio dorado Artesanal'!J7</f>
        <v>0.3457827575474634</v>
      </c>
      <c r="N47" s="157" t="str">
        <f>'Congrio dorado Artesanal'!K7</f>
        <v>-</v>
      </c>
      <c r="O47" s="225">
        <f>+'Resumen anual Congrio dorado'!B$3</f>
        <v>43829</v>
      </c>
      <c r="P47" s="24">
        <f t="shared" si="0"/>
        <v>2019</v>
      </c>
      <c r="Q47" s="24"/>
    </row>
    <row r="48" spans="1:17" s="246" customFormat="1">
      <c r="A48" s="24" t="s">
        <v>177</v>
      </c>
      <c r="B48" s="24" t="s">
        <v>130</v>
      </c>
      <c r="C48" s="24" t="s">
        <v>135</v>
      </c>
      <c r="D48" s="24" t="s">
        <v>137</v>
      </c>
      <c r="E48" s="24" t="s">
        <v>138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5.3160000000000007</v>
      </c>
      <c r="K48" s="25">
        <f>'Congrio dorado Artesanal'!H8</f>
        <v>1.4350000000000001</v>
      </c>
      <c r="L48" s="25">
        <f>'Congrio dorado Artesanal'!I8</f>
        <v>3.8810000000000007</v>
      </c>
      <c r="M48" s="224">
        <f>'Congrio dorado Artesanal'!J8</f>
        <v>0.26993980436418358</v>
      </c>
      <c r="N48" s="157" t="str">
        <f>'Congrio dorado Artesanal'!K8</f>
        <v>-</v>
      </c>
      <c r="O48" s="225">
        <f>+'Resumen anual Congrio dorado'!B$3</f>
        <v>43829</v>
      </c>
      <c r="P48" s="24">
        <f t="shared" si="0"/>
        <v>2019</v>
      </c>
      <c r="Q48" s="24"/>
    </row>
    <row r="49" spans="1:17" s="246" customFormat="1">
      <c r="A49" s="24" t="s">
        <v>177</v>
      </c>
      <c r="B49" s="24" t="s">
        <v>130</v>
      </c>
      <c r="C49" s="24" t="s">
        <v>135</v>
      </c>
      <c r="D49" s="24" t="s">
        <v>137</v>
      </c>
      <c r="E49" s="24" t="s">
        <v>138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2.5460000000000003</v>
      </c>
      <c r="L49" s="25">
        <f>'Congrio dorado Artesanal'!P7</f>
        <v>3.8809999999999993</v>
      </c>
      <c r="M49" s="224">
        <f>'Congrio dorado Artesanal'!Q7</f>
        <v>0.39614127897930612</v>
      </c>
      <c r="N49" s="157" t="s">
        <v>167</v>
      </c>
      <c r="O49" s="225">
        <f>+'Resumen anual Congrio dorado'!B$3</f>
        <v>43829</v>
      </c>
      <c r="P49" s="24">
        <f t="shared" si="0"/>
        <v>2019</v>
      </c>
      <c r="Q49" s="24"/>
    </row>
    <row r="50" spans="1:17" s="246" customFormat="1">
      <c r="A50" s="24" t="s">
        <v>177</v>
      </c>
      <c r="B50" s="24" t="s">
        <v>130</v>
      </c>
      <c r="C50" s="24" t="s">
        <v>135</v>
      </c>
      <c r="D50" s="24" t="s">
        <v>137</v>
      </c>
      <c r="E50" s="24" t="s">
        <v>139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1.6539999999999999</v>
      </c>
      <c r="L50" s="25">
        <f>'Congrio dorado Artesanal'!I9</f>
        <v>1.7829999999999999</v>
      </c>
      <c r="M50" s="224">
        <f>'Congrio dorado Artesanal'!J9</f>
        <v>0.4812336339831248</v>
      </c>
      <c r="N50" s="157" t="str">
        <f>'Congrio dorado Artesanal'!K9</f>
        <v>-</v>
      </c>
      <c r="O50" s="225">
        <f>+'Resumen anual Congrio dorado'!B$3</f>
        <v>43829</v>
      </c>
      <c r="P50" s="24">
        <f t="shared" si="0"/>
        <v>2019</v>
      </c>
      <c r="Q50" s="24"/>
    </row>
    <row r="51" spans="1:17" s="246" customFormat="1">
      <c r="A51" s="24" t="s">
        <v>177</v>
      </c>
      <c r="B51" s="24" t="s">
        <v>130</v>
      </c>
      <c r="C51" s="24" t="s">
        <v>135</v>
      </c>
      <c r="D51" s="24" t="s">
        <v>137</v>
      </c>
      <c r="E51" s="24" t="s">
        <v>139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5.22</v>
      </c>
      <c r="K51" s="25">
        <f>'Congrio dorado Artesanal'!H10</f>
        <v>0.52900000000000003</v>
      </c>
      <c r="L51" s="25">
        <f>'Congrio dorado Artesanal'!I10</f>
        <v>4.6909999999999998</v>
      </c>
      <c r="M51" s="224">
        <f>'Congrio dorado Artesanal'!J10</f>
        <v>0.10134099616858239</v>
      </c>
      <c r="N51" s="157" t="str">
        <f>'Congrio dorado Artesanal'!K10</f>
        <v>-</v>
      </c>
      <c r="O51" s="225">
        <f>+'Resumen anual Congrio dorado'!B$3</f>
        <v>43829</v>
      </c>
      <c r="P51" s="24">
        <f t="shared" si="0"/>
        <v>2019</v>
      </c>
      <c r="Q51" s="24"/>
    </row>
    <row r="52" spans="1:17" s="246" customFormat="1">
      <c r="A52" s="24" t="s">
        <v>177</v>
      </c>
      <c r="B52" s="24" t="s">
        <v>130</v>
      </c>
      <c r="C52" s="24" t="s">
        <v>135</v>
      </c>
      <c r="D52" s="24" t="s">
        <v>137</v>
      </c>
      <c r="E52" s="24" t="s">
        <v>139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2.1829999999999998</v>
      </c>
      <c r="L52" s="25">
        <f>'Congrio dorado Artesanal'!P9</f>
        <v>4.6909999999999998</v>
      </c>
      <c r="M52" s="224">
        <f>'Congrio dorado Artesanal'!Q9</f>
        <v>0.31757346523130636</v>
      </c>
      <c r="N52" s="157" t="s">
        <v>167</v>
      </c>
      <c r="O52" s="225">
        <f>+'Resumen anual Congrio dorado'!B$3</f>
        <v>43829</v>
      </c>
      <c r="P52" s="24">
        <f t="shared" si="0"/>
        <v>2019</v>
      </c>
      <c r="Q52" s="24"/>
    </row>
    <row r="53" spans="1:17" s="246" customFormat="1">
      <c r="A53" s="24" t="s">
        <v>177</v>
      </c>
      <c r="B53" s="24" t="s">
        <v>130</v>
      </c>
      <c r="C53" s="24" t="s">
        <v>135</v>
      </c>
      <c r="D53" s="24" t="s">
        <v>137</v>
      </c>
      <c r="E53" s="24" t="s">
        <v>140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0.99099999999999999</v>
      </c>
      <c r="L53" s="25">
        <f>'Congrio dorado Artesanal'!I11</f>
        <v>1.1080000000000001</v>
      </c>
      <c r="M53" s="224">
        <f>'Congrio dorado Artesanal'!J11</f>
        <v>0.47212958551691275</v>
      </c>
      <c r="N53" s="157" t="str">
        <f>'Congrio dorado Artesanal'!K11</f>
        <v>-</v>
      </c>
      <c r="O53" s="225">
        <f>+'Resumen anual Congrio dorado'!B$3</f>
        <v>43829</v>
      </c>
      <c r="P53" s="24">
        <f t="shared" si="0"/>
        <v>2019</v>
      </c>
      <c r="Q53" s="24"/>
    </row>
    <row r="54" spans="1:17" s="246" customFormat="1">
      <c r="A54" s="24" t="s">
        <v>177</v>
      </c>
      <c r="B54" s="24" t="s">
        <v>130</v>
      </c>
      <c r="C54" s="24" t="s">
        <v>135</v>
      </c>
      <c r="D54" s="24" t="s">
        <v>137</v>
      </c>
      <c r="E54" s="24" t="s">
        <v>140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3.2080000000000002</v>
      </c>
      <c r="K54" s="25">
        <f>'Congrio dorado Artesanal'!H12</f>
        <v>2.8149999999999999</v>
      </c>
      <c r="L54" s="25">
        <f>'Congrio dorado Artesanal'!I12</f>
        <v>0.39300000000000024</v>
      </c>
      <c r="M54" s="224">
        <f>'Congrio dorado Artesanal'!J12</f>
        <v>0.87749376558603487</v>
      </c>
      <c r="N54" s="157" t="str">
        <f>'Congrio dorado Artesanal'!K12</f>
        <v>-</v>
      </c>
      <c r="O54" s="225">
        <f>+'Resumen anual Congrio dorado'!B$3</f>
        <v>43829</v>
      </c>
      <c r="P54" s="24">
        <f t="shared" si="0"/>
        <v>2019</v>
      </c>
      <c r="Q54" s="24"/>
    </row>
    <row r="55" spans="1:17" s="246" customFormat="1">
      <c r="A55" s="24" t="s">
        <v>177</v>
      </c>
      <c r="B55" s="24" t="s">
        <v>130</v>
      </c>
      <c r="C55" s="24" t="s">
        <v>135</v>
      </c>
      <c r="D55" s="24" t="s">
        <v>137</v>
      </c>
      <c r="E55" s="24" t="s">
        <v>140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3.806</v>
      </c>
      <c r="L55" s="25">
        <f>'Congrio dorado Artesanal'!P11</f>
        <v>0.39299999999999979</v>
      </c>
      <c r="M55" s="224">
        <f>'Congrio dorado Artesanal'!Q11</f>
        <v>0.90640628721124084</v>
      </c>
      <c r="N55" s="157" t="s">
        <v>167</v>
      </c>
      <c r="O55" s="225">
        <f>+'Resumen anual Congrio dorado'!B$3</f>
        <v>43829</v>
      </c>
      <c r="P55" s="24">
        <f t="shared" si="0"/>
        <v>2019</v>
      </c>
      <c r="Q55" s="24"/>
    </row>
    <row r="56" spans="1:17" s="246" customFormat="1">
      <c r="A56" s="24" t="s">
        <v>177</v>
      </c>
      <c r="B56" s="24" t="s">
        <v>130</v>
      </c>
      <c r="C56" s="24" t="s">
        <v>135</v>
      </c>
      <c r="D56" s="24" t="s">
        <v>137</v>
      </c>
      <c r="E56" s="24" t="s">
        <v>141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10.574</v>
      </c>
      <c r="L56" s="25">
        <f>'Congrio dorado Artesanal'!I13</f>
        <v>-3.3380000000000001</v>
      </c>
      <c r="M56" s="224">
        <f>'Congrio dorado Artesanal'!J13</f>
        <v>1.4613045881702598</v>
      </c>
      <c r="N56" s="157">
        <f>'Congrio dorado Artesanal'!K13</f>
        <v>43545</v>
      </c>
      <c r="O56" s="225">
        <f>+'Resumen anual Congrio dorado'!B$3</f>
        <v>43829</v>
      </c>
      <c r="P56" s="24">
        <f t="shared" si="0"/>
        <v>2019</v>
      </c>
      <c r="Q56" s="24"/>
    </row>
    <row r="57" spans="1:17" s="246" customFormat="1">
      <c r="A57" s="24" t="s">
        <v>177</v>
      </c>
      <c r="B57" s="24" t="s">
        <v>130</v>
      </c>
      <c r="C57" s="24" t="s">
        <v>135</v>
      </c>
      <c r="D57" s="24" t="s">
        <v>137</v>
      </c>
      <c r="E57" s="24" t="s">
        <v>141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3.8979999999999997</v>
      </c>
      <c r="K57" s="25">
        <f>'Congrio dorado Artesanal'!H14</f>
        <v>3.6230000000000002</v>
      </c>
      <c r="L57" s="25">
        <f>'Congrio dorado Artesanal'!I14</f>
        <v>0.27499999999999947</v>
      </c>
      <c r="M57" s="224">
        <f>'Congrio dorado Artesanal'!J14</f>
        <v>0.92945100051308371</v>
      </c>
      <c r="N57" s="157">
        <f>'Congrio dorado Artesanal'!K14</f>
        <v>43647</v>
      </c>
      <c r="O57" s="225">
        <f>+'Resumen anual Congrio dorado'!B$3</f>
        <v>43829</v>
      </c>
      <c r="P57" s="24">
        <f t="shared" si="0"/>
        <v>2019</v>
      </c>
      <c r="Q57" s="24"/>
    </row>
    <row r="58" spans="1:17" s="246" customFormat="1">
      <c r="A58" s="24" t="s">
        <v>177</v>
      </c>
      <c r="B58" s="24" t="s">
        <v>130</v>
      </c>
      <c r="C58" s="24" t="s">
        <v>135</v>
      </c>
      <c r="D58" s="24" t="s">
        <v>137</v>
      </c>
      <c r="E58" s="24" t="s">
        <v>141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14.196999999999999</v>
      </c>
      <c r="L58" s="25">
        <f>'Congrio dorado Artesanal'!P13</f>
        <v>0.27500000000000036</v>
      </c>
      <c r="M58" s="224">
        <f>'Congrio dorado Artesanal'!Q13</f>
        <v>0.98099778883360966</v>
      </c>
      <c r="N58" s="157" t="s">
        <v>167</v>
      </c>
      <c r="O58" s="225">
        <f>+'Resumen anual Congrio dorado'!B$3</f>
        <v>43829</v>
      </c>
      <c r="P58" s="24">
        <f t="shared" si="0"/>
        <v>2019</v>
      </c>
      <c r="Q58" s="24"/>
    </row>
    <row r="59" spans="1:17" s="246" customFormat="1">
      <c r="A59" s="24" t="s">
        <v>177</v>
      </c>
      <c r="B59" s="24" t="s">
        <v>130</v>
      </c>
      <c r="C59" s="24" t="s">
        <v>135</v>
      </c>
      <c r="D59" s="24" t="s">
        <v>137</v>
      </c>
      <c r="E59" s="24" t="s">
        <v>142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13.763999999999999</v>
      </c>
      <c r="L59" s="25">
        <f>'Congrio dorado Artesanal'!I15</f>
        <v>-0.27899999999999991</v>
      </c>
      <c r="M59" s="224">
        <f>'Congrio dorado Artesanal'!J15</f>
        <v>1.0206896551724138</v>
      </c>
      <c r="N59" s="157" t="str">
        <f>'Congrio dorado Artesanal'!K15</f>
        <v>-</v>
      </c>
      <c r="O59" s="225">
        <f>+'Resumen anual Congrio dorado'!B$3</f>
        <v>43829</v>
      </c>
      <c r="P59" s="24">
        <f t="shared" si="0"/>
        <v>2019</v>
      </c>
      <c r="Q59" s="24"/>
    </row>
    <row r="60" spans="1:17" s="246" customFormat="1" ht="14.25" customHeight="1">
      <c r="A60" s="24" t="s">
        <v>177</v>
      </c>
      <c r="B60" s="24" t="s">
        <v>130</v>
      </c>
      <c r="C60" s="24" t="s">
        <v>135</v>
      </c>
      <c r="D60" s="24" t="s">
        <v>137</v>
      </c>
      <c r="E60" s="24" t="s">
        <v>142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13.206</v>
      </c>
      <c r="K60" s="25">
        <f>'Congrio dorado Artesanal'!H16</f>
        <v>12.77</v>
      </c>
      <c r="L60" s="25">
        <f>'Congrio dorado Artesanal'!I16</f>
        <v>0.43599999999999994</v>
      </c>
      <c r="M60" s="224">
        <f>'Congrio dorado Artesanal'!J16</f>
        <v>0.9669847039224595</v>
      </c>
      <c r="N60" s="157" t="str">
        <f>'Congrio dorado Artesanal'!K16</f>
        <v>-</v>
      </c>
      <c r="O60" s="225">
        <f>+'Resumen anual Congrio dorado'!B$3</f>
        <v>43829</v>
      </c>
      <c r="P60" s="24">
        <f t="shared" si="0"/>
        <v>2019</v>
      </c>
      <c r="Q60" s="24"/>
    </row>
    <row r="61" spans="1:17" s="246" customFormat="1" ht="14.25" customHeight="1">
      <c r="A61" s="24" t="s">
        <v>177</v>
      </c>
      <c r="B61" s="24" t="s">
        <v>130</v>
      </c>
      <c r="C61" s="24" t="s">
        <v>135</v>
      </c>
      <c r="D61" s="24" t="s">
        <v>137</v>
      </c>
      <c r="E61" s="24" t="s">
        <v>142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26.533999999999999</v>
      </c>
      <c r="L61" s="25">
        <f>'Congrio dorado Artesanal'!P15</f>
        <v>0.43599999999999994</v>
      </c>
      <c r="M61" s="224">
        <f>'Congrio dorado Artesanal'!Q15</f>
        <v>0.98383388950685946</v>
      </c>
      <c r="N61" s="157" t="s">
        <v>167</v>
      </c>
      <c r="O61" s="225">
        <f>+'Resumen anual Congrio dorado'!B$3</f>
        <v>43829</v>
      </c>
      <c r="P61" s="24">
        <f t="shared" si="0"/>
        <v>2019</v>
      </c>
      <c r="Q61" s="24"/>
    </row>
    <row r="62" spans="1:17" s="246" customFormat="1">
      <c r="A62" s="24" t="s">
        <v>177</v>
      </c>
      <c r="B62" s="24" t="s">
        <v>130</v>
      </c>
      <c r="C62" s="24" t="s">
        <v>135</v>
      </c>
      <c r="D62" s="24" t="s">
        <v>137</v>
      </c>
      <c r="E62" s="24" t="s">
        <v>143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4.1100000000000003</v>
      </c>
      <c r="L62" s="25">
        <f>'Congrio dorado Artesanal'!I17</f>
        <v>29.929000000000002</v>
      </c>
      <c r="M62" s="224">
        <f>'Congrio dorado Artesanal'!J17</f>
        <v>0.12074385263961926</v>
      </c>
      <c r="N62" s="157" t="str">
        <f>'Congrio dorado Artesanal'!K17</f>
        <v>-</v>
      </c>
      <c r="O62" s="225">
        <f>+'Resumen anual Congrio dorado'!B$3</f>
        <v>43829</v>
      </c>
      <c r="P62" s="24">
        <f t="shared" si="0"/>
        <v>2019</v>
      </c>
      <c r="Q62" s="24"/>
    </row>
    <row r="63" spans="1:17" s="246" customFormat="1">
      <c r="A63" s="24" t="s">
        <v>177</v>
      </c>
      <c r="B63" s="24" t="s">
        <v>130</v>
      </c>
      <c r="C63" s="24" t="s">
        <v>135</v>
      </c>
      <c r="D63" s="24" t="s">
        <v>137</v>
      </c>
      <c r="E63" s="24" t="s">
        <v>143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63.968000000000004</v>
      </c>
      <c r="K63" s="25">
        <f>'Congrio dorado Artesanal'!H18</f>
        <v>31.972999999999999</v>
      </c>
      <c r="L63" s="25">
        <f>'Congrio dorado Artesanal'!I18</f>
        <v>31.995000000000005</v>
      </c>
      <c r="M63" s="224">
        <f>'Congrio dorado Artesanal'!J18</f>
        <v>0.49982803901950973</v>
      </c>
      <c r="N63" s="157" t="str">
        <f>'Congrio dorado Artesanal'!K18</f>
        <v>-</v>
      </c>
      <c r="O63" s="225">
        <f>+'Resumen anual Congrio dorado'!B$3</f>
        <v>43829</v>
      </c>
      <c r="P63" s="24">
        <f t="shared" si="0"/>
        <v>2019</v>
      </c>
      <c r="Q63" s="24"/>
    </row>
    <row r="64" spans="1:17" s="246" customFormat="1">
      <c r="A64" s="24" t="s">
        <v>177</v>
      </c>
      <c r="B64" s="24" t="s">
        <v>130</v>
      </c>
      <c r="C64" s="24" t="s">
        <v>135</v>
      </c>
      <c r="D64" s="24" t="s">
        <v>137</v>
      </c>
      <c r="E64" s="24" t="s">
        <v>143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36.082999999999998</v>
      </c>
      <c r="L64" s="25">
        <f>'Congrio dorado Artesanal'!P17</f>
        <v>31.995000000000005</v>
      </c>
      <c r="M64" s="224">
        <f>'Congrio dorado Artesanal'!Q17</f>
        <v>0.53002438379505856</v>
      </c>
      <c r="N64" s="157" t="s">
        <v>167</v>
      </c>
      <c r="O64" s="225">
        <f>+'Resumen anual Congrio dorado'!B$3</f>
        <v>43829</v>
      </c>
      <c r="P64" s="24">
        <f t="shared" si="0"/>
        <v>2019</v>
      </c>
      <c r="Q64" s="24"/>
    </row>
    <row r="65" spans="1:17" s="246" customFormat="1">
      <c r="A65" s="24" t="s">
        <v>177</v>
      </c>
      <c r="B65" s="24" t="s">
        <v>130</v>
      </c>
      <c r="C65" s="24" t="s">
        <v>135</v>
      </c>
      <c r="D65" s="24" t="s">
        <v>137</v>
      </c>
      <c r="E65" s="24" t="s">
        <v>144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1.21</v>
      </c>
      <c r="L65" s="25">
        <f>'Congrio dorado Artesanal'!I19</f>
        <v>5.69</v>
      </c>
      <c r="M65" s="224">
        <f>'Congrio dorado Artesanal'!J19</f>
        <v>0.17536231884057971</v>
      </c>
      <c r="N65" s="157">
        <f>'Congrio dorado Artesanal'!K19</f>
        <v>43539</v>
      </c>
      <c r="O65" s="225">
        <f>+'Resumen anual Congrio dorado'!B$3</f>
        <v>43829</v>
      </c>
      <c r="P65" s="24">
        <f t="shared" si="0"/>
        <v>2019</v>
      </c>
      <c r="Q65" s="24"/>
    </row>
    <row r="66" spans="1:17" s="246" customFormat="1">
      <c r="A66" s="24" t="s">
        <v>177</v>
      </c>
      <c r="B66" s="24" t="s">
        <v>130</v>
      </c>
      <c r="C66" s="24" t="s">
        <v>135</v>
      </c>
      <c r="D66" s="24" t="s">
        <v>137</v>
      </c>
      <c r="E66" s="24" t="s">
        <v>144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12.59</v>
      </c>
      <c r="K66" s="25">
        <f>'Congrio dorado Artesanal'!H20</f>
        <v>12.925000000000001</v>
      </c>
      <c r="L66" s="25">
        <f>'Congrio dorado Artesanal'!I20</f>
        <v>-0.33500000000000085</v>
      </c>
      <c r="M66" s="224">
        <f>'Congrio dorado Artesanal'!J20</f>
        <v>1.0266084193804608</v>
      </c>
      <c r="N66" s="157">
        <f>'Congrio dorado Artesanal'!K20</f>
        <v>43539</v>
      </c>
      <c r="O66" s="225">
        <f>+'Resumen anual Congrio dorado'!B$3</f>
        <v>43829</v>
      </c>
      <c r="P66" s="24">
        <f t="shared" si="0"/>
        <v>2019</v>
      </c>
      <c r="Q66" s="24"/>
    </row>
    <row r="67" spans="1:17" s="246" customFormat="1">
      <c r="A67" s="24" t="s">
        <v>177</v>
      </c>
      <c r="B67" s="24" t="s">
        <v>130</v>
      </c>
      <c r="C67" s="24" t="s">
        <v>135</v>
      </c>
      <c r="D67" s="24" t="s">
        <v>137</v>
      </c>
      <c r="E67" s="24" t="s">
        <v>144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14.135000000000002</v>
      </c>
      <c r="L67" s="25">
        <f>'Congrio dorado Artesanal'!P19</f>
        <v>-0.33500000000000085</v>
      </c>
      <c r="M67" s="224">
        <f>'Congrio dorado Artesanal'!Q19</f>
        <v>1.0242753623188405</v>
      </c>
      <c r="N67" s="157" t="s">
        <v>167</v>
      </c>
      <c r="O67" s="225">
        <f>+'Resumen anual Congrio dorado'!B$3</f>
        <v>43829</v>
      </c>
      <c r="P67" s="24">
        <f t="shared" ref="P67:P113" si="1">YEAR(O67)</f>
        <v>2019</v>
      </c>
      <c r="Q67" s="24"/>
    </row>
    <row r="68" spans="1:17" s="246" customFormat="1">
      <c r="A68" s="24" t="s">
        <v>177</v>
      </c>
      <c r="B68" s="24" t="s">
        <v>130</v>
      </c>
      <c r="C68" s="24" t="s">
        <v>135</v>
      </c>
      <c r="D68" s="24" t="s">
        <v>137</v>
      </c>
      <c r="E68" s="24" t="s">
        <v>145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1.0840000000000001</v>
      </c>
      <c r="L68" s="25">
        <f>'Congrio dorado Artesanal'!I21</f>
        <v>2.2029999999999998</v>
      </c>
      <c r="M68" s="224">
        <f>'Congrio dorado Artesanal'!J21</f>
        <v>0.32978399756616977</v>
      </c>
      <c r="N68" s="157" t="str">
        <f>'Congrio dorado Artesanal'!K21</f>
        <v>-</v>
      </c>
      <c r="O68" s="225">
        <f>+'Resumen anual Congrio dorado'!B$3</f>
        <v>43829</v>
      </c>
      <c r="P68" s="24">
        <f t="shared" si="1"/>
        <v>2019</v>
      </c>
      <c r="Q68" s="24"/>
    </row>
    <row r="69" spans="1:17" s="246" customFormat="1">
      <c r="A69" s="24" t="s">
        <v>177</v>
      </c>
      <c r="B69" s="24" t="s">
        <v>130</v>
      </c>
      <c r="C69" s="24" t="s">
        <v>135</v>
      </c>
      <c r="D69" s="24" t="s">
        <v>137</v>
      </c>
      <c r="E69" s="24" t="s">
        <v>145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5.49</v>
      </c>
      <c r="K69" s="25">
        <f>'Congrio dorado Artesanal'!H22</f>
        <v>2.3809999999999998</v>
      </c>
      <c r="L69" s="25">
        <f>'Congrio dorado Artesanal'!I22</f>
        <v>3.1090000000000004</v>
      </c>
      <c r="M69" s="224">
        <f>'Congrio dorado Artesanal'!J22</f>
        <v>0.43369763205828776</v>
      </c>
      <c r="N69" s="157" t="str">
        <f>'Congrio dorado Artesanal'!K22</f>
        <v>-</v>
      </c>
      <c r="O69" s="225">
        <f>+'Resumen anual Congrio dorado'!B$3</f>
        <v>43829</v>
      </c>
      <c r="P69" s="24">
        <f t="shared" si="1"/>
        <v>2019</v>
      </c>
      <c r="Q69" s="24"/>
    </row>
    <row r="70" spans="1:17" s="246" customFormat="1">
      <c r="A70" s="24" t="s">
        <v>177</v>
      </c>
      <c r="B70" s="24" t="s">
        <v>130</v>
      </c>
      <c r="C70" s="24" t="s">
        <v>135</v>
      </c>
      <c r="D70" s="24" t="s">
        <v>137</v>
      </c>
      <c r="E70" s="24" t="s">
        <v>145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3.4649999999999999</v>
      </c>
      <c r="L70" s="25">
        <f>'Congrio dorado Artesanal'!P21</f>
        <v>3.109</v>
      </c>
      <c r="M70" s="224">
        <f>'Congrio dorado Artesanal'!Q21</f>
        <v>0.52707636142379066</v>
      </c>
      <c r="N70" s="157" t="s">
        <v>167</v>
      </c>
      <c r="O70" s="225">
        <f>+'Resumen anual Congrio dorado'!B$3</f>
        <v>43829</v>
      </c>
      <c r="P70" s="24">
        <f t="shared" si="1"/>
        <v>2019</v>
      </c>
      <c r="Q70" s="24"/>
    </row>
    <row r="71" spans="1:17" s="246" customFormat="1">
      <c r="A71" s="24" t="s">
        <v>177</v>
      </c>
      <c r="B71" s="24" t="s">
        <v>130</v>
      </c>
      <c r="C71" s="24" t="s">
        <v>135</v>
      </c>
      <c r="D71" s="24" t="s">
        <v>137</v>
      </c>
      <c r="E71" s="24" t="s">
        <v>146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24">
        <f>'Congrio dorado Artesanal'!J23</f>
        <v>0</v>
      </c>
      <c r="N71" s="157" t="str">
        <f>'Congrio dorado Artesanal'!K23</f>
        <v>-</v>
      </c>
      <c r="O71" s="225">
        <f>+'Resumen anual Congrio dorado'!B$3</f>
        <v>43829</v>
      </c>
      <c r="P71" s="24">
        <f t="shared" si="1"/>
        <v>2019</v>
      </c>
      <c r="Q71" s="24"/>
    </row>
    <row r="72" spans="1:17" s="246" customFormat="1">
      <c r="A72" s="24" t="s">
        <v>177</v>
      </c>
      <c r="B72" s="24" t="s">
        <v>130</v>
      </c>
      <c r="C72" s="24" t="s">
        <v>135</v>
      </c>
      <c r="D72" s="24" t="s">
        <v>137</v>
      </c>
      <c r="E72" s="24" t="s">
        <v>146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24">
        <f>'Congrio dorado Artesanal'!J24</f>
        <v>0</v>
      </c>
      <c r="N72" s="157" t="str">
        <f>'Congrio dorado Artesanal'!K24</f>
        <v>-</v>
      </c>
      <c r="O72" s="225">
        <f>+'Resumen anual Congrio dorado'!B$3</f>
        <v>43829</v>
      </c>
      <c r="P72" s="24">
        <f t="shared" si="1"/>
        <v>2019</v>
      </c>
      <c r="Q72" s="24"/>
    </row>
    <row r="73" spans="1:17" s="246" customFormat="1">
      <c r="A73" s="24" t="s">
        <v>177</v>
      </c>
      <c r="B73" s="24" t="s">
        <v>130</v>
      </c>
      <c r="C73" s="24" t="s">
        <v>135</v>
      </c>
      <c r="D73" s="24" t="s">
        <v>137</v>
      </c>
      <c r="E73" s="24" t="s">
        <v>146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24">
        <f>'Congrio dorado Artesanal'!Q23</f>
        <v>0</v>
      </c>
      <c r="N73" s="157" t="s">
        <v>167</v>
      </c>
      <c r="O73" s="225">
        <f>+'Resumen anual Congrio dorado'!B$3</f>
        <v>43829</v>
      </c>
      <c r="P73" s="24">
        <f t="shared" si="1"/>
        <v>2019</v>
      </c>
      <c r="Q73" s="24"/>
    </row>
    <row r="74" spans="1:17" s="246" customFormat="1">
      <c r="A74" s="24" t="s">
        <v>177</v>
      </c>
      <c r="B74" s="24" t="s">
        <v>130</v>
      </c>
      <c r="C74" s="24" t="s">
        <v>135</v>
      </c>
      <c r="D74" s="24" t="s">
        <v>137</v>
      </c>
      <c r="E74" s="24" t="s">
        <v>147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0.19400000000000001</v>
      </c>
      <c r="L74" s="25">
        <f>'Congrio dorado Artesanal'!I25</f>
        <v>0.59400000000000008</v>
      </c>
      <c r="M74" s="224">
        <f>'Congrio dorado Artesanal'!J25</f>
        <v>0.24619289340101522</v>
      </c>
      <c r="N74" s="157">
        <f>'Congrio dorado Artesanal'!K25</f>
        <v>43500</v>
      </c>
      <c r="O74" s="225">
        <f>+'Resumen anual Congrio dorado'!B$3</f>
        <v>43829</v>
      </c>
      <c r="P74" s="24">
        <f t="shared" si="1"/>
        <v>2019</v>
      </c>
      <c r="Q74" s="24"/>
    </row>
    <row r="75" spans="1:17" s="246" customFormat="1">
      <c r="A75" s="24" t="s">
        <v>177</v>
      </c>
      <c r="B75" s="24" t="s">
        <v>130</v>
      </c>
      <c r="C75" s="24" t="s">
        <v>135</v>
      </c>
      <c r="D75" s="24" t="s">
        <v>137</v>
      </c>
      <c r="E75" s="24" t="s">
        <v>147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1.383</v>
      </c>
      <c r="K75" s="25">
        <f>'Congrio dorado Artesanal'!H26</f>
        <v>0</v>
      </c>
      <c r="L75" s="25">
        <f>'Congrio dorado Artesanal'!I26</f>
        <v>1.383</v>
      </c>
      <c r="M75" s="224">
        <f>'Congrio dorado Artesanal'!J26</f>
        <v>0</v>
      </c>
      <c r="N75" s="157">
        <f>'Congrio dorado Artesanal'!K26</f>
        <v>43500</v>
      </c>
      <c r="O75" s="225">
        <f>+'Resumen anual Congrio dorado'!B$3</f>
        <v>43829</v>
      </c>
      <c r="P75" s="24">
        <f t="shared" si="1"/>
        <v>2019</v>
      </c>
      <c r="Q75" s="24"/>
    </row>
    <row r="76" spans="1:17" s="246" customFormat="1">
      <c r="A76" s="24" t="s">
        <v>177</v>
      </c>
      <c r="B76" s="24" t="s">
        <v>130</v>
      </c>
      <c r="C76" s="24" t="s">
        <v>135</v>
      </c>
      <c r="D76" s="24" t="s">
        <v>137</v>
      </c>
      <c r="E76" s="24" t="s">
        <v>147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0.19400000000000001</v>
      </c>
      <c r="L76" s="25">
        <f>'Congrio dorado Artesanal'!P25</f>
        <v>1.383</v>
      </c>
      <c r="M76" s="224">
        <f>'Congrio dorado Artesanal'!Q25</f>
        <v>0.12301838934686113</v>
      </c>
      <c r="N76" s="157" t="s">
        <v>167</v>
      </c>
      <c r="O76" s="225">
        <f>+'Resumen anual Congrio dorado'!B$3</f>
        <v>43829</v>
      </c>
      <c r="P76" s="24">
        <f t="shared" si="1"/>
        <v>2019</v>
      </c>
      <c r="Q76" s="24"/>
    </row>
    <row r="77" spans="1:17" s="246" customFormat="1">
      <c r="A77" s="24" t="s">
        <v>177</v>
      </c>
      <c r="B77" s="24" t="s">
        <v>130</v>
      </c>
      <c r="C77" s="24" t="s">
        <v>135</v>
      </c>
      <c r="D77" s="24" t="s">
        <v>162</v>
      </c>
      <c r="E77" s="24" t="s">
        <v>184</v>
      </c>
      <c r="F77" s="24" t="s">
        <v>33</v>
      </c>
      <c r="G77" s="24" t="s">
        <v>38</v>
      </c>
      <c r="H77" s="25">
        <f>'Congrio dorado Artesanal'!E27</f>
        <v>26.521999999999998</v>
      </c>
      <c r="I77" s="24">
        <f>'Congrio dorado Artesanal'!F27</f>
        <v>0</v>
      </c>
      <c r="J77" s="25">
        <f>'Congrio dorado Artesanal'!G27</f>
        <v>26.521999999999998</v>
      </c>
      <c r="K77" s="25">
        <f>'Congrio dorado Artesanal'!H27</f>
        <v>62.054000000000002</v>
      </c>
      <c r="L77" s="25">
        <f>'Congrio dorado Artesanal'!I27</f>
        <v>-35.532000000000004</v>
      </c>
      <c r="M77" s="224">
        <f>'Congrio dorado Artesanal'!J27</f>
        <v>2.3397179699871806</v>
      </c>
      <c r="N77" s="157">
        <f>'Congrio dorado Artesanal'!K27</f>
        <v>43479</v>
      </c>
      <c r="O77" s="225">
        <f>+'Resumen anual Congrio dorado'!B$3</f>
        <v>43829</v>
      </c>
      <c r="P77" s="24">
        <f t="shared" si="1"/>
        <v>2019</v>
      </c>
      <c r="Q77" s="24"/>
    </row>
    <row r="78" spans="1:17" s="246" customFormat="1">
      <c r="A78" s="24" t="s">
        <v>177</v>
      </c>
      <c r="B78" s="24" t="s">
        <v>130</v>
      </c>
      <c r="C78" s="24" t="s">
        <v>135</v>
      </c>
      <c r="D78" s="24" t="s">
        <v>162</v>
      </c>
      <c r="E78" s="24" t="s">
        <v>184</v>
      </c>
      <c r="F78" s="24" t="s">
        <v>39</v>
      </c>
      <c r="G78" s="24" t="s">
        <v>44</v>
      </c>
      <c r="H78" s="25">
        <f>'Congrio dorado Artesanal'!E28</f>
        <v>26.518000000000001</v>
      </c>
      <c r="I78" s="24">
        <f>'Congrio dorado Artesanal'!F28</f>
        <v>0</v>
      </c>
      <c r="J78" s="25">
        <f>'Congrio dorado Artesanal'!G28</f>
        <v>-9.0140000000000029</v>
      </c>
      <c r="K78" s="25">
        <f>'Congrio dorado Artesanal'!H28</f>
        <v>3.774</v>
      </c>
      <c r="L78" s="25">
        <f>'Congrio dorado Artesanal'!I28</f>
        <v>-12.788000000000004</v>
      </c>
      <c r="M78" s="224">
        <f>'Congrio dorado Artesanal'!J28</f>
        <v>-0.41868205014422</v>
      </c>
      <c r="N78" s="157">
        <f>'Congrio dorado Artesanal'!K28</f>
        <v>43483</v>
      </c>
      <c r="O78" s="225">
        <f>+'Resumen anual Congrio dorado'!B$3</f>
        <v>43829</v>
      </c>
      <c r="P78" s="24">
        <f t="shared" si="1"/>
        <v>2019</v>
      </c>
      <c r="Q78" s="24"/>
    </row>
    <row r="79" spans="1:17" s="246" customFormat="1">
      <c r="A79" s="24" t="s">
        <v>177</v>
      </c>
      <c r="B79" s="24" t="s">
        <v>130</v>
      </c>
      <c r="C79" s="24" t="s">
        <v>135</v>
      </c>
      <c r="D79" s="24" t="s">
        <v>162</v>
      </c>
      <c r="E79" s="24" t="s">
        <v>184</v>
      </c>
      <c r="F79" s="24" t="s">
        <v>33</v>
      </c>
      <c r="G79" s="24" t="s">
        <v>44</v>
      </c>
      <c r="H79" s="25">
        <f>'Congrio dorado Artesanal'!L27</f>
        <v>53.04</v>
      </c>
      <c r="I79" s="24">
        <f>'Congrio dorado Artesanal'!M27</f>
        <v>0</v>
      </c>
      <c r="J79" s="25">
        <f>'Congrio dorado Artesanal'!N27</f>
        <v>53.04</v>
      </c>
      <c r="K79" s="25">
        <f>'Congrio dorado Artesanal'!O27</f>
        <v>65.828000000000003</v>
      </c>
      <c r="L79" s="25">
        <f>'Congrio dorado Artesanal'!P27</f>
        <v>-12.788000000000004</v>
      </c>
      <c r="M79" s="224">
        <f>'Congrio dorado Artesanal'!Q27</f>
        <v>1.2411010558069382</v>
      </c>
      <c r="N79" s="157">
        <f>'Congrio dorado Artesanal'!K28</f>
        <v>43483</v>
      </c>
      <c r="O79" s="225">
        <f>+'Resumen anual Congrio dorado'!B$3</f>
        <v>43829</v>
      </c>
      <c r="P79" s="24">
        <f t="shared" si="1"/>
        <v>2019</v>
      </c>
      <c r="Q79" s="24"/>
    </row>
    <row r="80" spans="1:17" s="246" customFormat="1">
      <c r="A80" s="24" t="s">
        <v>177</v>
      </c>
      <c r="B80" s="24" t="s">
        <v>130</v>
      </c>
      <c r="C80" s="24" t="s">
        <v>135</v>
      </c>
      <c r="D80" s="24" t="s">
        <v>169</v>
      </c>
      <c r="E80" s="24" t="s">
        <v>148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21.872</v>
      </c>
      <c r="L80" s="25">
        <f>'Congrio dorado Artesanal'!I35</f>
        <v>32.177999999999997</v>
      </c>
      <c r="M80" s="224">
        <f>'Congrio dorado Artesanal'!J35</f>
        <v>0.40466234967622572</v>
      </c>
      <c r="N80" s="157" t="str">
        <f>'Congrio dorado Artesanal'!K35</f>
        <v>-</v>
      </c>
      <c r="O80" s="225">
        <f>+'Resumen anual Congrio dorado'!B$3</f>
        <v>43829</v>
      </c>
      <c r="P80" s="24">
        <f t="shared" si="1"/>
        <v>2019</v>
      </c>
      <c r="Q80" s="24"/>
    </row>
    <row r="81" spans="1:17" s="246" customFormat="1">
      <c r="A81" s="24" t="s">
        <v>177</v>
      </c>
      <c r="B81" s="24" t="s">
        <v>130</v>
      </c>
      <c r="C81" s="24" t="s">
        <v>135</v>
      </c>
      <c r="D81" s="24" t="s">
        <v>169</v>
      </c>
      <c r="E81" s="24" t="s">
        <v>148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86.227999999999994</v>
      </c>
      <c r="K81" s="25">
        <f>'Congrio dorado Artesanal'!H36</f>
        <v>80.414000000000001</v>
      </c>
      <c r="L81" s="25">
        <f>'Congrio dorado Artesanal'!I36</f>
        <v>5.813999999999993</v>
      </c>
      <c r="M81" s="224">
        <f>'Congrio dorado Artesanal'!J36</f>
        <v>0.93257410585888578</v>
      </c>
      <c r="N81" s="157" t="str">
        <f>'Congrio dorado Artesanal'!K36</f>
        <v>-</v>
      </c>
      <c r="O81" s="225">
        <f>+'Resumen anual Congrio dorado'!B$3</f>
        <v>43829</v>
      </c>
      <c r="P81" s="24">
        <f t="shared" si="1"/>
        <v>2019</v>
      </c>
      <c r="Q81" s="24"/>
    </row>
    <row r="82" spans="1:17" s="246" customFormat="1">
      <c r="A82" s="24" t="s">
        <v>177</v>
      </c>
      <c r="B82" s="24" t="s">
        <v>130</v>
      </c>
      <c r="C82" s="24" t="s">
        <v>135</v>
      </c>
      <c r="D82" s="24" t="s">
        <v>169</v>
      </c>
      <c r="E82" s="24" t="s">
        <v>148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140.27799999999999</v>
      </c>
      <c r="K82" s="25">
        <f>'Congrio dorado Artesanal'!O35</f>
        <v>102.286</v>
      </c>
      <c r="L82" s="25">
        <f>'Congrio dorado Artesanal'!P35</f>
        <v>37.99199999999999</v>
      </c>
      <c r="M82" s="224">
        <f>'Congrio dorado Artesanal'!Q35</f>
        <v>0.72916636963743431</v>
      </c>
      <c r="N82" s="157" t="s">
        <v>167</v>
      </c>
      <c r="O82" s="225">
        <f>+'Resumen anual Congrio dorado'!B$3</f>
        <v>43829</v>
      </c>
      <c r="P82" s="24">
        <f t="shared" si="1"/>
        <v>2019</v>
      </c>
      <c r="Q82" s="24"/>
    </row>
    <row r="83" spans="1:17" s="246" customFormat="1">
      <c r="A83" s="24" t="s">
        <v>177</v>
      </c>
      <c r="B83" s="24" t="s">
        <v>130</v>
      </c>
      <c r="C83" s="24" t="s">
        <v>135</v>
      </c>
      <c r="D83" s="24" t="s">
        <v>162</v>
      </c>
      <c r="E83" s="24" t="s">
        <v>183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34.063000000000002</v>
      </c>
      <c r="L83" s="25">
        <f>'Congrio dorado Artesanal'!I37</f>
        <v>-20.833000000000002</v>
      </c>
      <c r="M83" s="224">
        <f>'Congrio dorado Artesanal'!J37</f>
        <v>2.5746787603930463</v>
      </c>
      <c r="N83" s="157">
        <f>'Congrio dorado Artesanal'!K37</f>
        <v>43479</v>
      </c>
      <c r="O83" s="225">
        <f>+'Resumen anual Congrio dorado'!B$3</f>
        <v>43829</v>
      </c>
      <c r="P83" s="24">
        <f t="shared" si="1"/>
        <v>2019</v>
      </c>
      <c r="Q83" s="24"/>
    </row>
    <row r="84" spans="1:17" s="246" customFormat="1">
      <c r="A84" s="24" t="s">
        <v>177</v>
      </c>
      <c r="B84" s="24" t="s">
        <v>130</v>
      </c>
      <c r="C84" s="24" t="s">
        <v>135</v>
      </c>
      <c r="D84" s="24" t="s">
        <v>162</v>
      </c>
      <c r="E84" s="24" t="s">
        <v>183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-7.6030000000000015</v>
      </c>
      <c r="K84" s="25">
        <f>'Congrio dorado Artesanal'!H38</f>
        <v>0</v>
      </c>
      <c r="L84" s="25">
        <f>'Congrio dorado Artesanal'!I38</f>
        <v>-7.6030000000000015</v>
      </c>
      <c r="M84" s="224">
        <f>'Congrio dorado Artesanal'!J38</f>
        <v>0</v>
      </c>
      <c r="N84" s="157">
        <f>'Congrio dorado Artesanal'!K38</f>
        <v>43479</v>
      </c>
      <c r="O84" s="225">
        <f>+'Resumen anual Congrio dorado'!B$3</f>
        <v>43829</v>
      </c>
      <c r="P84" s="24">
        <f t="shared" si="1"/>
        <v>2019</v>
      </c>
      <c r="Q84" s="24"/>
    </row>
    <row r="85" spans="1:17" s="246" customFormat="1">
      <c r="A85" s="24" t="s">
        <v>177</v>
      </c>
      <c r="B85" s="24" t="s">
        <v>130</v>
      </c>
      <c r="C85" s="24" t="s">
        <v>135</v>
      </c>
      <c r="D85" s="24" t="s">
        <v>162</v>
      </c>
      <c r="E85" s="24" t="s">
        <v>183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5.6269999999999989</v>
      </c>
      <c r="K85" s="25">
        <f>'Congrio dorado Artesanal'!O37</f>
        <v>34.063000000000002</v>
      </c>
      <c r="L85" s="25">
        <f>'Congrio dorado Artesanal'!P37</f>
        <v>-28.436000000000003</v>
      </c>
      <c r="M85" s="224">
        <f>'Congrio dorado Artesanal'!Q37</f>
        <v>6.05349209170073</v>
      </c>
      <c r="N85" s="157">
        <f>'Congrio dorado Artesanal'!K38</f>
        <v>43479</v>
      </c>
      <c r="O85" s="225">
        <f>+'Resumen anual Congrio dorado'!B$3</f>
        <v>43829</v>
      </c>
      <c r="P85" s="24">
        <f t="shared" si="1"/>
        <v>2019</v>
      </c>
      <c r="Q85" s="24"/>
    </row>
    <row r="86" spans="1:17" s="246" customFormat="1">
      <c r="A86" s="24" t="s">
        <v>178</v>
      </c>
      <c r="B86" s="24" t="s">
        <v>130</v>
      </c>
      <c r="C86" s="24" t="s">
        <v>149</v>
      </c>
      <c r="D86" s="24" t="s">
        <v>137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104.666</v>
      </c>
      <c r="L86" s="25">
        <f>'Congrio dorado Artesanal'!I45</f>
        <v>-32.566000000000003</v>
      </c>
      <c r="M86" s="224">
        <f>'Congrio dorado Artesanal'!J45</f>
        <v>1.4516782246879334</v>
      </c>
      <c r="N86" s="157">
        <f>'Congrio dorado Artesanal'!K45</f>
        <v>43501</v>
      </c>
      <c r="O86" s="225">
        <f>+'Resumen anual Congrio dorado'!B$3</f>
        <v>43829</v>
      </c>
      <c r="P86" s="24">
        <f t="shared" si="1"/>
        <v>2019</v>
      </c>
      <c r="Q86" s="24"/>
    </row>
    <row r="87" spans="1:17" s="246" customFormat="1">
      <c r="A87" s="24" t="s">
        <v>178</v>
      </c>
      <c r="B87" s="24" t="s">
        <v>130</v>
      </c>
      <c r="C87" s="24" t="s">
        <v>149</v>
      </c>
      <c r="D87" s="24" t="s">
        <v>137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39.533999999999992</v>
      </c>
      <c r="K87" s="25">
        <f>'Congrio dorado Artesanal'!H46</f>
        <v>50.576000000000001</v>
      </c>
      <c r="L87" s="25">
        <f>'Congrio dorado Artesanal'!I46</f>
        <v>-11.042000000000009</v>
      </c>
      <c r="M87" s="224">
        <f>'Congrio dorado Artesanal'!J46</f>
        <v>1.2793038903222544</v>
      </c>
      <c r="N87" s="157" t="s">
        <v>167</v>
      </c>
      <c r="O87" s="225">
        <f>+'Resumen anual Congrio dorado'!B$3</f>
        <v>43829</v>
      </c>
      <c r="P87" s="24">
        <f t="shared" si="1"/>
        <v>2019</v>
      </c>
      <c r="Q87" s="24"/>
    </row>
    <row r="88" spans="1:17" s="246" customFormat="1">
      <c r="A88" s="24" t="s">
        <v>178</v>
      </c>
      <c r="B88" s="24" t="s">
        <v>130</v>
      </c>
      <c r="C88" s="24" t="s">
        <v>149</v>
      </c>
      <c r="D88" s="24" t="s">
        <v>137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155.24199999999999</v>
      </c>
      <c r="L88" s="25">
        <f>'Congrio dorado Artesanal'!P45</f>
        <v>-11.042000000000002</v>
      </c>
      <c r="M88" s="224">
        <f>'Congrio dorado Artesanal'!Q45</f>
        <v>1.0765742024965326</v>
      </c>
      <c r="N88" s="157" t="s">
        <v>167</v>
      </c>
      <c r="O88" s="225">
        <f>+'Resumen anual Congrio dorado'!B$3</f>
        <v>43829</v>
      </c>
      <c r="P88" s="24">
        <f t="shared" si="1"/>
        <v>2019</v>
      </c>
      <c r="Q88" s="24"/>
    </row>
    <row r="89" spans="1:17" s="246" customFormat="1">
      <c r="A89" s="24" t="s">
        <v>178</v>
      </c>
      <c r="B89" s="24" t="s">
        <v>130</v>
      </c>
      <c r="C89" s="24" t="s">
        <v>149</v>
      </c>
      <c r="D89" s="24" t="s">
        <v>137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5.9370000000000003</v>
      </c>
      <c r="L89" s="25">
        <f>'Congrio dorado Artesanal'!I47</f>
        <v>6.2999999999999723E-2</v>
      </c>
      <c r="M89" s="224">
        <f>'Congrio dorado Artesanal'!J47</f>
        <v>0.98950000000000005</v>
      </c>
      <c r="N89" s="157" t="s">
        <v>167</v>
      </c>
      <c r="O89" s="225">
        <f>+'Resumen anual Congrio dorado'!B$3</f>
        <v>43829</v>
      </c>
      <c r="P89" s="24">
        <f t="shared" si="1"/>
        <v>2019</v>
      </c>
      <c r="Q89" s="24"/>
    </row>
    <row r="90" spans="1:17" s="246" customFormat="1">
      <c r="A90" s="24" t="s">
        <v>178</v>
      </c>
      <c r="B90" s="24" t="s">
        <v>130</v>
      </c>
      <c r="C90" s="24" t="s">
        <v>149</v>
      </c>
      <c r="D90" s="24" t="s">
        <v>137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24">
        <f>'Congrio dorado Artesanal'!J48</f>
        <v>0</v>
      </c>
      <c r="N90" s="24" t="str">
        <f>'Congrio dorado Artesanal'!K48</f>
        <v>-</v>
      </c>
      <c r="O90" s="225">
        <f>+'Resumen anual Congrio dorado'!B$3</f>
        <v>43829</v>
      </c>
      <c r="P90" s="24">
        <f t="shared" si="1"/>
        <v>2019</v>
      </c>
      <c r="Q90" s="24"/>
    </row>
    <row r="91" spans="1:17" s="246" customFormat="1">
      <c r="A91" s="24" t="s">
        <v>178</v>
      </c>
      <c r="B91" s="24" t="s">
        <v>130</v>
      </c>
      <c r="C91" s="24" t="s">
        <v>149</v>
      </c>
      <c r="D91" s="24" t="s">
        <v>137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6.4630000000000001</v>
      </c>
      <c r="K91" s="25">
        <f>'Congrio dorado Artesanal'!H49</f>
        <v>3.895</v>
      </c>
      <c r="L91" s="25">
        <f>'Congrio dorado Artesanal'!I49</f>
        <v>2.5680000000000001</v>
      </c>
      <c r="M91" s="224">
        <f>'Congrio dorado Artesanal'!J49</f>
        <v>0.60266130280055696</v>
      </c>
      <c r="N91" s="157" t="s">
        <v>167</v>
      </c>
      <c r="O91" s="225">
        <f>+'Resumen anual Congrio dorado'!B$3</f>
        <v>43829</v>
      </c>
      <c r="P91" s="24">
        <f t="shared" si="1"/>
        <v>2019</v>
      </c>
      <c r="Q91" s="24"/>
    </row>
    <row r="92" spans="1:17" s="246" customFormat="1">
      <c r="A92" s="24" t="s">
        <v>178</v>
      </c>
      <c r="B92" s="24" t="s">
        <v>130</v>
      </c>
      <c r="C92" s="24" t="s">
        <v>149</v>
      </c>
      <c r="D92" s="24" t="s">
        <v>137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9.8320000000000007</v>
      </c>
      <c r="L92" s="25">
        <f>'Congrio dorado Artesanal'!P47</f>
        <v>2.6679999999999993</v>
      </c>
      <c r="M92" s="224">
        <f>'Congrio dorado Artesanal'!Q47</f>
        <v>0.78656000000000004</v>
      </c>
      <c r="N92" s="157" t="s">
        <v>167</v>
      </c>
      <c r="O92" s="225">
        <f>+'Resumen anual Congrio dorado'!B$3</f>
        <v>43829</v>
      </c>
      <c r="P92" s="24">
        <f t="shared" si="1"/>
        <v>2019</v>
      </c>
      <c r="Q92" s="24"/>
    </row>
    <row r="93" spans="1:17" s="246" customFormat="1">
      <c r="A93" s="24" t="s">
        <v>179</v>
      </c>
      <c r="B93" s="24" t="s">
        <v>130</v>
      </c>
      <c r="C93" s="24" t="s">
        <v>52</v>
      </c>
      <c r="D93" s="24" t="s">
        <v>150</v>
      </c>
      <c r="E93" s="24" t="s">
        <v>151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24">
        <f>'Congrio dorado Artesanal'!J57</f>
        <v>0.47728155339805828</v>
      </c>
      <c r="N93" s="157" t="s">
        <v>167</v>
      </c>
      <c r="O93" s="225">
        <f>+'Resumen anual Congrio dorado'!B$3</f>
        <v>43829</v>
      </c>
      <c r="P93" s="24">
        <f t="shared" si="1"/>
        <v>2019</v>
      </c>
      <c r="Q93" s="24"/>
    </row>
    <row r="94" spans="1:17" s="246" customFormat="1">
      <c r="A94" s="24" t="s">
        <v>179</v>
      </c>
      <c r="B94" s="24" t="s">
        <v>130</v>
      </c>
      <c r="C94" s="24" t="s">
        <v>52</v>
      </c>
      <c r="D94" s="24" t="s">
        <v>150</v>
      </c>
      <c r="E94" s="24" t="s">
        <v>151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3.1019999999999999</v>
      </c>
      <c r="L94" s="25">
        <f>'Congrio dorado Artesanal'!I58</f>
        <v>12.481999999999999</v>
      </c>
      <c r="M94" s="224">
        <f>'Congrio dorado Artesanal'!J58</f>
        <v>0.19905030800821355</v>
      </c>
      <c r="N94" s="157" t="s">
        <v>167</v>
      </c>
      <c r="O94" s="225">
        <f>+'Resumen anual Congrio dorado'!B$3</f>
        <v>43829</v>
      </c>
      <c r="P94" s="24">
        <f t="shared" si="1"/>
        <v>2019</v>
      </c>
      <c r="Q94" s="24"/>
    </row>
    <row r="95" spans="1:17" s="246" customFormat="1">
      <c r="A95" s="24" t="s">
        <v>179</v>
      </c>
      <c r="B95" s="24" t="s">
        <v>130</v>
      </c>
      <c r="C95" s="24" t="s">
        <v>52</v>
      </c>
      <c r="D95" s="24" t="s">
        <v>150</v>
      </c>
      <c r="E95" s="24" t="s">
        <v>151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21.481999999999999</v>
      </c>
      <c r="K95" s="25">
        <f>'Congrio dorado Artesanal'!H59</f>
        <v>4.2290000000000001</v>
      </c>
      <c r="L95" s="25">
        <f>'Congrio dorado Artesanal'!I59</f>
        <v>17.253</v>
      </c>
      <c r="M95" s="224">
        <f>'Congrio dorado Artesanal'!J59</f>
        <v>0.1968624895261149</v>
      </c>
      <c r="N95" s="157" t="s">
        <v>167</v>
      </c>
      <c r="O95" s="225">
        <f>+'Resumen anual Congrio dorado'!B$3</f>
        <v>43829</v>
      </c>
      <c r="P95" s="24">
        <f t="shared" si="1"/>
        <v>2019</v>
      </c>
      <c r="Q95" s="24"/>
    </row>
    <row r="96" spans="1:17" s="246" customFormat="1">
      <c r="A96" s="24" t="s">
        <v>179</v>
      </c>
      <c r="B96" s="24" t="s">
        <v>130</v>
      </c>
      <c r="C96" s="24" t="s">
        <v>52</v>
      </c>
      <c r="D96" s="24" t="s">
        <v>150</v>
      </c>
      <c r="E96" s="24" t="s">
        <v>151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26.253</v>
      </c>
      <c r="K96" s="25">
        <f>'Congrio dorado Artesanal'!H60</f>
        <v>8.3309999999999995</v>
      </c>
      <c r="L96" s="25">
        <f>'Congrio dorado Artesanal'!I60</f>
        <v>17.922000000000001</v>
      </c>
      <c r="M96" s="224">
        <f>'Congrio dorado Artesanal'!J60</f>
        <v>0.31733516169580617</v>
      </c>
      <c r="N96" s="157" t="s">
        <v>167</v>
      </c>
      <c r="O96" s="225">
        <f>+'Resumen anual Congrio dorado'!B$3</f>
        <v>43829</v>
      </c>
      <c r="P96" s="24">
        <f t="shared" si="1"/>
        <v>2019</v>
      </c>
      <c r="Q96" s="24"/>
    </row>
    <row r="97" spans="1:17" s="246" customFormat="1">
      <c r="A97" s="24" t="s">
        <v>179</v>
      </c>
      <c r="B97" s="24" t="s">
        <v>130</v>
      </c>
      <c r="C97" s="24" t="s">
        <v>52</v>
      </c>
      <c r="D97" s="24" t="s">
        <v>150</v>
      </c>
      <c r="E97" s="24" t="s">
        <v>151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26.922000000000001</v>
      </c>
      <c r="K97" s="25">
        <f>'Congrio dorado Artesanal'!H61</f>
        <v>5.1369999999999996</v>
      </c>
      <c r="L97" s="25">
        <f>'Congrio dorado Artesanal'!I61</f>
        <v>21.785</v>
      </c>
      <c r="M97" s="224">
        <f>'Congrio dorado Artesanal'!J61</f>
        <v>0.19081048956243962</v>
      </c>
      <c r="N97" s="157" t="s">
        <v>167</v>
      </c>
      <c r="O97" s="225">
        <f>+'Resumen anual Congrio dorado'!B$3</f>
        <v>43829</v>
      </c>
      <c r="P97" s="24">
        <f t="shared" si="1"/>
        <v>2019</v>
      </c>
      <c r="Q97" s="24"/>
    </row>
    <row r="98" spans="1:17" s="246" customFormat="1">
      <c r="A98" s="24" t="s">
        <v>179</v>
      </c>
      <c r="B98" s="24" t="s">
        <v>130</v>
      </c>
      <c r="C98" s="24" t="s">
        <v>52</v>
      </c>
      <c r="D98" s="24" t="s">
        <v>150</v>
      </c>
      <c r="E98" s="24" t="s">
        <v>151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30.785</v>
      </c>
      <c r="K98" s="25">
        <f>'Congrio dorado Artesanal'!H62</f>
        <v>6.3739999999999997</v>
      </c>
      <c r="L98" s="25">
        <f>'Congrio dorado Artesanal'!I62</f>
        <v>24.411000000000001</v>
      </c>
      <c r="M98" s="224">
        <f>'Congrio dorado Artesanal'!J62</f>
        <v>0.20704888744518432</v>
      </c>
      <c r="N98" s="157" t="s">
        <v>167</v>
      </c>
      <c r="O98" s="225">
        <f>+'Resumen anual Congrio dorado'!B$3</f>
        <v>43829</v>
      </c>
      <c r="P98" s="24">
        <f t="shared" si="1"/>
        <v>2019</v>
      </c>
      <c r="Q98" s="24"/>
    </row>
    <row r="99" spans="1:17" s="246" customFormat="1">
      <c r="A99" s="24" t="s">
        <v>179</v>
      </c>
      <c r="B99" s="24" t="s">
        <v>130</v>
      </c>
      <c r="C99" s="24" t="s">
        <v>52</v>
      </c>
      <c r="D99" s="24" t="s">
        <v>150</v>
      </c>
      <c r="E99" s="24" t="s">
        <v>151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33.411000000000001</v>
      </c>
      <c r="K99" s="25">
        <f>'Congrio dorado Artesanal'!H63</f>
        <v>4.609</v>
      </c>
      <c r="L99" s="25">
        <f>'Congrio dorado Artesanal'!I63</f>
        <v>28.802</v>
      </c>
      <c r="M99" s="224">
        <f>'Congrio dorado Artesanal'!J63</f>
        <v>0.13794857980904493</v>
      </c>
      <c r="N99" s="157" t="s">
        <v>167</v>
      </c>
      <c r="O99" s="225">
        <f>+'Resumen anual Congrio dorado'!B$3</f>
        <v>43829</v>
      </c>
      <c r="P99" s="24">
        <f t="shared" si="1"/>
        <v>2019</v>
      </c>
      <c r="Q99" s="24"/>
    </row>
    <row r="100" spans="1:17" s="246" customFormat="1">
      <c r="A100" s="24" t="s">
        <v>179</v>
      </c>
      <c r="B100" s="24" t="s">
        <v>130</v>
      </c>
      <c r="C100" s="24" t="s">
        <v>52</v>
      </c>
      <c r="D100" s="24" t="s">
        <v>150</v>
      </c>
      <c r="E100" s="24" t="s">
        <v>151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37.802</v>
      </c>
      <c r="K100" s="25">
        <f>'Congrio dorado Artesanal'!H64</f>
        <v>3.407</v>
      </c>
      <c r="L100" s="25">
        <f>'Congrio dorado Artesanal'!I64</f>
        <v>34.394999999999996</v>
      </c>
      <c r="M100" s="224">
        <f>'Congrio dorado Artesanal'!J64</f>
        <v>9.012750648113857E-2</v>
      </c>
      <c r="N100" s="157" t="s">
        <v>167</v>
      </c>
      <c r="O100" s="225">
        <f>+'Resumen anual Congrio dorado'!B$3</f>
        <v>43829</v>
      </c>
      <c r="P100" s="24">
        <f t="shared" si="1"/>
        <v>2019</v>
      </c>
      <c r="Q100" s="24"/>
    </row>
    <row r="101" spans="1:17" s="246" customFormat="1">
      <c r="A101" s="24" t="s">
        <v>179</v>
      </c>
      <c r="B101" s="24" t="s">
        <v>130</v>
      </c>
      <c r="C101" s="24" t="s">
        <v>52</v>
      </c>
      <c r="D101" s="24" t="s">
        <v>150</v>
      </c>
      <c r="E101" s="24" t="s">
        <v>151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43.394999999999996</v>
      </c>
      <c r="K101" s="25">
        <f>'Congrio dorado Artesanal'!H65</f>
        <v>3.7789999999999999</v>
      </c>
      <c r="L101" s="25">
        <f>'Congrio dorado Artesanal'!I65</f>
        <v>39.616</v>
      </c>
      <c r="M101" s="224">
        <f>'Congrio dorado Artesanal'!J65</f>
        <v>8.7083765410761613E-2</v>
      </c>
      <c r="N101" s="157" t="s">
        <v>167</v>
      </c>
      <c r="O101" s="225">
        <f>+'Resumen anual Congrio dorado'!B$3</f>
        <v>43829</v>
      </c>
      <c r="P101" s="24">
        <f t="shared" si="1"/>
        <v>2019</v>
      </c>
      <c r="Q101" s="24"/>
    </row>
    <row r="102" spans="1:17" s="246" customFormat="1">
      <c r="A102" s="24" t="s">
        <v>179</v>
      </c>
      <c r="B102" s="24" t="s">
        <v>130</v>
      </c>
      <c r="C102" s="24" t="s">
        <v>52</v>
      </c>
      <c r="D102" s="24" t="s">
        <v>150</v>
      </c>
      <c r="E102" s="24" t="s">
        <v>151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48.616</v>
      </c>
      <c r="K102" s="25">
        <f>'Congrio dorado Artesanal'!H66</f>
        <v>3.262</v>
      </c>
      <c r="L102" s="25">
        <f>'Congrio dorado Artesanal'!I66</f>
        <v>45.353999999999999</v>
      </c>
      <c r="M102" s="224">
        <f>'Congrio dorado Artesanal'!J66</f>
        <v>6.7097251933519828E-2</v>
      </c>
      <c r="N102" s="157" t="s">
        <v>167</v>
      </c>
      <c r="O102" s="225">
        <f>+'Resumen anual Congrio dorado'!B$3</f>
        <v>43829</v>
      </c>
      <c r="P102" s="24">
        <f t="shared" si="1"/>
        <v>2019</v>
      </c>
      <c r="Q102" s="24"/>
    </row>
    <row r="103" spans="1:17" s="246" customFormat="1">
      <c r="A103" s="24" t="s">
        <v>179</v>
      </c>
      <c r="B103" s="24" t="s">
        <v>130</v>
      </c>
      <c r="C103" s="24" t="s">
        <v>52</v>
      </c>
      <c r="D103" s="24" t="s">
        <v>150</v>
      </c>
      <c r="E103" s="24" t="s">
        <v>151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55.353999999999999</v>
      </c>
      <c r="K103" s="25">
        <f>'Congrio dorado Artesanal'!H67</f>
        <v>3.27</v>
      </c>
      <c r="L103" s="25">
        <f>'Congrio dorado Artesanal'!I67</f>
        <v>52.083999999999996</v>
      </c>
      <c r="M103" s="224">
        <f>'Congrio dorado Artesanal'!J67</f>
        <v>5.9074321638905955E-2</v>
      </c>
      <c r="N103" s="157" t="s">
        <v>167</v>
      </c>
      <c r="O103" s="225">
        <f>+'Resumen anual Congrio dorado'!B$3</f>
        <v>43829</v>
      </c>
      <c r="P103" s="24">
        <f t="shared" si="1"/>
        <v>2019</v>
      </c>
      <c r="Q103" s="24"/>
    </row>
    <row r="104" spans="1:17" s="246" customFormat="1">
      <c r="A104" s="24" t="s">
        <v>179</v>
      </c>
      <c r="B104" s="24" t="s">
        <v>130</v>
      </c>
      <c r="C104" s="24" t="s">
        <v>52</v>
      </c>
      <c r="D104" s="24" t="s">
        <v>150</v>
      </c>
      <c r="E104" s="24" t="s">
        <v>151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62.083999999999996</v>
      </c>
      <c r="K104" s="25">
        <f>'Congrio dorado Artesanal'!H68</f>
        <v>1.0289999999999999</v>
      </c>
      <c r="L104" s="25">
        <f>'Congrio dorado Artesanal'!I68</f>
        <v>61.054999999999993</v>
      </c>
      <c r="M104" s="224">
        <f>'Congrio dorado Artesanal'!J68</f>
        <v>1.657431866503447E-2</v>
      </c>
      <c r="N104" s="157" t="s">
        <v>167</v>
      </c>
      <c r="O104" s="225">
        <f>+'Resumen anual Congrio dorado'!B$3</f>
        <v>43829</v>
      </c>
      <c r="P104" s="24">
        <f t="shared" si="1"/>
        <v>2019</v>
      </c>
      <c r="Q104" s="24"/>
    </row>
    <row r="105" spans="1:17" s="246" customFormat="1">
      <c r="A105" s="24" t="s">
        <v>179</v>
      </c>
      <c r="B105" s="24" t="s">
        <v>130</v>
      </c>
      <c r="C105" s="24" t="s">
        <v>52</v>
      </c>
      <c r="D105" s="24" t="s">
        <v>150</v>
      </c>
      <c r="E105" s="24" t="s">
        <v>151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51.445000000000007</v>
      </c>
      <c r="L105" s="25">
        <f>'Congrio dorado Artesanal'!P57</f>
        <v>61.054999999999993</v>
      </c>
      <c r="M105" s="224">
        <f>'Congrio dorado Artesanal'!Q57</f>
        <v>0.45728888888888897</v>
      </c>
      <c r="N105" s="157" t="s">
        <v>167</v>
      </c>
      <c r="O105" s="225">
        <f>+'Resumen anual Congrio dorado'!B$3</f>
        <v>43829</v>
      </c>
      <c r="P105" s="24">
        <f t="shared" si="1"/>
        <v>2019</v>
      </c>
      <c r="Q105" s="24"/>
    </row>
    <row r="106" spans="1:17" s="246" customFormat="1">
      <c r="A106" s="24" t="s">
        <v>136</v>
      </c>
      <c r="B106" s="24" t="s">
        <v>130</v>
      </c>
      <c r="C106" s="24" t="s">
        <v>161</v>
      </c>
      <c r="D106" s="247" t="s">
        <v>164</v>
      </c>
      <c r="E106" s="247" t="s">
        <v>165</v>
      </c>
      <c r="F106" s="24" t="s">
        <v>33</v>
      </c>
      <c r="G106" s="24" t="s">
        <v>44</v>
      </c>
      <c r="H106" s="25">
        <f>'Resumen anual Congrio dorado'!D16</f>
        <v>534.00009999999997</v>
      </c>
      <c r="I106" s="212">
        <f>'Resumen anual Congrio dorado'!E16</f>
        <v>-7.1054273576010019E-15</v>
      </c>
      <c r="J106" s="25">
        <f>'Resumen anual Congrio dorado'!F16</f>
        <v>534.00009999999997</v>
      </c>
      <c r="K106" s="25">
        <f>'Resumen anual Congrio dorado'!G16</f>
        <v>500.73200000000003</v>
      </c>
      <c r="L106" s="25">
        <f>'Resumen anual Congrio dorado'!H16</f>
        <v>33.268099999999947</v>
      </c>
      <c r="M106" s="224">
        <f>'Resumen anual Congrio dorado'!I16</f>
        <v>0.93770019893254708</v>
      </c>
      <c r="N106" s="157" t="s">
        <v>167</v>
      </c>
      <c r="O106" s="225">
        <f>+'Resumen anual Congrio dorado'!B$3</f>
        <v>43829</v>
      </c>
      <c r="P106" s="24">
        <f t="shared" si="1"/>
        <v>2019</v>
      </c>
      <c r="Q106" s="24"/>
    </row>
    <row r="107" spans="1:17" s="246" customFormat="1">
      <c r="A107" s="117" t="s">
        <v>163</v>
      </c>
      <c r="B107" s="24" t="s">
        <v>130</v>
      </c>
      <c r="C107" s="24" t="s">
        <v>160</v>
      </c>
      <c r="D107" s="247" t="s">
        <v>164</v>
      </c>
      <c r="E107" s="248" t="s">
        <v>166</v>
      </c>
      <c r="F107" s="24" t="s">
        <v>33</v>
      </c>
      <c r="G107" s="24" t="s">
        <v>44</v>
      </c>
      <c r="H107" s="25">
        <f>'Resumen anual Congrio dorado'!D17</f>
        <v>139</v>
      </c>
      <c r="I107" s="212">
        <f>'Resumen anual Congrio dorado'!E17</f>
        <v>0</v>
      </c>
      <c r="J107" s="25">
        <f>'Resumen anual Congrio dorado'!F17</f>
        <v>139</v>
      </c>
      <c r="K107" s="25">
        <f>'Resumen anual Congrio dorado'!G17</f>
        <v>117.68700000000001</v>
      </c>
      <c r="L107" s="25">
        <f>'Resumen anual Congrio dorado'!H17</f>
        <v>21.312999999999988</v>
      </c>
      <c r="M107" s="224">
        <f>'Resumen anual Congrio dorado'!I17</f>
        <v>0.87460612366230683</v>
      </c>
      <c r="N107" s="157" t="s">
        <v>167</v>
      </c>
      <c r="O107" s="225">
        <f>+'Resumen anual Congrio dorado'!B$3</f>
        <v>43829</v>
      </c>
      <c r="P107" s="24">
        <f t="shared" si="1"/>
        <v>2019</v>
      </c>
      <c r="Q107" s="24"/>
    </row>
    <row r="108" spans="1:17" s="246" customFormat="1">
      <c r="A108" s="24" t="s">
        <v>177</v>
      </c>
      <c r="B108" s="24" t="s">
        <v>130</v>
      </c>
      <c r="C108" s="24" t="s">
        <v>135</v>
      </c>
      <c r="D108" s="24" t="s">
        <v>168</v>
      </c>
      <c r="E108" s="248" t="s">
        <v>166</v>
      </c>
      <c r="F108" s="24" t="s">
        <v>33</v>
      </c>
      <c r="G108" s="24" t="s">
        <v>44</v>
      </c>
      <c r="H108" s="25">
        <f>'Resumen anual Congrio dorado'!D6+'Resumen anual Congrio dorado'!D7</f>
        <v>336.8</v>
      </c>
      <c r="I108" s="212">
        <f>'Resumen anual Congrio dorado'!E6+'Resumen anual Congrio dorado'!E7</f>
        <v>0</v>
      </c>
      <c r="J108" s="25">
        <f>'Resumen anual Congrio dorado'!F6+'Resumen anual Congrio dorado'!F7</f>
        <v>336.8</v>
      </c>
      <c r="K108" s="25">
        <f>'Resumen anual Congrio dorado'!G6+'Resumen anual Congrio dorado'!G7</f>
        <v>305.32</v>
      </c>
      <c r="L108" s="25">
        <f>'Resumen anual Congrio dorado'!H6+'Resumen anual Congrio dorado'!H7</f>
        <v>31.480000000000018</v>
      </c>
      <c r="M108" s="224">
        <f>K108/J108</f>
        <v>0.90653206650831353</v>
      </c>
      <c r="N108" s="157" t="s">
        <v>167</v>
      </c>
      <c r="O108" s="225">
        <f>+'Resumen anual Congrio dorado'!B$3</f>
        <v>43829</v>
      </c>
      <c r="P108" s="24">
        <f t="shared" si="1"/>
        <v>2019</v>
      </c>
      <c r="Q108" s="24"/>
    </row>
    <row r="109" spans="1:17" s="246" customFormat="1">
      <c r="A109" s="24" t="s">
        <v>178</v>
      </c>
      <c r="B109" s="24" t="s">
        <v>130</v>
      </c>
      <c r="C109" s="24" t="s">
        <v>149</v>
      </c>
      <c r="D109" s="24" t="s">
        <v>168</v>
      </c>
      <c r="E109" s="248" t="s">
        <v>166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12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165.07399999999998</v>
      </c>
      <c r="L109" s="25">
        <f>'Resumen anual Congrio dorado'!H8+'Resumen anual Congrio dorado'!H9</f>
        <v>-8.3740000000000023</v>
      </c>
      <c r="M109" s="224">
        <f>K109/J109</f>
        <v>1.0534396936821953</v>
      </c>
      <c r="N109" s="157" t="s">
        <v>167</v>
      </c>
      <c r="O109" s="225">
        <f>+'Resumen anual Congrio dorado'!B$3</f>
        <v>43829</v>
      </c>
      <c r="P109" s="24">
        <f t="shared" si="1"/>
        <v>2019</v>
      </c>
      <c r="Q109" s="24"/>
    </row>
    <row r="110" spans="1:17" s="246" customFormat="1">
      <c r="A110" s="24" t="s">
        <v>179</v>
      </c>
      <c r="B110" s="24" t="s">
        <v>130</v>
      </c>
      <c r="C110" s="24" t="s">
        <v>52</v>
      </c>
      <c r="D110" s="24" t="s">
        <v>168</v>
      </c>
      <c r="E110" s="248" t="s">
        <v>166</v>
      </c>
      <c r="F110" s="24" t="s">
        <v>33</v>
      </c>
      <c r="G110" s="24" t="s">
        <v>44</v>
      </c>
      <c r="H110" s="25">
        <f>'Resumen anual Congrio dorado'!D10</f>
        <v>112.5</v>
      </c>
      <c r="I110" s="212">
        <f>'Resumen anual Congrio dorado'!E10</f>
        <v>0</v>
      </c>
      <c r="J110" s="25">
        <f>'Resumen anual Congrio dorado'!F10</f>
        <v>112.5</v>
      </c>
      <c r="K110" s="25">
        <f>'Resumen anual Congrio dorado'!G10</f>
        <v>51.445000000000007</v>
      </c>
      <c r="L110" s="25">
        <f>'Resumen anual Congrio dorado'!H10</f>
        <v>61.054999999999993</v>
      </c>
      <c r="M110" s="224">
        <f>'Resumen anual Congrio dorado'!I10</f>
        <v>0.45728888888888897</v>
      </c>
      <c r="N110" s="157" t="s">
        <v>167</v>
      </c>
      <c r="O110" s="225">
        <f>+'Resumen anual Congrio dorado'!B$3</f>
        <v>43829</v>
      </c>
      <c r="P110" s="24">
        <f t="shared" si="1"/>
        <v>2019</v>
      </c>
      <c r="Q110" s="24"/>
    </row>
    <row r="111" spans="1:17" s="246" customFormat="1">
      <c r="A111" s="24" t="s">
        <v>180</v>
      </c>
      <c r="B111" s="24" t="s">
        <v>130</v>
      </c>
      <c r="C111" s="24" t="s">
        <v>181</v>
      </c>
      <c r="D111" s="24" t="s">
        <v>182</v>
      </c>
      <c r="E111" s="24" t="s">
        <v>182</v>
      </c>
      <c r="F111" s="24" t="s">
        <v>33</v>
      </c>
      <c r="G111" s="24" t="s">
        <v>38</v>
      </c>
      <c r="H111" s="25">
        <f>'Fuera UP'!E8</f>
        <v>52</v>
      </c>
      <c r="I111" s="24" t="s">
        <v>167</v>
      </c>
      <c r="J111" s="25">
        <f>H111</f>
        <v>52</v>
      </c>
      <c r="K111" s="25">
        <f>'Fuera UP'!I8</f>
        <v>74.256</v>
      </c>
      <c r="L111" s="25">
        <f>'Fuera UP'!J8</f>
        <v>-22.256</v>
      </c>
      <c r="M111" s="224">
        <f>'Fuera UP'!K8</f>
        <v>1.4279999999999999</v>
      </c>
      <c r="N111" s="157">
        <f>'Fuera UP'!L8</f>
        <v>43505</v>
      </c>
      <c r="O111" s="225">
        <f>+'Resumen anual Congrio dorado'!B$3</f>
        <v>43829</v>
      </c>
      <c r="P111" s="24">
        <f t="shared" si="1"/>
        <v>2019</v>
      </c>
      <c r="Q111" s="24"/>
    </row>
    <row r="112" spans="1:17" s="246" customFormat="1">
      <c r="A112" s="24" t="s">
        <v>180</v>
      </c>
      <c r="B112" s="24" t="s">
        <v>130</v>
      </c>
      <c r="C112" s="24" t="s">
        <v>181</v>
      </c>
      <c r="D112" s="24" t="s">
        <v>182</v>
      </c>
      <c r="E112" s="24" t="s">
        <v>182</v>
      </c>
      <c r="F112" s="24" t="s">
        <v>39</v>
      </c>
      <c r="G112" s="24" t="s">
        <v>44</v>
      </c>
      <c r="H112" s="25">
        <f>'Fuera UP'!E9</f>
        <v>53</v>
      </c>
      <c r="I112" s="24" t="s">
        <v>167</v>
      </c>
      <c r="J112" s="25">
        <f>H112+L111</f>
        <v>30.744</v>
      </c>
      <c r="K112" s="25">
        <f>'Fuera UP'!I9</f>
        <v>39.064999999999998</v>
      </c>
      <c r="L112" s="25">
        <f>'Fuera UP'!J9</f>
        <v>-8.320999999999998</v>
      </c>
      <c r="M112" s="224">
        <f>'Fuera UP'!K9</f>
        <v>1.2706544366380432</v>
      </c>
      <c r="N112" s="157">
        <f>'Fuera UP'!L9</f>
        <v>43652</v>
      </c>
      <c r="O112" s="225">
        <f>+'Resumen anual Congrio dorado'!B$3</f>
        <v>43829</v>
      </c>
      <c r="P112" s="24">
        <f t="shared" si="1"/>
        <v>2019</v>
      </c>
      <c r="Q112" s="24"/>
    </row>
    <row r="113" spans="1:17" s="246" customFormat="1">
      <c r="A113" s="24" t="s">
        <v>180</v>
      </c>
      <c r="B113" s="24" t="s">
        <v>130</v>
      </c>
      <c r="C113" s="24" t="s">
        <v>181</v>
      </c>
      <c r="D113" s="24" t="s">
        <v>182</v>
      </c>
      <c r="E113" s="24" t="s">
        <v>182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167</v>
      </c>
      <c r="J113" s="25">
        <f>H113</f>
        <v>105</v>
      </c>
      <c r="K113" s="25">
        <f>'Fuera UP'!I8+'Fuera UP'!I9</f>
        <v>113.321</v>
      </c>
      <c r="L113" s="25">
        <f>H113-K113</f>
        <v>-8.320999999999998</v>
      </c>
      <c r="M113" s="224">
        <f>K113/H113</f>
        <v>1.079247619047619</v>
      </c>
      <c r="N113" s="157" t="s">
        <v>167</v>
      </c>
      <c r="O113" s="225">
        <f>+'Resumen anual Congrio dorado'!B$3</f>
        <v>43829</v>
      </c>
      <c r="P113" s="24">
        <f t="shared" si="1"/>
        <v>2019</v>
      </c>
      <c r="Q113" s="24"/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2020-01-10T18:23:04Z</dcterms:modified>
</cp:coreProperties>
</file>