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2030"/>
  </bookViews>
  <sheets>
    <sheet name="RESUMEN" sheetId="1" r:id="rId1"/>
    <sheet name="CUOTA ARTESANAL" sheetId="2" r:id="rId2"/>
    <sheet name="CUOTA INDUSTRIAL" sheetId="3" r:id="rId3"/>
    <sheet name="FUERA UNIDAD DE PESQUERIA" sheetId="4" r:id="rId4"/>
    <sheet name="PAG. WEB" sheetId="5" r:id="rId5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18" i="1" l="1"/>
  <c r="H18"/>
  <c r="F18"/>
  <c r="J28" i="3"/>
  <c r="J29"/>
  <c r="J30"/>
  <c r="J31"/>
  <c r="J33"/>
  <c r="J34"/>
  <c r="J35"/>
  <c r="J36"/>
  <c r="J37"/>
  <c r="J38"/>
  <c r="J39"/>
  <c r="J40"/>
  <c r="J41"/>
  <c r="J27"/>
  <c r="H41"/>
  <c r="I41" s="1"/>
  <c r="G41"/>
  <c r="F41"/>
  <c r="J7"/>
  <c r="J8"/>
  <c r="J10"/>
  <c r="J12"/>
  <c r="J13"/>
  <c r="J14"/>
  <c r="J16"/>
  <c r="J17"/>
  <c r="J18"/>
  <c r="J19"/>
  <c r="J20"/>
  <c r="J21"/>
  <c r="J6"/>
  <c r="H22"/>
  <c r="I22" s="1"/>
  <c r="G22"/>
  <c r="F22"/>
  <c r="O27"/>
  <c r="P29"/>
  <c r="P33"/>
  <c r="P35"/>
  <c r="P37"/>
  <c r="P39"/>
  <c r="P27"/>
  <c r="M41"/>
  <c r="L41"/>
  <c r="K41"/>
  <c r="P12"/>
  <c r="P16"/>
  <c r="P18"/>
  <c r="P20"/>
  <c r="P6"/>
  <c r="M22"/>
  <c r="L22"/>
  <c r="K22"/>
  <c r="J10" i="4"/>
  <c r="H11"/>
  <c r="G11"/>
  <c r="O3" i="5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2"/>
  <c r="I85"/>
  <c r="J85"/>
  <c r="H85"/>
  <c r="L85" l="1"/>
  <c r="K85"/>
  <c r="J22" i="3"/>
  <c r="M85" i="5" s="1"/>
  <c r="I84" l="1"/>
  <c r="J84"/>
  <c r="K84"/>
  <c r="L84"/>
  <c r="M84"/>
  <c r="H84"/>
  <c r="I81"/>
  <c r="J81"/>
  <c r="K81"/>
  <c r="L81"/>
  <c r="M81"/>
  <c r="H81"/>
  <c r="I78"/>
  <c r="J78"/>
  <c r="K78"/>
  <c r="L78"/>
  <c r="M78"/>
  <c r="H78"/>
  <c r="I75"/>
  <c r="J75"/>
  <c r="K75"/>
  <c r="L75"/>
  <c r="M75"/>
  <c r="H75"/>
  <c r="I72"/>
  <c r="J72"/>
  <c r="H72"/>
  <c r="I69"/>
  <c r="J69"/>
  <c r="K69"/>
  <c r="L69"/>
  <c r="M69"/>
  <c r="H69"/>
  <c r="I66"/>
  <c r="J66"/>
  <c r="K66"/>
  <c r="L66"/>
  <c r="M66"/>
  <c r="H66"/>
  <c r="E84"/>
  <c r="E83"/>
  <c r="E81"/>
  <c r="E80"/>
  <c r="E78"/>
  <c r="E77"/>
  <c r="E75"/>
  <c r="E74"/>
  <c r="E72"/>
  <c r="E71"/>
  <c r="E69"/>
  <c r="E68"/>
  <c r="E66"/>
  <c r="E65"/>
  <c r="I64"/>
  <c r="J64"/>
  <c r="K64"/>
  <c r="L64"/>
  <c r="M64"/>
  <c r="I65"/>
  <c r="J65"/>
  <c r="K65"/>
  <c r="L65"/>
  <c r="M65"/>
  <c r="I67"/>
  <c r="J67"/>
  <c r="K67"/>
  <c r="L67"/>
  <c r="M67"/>
  <c r="I68"/>
  <c r="J68"/>
  <c r="K68"/>
  <c r="L68"/>
  <c r="M68"/>
  <c r="I70"/>
  <c r="J70"/>
  <c r="K70"/>
  <c r="M70"/>
  <c r="I71"/>
  <c r="K71"/>
  <c r="I73"/>
  <c r="J73"/>
  <c r="K73"/>
  <c r="L73"/>
  <c r="M73"/>
  <c r="I74"/>
  <c r="J74"/>
  <c r="K74"/>
  <c r="L74"/>
  <c r="M74"/>
  <c r="I76"/>
  <c r="J76"/>
  <c r="K76"/>
  <c r="L76"/>
  <c r="M76"/>
  <c r="I77"/>
  <c r="J77"/>
  <c r="K77"/>
  <c r="L77"/>
  <c r="M77"/>
  <c r="I79"/>
  <c r="J79"/>
  <c r="K79"/>
  <c r="L79"/>
  <c r="M79"/>
  <c r="I80"/>
  <c r="J80"/>
  <c r="K80"/>
  <c r="L80"/>
  <c r="M80"/>
  <c r="I82"/>
  <c r="J82"/>
  <c r="K82"/>
  <c r="L82"/>
  <c r="M82"/>
  <c r="I83"/>
  <c r="J83"/>
  <c r="K83"/>
  <c r="L83"/>
  <c r="M83"/>
  <c r="H65"/>
  <c r="H67"/>
  <c r="H68"/>
  <c r="H70"/>
  <c r="H71"/>
  <c r="H73"/>
  <c r="H74"/>
  <c r="H76"/>
  <c r="H77"/>
  <c r="H79"/>
  <c r="H80"/>
  <c r="H82"/>
  <c r="H83"/>
  <c r="H64"/>
  <c r="E67"/>
  <c r="E70"/>
  <c r="E73"/>
  <c r="E76"/>
  <c r="E79"/>
  <c r="E82"/>
  <c r="E64"/>
  <c r="I63" l="1"/>
  <c r="J63"/>
  <c r="K63"/>
  <c r="L63"/>
  <c r="M63"/>
  <c r="H63"/>
  <c r="I60"/>
  <c r="J60"/>
  <c r="K60"/>
  <c r="L60"/>
  <c r="M60"/>
  <c r="H60"/>
  <c r="I57"/>
  <c r="J57"/>
  <c r="K57"/>
  <c r="L57"/>
  <c r="M57"/>
  <c r="H57"/>
  <c r="I54"/>
  <c r="J54"/>
  <c r="H54"/>
  <c r="I51"/>
  <c r="J51"/>
  <c r="K51"/>
  <c r="L51"/>
  <c r="M51"/>
  <c r="H51"/>
  <c r="I48"/>
  <c r="J48"/>
  <c r="H48"/>
  <c r="I45"/>
  <c r="J45"/>
  <c r="H45"/>
  <c r="I42"/>
  <c r="J42"/>
  <c r="K42"/>
  <c r="L42"/>
  <c r="M42"/>
  <c r="H42"/>
  <c r="E63"/>
  <c r="E62"/>
  <c r="E60"/>
  <c r="E59"/>
  <c r="E57"/>
  <c r="E56"/>
  <c r="E54"/>
  <c r="E53"/>
  <c r="E51"/>
  <c r="E50"/>
  <c r="E49"/>
  <c r="E48"/>
  <c r="E47"/>
  <c r="E45"/>
  <c r="E44"/>
  <c r="E42"/>
  <c r="E41"/>
  <c r="I40" l="1"/>
  <c r="J40"/>
  <c r="K40"/>
  <c r="L40"/>
  <c r="M40"/>
  <c r="I41"/>
  <c r="J41"/>
  <c r="K41"/>
  <c r="L41"/>
  <c r="M41"/>
  <c r="I43"/>
  <c r="J43"/>
  <c r="K43"/>
  <c r="M43"/>
  <c r="I44"/>
  <c r="K44"/>
  <c r="I46"/>
  <c r="J46"/>
  <c r="K46"/>
  <c r="M46"/>
  <c r="I47"/>
  <c r="K47"/>
  <c r="I49"/>
  <c r="J49"/>
  <c r="K49"/>
  <c r="L49"/>
  <c r="M49"/>
  <c r="I50"/>
  <c r="J50"/>
  <c r="K50"/>
  <c r="L50"/>
  <c r="M50"/>
  <c r="I52"/>
  <c r="J52"/>
  <c r="K52"/>
  <c r="M52"/>
  <c r="I53"/>
  <c r="K53"/>
  <c r="I55"/>
  <c r="J55"/>
  <c r="K55"/>
  <c r="L55"/>
  <c r="M55"/>
  <c r="I56"/>
  <c r="J56"/>
  <c r="K56"/>
  <c r="L56"/>
  <c r="M56"/>
  <c r="I58"/>
  <c r="J58"/>
  <c r="K58"/>
  <c r="L58"/>
  <c r="M58"/>
  <c r="I59"/>
  <c r="J59"/>
  <c r="K59"/>
  <c r="L59"/>
  <c r="M59"/>
  <c r="I61"/>
  <c r="J61"/>
  <c r="K61"/>
  <c r="L61"/>
  <c r="M61"/>
  <c r="I62"/>
  <c r="J62"/>
  <c r="K62"/>
  <c r="L62"/>
  <c r="M62"/>
  <c r="H41"/>
  <c r="H43"/>
  <c r="H44"/>
  <c r="H46"/>
  <c r="H47"/>
  <c r="H49"/>
  <c r="H50"/>
  <c r="H52"/>
  <c r="H53"/>
  <c r="H55"/>
  <c r="H56"/>
  <c r="H58"/>
  <c r="H59"/>
  <c r="H61"/>
  <c r="H62"/>
  <c r="H40"/>
  <c r="E61"/>
  <c r="E43"/>
  <c r="E46"/>
  <c r="E52"/>
  <c r="E55"/>
  <c r="E58"/>
  <c r="E40"/>
  <c r="H39"/>
  <c r="I38" l="1"/>
  <c r="J38"/>
  <c r="H38"/>
  <c r="I26"/>
  <c r="J26"/>
  <c r="K26"/>
  <c r="N26"/>
  <c r="I27"/>
  <c r="K27"/>
  <c r="N27"/>
  <c r="I28"/>
  <c r="K28"/>
  <c r="N28"/>
  <c r="I29"/>
  <c r="K29"/>
  <c r="N29"/>
  <c r="I30"/>
  <c r="K30"/>
  <c r="N30"/>
  <c r="I31"/>
  <c r="K31"/>
  <c r="N31"/>
  <c r="I32"/>
  <c r="K32"/>
  <c r="N32"/>
  <c r="I33"/>
  <c r="K33"/>
  <c r="N33"/>
  <c r="I34"/>
  <c r="K34"/>
  <c r="N34"/>
  <c r="I35"/>
  <c r="K35"/>
  <c r="N35"/>
  <c r="I36"/>
  <c r="K36"/>
  <c r="N36"/>
  <c r="I37"/>
  <c r="K37"/>
  <c r="N37"/>
  <c r="H27"/>
  <c r="H28"/>
  <c r="H29"/>
  <c r="H30"/>
  <c r="H31"/>
  <c r="H32"/>
  <c r="H33"/>
  <c r="H34"/>
  <c r="H35"/>
  <c r="H36"/>
  <c r="H37"/>
  <c r="H26"/>
  <c r="I25"/>
  <c r="J25"/>
  <c r="K25"/>
  <c r="L25"/>
  <c r="M25"/>
  <c r="N25"/>
  <c r="H25"/>
  <c r="I24"/>
  <c r="J24"/>
  <c r="H24"/>
  <c r="I22"/>
  <c r="J22"/>
  <c r="K22"/>
  <c r="N22"/>
  <c r="I23"/>
  <c r="K23"/>
  <c r="N23"/>
  <c r="H23"/>
  <c r="H22"/>
  <c r="E24"/>
  <c r="E23"/>
  <c r="I21"/>
  <c r="J21"/>
  <c r="K21"/>
  <c r="N21"/>
  <c r="H21"/>
  <c r="H20"/>
  <c r="I17"/>
  <c r="K17"/>
  <c r="N17"/>
  <c r="I18"/>
  <c r="K18"/>
  <c r="N18"/>
  <c r="I19"/>
  <c r="K19"/>
  <c r="N19"/>
  <c r="H18"/>
  <c r="H19"/>
  <c r="H17"/>
  <c r="E20"/>
  <c r="E19"/>
  <c r="E18"/>
  <c r="E22"/>
  <c r="E17"/>
  <c r="I14"/>
  <c r="J14"/>
  <c r="K14"/>
  <c r="L14"/>
  <c r="M14"/>
  <c r="N14"/>
  <c r="I15"/>
  <c r="J15"/>
  <c r="K15"/>
  <c r="N15"/>
  <c r="I16"/>
  <c r="J16"/>
  <c r="K16"/>
  <c r="L16"/>
  <c r="M16"/>
  <c r="N16"/>
  <c r="H15"/>
  <c r="H16"/>
  <c r="H14"/>
  <c r="E16"/>
  <c r="E15"/>
  <c r="E14"/>
  <c r="I2"/>
  <c r="J2"/>
  <c r="K2"/>
  <c r="L2"/>
  <c r="M2"/>
  <c r="N2"/>
  <c r="I3"/>
  <c r="J3"/>
  <c r="K3"/>
  <c r="L3"/>
  <c r="M3"/>
  <c r="N3"/>
  <c r="I4"/>
  <c r="J4"/>
  <c r="K4"/>
  <c r="N4"/>
  <c r="I5"/>
  <c r="J5"/>
  <c r="K5"/>
  <c r="N5"/>
  <c r="I6"/>
  <c r="J6"/>
  <c r="K6"/>
  <c r="L6"/>
  <c r="M6"/>
  <c r="N6"/>
  <c r="I7"/>
  <c r="J7"/>
  <c r="K7"/>
  <c r="N7"/>
  <c r="I8"/>
  <c r="J8"/>
  <c r="K8"/>
  <c r="L8"/>
  <c r="M8"/>
  <c r="N8"/>
  <c r="I9"/>
  <c r="J9"/>
  <c r="K9"/>
  <c r="L9"/>
  <c r="M9"/>
  <c r="N9"/>
  <c r="I10"/>
  <c r="J10"/>
  <c r="K10"/>
  <c r="N10"/>
  <c r="I11"/>
  <c r="J11"/>
  <c r="K11"/>
  <c r="N11"/>
  <c r="I12"/>
  <c r="J12"/>
  <c r="K12"/>
  <c r="N12"/>
  <c r="I13"/>
  <c r="J13"/>
  <c r="K13"/>
  <c r="L13"/>
  <c r="M13"/>
  <c r="N13"/>
  <c r="H3"/>
  <c r="H4"/>
  <c r="H5"/>
  <c r="H6"/>
  <c r="H7"/>
  <c r="H8"/>
  <c r="H9"/>
  <c r="H10"/>
  <c r="H11"/>
  <c r="H12"/>
  <c r="H13"/>
  <c r="H2"/>
  <c r="E3"/>
  <c r="E4"/>
  <c r="E5"/>
  <c r="E6"/>
  <c r="E7"/>
  <c r="E8"/>
  <c r="E9"/>
  <c r="E10"/>
  <c r="E11"/>
  <c r="E12"/>
  <c r="E13"/>
  <c r="E2"/>
  <c r="B3" i="4" l="1"/>
  <c r="B3" i="3"/>
  <c r="B3" i="2"/>
  <c r="B23" i="1" l="1"/>
  <c r="G28"/>
  <c r="D28"/>
  <c r="F28" s="1"/>
  <c r="H28" s="1"/>
  <c r="D27"/>
  <c r="F27" s="1"/>
  <c r="D26"/>
  <c r="D29" s="1"/>
  <c r="F29" s="1"/>
  <c r="D19"/>
  <c r="D18"/>
  <c r="E17"/>
  <c r="F17"/>
  <c r="D17"/>
  <c r="E16"/>
  <c r="F16"/>
  <c r="D16"/>
  <c r="E15"/>
  <c r="F15"/>
  <c r="G15"/>
  <c r="H15"/>
  <c r="I15"/>
  <c r="D15"/>
  <c r="E14"/>
  <c r="F14"/>
  <c r="I14"/>
  <c r="D14"/>
  <c r="E13"/>
  <c r="F13"/>
  <c r="G13"/>
  <c r="H13"/>
  <c r="I13"/>
  <c r="D13"/>
  <c r="E12"/>
  <c r="F12"/>
  <c r="D12"/>
  <c r="E11"/>
  <c r="F11"/>
  <c r="D11"/>
  <c r="D10"/>
  <c r="E9"/>
  <c r="F9"/>
  <c r="G9"/>
  <c r="H9"/>
  <c r="I9"/>
  <c r="D9"/>
  <c r="E8"/>
  <c r="F8"/>
  <c r="D8"/>
  <c r="E7"/>
  <c r="F7"/>
  <c r="G7"/>
  <c r="H7"/>
  <c r="I7"/>
  <c r="D7"/>
  <c r="E6"/>
  <c r="F6"/>
  <c r="D6"/>
  <c r="L41" i="2"/>
  <c r="Q40"/>
  <c r="M40"/>
  <c r="N40"/>
  <c r="O40"/>
  <c r="P40"/>
  <c r="L40"/>
  <c r="Q28"/>
  <c r="M38" i="5" s="1"/>
  <c r="P28" i="2"/>
  <c r="L38" i="5" s="1"/>
  <c r="O28" i="2"/>
  <c r="K38" i="5" s="1"/>
  <c r="N28" i="2"/>
  <c r="M28"/>
  <c r="L28"/>
  <c r="M27"/>
  <c r="N27"/>
  <c r="O27"/>
  <c r="P27"/>
  <c r="Q27"/>
  <c r="L27"/>
  <c r="O25"/>
  <c r="K24" i="5" s="1"/>
  <c r="N25" i="2"/>
  <c r="M25"/>
  <c r="L25"/>
  <c r="M24"/>
  <c r="N24"/>
  <c r="O24"/>
  <c r="G11" i="1" s="1"/>
  <c r="L24" i="2"/>
  <c r="O21"/>
  <c r="N21"/>
  <c r="J20" i="5" s="1"/>
  <c r="M21" i="2"/>
  <c r="I20" i="5" s="1"/>
  <c r="L21" i="2"/>
  <c r="Q7"/>
  <c r="Q10"/>
  <c r="Q12"/>
  <c r="Q13"/>
  <c r="Q17"/>
  <c r="Q18"/>
  <c r="Q20"/>
  <c r="Q6"/>
  <c r="P7"/>
  <c r="P10"/>
  <c r="P12"/>
  <c r="P13"/>
  <c r="P17"/>
  <c r="P18"/>
  <c r="P20"/>
  <c r="P6"/>
  <c r="O7"/>
  <c r="O8"/>
  <c r="O9"/>
  <c r="P9" s="1"/>
  <c r="O10"/>
  <c r="O11"/>
  <c r="P11" s="1"/>
  <c r="O12"/>
  <c r="O13"/>
  <c r="O14"/>
  <c r="P14" s="1"/>
  <c r="O15"/>
  <c r="Q15" s="1"/>
  <c r="O16"/>
  <c r="P16" s="1"/>
  <c r="O17"/>
  <c r="O18"/>
  <c r="O19"/>
  <c r="P19" s="1"/>
  <c r="H8" i="1" s="1"/>
  <c r="O20" i="2"/>
  <c r="O6"/>
  <c r="N7"/>
  <c r="N8"/>
  <c r="N9"/>
  <c r="N10"/>
  <c r="N11"/>
  <c r="N12"/>
  <c r="N13"/>
  <c r="N14"/>
  <c r="N15"/>
  <c r="N16"/>
  <c r="N17"/>
  <c r="N18"/>
  <c r="N19"/>
  <c r="N20"/>
  <c r="N6"/>
  <c r="M6"/>
  <c r="M7"/>
  <c r="M8"/>
  <c r="M9"/>
  <c r="M10"/>
  <c r="M11"/>
  <c r="M12"/>
  <c r="M13"/>
  <c r="M14"/>
  <c r="M15"/>
  <c r="M16"/>
  <c r="M17"/>
  <c r="M18"/>
  <c r="M19"/>
  <c r="M20"/>
  <c r="L7"/>
  <c r="L8"/>
  <c r="L9"/>
  <c r="L10"/>
  <c r="L11"/>
  <c r="L12"/>
  <c r="L13"/>
  <c r="L14"/>
  <c r="L15"/>
  <c r="L16"/>
  <c r="L17"/>
  <c r="L18"/>
  <c r="L19"/>
  <c r="L20"/>
  <c r="L6"/>
  <c r="G14" i="1" l="1"/>
  <c r="H14"/>
  <c r="Q14" i="2"/>
  <c r="Q19"/>
  <c r="I8" i="1" s="1"/>
  <c r="G8"/>
  <c r="Q16" i="2"/>
  <c r="P15"/>
  <c r="Q11"/>
  <c r="G6" i="1"/>
  <c r="Q9" i="2"/>
  <c r="P8"/>
  <c r="H6" i="1" s="1"/>
  <c r="Q8" i="2"/>
  <c r="K20" i="5"/>
  <c r="Q21" i="2"/>
  <c r="G10" i="1"/>
  <c r="Q25" i="2"/>
  <c r="P25"/>
  <c r="G12" i="1"/>
  <c r="O41" i="2"/>
  <c r="F10" i="1"/>
  <c r="P21" i="2"/>
  <c r="E10" i="1"/>
  <c r="E19" s="1"/>
  <c r="M41" i="2"/>
  <c r="N41" s="1"/>
  <c r="I28" i="1"/>
  <c r="F26"/>
  <c r="I6" l="1"/>
  <c r="M24" i="5"/>
  <c r="I12" i="1"/>
  <c r="L24" i="5"/>
  <c r="H12" i="1"/>
  <c r="Q41" i="2"/>
  <c r="P41"/>
  <c r="L20" i="5"/>
  <c r="H10" i="1"/>
  <c r="M20" i="5"/>
  <c r="I10" i="1"/>
  <c r="F19"/>
  <c r="F41" i="2"/>
  <c r="I39" i="5" s="1"/>
  <c r="H41" i="2"/>
  <c r="K39" i="5" s="1"/>
  <c r="J24" i="2"/>
  <c r="I24"/>
  <c r="G24"/>
  <c r="J6"/>
  <c r="I6"/>
  <c r="E41"/>
  <c r="F18"/>
  <c r="F14"/>
  <c r="F12"/>
  <c r="F11"/>
  <c r="F10"/>
  <c r="F9"/>
  <c r="L21" i="5" l="1"/>
  <c r="P24" i="2"/>
  <c r="H11" i="1" s="1"/>
  <c r="M21" i="5"/>
  <c r="Q24" i="2"/>
  <c r="I11" i="1" s="1"/>
  <c r="G41" i="2"/>
  <c r="K10" i="4"/>
  <c r="G21" i="3"/>
  <c r="I8" i="4"/>
  <c r="I9"/>
  <c r="I10"/>
  <c r="I7"/>
  <c r="F10"/>
  <c r="F9"/>
  <c r="F7"/>
  <c r="E11"/>
  <c r="J9" l="1"/>
  <c r="G27" i="1"/>
  <c r="K9" i="4"/>
  <c r="J41" i="2"/>
  <c r="M39" i="5" s="1"/>
  <c r="J39"/>
  <c r="I41" i="2"/>
  <c r="L39" i="5" s="1"/>
  <c r="K7" i="4"/>
  <c r="G26" i="1"/>
  <c r="J7" i="4"/>
  <c r="I11"/>
  <c r="E12" i="3"/>
  <c r="K12"/>
  <c r="K10"/>
  <c r="E41"/>
  <c r="E34"/>
  <c r="E33"/>
  <c r="G33" s="1"/>
  <c r="I33" s="1"/>
  <c r="G34" s="1"/>
  <c r="I34" s="1"/>
  <c r="E28"/>
  <c r="E27"/>
  <c r="E40"/>
  <c r="E39"/>
  <c r="E38"/>
  <c r="E37"/>
  <c r="E36"/>
  <c r="E35"/>
  <c r="E32"/>
  <c r="E31"/>
  <c r="E30"/>
  <c r="E29"/>
  <c r="G29" s="1"/>
  <c r="I29" s="1"/>
  <c r="G30" s="1"/>
  <c r="I30" s="1"/>
  <c r="K27"/>
  <c r="M27" s="1"/>
  <c r="N39"/>
  <c r="N37"/>
  <c r="N35"/>
  <c r="N33"/>
  <c r="N31"/>
  <c r="N29"/>
  <c r="N27"/>
  <c r="L39"/>
  <c r="L37"/>
  <c r="L35"/>
  <c r="L33"/>
  <c r="L31"/>
  <c r="L29"/>
  <c r="L27"/>
  <c r="K39"/>
  <c r="M39" s="1"/>
  <c r="O39" s="1"/>
  <c r="K37"/>
  <c r="M37" s="1"/>
  <c r="O37" s="1"/>
  <c r="K35"/>
  <c r="M35" s="1"/>
  <c r="O35" s="1"/>
  <c r="K31"/>
  <c r="M31" s="1"/>
  <c r="K29"/>
  <c r="M29" s="1"/>
  <c r="O29" s="1"/>
  <c r="G27"/>
  <c r="I27" s="1"/>
  <c r="G28" s="1"/>
  <c r="I28" s="1"/>
  <c r="G39"/>
  <c r="I39" s="1"/>
  <c r="G40" s="1"/>
  <c r="I40" s="1"/>
  <c r="G37"/>
  <c r="I37" s="1"/>
  <c r="G38" s="1"/>
  <c r="I38" s="1"/>
  <c r="G35"/>
  <c r="I35" s="1"/>
  <c r="G36" s="1"/>
  <c r="I36" s="1"/>
  <c r="G31"/>
  <c r="I31" s="1"/>
  <c r="E22"/>
  <c r="E13"/>
  <c r="E7"/>
  <c r="E6"/>
  <c r="E19"/>
  <c r="K18" s="1"/>
  <c r="M18" s="1"/>
  <c r="O18" s="1"/>
  <c r="E18"/>
  <c r="K8"/>
  <c r="M8" s="1"/>
  <c r="O8" s="1"/>
  <c r="L45" i="5" s="1"/>
  <c r="L8" i="3"/>
  <c r="N8"/>
  <c r="M10"/>
  <c r="O10" s="1"/>
  <c r="L10"/>
  <c r="N10"/>
  <c r="L12"/>
  <c r="N12"/>
  <c r="K14"/>
  <c r="M14" s="1"/>
  <c r="O14" s="1"/>
  <c r="L54" i="5" s="1"/>
  <c r="L14" i="3"/>
  <c r="N14"/>
  <c r="K16"/>
  <c r="M16" s="1"/>
  <c r="O16" s="1"/>
  <c r="L16"/>
  <c r="N16"/>
  <c r="L18"/>
  <c r="N18"/>
  <c r="K20"/>
  <c r="L20"/>
  <c r="N20"/>
  <c r="N6"/>
  <c r="L6"/>
  <c r="K6"/>
  <c r="M6" s="1"/>
  <c r="O6" s="1"/>
  <c r="I10"/>
  <c r="I18"/>
  <c r="G19" s="1"/>
  <c r="I19" s="1"/>
  <c r="I20"/>
  <c r="I21" s="1"/>
  <c r="G20"/>
  <c r="G18"/>
  <c r="G16"/>
  <c r="I16" s="1"/>
  <c r="G17" s="1"/>
  <c r="I17" s="1"/>
  <c r="G14"/>
  <c r="I14" s="1"/>
  <c r="G12"/>
  <c r="I12" s="1"/>
  <c r="G13" s="1"/>
  <c r="I13" s="1"/>
  <c r="G10"/>
  <c r="G8"/>
  <c r="I8" s="1"/>
  <c r="G6"/>
  <c r="I6" s="1"/>
  <c r="G7" s="1"/>
  <c r="I7" s="1"/>
  <c r="I27" i="1" l="1"/>
  <c r="H27"/>
  <c r="P31" i="3"/>
  <c r="N41"/>
  <c r="K72" i="5"/>
  <c r="G17" i="1"/>
  <c r="O31" i="3"/>
  <c r="G32"/>
  <c r="L70" i="5"/>
  <c r="G15" i="3"/>
  <c r="L52" i="5"/>
  <c r="P14" i="3"/>
  <c r="M54" i="5" s="1"/>
  <c r="K54"/>
  <c r="G9" i="3"/>
  <c r="L43" i="5"/>
  <c r="P8" i="3"/>
  <c r="M45" i="5" s="1"/>
  <c r="K45"/>
  <c r="L48"/>
  <c r="H16" i="1"/>
  <c r="P10" i="3"/>
  <c r="N22"/>
  <c r="K48" i="5"/>
  <c r="G16" i="1"/>
  <c r="G19" s="1"/>
  <c r="G11" i="3"/>
  <c r="L46" i="5"/>
  <c r="G29" i="1"/>
  <c r="H26"/>
  <c r="I26"/>
  <c r="F8" i="4"/>
  <c r="J8" s="1"/>
  <c r="J11" s="1"/>
  <c r="K33" i="3"/>
  <c r="M33" s="1"/>
  <c r="O33" s="1"/>
  <c r="M12"/>
  <c r="O12" s="1"/>
  <c r="M20"/>
  <c r="O20" s="1"/>
  <c r="L72" i="5" l="1"/>
  <c r="H17" i="1"/>
  <c r="I32" i="3"/>
  <c r="L71" i="5" s="1"/>
  <c r="J32" i="3"/>
  <c r="M71" i="5" s="1"/>
  <c r="J71"/>
  <c r="O41" i="3"/>
  <c r="P41"/>
  <c r="M72" i="5"/>
  <c r="I17" i="1"/>
  <c r="I15" i="3"/>
  <c r="L53" i="5" s="1"/>
  <c r="J15" i="3"/>
  <c r="M53" i="5" s="1"/>
  <c r="J53"/>
  <c r="I9" i="3"/>
  <c r="L44" i="5" s="1"/>
  <c r="J9" i="3"/>
  <c r="M44" i="5" s="1"/>
  <c r="J44"/>
  <c r="H19" i="1"/>
  <c r="I19"/>
  <c r="I11" i="3"/>
  <c r="L47" i="5" s="1"/>
  <c r="J11" i="3"/>
  <c r="M47" i="5" s="1"/>
  <c r="J47"/>
  <c r="M48"/>
  <c r="I16" i="1"/>
  <c r="O22" i="3"/>
  <c r="P22"/>
  <c r="H29" i="1"/>
  <c r="I29"/>
  <c r="F11" i="4"/>
  <c r="K11" s="1"/>
  <c r="K8"/>
  <c r="G40" i="2"/>
  <c r="I40" s="1"/>
  <c r="G28"/>
  <c r="I28" s="1"/>
  <c r="G27"/>
  <c r="J27" s="1"/>
  <c r="G25"/>
  <c r="J25" s="1"/>
  <c r="M22" i="5" s="1"/>
  <c r="G21" i="2"/>
  <c r="G20"/>
  <c r="J20" s="1"/>
  <c r="G19"/>
  <c r="J19" s="1"/>
  <c r="M15" i="5" s="1"/>
  <c r="G18" i="2"/>
  <c r="J18" s="1"/>
  <c r="G17"/>
  <c r="G16"/>
  <c r="J16" s="1"/>
  <c r="M12" i="5" s="1"/>
  <c r="G15" i="2"/>
  <c r="I15" s="1"/>
  <c r="L11" i="5" s="1"/>
  <c r="G14" i="2"/>
  <c r="J14" s="1"/>
  <c r="M10" i="5" s="1"/>
  <c r="G13" i="2"/>
  <c r="I13" s="1"/>
  <c r="G12"/>
  <c r="J12" s="1"/>
  <c r="G11"/>
  <c r="I11" s="1"/>
  <c r="L7" i="5" s="1"/>
  <c r="G10" i="2"/>
  <c r="J10" s="1"/>
  <c r="G9"/>
  <c r="I9" s="1"/>
  <c r="L5" i="5" s="1"/>
  <c r="G8" i="2"/>
  <c r="J8" s="1"/>
  <c r="M4" i="5" s="1"/>
  <c r="G7" i="2"/>
  <c r="J7" s="1"/>
  <c r="G6"/>
  <c r="G29" l="1"/>
  <c r="J27" i="5" s="1"/>
  <c r="L26"/>
  <c r="M17"/>
  <c r="J17"/>
  <c r="I17" i="2"/>
  <c r="J17"/>
  <c r="J28"/>
  <c r="M26" i="5" s="1"/>
  <c r="J11" i="2"/>
  <c r="M7" i="5" s="1"/>
  <c r="I19" i="2"/>
  <c r="L15" i="5" s="1"/>
  <c r="J9" i="2"/>
  <c r="M5" i="5" s="1"/>
  <c r="I12" i="2"/>
  <c r="J15"/>
  <c r="M11" i="5" s="1"/>
  <c r="I27" i="2"/>
  <c r="I8"/>
  <c r="L4" i="5" s="1"/>
  <c r="J13" i="2"/>
  <c r="J29"/>
  <c r="M27" i="5" s="1"/>
  <c r="I16" i="2"/>
  <c r="L12" i="5" s="1"/>
  <c r="I25" i="2"/>
  <c r="I7"/>
  <c r="J40"/>
  <c r="I21"/>
  <c r="I18"/>
  <c r="I14"/>
  <c r="L10" i="5" s="1"/>
  <c r="I10" i="2"/>
  <c r="I20"/>
  <c r="I29" l="1"/>
  <c r="L22" i="5"/>
  <c r="G26" i="2"/>
  <c r="J23" i="5" s="1"/>
  <c r="L17"/>
  <c r="G22" i="2"/>
  <c r="G30" l="1"/>
  <c r="L27" i="5"/>
  <c r="J18"/>
  <c r="I22" i="2"/>
  <c r="J22"/>
  <c r="M18" i="5" s="1"/>
  <c r="I26" i="2"/>
  <c r="L23" i="5" s="1"/>
  <c r="J26" i="2"/>
  <c r="M23" i="5" s="1"/>
  <c r="J28" l="1"/>
  <c r="J30" i="2"/>
  <c r="M28" i="5" s="1"/>
  <c r="I30" i="2"/>
  <c r="L18" i="5"/>
  <c r="G23" i="2"/>
  <c r="G31" l="1"/>
  <c r="L28" i="5"/>
  <c r="J19"/>
  <c r="J23" i="2"/>
  <c r="M19" i="5" s="1"/>
  <c r="I23" i="2"/>
  <c r="L19" i="5" s="1"/>
  <c r="J29" l="1"/>
  <c r="I31" i="2"/>
  <c r="J31"/>
  <c r="M29" i="5" s="1"/>
  <c r="G32" i="2" l="1"/>
  <c r="L29" i="5"/>
  <c r="J30" l="1"/>
  <c r="J32" i="2"/>
  <c r="M30" i="5" s="1"/>
  <c r="I32" i="2"/>
  <c r="G33" l="1"/>
  <c r="L30" i="5"/>
  <c r="J31" l="1"/>
  <c r="J33" i="2"/>
  <c r="M31" i="5" s="1"/>
  <c r="I33" i="2"/>
  <c r="G34" l="1"/>
  <c r="L31" i="5"/>
  <c r="J32" l="1"/>
  <c r="I34" i="2"/>
  <c r="J34"/>
  <c r="M32" i="5" s="1"/>
  <c r="G35" i="2" l="1"/>
  <c r="L32" i="5"/>
  <c r="J33" l="1"/>
  <c r="J35" i="2"/>
  <c r="M33" i="5" s="1"/>
  <c r="I35" i="2"/>
  <c r="G36" l="1"/>
  <c r="L33" i="5"/>
  <c r="J34" l="1"/>
  <c r="I36" i="2"/>
  <c r="J36"/>
  <c r="M34" i="5" s="1"/>
  <c r="G37" i="2" l="1"/>
  <c r="L34" i="5"/>
  <c r="J35" l="1"/>
  <c r="J37" i="2"/>
  <c r="M35" i="5" s="1"/>
  <c r="I37" i="2"/>
  <c r="G38" l="1"/>
  <c r="L35" i="5"/>
  <c r="J36" l="1"/>
  <c r="I38" i="2"/>
  <c r="J38"/>
  <c r="M36" i="5" s="1"/>
  <c r="G39" i="2" l="1"/>
  <c r="L36" i="5"/>
  <c r="J37" l="1"/>
  <c r="J39" i="2"/>
  <c r="M37" i="5" s="1"/>
  <c r="I39" i="2"/>
  <c r="L37" i="5" s="1"/>
</calcChain>
</file>

<file path=xl/comments1.xml><?xml version="1.0" encoding="utf-8"?>
<comments xmlns="http://schemas.openxmlformats.org/spreadsheetml/2006/main">
  <authors>
    <author>CEA TELLO, MARIO ANDRES</author>
  </authors>
  <commentList>
    <comment ref="F9" author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Descuento por sanción 1,987 Ton (Res. Ex N°05-2020)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Descuento por sanción 0,330 Ton (Res. Ex N°05-2020)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Descuento por sanción 5,428 Ton (Res. Ex N°05-2020)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Descuento por sanción 0,324 Ton (Res. Ex N°05-2020)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Descuento por sanción 3,501 Ton (Res. Ex N°05-2020)</t>
        </r>
      </text>
    </comment>
    <comment ref="F18" author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Descuento por sanción 0,353 Ton (Res. Ex N°05-2020)</t>
        </r>
      </text>
    </comment>
  </commentList>
</comments>
</file>

<file path=xl/sharedStrings.xml><?xml version="1.0" encoding="utf-8"?>
<sst xmlns="http://schemas.openxmlformats.org/spreadsheetml/2006/main" count="848" uniqueCount="145">
  <si>
    <t>SECTOR</t>
  </si>
  <si>
    <t>FRACCIONAMIENTO</t>
  </si>
  <si>
    <t>CUOTA ASIGNADA (TON)</t>
  </si>
  <si>
    <t>MOVIMIENTO (TON)</t>
  </si>
  <si>
    <t>CUOTA EFECTIVA (TON)</t>
  </si>
  <si>
    <t>CAPTURA (TON)</t>
  </si>
  <si>
    <t>SALDO (TON)</t>
  </si>
  <si>
    <t>% CONSUMIDO</t>
  </si>
  <si>
    <t>X REGION DE LOS LAGOS (≤ 12 MTS. DE ESLORA)</t>
  </si>
  <si>
    <t>ARTESANAL</t>
  </si>
  <si>
    <t>X REGION DE LOS LAGOS (&gt; 12 MTS. DE ESLORA)</t>
  </si>
  <si>
    <t>XI DE AYSEN UP NORTE</t>
  </si>
  <si>
    <t>XI DE AYSEN UP SUR</t>
  </si>
  <si>
    <t>XII DE MAGALLANES</t>
  </si>
  <si>
    <t>FAUNA ACOMPAÑANTE X REGION (≤ 12 MTS. DE ESLORA)</t>
  </si>
  <si>
    <t>FAUNA ACOMPAÑANTE X REGION (&gt; 12 MTS. DE ESLORA)</t>
  </si>
  <si>
    <t>FAUNA ACOMAÑANTE XI UP NORTE</t>
  </si>
  <si>
    <t>FAUNA ACOMPAÑANTE XII</t>
  </si>
  <si>
    <t>47° al 57° L.S. (SE)</t>
  </si>
  <si>
    <t>INDUSTRIAL</t>
  </si>
  <si>
    <t>TOTALES</t>
  </si>
  <si>
    <t>FAUNA ACOMPAÑANTE XI UP SUR</t>
  </si>
  <si>
    <t>FUERA UNIDAD PESQUERIA</t>
  </si>
  <si>
    <t>FAUNA ACOMPAÑANTE</t>
  </si>
  <si>
    <t>INVESTIGACION</t>
  </si>
  <si>
    <t>ARTESANAL - INDUSTRIAL</t>
  </si>
  <si>
    <t>CONTROL CUOTA GLOBAL CONGRIO DORADO AÑO 2020</t>
  </si>
  <si>
    <t>CONTROL CUOTA CONGRIO DORADO FUERA UNIDAD DE PESQUERIA AÑO 2020</t>
  </si>
  <si>
    <t>41°28,6' al 47° L.S. (NE)</t>
  </si>
  <si>
    <t>REGIÓN</t>
  </si>
  <si>
    <t>ASIGNATARIO</t>
  </si>
  <si>
    <t>PERIODO</t>
  </si>
  <si>
    <t>FECHA CIERRE</t>
  </si>
  <si>
    <t>% CONSUMO</t>
  </si>
  <si>
    <t>CALBUCO A</t>
  </si>
  <si>
    <t>CALBUCO B</t>
  </si>
  <si>
    <t>CALBUCO C</t>
  </si>
  <si>
    <t>CHILOE B</t>
  </si>
  <si>
    <t>CHILOE C</t>
  </si>
  <si>
    <t>HUALAIHUE</t>
  </si>
  <si>
    <t>PUERTO MONTT A</t>
  </si>
  <si>
    <t>PUERTO MONTT B</t>
  </si>
  <si>
    <t>PALENA</t>
  </si>
  <si>
    <t>PATAGONIA</t>
  </si>
  <si>
    <t>RESIDUAL</t>
  </si>
  <si>
    <t>ENE-JUN</t>
  </si>
  <si>
    <t>JUL-DIC</t>
  </si>
  <si>
    <t>ENE-DIC</t>
  </si>
  <si>
    <t>-</t>
  </si>
  <si>
    <t>AG CHILOE</t>
  </si>
  <si>
    <t>UNIDAD DE PESQUERIA NORTE</t>
  </si>
  <si>
    <t>UNIDAD DE PESQUERIA SUR</t>
  </si>
  <si>
    <t>SEP-DIC</t>
  </si>
  <si>
    <t xml:space="preserve">XI REGION DE AYSEN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</si>
  <si>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</si>
  <si>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</si>
  <si>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</si>
  <si>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</si>
  <si>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</si>
  <si>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</si>
  <si>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</si>
  <si>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</si>
  <si>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</si>
  <si>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</si>
  <si>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</si>
  <si>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</si>
  <si>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UNIDAD DE PESQUERIA</t>
  </si>
  <si>
    <t>TITULAR DE CUOTA LTP</t>
  </si>
  <si>
    <t>EMDEPES S.A.</t>
  </si>
  <si>
    <t>GRIMAR S.A. PESQ.</t>
  </si>
  <si>
    <t>DERIS S.A.</t>
  </si>
  <si>
    <t>PESCA CISNE S.A.</t>
  </si>
  <si>
    <t>SUR AUSTRAL S.A. PESQ.</t>
  </si>
  <si>
    <t>ISLA QUIHUA S.A. PESQ.</t>
  </si>
  <si>
    <t>ENE-FEB</t>
  </si>
  <si>
    <t>MAR-DIC</t>
  </si>
  <si>
    <t>CANAL AUSTRAL LTDA.</t>
  </si>
  <si>
    <t>MARCO SALINAS CARRASCO</t>
  </si>
  <si>
    <t>TOTAL</t>
  </si>
  <si>
    <t>FRACCIÓN</t>
  </si>
  <si>
    <t>CUOTA ASIGNADA</t>
  </si>
  <si>
    <t>CAPTURA TOTAL</t>
  </si>
  <si>
    <t>SALDO</t>
  </si>
  <si>
    <t>CONSUMO</t>
  </si>
  <si>
    <t>CONGRIO DORADO FUERA UNIDAD DE PESQUERIA 41°28,6´ L.S. AL NORTE</t>
  </si>
  <si>
    <t>INDUSTRIAL-ARTESANAL</t>
  </si>
  <si>
    <t>INVESTIGACIÓN</t>
  </si>
  <si>
    <t>CAPTURA</t>
  </si>
  <si>
    <t>CUOTA EFECTIVA</t>
  </si>
  <si>
    <t>MAR-AGO</t>
  </si>
  <si>
    <t xml:space="preserve">FAUNA ACOMPAÑANTE </t>
  </si>
  <si>
    <t>FAUNA ACOMPAÑANTE UPN</t>
  </si>
  <si>
    <t>FAUNA ACOMAÑANTE UPS</t>
  </si>
  <si>
    <t>X REGION DE LOS LAGOS                                                                     (≤ 12 MTS. DE ESLORA)</t>
  </si>
  <si>
    <t>X REGION DE LOS LAGOS                                                                  (&gt; 12 MTS. DE ESLORA)</t>
  </si>
  <si>
    <t>CONTROL CUOTA CONGRIO DORADO FRACCION ARTESANAL AÑO 2020</t>
  </si>
  <si>
    <t>CONTROL CUOTA CONGRIO DORADO FRACCION INDUSTRIAL AÑO 2020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</si>
  <si>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</si>
  <si>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</si>
  <si>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</si>
  <si>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</si>
  <si>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</si>
  <si>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</si>
  <si>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</si>
  <si>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</si>
  <si>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</si>
  <si>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</si>
  <si>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captura</t>
  </si>
  <si>
    <t>saldo</t>
  </si>
  <si>
    <t>consumo_porcentaje</t>
  </si>
  <si>
    <t>cierre</t>
  </si>
  <si>
    <t>preliminar</t>
  </si>
  <si>
    <t>año</t>
  </si>
  <si>
    <t>mensaje</t>
  </si>
  <si>
    <t>CONGRIO DORADO X</t>
  </si>
  <si>
    <t>CONGRIO DORADO</t>
  </si>
  <si>
    <t>X</t>
  </si>
  <si>
    <t>AREA</t>
  </si>
  <si>
    <t>CONGRIO DORADO XI</t>
  </si>
  <si>
    <t>XI</t>
  </si>
  <si>
    <t>ORGANIZACIÓN</t>
  </si>
  <si>
    <t>REGION</t>
  </si>
  <si>
    <t xml:space="preserve">BOLSON RESIDUAL MENORES O IGUAL A 12 METROS </t>
  </si>
  <si>
    <t>BOLSON RESIDUAL MAYORES A 12 METROS</t>
  </si>
  <si>
    <t xml:space="preserve">FAUNA ACOMPAÑANTE MENORES O IGUAL A 12 METROS </t>
  </si>
  <si>
    <t>FAUNA ACOMPAÑANTE MAYORES A 12 METROS</t>
  </si>
  <si>
    <t>FAUNA ACOMPAÑANTE UPS</t>
  </si>
  <si>
    <t>CONGRIO DORADO XII</t>
  </si>
  <si>
    <t>XII</t>
  </si>
  <si>
    <t>ARTESANALES XII</t>
  </si>
  <si>
    <t>CONGRIO DORADO X-XII</t>
  </si>
  <si>
    <t>X-XII</t>
  </si>
  <si>
    <t>TOTAL ARTESANAL</t>
  </si>
  <si>
    <t>TOTAL ASIGNATARIO ARTESANAL</t>
  </si>
  <si>
    <t>CONGRIO DORADO 41°28,6LS-47°LS</t>
  </si>
  <si>
    <t>41°28,6LS-47°LS</t>
  </si>
  <si>
    <t>TITULAR LTP</t>
  </si>
  <si>
    <t>CONGRIO DORADO 47°LS-57°LS</t>
  </si>
  <si>
    <t>47°LS-57°LS</t>
  </si>
  <si>
    <t>41°28,6LS-57°LS</t>
  </si>
  <si>
    <t>TOTAL ASIGNATARIO LTP</t>
  </si>
  <si>
    <t>TOTAL LTP</t>
  </si>
  <si>
    <t>Congrio Dorado paralelo 41°28,6 al 47° L.S.</t>
  </si>
  <si>
    <t>Congrio Dorado paralelo 47° al 57° L.S.</t>
  </si>
  <si>
    <t>XII REGION DE MAGALLANES</t>
  </si>
</sst>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0.000"/>
    <numFmt numFmtId="166" formatCode="0.000%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rgb="FF000000"/>
      <name val="Calibri"/>
      <family val="2"/>
    </font>
    <font>
      <b/>
      <sz val="9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/>
    <xf numFmtId="165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9" fontId="3" fillId="0" borderId="0" xfId="1" applyFont="1" applyAlignment="1">
      <alignment horizontal="center" vertical="center"/>
    </xf>
    <xf numFmtId="10" fontId="3" fillId="0" borderId="1" xfId="1" applyNumberFormat="1" applyFont="1" applyBorder="1" applyAlignment="1">
      <alignment horizontal="center" vertical="center"/>
    </xf>
    <xf numFmtId="166" fontId="3" fillId="0" borderId="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5" fontId="6" fillId="0" borderId="1" xfId="1" applyNumberFormat="1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4" fontId="7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9" fontId="2" fillId="3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9" fontId="2" fillId="4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66" fontId="3" fillId="0" borderId="1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14" fontId="3" fillId="7" borderId="1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164" fontId="2" fillId="5" borderId="10" xfId="0" applyNumberFormat="1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164" fontId="2" fillId="5" borderId="10" xfId="0" applyNumberFormat="1" applyFont="1" applyFill="1" applyBorder="1" applyAlignment="1">
      <alignment horizontal="center" vertical="center"/>
    </xf>
    <xf numFmtId="164" fontId="2" fillId="5" borderId="11" xfId="0" applyNumberFormat="1" applyFont="1" applyFill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14" fontId="2" fillId="4" borderId="16" xfId="0" applyNumberFormat="1" applyFont="1" applyFill="1" applyBorder="1" applyAlignment="1">
      <alignment horizontal="center" vertical="center"/>
    </xf>
    <xf numFmtId="14" fontId="2" fillId="4" borderId="17" xfId="0" applyNumberFormat="1" applyFont="1" applyFill="1" applyBorder="1" applyAlignment="1">
      <alignment horizontal="center" vertical="center"/>
    </xf>
    <xf numFmtId="14" fontId="2" fillId="4" borderId="18" xfId="0" applyNumberFormat="1" applyFont="1" applyFill="1" applyBorder="1" applyAlignment="1">
      <alignment horizontal="center" vertical="center"/>
    </xf>
    <xf numFmtId="166" fontId="3" fillId="0" borderId="1" xfId="1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66" fontId="3" fillId="0" borderId="4" xfId="1" applyNumberFormat="1" applyFont="1" applyBorder="1" applyAlignment="1">
      <alignment horizontal="center" vertical="center"/>
    </xf>
    <xf numFmtId="166" fontId="3" fillId="0" borderId="6" xfId="1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textRotation="90"/>
    </xf>
    <xf numFmtId="0" fontId="3" fillId="0" borderId="5" xfId="0" applyFont="1" applyFill="1" applyBorder="1" applyAlignment="1">
      <alignment horizontal="center" vertical="center" textRotation="90"/>
    </xf>
    <xf numFmtId="0" fontId="3" fillId="0" borderId="6" xfId="0" applyFont="1" applyFill="1" applyBorder="1" applyAlignment="1">
      <alignment horizontal="center" vertical="center" textRotation="90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14" fontId="2" fillId="3" borderId="16" xfId="0" applyNumberFormat="1" applyFont="1" applyFill="1" applyBorder="1" applyAlignment="1">
      <alignment horizontal="center"/>
    </xf>
    <xf numFmtId="14" fontId="2" fillId="3" borderId="17" xfId="0" applyNumberFormat="1" applyFont="1" applyFill="1" applyBorder="1" applyAlignment="1">
      <alignment horizontal="center"/>
    </xf>
    <xf numFmtId="14" fontId="2" fillId="3" borderId="18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14" fontId="2" fillId="2" borderId="16" xfId="0" applyNumberFormat="1" applyFont="1" applyFill="1" applyBorder="1" applyAlignment="1">
      <alignment horizontal="center" wrapText="1"/>
    </xf>
    <xf numFmtId="14" fontId="2" fillId="2" borderId="17" xfId="0" applyNumberFormat="1" applyFont="1" applyFill="1" applyBorder="1" applyAlignment="1">
      <alignment horizontal="center" wrapText="1"/>
    </xf>
    <xf numFmtId="14" fontId="2" fillId="2" borderId="18" xfId="0" applyNumberFormat="1" applyFont="1" applyFill="1" applyBorder="1" applyAlignment="1">
      <alignment horizont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9"/>
  <sheetViews>
    <sheetView showGridLines="0" tabSelected="1" workbookViewId="0">
      <selection activeCell="B4" sqref="B4"/>
    </sheetView>
  </sheetViews>
  <sheetFormatPr baseColWidth="10" defaultRowHeight="12"/>
  <cols>
    <col min="1" max="1" width="11.42578125" style="3"/>
    <col min="2" max="2" width="20" style="3" bestFit="1" customWidth="1"/>
    <col min="3" max="3" width="44.7109375" style="3" bestFit="1" customWidth="1"/>
    <col min="4" max="4" width="19.5703125" style="3" bestFit="1" customWidth="1"/>
    <col min="5" max="5" width="16.7109375" style="3" bestFit="1" customWidth="1"/>
    <col min="6" max="6" width="18.7109375" style="3" bestFit="1" customWidth="1"/>
    <col min="7" max="7" width="12.85546875" style="3" bestFit="1" customWidth="1"/>
    <col min="8" max="8" width="10.85546875" style="3" bestFit="1" customWidth="1"/>
    <col min="9" max="9" width="12.7109375" style="3" bestFit="1" customWidth="1"/>
    <col min="10" max="16384" width="11.42578125" style="3"/>
  </cols>
  <sheetData>
    <row r="1" spans="2:9" ht="12.75" thickBot="1"/>
    <row r="2" spans="2:9">
      <c r="B2" s="55" t="s">
        <v>26</v>
      </c>
      <c r="C2" s="56"/>
      <c r="D2" s="56"/>
      <c r="E2" s="56"/>
      <c r="F2" s="56"/>
      <c r="G2" s="56"/>
      <c r="H2" s="56"/>
      <c r="I2" s="57"/>
    </row>
    <row r="3" spans="2:9" ht="12.75" thickBot="1">
      <c r="B3" s="61">
        <v>43872</v>
      </c>
      <c r="C3" s="62"/>
      <c r="D3" s="62"/>
      <c r="E3" s="62"/>
      <c r="F3" s="62"/>
      <c r="G3" s="62"/>
      <c r="H3" s="62"/>
      <c r="I3" s="63"/>
    </row>
    <row r="5" spans="2:9">
      <c r="B5" s="30" t="s">
        <v>0</v>
      </c>
      <c r="C5" s="30" t="s">
        <v>1</v>
      </c>
      <c r="D5" s="30" t="s">
        <v>2</v>
      </c>
      <c r="E5" s="30" t="s">
        <v>3</v>
      </c>
      <c r="F5" s="30" t="s">
        <v>4</v>
      </c>
      <c r="G5" s="30" t="s">
        <v>5</v>
      </c>
      <c r="H5" s="30" t="s">
        <v>6</v>
      </c>
      <c r="I5" s="30" t="s">
        <v>7</v>
      </c>
    </row>
    <row r="6" spans="2:9">
      <c r="B6" s="64" t="s">
        <v>9</v>
      </c>
      <c r="C6" s="26" t="s">
        <v>8</v>
      </c>
      <c r="D6" s="2">
        <f>SUM('CUOTA ARTESANAL'!L6:L16)</f>
        <v>230.99999999999997</v>
      </c>
      <c r="E6" s="2">
        <f>SUM('CUOTA ARTESANAL'!M6:M16)</f>
        <v>-11.57</v>
      </c>
      <c r="F6" s="2">
        <f>SUM('CUOTA ARTESANAL'!N6:N16)</f>
        <v>219.42999999999998</v>
      </c>
      <c r="G6" s="2">
        <f>SUM('CUOTA ARTESANAL'!O6:O16)</f>
        <v>87.52</v>
      </c>
      <c r="H6" s="2">
        <f>SUM('CUOTA ARTESANAL'!P6:P16)</f>
        <v>131.91</v>
      </c>
      <c r="I6" s="12">
        <f>SUM('CUOTA ARTESANAL'!Q6:Q16)</f>
        <v>4.3702757559573469</v>
      </c>
    </row>
    <row r="7" spans="2:9">
      <c r="B7" s="64"/>
      <c r="C7" s="26" t="s">
        <v>14</v>
      </c>
      <c r="D7" s="2">
        <f>'CUOTA ARTESANAL'!L17</f>
        <v>25.6</v>
      </c>
      <c r="E7" s="2">
        <f>'CUOTA ARTESANAL'!M17</f>
        <v>0</v>
      </c>
      <c r="F7" s="2">
        <f>'CUOTA ARTESANAL'!N17</f>
        <v>25.6</v>
      </c>
      <c r="G7" s="2">
        <f>'CUOTA ARTESANAL'!O17</f>
        <v>0</v>
      </c>
      <c r="H7" s="2">
        <f>'CUOTA ARTESANAL'!P17</f>
        <v>25.6</v>
      </c>
      <c r="I7" s="12">
        <f>'CUOTA ARTESANAL'!Q17</f>
        <v>0</v>
      </c>
    </row>
    <row r="8" spans="2:9">
      <c r="B8" s="64"/>
      <c r="C8" s="26" t="s">
        <v>10</v>
      </c>
      <c r="D8" s="2">
        <f>SUM('CUOTA ARTESANAL'!L18:L19)</f>
        <v>165</v>
      </c>
      <c r="E8" s="2">
        <f>SUM('CUOTA ARTESANAL'!M18:M19)</f>
        <v>-0.35299999999999998</v>
      </c>
      <c r="F8" s="2">
        <f>SUM('CUOTA ARTESANAL'!N18:N19)</f>
        <v>164.64699999999999</v>
      </c>
      <c r="G8" s="2">
        <f>SUM('CUOTA ARTESANAL'!O18:O19)</f>
        <v>31.13</v>
      </c>
      <c r="H8" s="2">
        <f>SUM('CUOTA ARTESANAL'!P18:P19)</f>
        <v>133.517</v>
      </c>
      <c r="I8" s="12">
        <f>SUM('CUOTA ARTESANAL'!Q18:Q19)</f>
        <v>1.638421052631579</v>
      </c>
    </row>
    <row r="9" spans="2:9">
      <c r="B9" s="64"/>
      <c r="C9" s="26" t="s">
        <v>15</v>
      </c>
      <c r="D9" s="2">
        <f>'CUOTA ARTESANAL'!L20</f>
        <v>17.100000000000001</v>
      </c>
      <c r="E9" s="2">
        <f>'CUOTA ARTESANAL'!M20</f>
        <v>0</v>
      </c>
      <c r="F9" s="2">
        <f>'CUOTA ARTESANAL'!N20</f>
        <v>17.100000000000001</v>
      </c>
      <c r="G9" s="2">
        <f>'CUOTA ARTESANAL'!O20</f>
        <v>0</v>
      </c>
      <c r="H9" s="2">
        <f>'CUOTA ARTESANAL'!P20</f>
        <v>17.100000000000001</v>
      </c>
      <c r="I9" s="12">
        <f>'CUOTA ARTESANAL'!Q20</f>
        <v>0</v>
      </c>
    </row>
    <row r="10" spans="2:9">
      <c r="B10" s="64"/>
      <c r="C10" s="26" t="s">
        <v>11</v>
      </c>
      <c r="D10" s="2">
        <f>'CUOTA ARTESANAL'!L21</f>
        <v>165</v>
      </c>
      <c r="E10" s="2">
        <f>'CUOTA ARTESANAL'!M21</f>
        <v>0</v>
      </c>
      <c r="F10" s="2">
        <f>'CUOTA ARTESANAL'!N21</f>
        <v>165</v>
      </c>
      <c r="G10" s="2">
        <f>'CUOTA ARTESANAL'!O21</f>
        <v>8.9</v>
      </c>
      <c r="H10" s="2">
        <f>'CUOTA ARTESANAL'!P21</f>
        <v>156.1</v>
      </c>
      <c r="I10" s="12">
        <f>'CUOTA ARTESANAL'!Q21</f>
        <v>5.393939393939394E-2</v>
      </c>
    </row>
    <row r="11" spans="2:9">
      <c r="B11" s="64"/>
      <c r="C11" s="26" t="s">
        <v>16</v>
      </c>
      <c r="D11" s="2">
        <f>'CUOTA ARTESANAL'!L24</f>
        <v>18.3</v>
      </c>
      <c r="E11" s="2">
        <f>'CUOTA ARTESANAL'!M24</f>
        <v>0</v>
      </c>
      <c r="F11" s="2">
        <f>'CUOTA ARTESANAL'!N24</f>
        <v>18.3</v>
      </c>
      <c r="G11" s="2">
        <f>'CUOTA ARTESANAL'!O24</f>
        <v>0.64</v>
      </c>
      <c r="H11" s="2">
        <f>'CUOTA ARTESANAL'!P24</f>
        <v>17.66</v>
      </c>
      <c r="I11" s="12">
        <f>'CUOTA ARTESANAL'!Q24</f>
        <v>3.4972677595628415E-2</v>
      </c>
    </row>
    <row r="12" spans="2:9">
      <c r="B12" s="64"/>
      <c r="C12" s="26" t="s">
        <v>12</v>
      </c>
      <c r="D12" s="2">
        <f>'CUOTA ARTESANAL'!L25</f>
        <v>29.6</v>
      </c>
      <c r="E12" s="2">
        <f>'CUOTA ARTESANAL'!M25</f>
        <v>0</v>
      </c>
      <c r="F12" s="2">
        <f>'CUOTA ARTESANAL'!N25</f>
        <v>29.6</v>
      </c>
      <c r="G12" s="2">
        <f>'CUOTA ARTESANAL'!O25</f>
        <v>4.5869999999999997</v>
      </c>
      <c r="H12" s="2">
        <f>'CUOTA ARTESANAL'!P25</f>
        <v>25.013000000000002</v>
      </c>
      <c r="I12" s="12">
        <f>'CUOTA ARTESANAL'!Q25</f>
        <v>0.1549662162162162</v>
      </c>
    </row>
    <row r="13" spans="2:9">
      <c r="B13" s="64"/>
      <c r="C13" s="26" t="s">
        <v>21</v>
      </c>
      <c r="D13" s="2">
        <f>'CUOTA ARTESANAL'!L27</f>
        <v>3.3</v>
      </c>
      <c r="E13" s="2">
        <f>'CUOTA ARTESANAL'!M27</f>
        <v>0</v>
      </c>
      <c r="F13" s="2">
        <f>'CUOTA ARTESANAL'!N27</f>
        <v>3.3</v>
      </c>
      <c r="G13" s="2">
        <f>'CUOTA ARTESANAL'!O27</f>
        <v>0</v>
      </c>
      <c r="H13" s="2">
        <f>'CUOTA ARTESANAL'!P27</f>
        <v>3.3</v>
      </c>
      <c r="I13" s="12">
        <f>'CUOTA ARTESANAL'!Q27</f>
        <v>0</v>
      </c>
    </row>
    <row r="14" spans="2:9">
      <c r="B14" s="64"/>
      <c r="C14" s="26" t="s">
        <v>13</v>
      </c>
      <c r="D14" s="2">
        <f>'CUOTA ARTESANAL'!L28</f>
        <v>266.39999999999992</v>
      </c>
      <c r="E14" s="2">
        <f>'CUOTA ARTESANAL'!M28</f>
        <v>0</v>
      </c>
      <c r="F14" s="2">
        <f>'CUOTA ARTESANAL'!N28</f>
        <v>266.39999999999992</v>
      </c>
      <c r="G14" s="2">
        <f>'CUOTA ARTESANAL'!O28</f>
        <v>4.1459999999999999</v>
      </c>
      <c r="H14" s="2">
        <f>'CUOTA ARTESANAL'!P28</f>
        <v>262.25399999999991</v>
      </c>
      <c r="I14" s="12">
        <f>'CUOTA ARTESANAL'!Q28</f>
        <v>1.5563063063063067E-2</v>
      </c>
    </row>
    <row r="15" spans="2:9">
      <c r="B15" s="64"/>
      <c r="C15" s="26" t="s">
        <v>17</v>
      </c>
      <c r="D15" s="2">
        <f>'CUOTA ARTESANAL'!L40</f>
        <v>29.7</v>
      </c>
      <c r="E15" s="2">
        <f>'CUOTA ARTESANAL'!M40</f>
        <v>0</v>
      </c>
      <c r="F15" s="2">
        <f>'CUOTA ARTESANAL'!N40</f>
        <v>29.7</v>
      </c>
      <c r="G15" s="2">
        <f>'CUOTA ARTESANAL'!O40</f>
        <v>0</v>
      </c>
      <c r="H15" s="2">
        <f>'CUOTA ARTESANAL'!P40</f>
        <v>29.7</v>
      </c>
      <c r="I15" s="12">
        <f>'CUOTA ARTESANAL'!Q40</f>
        <v>0</v>
      </c>
    </row>
    <row r="16" spans="2:9">
      <c r="B16" s="64" t="s">
        <v>19</v>
      </c>
      <c r="C16" s="26" t="s">
        <v>28</v>
      </c>
      <c r="D16" s="2">
        <f>SUM('CUOTA INDUSTRIAL'!K6:K21)</f>
        <v>580.44920000000002</v>
      </c>
      <c r="E16" s="2">
        <f>SUM('CUOTA INDUSTRIAL'!L6:L21)</f>
        <v>0</v>
      </c>
      <c r="F16" s="2">
        <f>SUM('CUOTA INDUSTRIAL'!M6:M21)</f>
        <v>580.44920000000002</v>
      </c>
      <c r="G16" s="2">
        <f>SUM('CUOTA INDUSTRIAL'!N6:N21)</f>
        <v>3.6430000000000002</v>
      </c>
      <c r="H16" s="2">
        <f>SUM('CUOTA INDUSTRIAL'!O6:O21)</f>
        <v>576.8062000000001</v>
      </c>
      <c r="I16" s="12">
        <f>SUM('CUOTA INDUSTRIAL'!P6:P21)</f>
        <v>3.3475546265846548E-2</v>
      </c>
    </row>
    <row r="17" spans="2:9">
      <c r="B17" s="64"/>
      <c r="C17" s="26" t="s">
        <v>18</v>
      </c>
      <c r="D17" s="2">
        <f>SUM('CUOTA INDUSTRIAL'!K27:K40)</f>
        <v>312.55039999999997</v>
      </c>
      <c r="E17" s="2">
        <f>SUM('CUOTA INDUSTRIAL'!L27:L40)</f>
        <v>0</v>
      </c>
      <c r="F17" s="2">
        <f>SUM('CUOTA INDUSTRIAL'!M27:M40)</f>
        <v>312.55039999999997</v>
      </c>
      <c r="G17" s="2">
        <f>SUM('CUOTA INDUSTRIAL'!N27:N40)</f>
        <v>0.11</v>
      </c>
      <c r="H17" s="2">
        <f>SUM('CUOTA INDUSTRIAL'!O27:O40)</f>
        <v>312.44039999999995</v>
      </c>
      <c r="I17" s="12">
        <f>SUM('CUOTA INDUSTRIAL'!P27:P40)</f>
        <v>5.7515738397506948E-4</v>
      </c>
    </row>
    <row r="18" spans="2:9">
      <c r="B18" s="27"/>
      <c r="C18" s="28" t="s">
        <v>24</v>
      </c>
      <c r="D18" s="2">
        <f>17.6+12.2</f>
        <v>29.8</v>
      </c>
      <c r="E18" s="2">
        <v>0</v>
      </c>
      <c r="F18" s="2">
        <f>D18+E18</f>
        <v>29.8</v>
      </c>
      <c r="G18" s="2">
        <v>0</v>
      </c>
      <c r="H18" s="2">
        <f>F18-G18</f>
        <v>29.8</v>
      </c>
      <c r="I18" s="12">
        <f>G18/F18</f>
        <v>0</v>
      </c>
    </row>
    <row r="19" spans="2:9">
      <c r="B19" s="53" t="s">
        <v>20</v>
      </c>
      <c r="C19" s="54"/>
      <c r="D19" s="2">
        <f>SUM(D6:D18)</f>
        <v>1873.7996000000001</v>
      </c>
      <c r="E19" s="2">
        <f>SUM(E6:E17)</f>
        <v>-11.923</v>
      </c>
      <c r="F19" s="2">
        <f t="shared" ref="F19" si="0">D19+E19</f>
        <v>1861.8766000000001</v>
      </c>
      <c r="G19" s="2">
        <f>SUM(G6:G17)</f>
        <v>140.67599999999999</v>
      </c>
      <c r="H19" s="2">
        <f>F19-G19</f>
        <v>1721.2006000000001</v>
      </c>
      <c r="I19" s="12">
        <f>G19/F19</f>
        <v>7.5556027719559923E-2</v>
      </c>
    </row>
    <row r="20" spans="2:9">
      <c r="C20" s="4"/>
    </row>
    <row r="21" spans="2:9" ht="12.75" thickBot="1">
      <c r="C21" s="4"/>
    </row>
    <row r="22" spans="2:9">
      <c r="B22" s="55" t="s">
        <v>27</v>
      </c>
      <c r="C22" s="56"/>
      <c r="D22" s="56"/>
      <c r="E22" s="56"/>
      <c r="F22" s="56"/>
      <c r="G22" s="56"/>
      <c r="H22" s="56"/>
      <c r="I22" s="57"/>
    </row>
    <row r="23" spans="2:9" ht="12.75" thickBot="1">
      <c r="B23" s="58">
        <f>B3</f>
        <v>43872</v>
      </c>
      <c r="C23" s="59"/>
      <c r="D23" s="59"/>
      <c r="E23" s="59"/>
      <c r="F23" s="59"/>
      <c r="G23" s="59"/>
      <c r="H23" s="59"/>
      <c r="I23" s="60"/>
    </row>
    <row r="24" spans="2:9" s="32" customFormat="1">
      <c r="C24" s="33"/>
    </row>
    <row r="25" spans="2:9">
      <c r="B25" s="31" t="s">
        <v>0</v>
      </c>
      <c r="C25" s="31" t="s">
        <v>1</v>
      </c>
      <c r="D25" s="31" t="s">
        <v>2</v>
      </c>
      <c r="E25" s="31" t="s">
        <v>3</v>
      </c>
      <c r="F25" s="31" t="s">
        <v>4</v>
      </c>
      <c r="G25" s="31" t="s">
        <v>5</v>
      </c>
      <c r="H25" s="31" t="s">
        <v>6</v>
      </c>
      <c r="I25" s="31" t="s">
        <v>7</v>
      </c>
    </row>
    <row r="26" spans="2:9">
      <c r="B26" s="50" t="s">
        <v>25</v>
      </c>
      <c r="C26" s="29" t="s">
        <v>22</v>
      </c>
      <c r="D26" s="2">
        <f>SUM('FUERA UNIDAD DE PESQUERIA'!E7:E8)</f>
        <v>105</v>
      </c>
      <c r="E26" s="2">
        <v>0</v>
      </c>
      <c r="F26" s="2">
        <f>RESUMEN!D26+RESUMEN!E26</f>
        <v>105</v>
      </c>
      <c r="G26" s="2">
        <f>SUM('FUERA UNIDAD DE PESQUERIA'!I7:I8)</f>
        <v>32.734999999999999</v>
      </c>
      <c r="H26" s="2">
        <f>F26-G26</f>
        <v>72.265000000000001</v>
      </c>
      <c r="I26" s="11">
        <f>G26/F26</f>
        <v>0.31176190476190474</v>
      </c>
    </row>
    <row r="27" spans="2:9">
      <c r="B27" s="51"/>
      <c r="C27" s="29" t="s">
        <v>23</v>
      </c>
      <c r="D27" s="2">
        <f>'FUERA UNIDAD DE PESQUERIA'!E9</f>
        <v>11</v>
      </c>
      <c r="E27" s="2">
        <v>0</v>
      </c>
      <c r="F27" s="2">
        <f>RESUMEN!D27+RESUMEN!E27</f>
        <v>11</v>
      </c>
      <c r="G27" s="2">
        <f>'FUERA UNIDAD DE PESQUERIA'!I9</f>
        <v>4.4999999999999998E-2</v>
      </c>
      <c r="H27" s="2">
        <f t="shared" ref="H27:H29" si="1">F27-G27</f>
        <v>10.955</v>
      </c>
      <c r="I27" s="11">
        <f t="shared" ref="I27:I29" si="2">G27/F27</f>
        <v>4.0909090909090904E-3</v>
      </c>
    </row>
    <row r="28" spans="2:9">
      <c r="B28" s="52"/>
      <c r="C28" s="29" t="s">
        <v>24</v>
      </c>
      <c r="D28" s="2">
        <f>'FUERA UNIDAD DE PESQUERIA'!E10</f>
        <v>2</v>
      </c>
      <c r="E28" s="2">
        <v>0</v>
      </c>
      <c r="F28" s="2">
        <f>RESUMEN!D28+RESUMEN!E28</f>
        <v>2</v>
      </c>
      <c r="G28" s="2">
        <f>'FUERA UNIDAD DE PESQUERIA'!I10</f>
        <v>0</v>
      </c>
      <c r="H28" s="2">
        <f t="shared" si="1"/>
        <v>2</v>
      </c>
      <c r="I28" s="11">
        <f t="shared" si="2"/>
        <v>0</v>
      </c>
    </row>
    <row r="29" spans="2:9">
      <c r="B29" s="53" t="s">
        <v>20</v>
      </c>
      <c r="C29" s="54"/>
      <c r="D29" s="2">
        <f>SUM(D26:D28)</f>
        <v>118</v>
      </c>
      <c r="E29" s="2">
        <v>0</v>
      </c>
      <c r="F29" s="2">
        <f>RESUMEN!D29+RESUMEN!E29</f>
        <v>118</v>
      </c>
      <c r="G29" s="2">
        <f>SUM(G26:G28)</f>
        <v>32.78</v>
      </c>
      <c r="H29" s="2">
        <f t="shared" si="1"/>
        <v>85.22</v>
      </c>
      <c r="I29" s="11">
        <f t="shared" si="2"/>
        <v>0.27779661016949153</v>
      </c>
    </row>
  </sheetData>
  <mergeCells count="9">
    <mergeCell ref="B26:B28"/>
    <mergeCell ref="B29:C29"/>
    <mergeCell ref="B22:I22"/>
    <mergeCell ref="B23:I23"/>
    <mergeCell ref="B2:I2"/>
    <mergeCell ref="B3:I3"/>
    <mergeCell ref="B6:B15"/>
    <mergeCell ref="B16:B17"/>
    <mergeCell ref="B19:C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41"/>
  <sheetViews>
    <sheetView showGridLines="0" topLeftCell="B1" workbookViewId="0">
      <selection activeCell="B3" sqref="B3:Q3"/>
    </sheetView>
  </sheetViews>
  <sheetFormatPr baseColWidth="10" defaultRowHeight="12"/>
  <cols>
    <col min="1" max="1" width="11.42578125" style="3"/>
    <col min="2" max="2" width="25.85546875" style="3" customWidth="1"/>
    <col min="3" max="3" width="23.7109375" style="3" bestFit="1" customWidth="1"/>
    <col min="4" max="4" width="10" style="3" bestFit="1" customWidth="1"/>
    <col min="5" max="5" width="20.28515625" style="3" bestFit="1" customWidth="1"/>
    <col min="6" max="6" width="15.5703125" style="3" bestFit="1" customWidth="1"/>
    <col min="7" max="7" width="18" style="3" bestFit="1" customWidth="1"/>
    <col min="8" max="8" width="12.42578125" style="3" bestFit="1" customWidth="1"/>
    <col min="9" max="9" width="10.5703125" style="3" bestFit="1" customWidth="1"/>
    <col min="10" max="10" width="12" style="10" bestFit="1" customWidth="1"/>
    <col min="11" max="11" width="11.140625" style="3" bestFit="1" customWidth="1"/>
    <col min="12" max="12" width="19" style="3" bestFit="1" customWidth="1"/>
    <col min="13" max="13" width="15.5703125" style="3" bestFit="1" customWidth="1"/>
    <col min="14" max="14" width="18" style="3" bestFit="1" customWidth="1"/>
    <col min="15" max="15" width="12.42578125" style="3" bestFit="1" customWidth="1"/>
    <col min="16" max="16" width="10.5703125" style="3" bestFit="1" customWidth="1"/>
    <col min="17" max="17" width="10.42578125" style="3" bestFit="1" customWidth="1"/>
    <col min="18" max="16384" width="11.42578125" style="3"/>
  </cols>
  <sheetData>
    <row r="2" spans="2:17">
      <c r="B2" s="65" t="s">
        <v>95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</row>
    <row r="3" spans="2:17">
      <c r="B3" s="68">
        <f>RESUMEN!B3</f>
        <v>43872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/>
    </row>
    <row r="5" spans="2:17">
      <c r="B5" s="39" t="s">
        <v>29</v>
      </c>
      <c r="C5" s="39" t="s">
        <v>30</v>
      </c>
      <c r="D5" s="39" t="s">
        <v>31</v>
      </c>
      <c r="E5" s="39" t="s">
        <v>2</v>
      </c>
      <c r="F5" s="39" t="s">
        <v>3</v>
      </c>
      <c r="G5" s="39" t="s">
        <v>4</v>
      </c>
      <c r="H5" s="39" t="s">
        <v>5</v>
      </c>
      <c r="I5" s="39" t="s">
        <v>6</v>
      </c>
      <c r="J5" s="40" t="s">
        <v>7</v>
      </c>
      <c r="K5" s="39" t="s">
        <v>32</v>
      </c>
      <c r="L5" s="39" t="s">
        <v>2</v>
      </c>
      <c r="M5" s="39" t="s">
        <v>3</v>
      </c>
      <c r="N5" s="39" t="s">
        <v>4</v>
      </c>
      <c r="O5" s="39" t="s">
        <v>5</v>
      </c>
      <c r="P5" s="39" t="s">
        <v>6</v>
      </c>
      <c r="Q5" s="39" t="s">
        <v>33</v>
      </c>
    </row>
    <row r="6" spans="2:17">
      <c r="B6" s="76" t="s">
        <v>93</v>
      </c>
      <c r="C6" s="41" t="s">
        <v>34</v>
      </c>
      <c r="D6" s="37" t="s">
        <v>47</v>
      </c>
      <c r="E6" s="34">
        <v>8.1999999999999993</v>
      </c>
      <c r="F6" s="2"/>
      <c r="G6" s="2">
        <f t="shared" ref="G6:G16" si="0">E6+F6</f>
        <v>8.1999999999999993</v>
      </c>
      <c r="H6" s="2">
        <v>0</v>
      </c>
      <c r="I6" s="2">
        <f>G6-H6</f>
        <v>8.1999999999999993</v>
      </c>
      <c r="J6" s="12">
        <f>H6/G6</f>
        <v>0</v>
      </c>
      <c r="K6" s="48" t="s">
        <v>48</v>
      </c>
      <c r="L6" s="2">
        <f>E6</f>
        <v>8.1999999999999993</v>
      </c>
      <c r="M6" s="2">
        <f>F6</f>
        <v>0</v>
      </c>
      <c r="N6" s="2">
        <f>L6+M6</f>
        <v>8.1999999999999993</v>
      </c>
      <c r="O6" s="2">
        <f>H6</f>
        <v>0</v>
      </c>
      <c r="P6" s="2">
        <f>N6-O6</f>
        <v>8.1999999999999993</v>
      </c>
      <c r="Q6" s="12">
        <f>O6/N6</f>
        <v>0</v>
      </c>
    </row>
    <row r="7" spans="2:17">
      <c r="B7" s="76"/>
      <c r="C7" s="41" t="s">
        <v>35</v>
      </c>
      <c r="D7" s="37" t="s">
        <v>47</v>
      </c>
      <c r="E7" s="34">
        <v>2.8</v>
      </c>
      <c r="F7" s="2"/>
      <c r="G7" s="2">
        <f t="shared" si="0"/>
        <v>2.8</v>
      </c>
      <c r="H7" s="2">
        <v>0</v>
      </c>
      <c r="I7" s="2">
        <f t="shared" ref="I7:I39" si="1">G7-H7</f>
        <v>2.8</v>
      </c>
      <c r="J7" s="12">
        <f t="shared" ref="J7:J40" si="2">H7/G7</f>
        <v>0</v>
      </c>
      <c r="K7" s="48" t="s">
        <v>48</v>
      </c>
      <c r="L7" s="2">
        <f t="shared" ref="L7:M20" si="3">E7</f>
        <v>2.8</v>
      </c>
      <c r="M7" s="2">
        <f t="shared" si="3"/>
        <v>0</v>
      </c>
      <c r="N7" s="2">
        <f t="shared" ref="N7:N20" si="4">L7+M7</f>
        <v>2.8</v>
      </c>
      <c r="O7" s="2">
        <f t="shared" ref="O7:O20" si="5">H7</f>
        <v>0</v>
      </c>
      <c r="P7" s="2">
        <f t="shared" ref="P7:P20" si="6">N7-O7</f>
        <v>2.8</v>
      </c>
      <c r="Q7" s="12">
        <f t="shared" ref="Q7:Q20" si="7">O7/N7</f>
        <v>0</v>
      </c>
    </row>
    <row r="8" spans="2:17">
      <c r="B8" s="76"/>
      <c r="C8" s="41" t="s">
        <v>36</v>
      </c>
      <c r="D8" s="37" t="s">
        <v>47</v>
      </c>
      <c r="E8" s="34">
        <v>7.2</v>
      </c>
      <c r="F8" s="2"/>
      <c r="G8" s="2">
        <f t="shared" si="0"/>
        <v>7.2</v>
      </c>
      <c r="H8" s="2">
        <v>0.13</v>
      </c>
      <c r="I8" s="2">
        <f t="shared" si="1"/>
        <v>7.07</v>
      </c>
      <c r="J8" s="12">
        <f t="shared" si="2"/>
        <v>1.8055555555555557E-2</v>
      </c>
      <c r="K8" s="48" t="s">
        <v>48</v>
      </c>
      <c r="L8" s="2">
        <f t="shared" si="3"/>
        <v>7.2</v>
      </c>
      <c r="M8" s="2">
        <f t="shared" si="3"/>
        <v>0</v>
      </c>
      <c r="N8" s="2">
        <f t="shared" si="4"/>
        <v>7.2</v>
      </c>
      <c r="O8" s="2">
        <f t="shared" si="5"/>
        <v>0.13</v>
      </c>
      <c r="P8" s="2">
        <f t="shared" si="6"/>
        <v>7.07</v>
      </c>
      <c r="Q8" s="12">
        <f t="shared" si="7"/>
        <v>1.8055555555555557E-2</v>
      </c>
    </row>
    <row r="9" spans="2:17">
      <c r="B9" s="76"/>
      <c r="C9" s="41" t="s">
        <v>37</v>
      </c>
      <c r="D9" s="37" t="s">
        <v>47</v>
      </c>
      <c r="E9" s="34">
        <v>22.1</v>
      </c>
      <c r="F9" s="2">
        <f>-1.987</f>
        <v>-1.9870000000000001</v>
      </c>
      <c r="G9" s="2">
        <f t="shared" si="0"/>
        <v>20.113</v>
      </c>
      <c r="H9" s="2">
        <v>11.35</v>
      </c>
      <c r="I9" s="2">
        <f t="shared" si="1"/>
        <v>8.7629999999999999</v>
      </c>
      <c r="J9" s="12">
        <f t="shared" si="2"/>
        <v>0.56431163923830363</v>
      </c>
      <c r="K9" s="48" t="s">
        <v>48</v>
      </c>
      <c r="L9" s="2">
        <f t="shared" si="3"/>
        <v>22.1</v>
      </c>
      <c r="M9" s="2">
        <f t="shared" si="3"/>
        <v>-1.9870000000000001</v>
      </c>
      <c r="N9" s="2">
        <f t="shared" si="4"/>
        <v>20.113</v>
      </c>
      <c r="O9" s="2">
        <f t="shared" si="5"/>
        <v>11.35</v>
      </c>
      <c r="P9" s="2">
        <f t="shared" si="6"/>
        <v>8.7629999999999999</v>
      </c>
      <c r="Q9" s="12">
        <f t="shared" si="7"/>
        <v>0.56431163923830363</v>
      </c>
    </row>
    <row r="10" spans="2:17">
      <c r="B10" s="76"/>
      <c r="C10" s="41" t="s">
        <v>38</v>
      </c>
      <c r="D10" s="37" t="s">
        <v>47</v>
      </c>
      <c r="E10" s="34">
        <v>37.799999999999997</v>
      </c>
      <c r="F10" s="2">
        <f>-0.33</f>
        <v>-0.33</v>
      </c>
      <c r="G10" s="2">
        <f t="shared" si="0"/>
        <v>37.47</v>
      </c>
      <c r="H10" s="2">
        <v>0</v>
      </c>
      <c r="I10" s="2">
        <f t="shared" si="1"/>
        <v>37.47</v>
      </c>
      <c r="J10" s="12">
        <f t="shared" si="2"/>
        <v>0</v>
      </c>
      <c r="K10" s="48" t="s">
        <v>48</v>
      </c>
      <c r="L10" s="2">
        <f t="shared" si="3"/>
        <v>37.799999999999997</v>
      </c>
      <c r="M10" s="2">
        <f t="shared" si="3"/>
        <v>-0.33</v>
      </c>
      <c r="N10" s="2">
        <f t="shared" si="4"/>
        <v>37.47</v>
      </c>
      <c r="O10" s="2">
        <f t="shared" si="5"/>
        <v>0</v>
      </c>
      <c r="P10" s="2">
        <f t="shared" si="6"/>
        <v>37.47</v>
      </c>
      <c r="Q10" s="12">
        <f t="shared" si="7"/>
        <v>0</v>
      </c>
    </row>
    <row r="11" spans="2:17">
      <c r="B11" s="76"/>
      <c r="C11" s="41" t="s">
        <v>39</v>
      </c>
      <c r="D11" s="37" t="s">
        <v>47</v>
      </c>
      <c r="E11" s="34">
        <v>94.1</v>
      </c>
      <c r="F11" s="2">
        <f>-5.428</f>
        <v>-5.4279999999999999</v>
      </c>
      <c r="G11" s="2">
        <f t="shared" si="0"/>
        <v>88.671999999999997</v>
      </c>
      <c r="H11" s="2">
        <v>0.28999999999999998</v>
      </c>
      <c r="I11" s="2">
        <f t="shared" si="1"/>
        <v>88.381999999999991</v>
      </c>
      <c r="J11" s="12">
        <f t="shared" si="2"/>
        <v>3.2704799711295559E-3</v>
      </c>
      <c r="K11" s="48" t="s">
        <v>48</v>
      </c>
      <c r="L11" s="2">
        <f t="shared" si="3"/>
        <v>94.1</v>
      </c>
      <c r="M11" s="2">
        <f t="shared" si="3"/>
        <v>-5.4279999999999999</v>
      </c>
      <c r="N11" s="2">
        <f t="shared" si="4"/>
        <v>88.671999999999997</v>
      </c>
      <c r="O11" s="2">
        <f t="shared" si="5"/>
        <v>0.28999999999999998</v>
      </c>
      <c r="P11" s="2">
        <f t="shared" si="6"/>
        <v>88.381999999999991</v>
      </c>
      <c r="Q11" s="12">
        <f t="shared" si="7"/>
        <v>3.2704799711295559E-3</v>
      </c>
    </row>
    <row r="12" spans="2:17">
      <c r="B12" s="76"/>
      <c r="C12" s="41" t="s">
        <v>42</v>
      </c>
      <c r="D12" s="37" t="s">
        <v>47</v>
      </c>
      <c r="E12" s="34">
        <v>0.7</v>
      </c>
      <c r="F12" s="2">
        <f>-0.324</f>
        <v>-0.32400000000000001</v>
      </c>
      <c r="G12" s="2">
        <f t="shared" si="0"/>
        <v>0.37599999999999995</v>
      </c>
      <c r="H12" s="2">
        <v>0</v>
      </c>
      <c r="I12" s="2">
        <f t="shared" si="1"/>
        <v>0.37599999999999995</v>
      </c>
      <c r="J12" s="12">
        <f t="shared" si="2"/>
        <v>0</v>
      </c>
      <c r="K12" s="48" t="s">
        <v>48</v>
      </c>
      <c r="L12" s="2">
        <f t="shared" si="3"/>
        <v>0.7</v>
      </c>
      <c r="M12" s="2">
        <f t="shared" si="3"/>
        <v>-0.32400000000000001</v>
      </c>
      <c r="N12" s="2">
        <f t="shared" si="4"/>
        <v>0.37599999999999995</v>
      </c>
      <c r="O12" s="2">
        <f t="shared" si="5"/>
        <v>0</v>
      </c>
      <c r="P12" s="2">
        <f t="shared" si="6"/>
        <v>0.37599999999999995</v>
      </c>
      <c r="Q12" s="12">
        <f t="shared" si="7"/>
        <v>0</v>
      </c>
    </row>
    <row r="13" spans="2:17">
      <c r="B13" s="76"/>
      <c r="C13" s="41" t="s">
        <v>43</v>
      </c>
      <c r="D13" s="37" t="s">
        <v>47</v>
      </c>
      <c r="E13" s="34">
        <v>1.7</v>
      </c>
      <c r="F13" s="2"/>
      <c r="G13" s="2">
        <f t="shared" si="0"/>
        <v>1.7</v>
      </c>
      <c r="H13" s="2">
        <v>0</v>
      </c>
      <c r="I13" s="2">
        <f t="shared" si="1"/>
        <v>1.7</v>
      </c>
      <c r="J13" s="12">
        <f t="shared" si="2"/>
        <v>0</v>
      </c>
      <c r="K13" s="48" t="s">
        <v>48</v>
      </c>
      <c r="L13" s="2">
        <f t="shared" si="3"/>
        <v>1.7</v>
      </c>
      <c r="M13" s="2">
        <f t="shared" si="3"/>
        <v>0</v>
      </c>
      <c r="N13" s="2">
        <f t="shared" si="4"/>
        <v>1.7</v>
      </c>
      <c r="O13" s="2">
        <f t="shared" si="5"/>
        <v>0</v>
      </c>
      <c r="P13" s="2">
        <f t="shared" si="6"/>
        <v>1.7</v>
      </c>
      <c r="Q13" s="12">
        <f t="shared" si="7"/>
        <v>0</v>
      </c>
    </row>
    <row r="14" spans="2:17">
      <c r="B14" s="76"/>
      <c r="C14" s="41" t="s">
        <v>40</v>
      </c>
      <c r="D14" s="37" t="s">
        <v>47</v>
      </c>
      <c r="E14" s="34">
        <v>18.399999999999999</v>
      </c>
      <c r="F14" s="2">
        <f>-3.501</f>
        <v>-3.5009999999999999</v>
      </c>
      <c r="G14" s="2">
        <f t="shared" si="0"/>
        <v>14.898999999999999</v>
      </c>
      <c r="H14" s="2">
        <v>0.1</v>
      </c>
      <c r="I14" s="2">
        <f t="shared" si="1"/>
        <v>14.798999999999999</v>
      </c>
      <c r="J14" s="12">
        <f t="shared" si="2"/>
        <v>6.7118598563661999E-3</v>
      </c>
      <c r="K14" s="48" t="s">
        <v>48</v>
      </c>
      <c r="L14" s="2">
        <f t="shared" si="3"/>
        <v>18.399999999999999</v>
      </c>
      <c r="M14" s="2">
        <f t="shared" si="3"/>
        <v>-3.5009999999999999</v>
      </c>
      <c r="N14" s="2">
        <f t="shared" si="4"/>
        <v>14.898999999999999</v>
      </c>
      <c r="O14" s="2">
        <f t="shared" si="5"/>
        <v>0.1</v>
      </c>
      <c r="P14" s="2">
        <f t="shared" si="6"/>
        <v>14.798999999999999</v>
      </c>
      <c r="Q14" s="12">
        <f t="shared" si="7"/>
        <v>6.7118598563661999E-3</v>
      </c>
    </row>
    <row r="15" spans="2:17">
      <c r="B15" s="76"/>
      <c r="C15" s="41" t="s">
        <v>41</v>
      </c>
      <c r="D15" s="37" t="s">
        <v>47</v>
      </c>
      <c r="E15" s="34">
        <v>8.5</v>
      </c>
      <c r="F15" s="2"/>
      <c r="G15" s="2">
        <f t="shared" si="0"/>
        <v>8.5</v>
      </c>
      <c r="H15" s="2">
        <v>14.49</v>
      </c>
      <c r="I15" s="2">
        <f t="shared" si="1"/>
        <v>-5.99</v>
      </c>
      <c r="J15" s="12">
        <f t="shared" si="2"/>
        <v>1.7047058823529413</v>
      </c>
      <c r="K15" s="48">
        <v>43845</v>
      </c>
      <c r="L15" s="2">
        <f t="shared" si="3"/>
        <v>8.5</v>
      </c>
      <c r="M15" s="2">
        <f t="shared" si="3"/>
        <v>0</v>
      </c>
      <c r="N15" s="2">
        <f t="shared" si="4"/>
        <v>8.5</v>
      </c>
      <c r="O15" s="2">
        <f t="shared" si="5"/>
        <v>14.49</v>
      </c>
      <c r="P15" s="2">
        <f t="shared" si="6"/>
        <v>-5.99</v>
      </c>
      <c r="Q15" s="12">
        <f t="shared" si="7"/>
        <v>1.7047058823529413</v>
      </c>
    </row>
    <row r="16" spans="2:17">
      <c r="B16" s="76"/>
      <c r="C16" s="41" t="s">
        <v>44</v>
      </c>
      <c r="D16" s="37" t="s">
        <v>47</v>
      </c>
      <c r="E16" s="34">
        <v>29.5</v>
      </c>
      <c r="F16" s="2"/>
      <c r="G16" s="2">
        <f t="shared" si="0"/>
        <v>29.5</v>
      </c>
      <c r="H16" s="2">
        <v>61.16</v>
      </c>
      <c r="I16" s="2">
        <f t="shared" si="1"/>
        <v>-31.659999999999997</v>
      </c>
      <c r="J16" s="12">
        <f t="shared" si="2"/>
        <v>2.0732203389830506</v>
      </c>
      <c r="K16" s="48">
        <v>43845</v>
      </c>
      <c r="L16" s="2">
        <f t="shared" si="3"/>
        <v>29.5</v>
      </c>
      <c r="M16" s="2">
        <f t="shared" si="3"/>
        <v>0</v>
      </c>
      <c r="N16" s="2">
        <f t="shared" si="4"/>
        <v>29.5</v>
      </c>
      <c r="O16" s="2">
        <f t="shared" si="5"/>
        <v>61.16</v>
      </c>
      <c r="P16" s="2">
        <f t="shared" si="6"/>
        <v>-31.659999999999997</v>
      </c>
      <c r="Q16" s="12">
        <f t="shared" si="7"/>
        <v>2.0732203389830506</v>
      </c>
    </row>
    <row r="17" spans="2:17">
      <c r="B17" s="76"/>
      <c r="C17" s="41" t="s">
        <v>90</v>
      </c>
      <c r="D17" s="37" t="s">
        <v>47</v>
      </c>
      <c r="E17" s="34">
        <v>25.6</v>
      </c>
      <c r="F17" s="2"/>
      <c r="G17" s="2">
        <f>E17</f>
        <v>25.6</v>
      </c>
      <c r="H17" s="2">
        <v>0</v>
      </c>
      <c r="I17" s="2">
        <f t="shared" si="1"/>
        <v>25.6</v>
      </c>
      <c r="J17" s="12">
        <f>H17/G17</f>
        <v>0</v>
      </c>
      <c r="K17" s="48" t="s">
        <v>48</v>
      </c>
      <c r="L17" s="2">
        <f t="shared" si="3"/>
        <v>25.6</v>
      </c>
      <c r="M17" s="2">
        <f t="shared" si="3"/>
        <v>0</v>
      </c>
      <c r="N17" s="2">
        <f t="shared" si="4"/>
        <v>25.6</v>
      </c>
      <c r="O17" s="2">
        <f t="shared" si="5"/>
        <v>0</v>
      </c>
      <c r="P17" s="2">
        <f t="shared" si="6"/>
        <v>25.6</v>
      </c>
      <c r="Q17" s="12">
        <f t="shared" si="7"/>
        <v>0</v>
      </c>
    </row>
    <row r="18" spans="2:17">
      <c r="B18" s="76" t="s">
        <v>94</v>
      </c>
      <c r="C18" s="41" t="s">
        <v>49</v>
      </c>
      <c r="D18" s="37" t="s">
        <v>47</v>
      </c>
      <c r="E18" s="34">
        <v>146</v>
      </c>
      <c r="F18" s="2">
        <f>-0.353</f>
        <v>-0.35299999999999998</v>
      </c>
      <c r="G18" s="2">
        <f>E18+F18</f>
        <v>145.64699999999999</v>
      </c>
      <c r="H18" s="2">
        <v>0</v>
      </c>
      <c r="I18" s="2">
        <f t="shared" si="1"/>
        <v>145.64699999999999</v>
      </c>
      <c r="J18" s="12">
        <f t="shared" si="2"/>
        <v>0</v>
      </c>
      <c r="K18" s="48" t="s">
        <v>48</v>
      </c>
      <c r="L18" s="2">
        <f t="shared" si="3"/>
        <v>146</v>
      </c>
      <c r="M18" s="2">
        <f t="shared" si="3"/>
        <v>-0.35299999999999998</v>
      </c>
      <c r="N18" s="2">
        <f t="shared" si="4"/>
        <v>145.64699999999999</v>
      </c>
      <c r="O18" s="2">
        <f t="shared" si="5"/>
        <v>0</v>
      </c>
      <c r="P18" s="2">
        <f t="shared" si="6"/>
        <v>145.64699999999999</v>
      </c>
      <c r="Q18" s="12">
        <f t="shared" si="7"/>
        <v>0</v>
      </c>
    </row>
    <row r="19" spans="2:17">
      <c r="B19" s="76"/>
      <c r="C19" s="41" t="s">
        <v>44</v>
      </c>
      <c r="D19" s="37" t="s">
        <v>47</v>
      </c>
      <c r="E19" s="34">
        <v>19</v>
      </c>
      <c r="F19" s="2"/>
      <c r="G19" s="2">
        <f>E19+F19</f>
        <v>19</v>
      </c>
      <c r="H19" s="2">
        <v>31.13</v>
      </c>
      <c r="I19" s="2">
        <f t="shared" si="1"/>
        <v>-12.129999999999999</v>
      </c>
      <c r="J19" s="12">
        <f t="shared" si="2"/>
        <v>1.638421052631579</v>
      </c>
      <c r="K19" s="48">
        <v>43845</v>
      </c>
      <c r="L19" s="2">
        <f t="shared" si="3"/>
        <v>19</v>
      </c>
      <c r="M19" s="2">
        <f t="shared" si="3"/>
        <v>0</v>
      </c>
      <c r="N19" s="2">
        <f t="shared" si="4"/>
        <v>19</v>
      </c>
      <c r="O19" s="2">
        <f t="shared" si="5"/>
        <v>31.13</v>
      </c>
      <c r="P19" s="2">
        <f t="shared" si="6"/>
        <v>-12.129999999999999</v>
      </c>
      <c r="Q19" s="12">
        <f t="shared" si="7"/>
        <v>1.638421052631579</v>
      </c>
    </row>
    <row r="20" spans="2:17">
      <c r="B20" s="76"/>
      <c r="C20" s="41" t="s">
        <v>90</v>
      </c>
      <c r="D20" s="37" t="s">
        <v>47</v>
      </c>
      <c r="E20" s="34">
        <v>17.100000000000001</v>
      </c>
      <c r="F20" s="2"/>
      <c r="G20" s="2">
        <f>E20</f>
        <v>17.100000000000001</v>
      </c>
      <c r="H20" s="2">
        <v>0</v>
      </c>
      <c r="I20" s="2">
        <f t="shared" si="1"/>
        <v>17.100000000000001</v>
      </c>
      <c r="J20" s="12">
        <f t="shared" si="2"/>
        <v>0</v>
      </c>
      <c r="K20" s="48" t="s">
        <v>48</v>
      </c>
      <c r="L20" s="2">
        <f t="shared" si="3"/>
        <v>17.100000000000001</v>
      </c>
      <c r="M20" s="2">
        <f t="shared" si="3"/>
        <v>0</v>
      </c>
      <c r="N20" s="2">
        <f t="shared" si="4"/>
        <v>17.100000000000001</v>
      </c>
      <c r="O20" s="2">
        <f t="shared" si="5"/>
        <v>0</v>
      </c>
      <c r="P20" s="2">
        <f t="shared" si="6"/>
        <v>17.100000000000001</v>
      </c>
      <c r="Q20" s="12">
        <f t="shared" si="7"/>
        <v>0</v>
      </c>
    </row>
    <row r="21" spans="2:17">
      <c r="B21" s="73" t="s">
        <v>53</v>
      </c>
      <c r="C21" s="74" t="s">
        <v>50</v>
      </c>
      <c r="D21" s="37" t="s">
        <v>74</v>
      </c>
      <c r="E21" s="34">
        <v>2.5</v>
      </c>
      <c r="F21" s="2"/>
      <c r="G21" s="2">
        <f>E21+F21</f>
        <v>2.5</v>
      </c>
      <c r="H21" s="2">
        <v>8.9</v>
      </c>
      <c r="I21" s="2">
        <f t="shared" si="1"/>
        <v>-6.4</v>
      </c>
      <c r="J21" s="12">
        <f>H21/G21</f>
        <v>3.56</v>
      </c>
      <c r="K21" s="49">
        <v>43843</v>
      </c>
      <c r="L21" s="72">
        <f>E21+E22+E23</f>
        <v>165</v>
      </c>
      <c r="M21" s="72">
        <f>F21+F22+F23</f>
        <v>0</v>
      </c>
      <c r="N21" s="72">
        <f>L21+M21</f>
        <v>165</v>
      </c>
      <c r="O21" s="72">
        <f>H21+H22+H23</f>
        <v>8.9</v>
      </c>
      <c r="P21" s="72">
        <f>N21-O21</f>
        <v>156.1</v>
      </c>
      <c r="Q21" s="71">
        <f>O21/N21</f>
        <v>5.393939393939394E-2</v>
      </c>
    </row>
    <row r="22" spans="2:17">
      <c r="B22" s="73"/>
      <c r="C22" s="74"/>
      <c r="D22" s="37" t="s">
        <v>89</v>
      </c>
      <c r="E22" s="34">
        <v>80</v>
      </c>
      <c r="F22" s="2"/>
      <c r="G22" s="2">
        <f>E22+F22+I21</f>
        <v>73.599999999999994</v>
      </c>
      <c r="H22" s="2">
        <v>0</v>
      </c>
      <c r="I22" s="2">
        <f>G22-H22</f>
        <v>73.599999999999994</v>
      </c>
      <c r="J22" s="12">
        <f>H22/G22</f>
        <v>0</v>
      </c>
      <c r="K22" s="48" t="s">
        <v>48</v>
      </c>
      <c r="L22" s="72"/>
      <c r="M22" s="72"/>
      <c r="N22" s="72"/>
      <c r="O22" s="72"/>
      <c r="P22" s="72"/>
      <c r="Q22" s="71"/>
    </row>
    <row r="23" spans="2:17">
      <c r="B23" s="73"/>
      <c r="C23" s="74"/>
      <c r="D23" s="37" t="s">
        <v>52</v>
      </c>
      <c r="E23" s="34">
        <v>82.5</v>
      </c>
      <c r="F23" s="2"/>
      <c r="G23" s="2">
        <f>E23+F23+I22</f>
        <v>156.1</v>
      </c>
      <c r="H23" s="2">
        <v>0</v>
      </c>
      <c r="I23" s="2">
        <f t="shared" si="1"/>
        <v>156.1</v>
      </c>
      <c r="J23" s="12">
        <f t="shared" si="2"/>
        <v>0</v>
      </c>
      <c r="K23" s="48" t="s">
        <v>48</v>
      </c>
      <c r="L23" s="72"/>
      <c r="M23" s="72"/>
      <c r="N23" s="72"/>
      <c r="O23" s="72"/>
      <c r="P23" s="72"/>
      <c r="Q23" s="71"/>
    </row>
    <row r="24" spans="2:17">
      <c r="B24" s="73"/>
      <c r="C24" s="41" t="s">
        <v>91</v>
      </c>
      <c r="D24" s="37" t="s">
        <v>47</v>
      </c>
      <c r="E24" s="34">
        <v>18.3</v>
      </c>
      <c r="F24" s="2"/>
      <c r="G24" s="2">
        <f>E24+F24</f>
        <v>18.3</v>
      </c>
      <c r="H24" s="2">
        <v>0.64</v>
      </c>
      <c r="I24" s="2">
        <f>G24-H24</f>
        <v>17.66</v>
      </c>
      <c r="J24" s="12">
        <f>H24/G24</f>
        <v>3.4972677595628415E-2</v>
      </c>
      <c r="K24" s="48" t="s">
        <v>48</v>
      </c>
      <c r="L24" s="2">
        <f>E24</f>
        <v>18.3</v>
      </c>
      <c r="M24" s="2">
        <f t="shared" ref="M24:Q24" si="8">F24</f>
        <v>0</v>
      </c>
      <c r="N24" s="2">
        <f t="shared" si="8"/>
        <v>18.3</v>
      </c>
      <c r="O24" s="2">
        <f t="shared" si="8"/>
        <v>0.64</v>
      </c>
      <c r="P24" s="2">
        <f t="shared" si="8"/>
        <v>17.66</v>
      </c>
      <c r="Q24" s="12">
        <f t="shared" si="8"/>
        <v>3.4972677595628415E-2</v>
      </c>
    </row>
    <row r="25" spans="2:17">
      <c r="B25" s="73"/>
      <c r="C25" s="74" t="s">
        <v>51</v>
      </c>
      <c r="D25" s="37" t="s">
        <v>45</v>
      </c>
      <c r="E25" s="34">
        <v>14.8</v>
      </c>
      <c r="F25" s="2"/>
      <c r="G25" s="2">
        <f>E25+F25</f>
        <v>14.8</v>
      </c>
      <c r="H25" s="2">
        <v>4.5869999999999997</v>
      </c>
      <c r="I25" s="2">
        <f t="shared" si="1"/>
        <v>10.213000000000001</v>
      </c>
      <c r="J25" s="12">
        <f t="shared" si="2"/>
        <v>0.3099324324324324</v>
      </c>
      <c r="K25" s="48" t="s">
        <v>48</v>
      </c>
      <c r="L25" s="72">
        <f>E25+E26</f>
        <v>29.6</v>
      </c>
      <c r="M25" s="72">
        <f>F25+F26</f>
        <v>0</v>
      </c>
      <c r="N25" s="72">
        <f>L25+M25</f>
        <v>29.6</v>
      </c>
      <c r="O25" s="72">
        <f>H25+H26</f>
        <v>4.5869999999999997</v>
      </c>
      <c r="P25" s="72">
        <f>N25-O25</f>
        <v>25.013000000000002</v>
      </c>
      <c r="Q25" s="71">
        <f>O25/N25</f>
        <v>0.1549662162162162</v>
      </c>
    </row>
    <row r="26" spans="2:17">
      <c r="B26" s="73"/>
      <c r="C26" s="74"/>
      <c r="D26" s="37" t="s">
        <v>46</v>
      </c>
      <c r="E26" s="34">
        <v>14.8</v>
      </c>
      <c r="F26" s="2"/>
      <c r="G26" s="2">
        <f>E26+F26+I25</f>
        <v>25.013000000000002</v>
      </c>
      <c r="H26" s="2">
        <v>0</v>
      </c>
      <c r="I26" s="2">
        <f t="shared" si="1"/>
        <v>25.013000000000002</v>
      </c>
      <c r="J26" s="12">
        <f t="shared" si="2"/>
        <v>0</v>
      </c>
      <c r="K26" s="48" t="s">
        <v>48</v>
      </c>
      <c r="L26" s="72"/>
      <c r="M26" s="72"/>
      <c r="N26" s="72"/>
      <c r="O26" s="72"/>
      <c r="P26" s="72"/>
      <c r="Q26" s="71"/>
    </row>
    <row r="27" spans="2:17">
      <c r="B27" s="73"/>
      <c r="C27" s="41" t="s">
        <v>92</v>
      </c>
      <c r="D27" s="37" t="s">
        <v>47</v>
      </c>
      <c r="E27" s="34">
        <v>3.3</v>
      </c>
      <c r="F27" s="2"/>
      <c r="G27" s="2">
        <f>E27</f>
        <v>3.3</v>
      </c>
      <c r="H27" s="2">
        <v>0</v>
      </c>
      <c r="I27" s="2">
        <f t="shared" si="1"/>
        <v>3.3</v>
      </c>
      <c r="J27" s="12">
        <f t="shared" si="2"/>
        <v>0</v>
      </c>
      <c r="K27" s="48" t="s">
        <v>48</v>
      </c>
      <c r="L27" s="2">
        <f>E27</f>
        <v>3.3</v>
      </c>
      <c r="M27" s="2">
        <f t="shared" ref="M27:Q27" si="9">F27</f>
        <v>0</v>
      </c>
      <c r="N27" s="2">
        <f t="shared" si="9"/>
        <v>3.3</v>
      </c>
      <c r="O27" s="2">
        <f t="shared" si="9"/>
        <v>0</v>
      </c>
      <c r="P27" s="2">
        <f t="shared" si="9"/>
        <v>3.3</v>
      </c>
      <c r="Q27" s="12">
        <f t="shared" si="9"/>
        <v>0</v>
      </c>
    </row>
    <row r="28" spans="2:17">
      <c r="B28" s="73" t="s">
        <v>144</v>
      </c>
      <c r="C28" s="74" t="s">
        <v>13</v>
      </c>
      <c r="D28" s="37" t="s">
        <v>54</v>
      </c>
      <c r="E28" s="34">
        <v>22.2</v>
      </c>
      <c r="F28" s="2"/>
      <c r="G28" s="2">
        <f>E28+F28</f>
        <v>22.2</v>
      </c>
      <c r="H28" s="2">
        <v>4.1459999999999999</v>
      </c>
      <c r="I28" s="2">
        <f t="shared" si="1"/>
        <v>18.053999999999998</v>
      </c>
      <c r="J28" s="12">
        <f t="shared" si="2"/>
        <v>0.18675675675675676</v>
      </c>
      <c r="K28" s="48" t="s">
        <v>48</v>
      </c>
      <c r="L28" s="72">
        <f>E28+E29+E30+E31+E32+E33+E34+E35+E36+E37+E38+E39</f>
        <v>266.39999999999992</v>
      </c>
      <c r="M28" s="72">
        <f>F28+F29+F30+F31+F32+F33+F34+F35+F36+F37+F38+F39</f>
        <v>0</v>
      </c>
      <c r="N28" s="72">
        <f>L28+M28</f>
        <v>266.39999999999992</v>
      </c>
      <c r="O28" s="72">
        <f>H28+H29+H30+H31+H32+H33+H34+H35+H36+H37+H38+H39</f>
        <v>4.1459999999999999</v>
      </c>
      <c r="P28" s="72">
        <f>N28-O28</f>
        <v>262.25399999999991</v>
      </c>
      <c r="Q28" s="71">
        <f>O28/N28</f>
        <v>1.5563063063063067E-2</v>
      </c>
    </row>
    <row r="29" spans="2:17">
      <c r="B29" s="73"/>
      <c r="C29" s="74"/>
      <c r="D29" s="37" t="s">
        <v>55</v>
      </c>
      <c r="E29" s="34">
        <v>22.2</v>
      </c>
      <c r="F29" s="2"/>
      <c r="G29" s="2">
        <f t="shared" ref="G29:G39" si="10">E29+F29+I28</f>
        <v>40.253999999999998</v>
      </c>
      <c r="H29" s="2">
        <v>0</v>
      </c>
      <c r="I29" s="2">
        <f t="shared" si="1"/>
        <v>40.253999999999998</v>
      </c>
      <c r="J29" s="12">
        <f t="shared" si="2"/>
        <v>0</v>
      </c>
      <c r="K29" s="48" t="s">
        <v>48</v>
      </c>
      <c r="L29" s="72"/>
      <c r="M29" s="72"/>
      <c r="N29" s="72"/>
      <c r="O29" s="72"/>
      <c r="P29" s="72"/>
      <c r="Q29" s="71"/>
    </row>
    <row r="30" spans="2:17">
      <c r="B30" s="73"/>
      <c r="C30" s="74"/>
      <c r="D30" s="37" t="s">
        <v>56</v>
      </c>
      <c r="E30" s="34">
        <v>22.2</v>
      </c>
      <c r="F30" s="2"/>
      <c r="G30" s="2">
        <f t="shared" si="10"/>
        <v>62.453999999999994</v>
      </c>
      <c r="H30" s="2">
        <v>0</v>
      </c>
      <c r="I30" s="2">
        <f t="shared" si="1"/>
        <v>62.453999999999994</v>
      </c>
      <c r="J30" s="12">
        <f t="shared" si="2"/>
        <v>0</v>
      </c>
      <c r="K30" s="48" t="s">
        <v>48</v>
      </c>
      <c r="L30" s="72"/>
      <c r="M30" s="72"/>
      <c r="N30" s="72"/>
      <c r="O30" s="72"/>
      <c r="P30" s="72"/>
      <c r="Q30" s="71"/>
    </row>
    <row r="31" spans="2:17">
      <c r="B31" s="73"/>
      <c r="C31" s="74"/>
      <c r="D31" s="37" t="s">
        <v>57</v>
      </c>
      <c r="E31" s="34">
        <v>22.2</v>
      </c>
      <c r="F31" s="2"/>
      <c r="G31" s="2">
        <f t="shared" si="10"/>
        <v>84.653999999999996</v>
      </c>
      <c r="H31" s="2">
        <v>0</v>
      </c>
      <c r="I31" s="2">
        <f t="shared" si="1"/>
        <v>84.653999999999996</v>
      </c>
      <c r="J31" s="12">
        <f t="shared" si="2"/>
        <v>0</v>
      </c>
      <c r="K31" s="48" t="s">
        <v>48</v>
      </c>
      <c r="L31" s="72"/>
      <c r="M31" s="72"/>
      <c r="N31" s="72"/>
      <c r="O31" s="72"/>
      <c r="P31" s="72"/>
      <c r="Q31" s="71"/>
    </row>
    <row r="32" spans="2:17">
      <c r="B32" s="73"/>
      <c r="C32" s="74"/>
      <c r="D32" s="37" t="s">
        <v>58</v>
      </c>
      <c r="E32" s="34">
        <v>22.2</v>
      </c>
      <c r="F32" s="2"/>
      <c r="G32" s="2">
        <f t="shared" si="10"/>
        <v>106.854</v>
      </c>
      <c r="H32" s="2">
        <v>0</v>
      </c>
      <c r="I32" s="2">
        <f t="shared" si="1"/>
        <v>106.854</v>
      </c>
      <c r="J32" s="12">
        <f t="shared" si="2"/>
        <v>0</v>
      </c>
      <c r="K32" s="48" t="s">
        <v>48</v>
      </c>
      <c r="L32" s="72"/>
      <c r="M32" s="72"/>
      <c r="N32" s="72"/>
      <c r="O32" s="72"/>
      <c r="P32" s="72"/>
      <c r="Q32" s="71"/>
    </row>
    <row r="33" spans="2:17">
      <c r="B33" s="73"/>
      <c r="C33" s="74"/>
      <c r="D33" s="37" t="s">
        <v>59</v>
      </c>
      <c r="E33" s="34">
        <v>22.2</v>
      </c>
      <c r="F33" s="2"/>
      <c r="G33" s="2">
        <f t="shared" si="10"/>
        <v>129.054</v>
      </c>
      <c r="H33" s="2">
        <v>0</v>
      </c>
      <c r="I33" s="2">
        <f t="shared" si="1"/>
        <v>129.054</v>
      </c>
      <c r="J33" s="12">
        <f t="shared" si="2"/>
        <v>0</v>
      </c>
      <c r="K33" s="48" t="s">
        <v>48</v>
      </c>
      <c r="L33" s="72"/>
      <c r="M33" s="72"/>
      <c r="N33" s="72"/>
      <c r="O33" s="72"/>
      <c r="P33" s="72"/>
      <c r="Q33" s="71"/>
    </row>
    <row r="34" spans="2:17">
      <c r="B34" s="73"/>
      <c r="C34" s="74"/>
      <c r="D34" s="37" t="s">
        <v>60</v>
      </c>
      <c r="E34" s="34">
        <v>22.2</v>
      </c>
      <c r="F34" s="2"/>
      <c r="G34" s="2">
        <f t="shared" si="10"/>
        <v>151.25399999999999</v>
      </c>
      <c r="H34" s="2">
        <v>0</v>
      </c>
      <c r="I34" s="2">
        <f t="shared" si="1"/>
        <v>151.25399999999999</v>
      </c>
      <c r="J34" s="12">
        <f t="shared" si="2"/>
        <v>0</v>
      </c>
      <c r="K34" s="48" t="s">
        <v>48</v>
      </c>
      <c r="L34" s="72"/>
      <c r="M34" s="72"/>
      <c r="N34" s="72"/>
      <c r="O34" s="72"/>
      <c r="P34" s="72"/>
      <c r="Q34" s="71"/>
    </row>
    <row r="35" spans="2:17">
      <c r="B35" s="73"/>
      <c r="C35" s="74"/>
      <c r="D35" s="37" t="s">
        <v>61</v>
      </c>
      <c r="E35" s="34">
        <v>22.2</v>
      </c>
      <c r="F35" s="2"/>
      <c r="G35" s="2">
        <f t="shared" si="10"/>
        <v>173.45399999999998</v>
      </c>
      <c r="H35" s="2">
        <v>0</v>
      </c>
      <c r="I35" s="2">
        <f t="shared" si="1"/>
        <v>173.45399999999998</v>
      </c>
      <c r="J35" s="12">
        <f t="shared" si="2"/>
        <v>0</v>
      </c>
      <c r="K35" s="48" t="s">
        <v>48</v>
      </c>
      <c r="L35" s="72"/>
      <c r="M35" s="72"/>
      <c r="N35" s="72"/>
      <c r="O35" s="72"/>
      <c r="P35" s="72"/>
      <c r="Q35" s="71"/>
    </row>
    <row r="36" spans="2:17">
      <c r="B36" s="73"/>
      <c r="C36" s="74"/>
      <c r="D36" s="37" t="s">
        <v>62</v>
      </c>
      <c r="E36" s="34">
        <v>22.2</v>
      </c>
      <c r="F36" s="2"/>
      <c r="G36" s="2">
        <f t="shared" si="10"/>
        <v>195.65399999999997</v>
      </c>
      <c r="H36" s="2">
        <v>0</v>
      </c>
      <c r="I36" s="2">
        <f t="shared" si="1"/>
        <v>195.65399999999997</v>
      </c>
      <c r="J36" s="12">
        <f t="shared" si="2"/>
        <v>0</v>
      </c>
      <c r="K36" s="48" t="s">
        <v>48</v>
      </c>
      <c r="L36" s="72"/>
      <c r="M36" s="72"/>
      <c r="N36" s="72"/>
      <c r="O36" s="72"/>
      <c r="P36" s="72"/>
      <c r="Q36" s="71"/>
    </row>
    <row r="37" spans="2:17">
      <c r="B37" s="73"/>
      <c r="C37" s="74"/>
      <c r="D37" s="37" t="s">
        <v>63</v>
      </c>
      <c r="E37" s="34">
        <v>22.2</v>
      </c>
      <c r="F37" s="2"/>
      <c r="G37" s="2">
        <f t="shared" si="10"/>
        <v>217.85399999999996</v>
      </c>
      <c r="H37" s="2">
        <v>0</v>
      </c>
      <c r="I37" s="2">
        <f t="shared" si="1"/>
        <v>217.85399999999996</v>
      </c>
      <c r="J37" s="12">
        <f t="shared" si="2"/>
        <v>0</v>
      </c>
      <c r="K37" s="48" t="s">
        <v>48</v>
      </c>
      <c r="L37" s="72"/>
      <c r="M37" s="72"/>
      <c r="N37" s="72"/>
      <c r="O37" s="72"/>
      <c r="P37" s="72"/>
      <c r="Q37" s="71"/>
    </row>
    <row r="38" spans="2:17">
      <c r="B38" s="73"/>
      <c r="C38" s="74"/>
      <c r="D38" s="37" t="s">
        <v>64</v>
      </c>
      <c r="E38" s="34">
        <v>22.2</v>
      </c>
      <c r="F38" s="2"/>
      <c r="G38" s="2">
        <f t="shared" si="10"/>
        <v>240.05399999999995</v>
      </c>
      <c r="H38" s="2">
        <v>0</v>
      </c>
      <c r="I38" s="2">
        <f t="shared" si="1"/>
        <v>240.05399999999995</v>
      </c>
      <c r="J38" s="12">
        <f t="shared" si="2"/>
        <v>0</v>
      </c>
      <c r="K38" s="48" t="s">
        <v>48</v>
      </c>
      <c r="L38" s="72"/>
      <c r="M38" s="72"/>
      <c r="N38" s="72"/>
      <c r="O38" s="72"/>
      <c r="P38" s="72"/>
      <c r="Q38" s="71"/>
    </row>
    <row r="39" spans="2:17">
      <c r="B39" s="73"/>
      <c r="C39" s="74"/>
      <c r="D39" s="37" t="s">
        <v>65</v>
      </c>
      <c r="E39" s="34">
        <v>22.2</v>
      </c>
      <c r="F39" s="2"/>
      <c r="G39" s="2">
        <f t="shared" si="10"/>
        <v>262.25399999999996</v>
      </c>
      <c r="H39" s="2">
        <v>0</v>
      </c>
      <c r="I39" s="2">
        <f t="shared" si="1"/>
        <v>262.25399999999996</v>
      </c>
      <c r="J39" s="12">
        <f t="shared" si="2"/>
        <v>0</v>
      </c>
      <c r="K39" s="48" t="s">
        <v>48</v>
      </c>
      <c r="L39" s="72"/>
      <c r="M39" s="72"/>
      <c r="N39" s="72"/>
      <c r="O39" s="72"/>
      <c r="P39" s="72"/>
      <c r="Q39" s="71"/>
    </row>
    <row r="40" spans="2:17">
      <c r="B40" s="73"/>
      <c r="C40" s="41" t="s">
        <v>23</v>
      </c>
      <c r="D40" s="37" t="s">
        <v>47</v>
      </c>
      <c r="E40" s="34">
        <v>29.7</v>
      </c>
      <c r="F40" s="2"/>
      <c r="G40" s="2">
        <f>E40</f>
        <v>29.7</v>
      </c>
      <c r="H40" s="2">
        <v>0</v>
      </c>
      <c r="I40" s="2">
        <f>G40-H40</f>
        <v>29.7</v>
      </c>
      <c r="J40" s="12">
        <f t="shared" si="2"/>
        <v>0</v>
      </c>
      <c r="K40" s="48" t="s">
        <v>48</v>
      </c>
      <c r="L40" s="2">
        <f>E40</f>
        <v>29.7</v>
      </c>
      <c r="M40" s="2">
        <f t="shared" ref="M40:P40" si="11">F40</f>
        <v>0</v>
      </c>
      <c r="N40" s="2">
        <f t="shared" si="11"/>
        <v>29.7</v>
      </c>
      <c r="O40" s="2">
        <f t="shared" si="11"/>
        <v>0</v>
      </c>
      <c r="P40" s="2">
        <f t="shared" si="11"/>
        <v>29.7</v>
      </c>
      <c r="Q40" s="12">
        <f>J40</f>
        <v>0</v>
      </c>
    </row>
    <row r="41" spans="2:17">
      <c r="B41" s="75" t="s">
        <v>20</v>
      </c>
      <c r="C41" s="75"/>
      <c r="D41" s="37" t="s">
        <v>47</v>
      </c>
      <c r="E41" s="2">
        <f>SUM(E6:E40)</f>
        <v>951.00000000000045</v>
      </c>
      <c r="F41" s="2">
        <f>SUM(F6:F40)</f>
        <v>-11.923</v>
      </c>
      <c r="G41" s="2">
        <f>E41+F41</f>
        <v>939.07700000000045</v>
      </c>
      <c r="H41" s="2">
        <f>SUM(H6:H40)</f>
        <v>136.92299999999997</v>
      </c>
      <c r="I41" s="2">
        <f>G41-H41</f>
        <v>802.15400000000045</v>
      </c>
      <c r="J41" s="12">
        <f>H41/G41</f>
        <v>0.14580593497657796</v>
      </c>
      <c r="K41" s="48" t="s">
        <v>48</v>
      </c>
      <c r="L41" s="2">
        <f>SUM(L6:L40)</f>
        <v>951</v>
      </c>
      <c r="M41" s="2">
        <f>SUM(M6:M40)</f>
        <v>-11.923</v>
      </c>
      <c r="N41" s="2">
        <f>L41+M41</f>
        <v>939.077</v>
      </c>
      <c r="O41" s="2">
        <f>SUM(O6:O40)</f>
        <v>136.92299999999997</v>
      </c>
      <c r="P41" s="2">
        <f>N41-O41</f>
        <v>802.154</v>
      </c>
      <c r="Q41" s="12">
        <f>O41/N41</f>
        <v>0.14580593497657804</v>
      </c>
    </row>
  </sheetData>
  <mergeCells count="28">
    <mergeCell ref="B41:C41"/>
    <mergeCell ref="B18:B20"/>
    <mergeCell ref="B6:B17"/>
    <mergeCell ref="L21:L23"/>
    <mergeCell ref="L25:L26"/>
    <mergeCell ref="L28:L39"/>
    <mergeCell ref="M28:M39"/>
    <mergeCell ref="B21:B27"/>
    <mergeCell ref="C21:C23"/>
    <mergeCell ref="C25:C26"/>
    <mergeCell ref="C28:C39"/>
    <mergeCell ref="B28:B40"/>
    <mergeCell ref="B2:Q2"/>
    <mergeCell ref="B3:Q3"/>
    <mergeCell ref="Q21:Q23"/>
    <mergeCell ref="Q25:Q26"/>
    <mergeCell ref="Q28:Q39"/>
    <mergeCell ref="M25:M26"/>
    <mergeCell ref="N25:N26"/>
    <mergeCell ref="O25:O26"/>
    <mergeCell ref="P25:P26"/>
    <mergeCell ref="N28:N39"/>
    <mergeCell ref="O28:O39"/>
    <mergeCell ref="P28:P39"/>
    <mergeCell ref="M21:M23"/>
    <mergeCell ref="N21:N23"/>
    <mergeCell ref="O21:O23"/>
    <mergeCell ref="P21:P23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P42"/>
  <sheetViews>
    <sheetView showGridLines="0" workbookViewId="0">
      <selection activeCell="H41" activeCellId="2" sqref="H22 H41 H41"/>
    </sheetView>
  </sheetViews>
  <sheetFormatPr baseColWidth="10" defaultRowHeight="12"/>
  <cols>
    <col min="1" max="1" width="11.42578125" style="1"/>
    <col min="2" max="2" width="18.85546875" style="1" bestFit="1" customWidth="1"/>
    <col min="3" max="3" width="21.42578125" style="1" bestFit="1" customWidth="1"/>
    <col min="4" max="4" width="8" style="1" bestFit="1" customWidth="1"/>
    <col min="5" max="5" width="20.28515625" style="1" bestFit="1" customWidth="1"/>
    <col min="6" max="6" width="16.85546875" style="1" bestFit="1" customWidth="1"/>
    <col min="7" max="7" width="19.140625" style="1" bestFit="1" customWidth="1"/>
    <col min="8" max="8" width="13.28515625" style="1" bestFit="1" customWidth="1"/>
    <col min="9" max="9" width="11.28515625" style="1" bestFit="1" customWidth="1"/>
    <col min="10" max="10" width="12.7109375" style="1" bestFit="1" customWidth="1"/>
    <col min="11" max="11" width="20.28515625" style="1" bestFit="1" customWidth="1"/>
    <col min="12" max="12" width="16.85546875" style="1" bestFit="1" customWidth="1"/>
    <col min="13" max="13" width="19.140625" style="1" bestFit="1" customWidth="1"/>
    <col min="14" max="14" width="13.28515625" style="1" bestFit="1" customWidth="1"/>
    <col min="15" max="15" width="11.28515625" style="1" bestFit="1" customWidth="1"/>
    <col min="16" max="16" width="11.140625" style="1" bestFit="1" customWidth="1"/>
    <col min="17" max="16384" width="11.42578125" style="1"/>
  </cols>
  <sheetData>
    <row r="2" spans="2:16">
      <c r="B2" s="86" t="s">
        <v>96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8"/>
    </row>
    <row r="3" spans="2:16">
      <c r="B3" s="89">
        <f>RESUMEN!B3</f>
        <v>43872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1"/>
    </row>
    <row r="5" spans="2:16">
      <c r="B5" s="35" t="s">
        <v>66</v>
      </c>
      <c r="C5" s="35" t="s">
        <v>67</v>
      </c>
      <c r="D5" s="35" t="s">
        <v>31</v>
      </c>
      <c r="E5" s="35" t="s">
        <v>2</v>
      </c>
      <c r="F5" s="35" t="s">
        <v>3</v>
      </c>
      <c r="G5" s="35" t="s">
        <v>4</v>
      </c>
      <c r="H5" s="35" t="s">
        <v>5</v>
      </c>
      <c r="I5" s="35" t="s">
        <v>6</v>
      </c>
      <c r="J5" s="36" t="s">
        <v>7</v>
      </c>
      <c r="K5" s="35" t="s">
        <v>2</v>
      </c>
      <c r="L5" s="35" t="s">
        <v>3</v>
      </c>
      <c r="M5" s="35" t="s">
        <v>4</v>
      </c>
      <c r="N5" s="35" t="s">
        <v>5</v>
      </c>
      <c r="O5" s="35" t="s">
        <v>6</v>
      </c>
      <c r="P5" s="35" t="s">
        <v>33</v>
      </c>
    </row>
    <row r="6" spans="2:16">
      <c r="B6" s="83" t="s">
        <v>142</v>
      </c>
      <c r="C6" s="81" t="s">
        <v>68</v>
      </c>
      <c r="D6" s="37" t="s">
        <v>74</v>
      </c>
      <c r="E6" s="2">
        <f>6.448+3.8125</f>
        <v>10.2605</v>
      </c>
      <c r="F6" s="2"/>
      <c r="G6" s="2">
        <f>E6+F6</f>
        <v>10.2605</v>
      </c>
      <c r="H6" s="2"/>
      <c r="I6" s="2">
        <f>G6-H6</f>
        <v>10.2605</v>
      </c>
      <c r="J6" s="12">
        <f>H6/G6</f>
        <v>0</v>
      </c>
      <c r="K6" s="77">
        <f>E6+E7</f>
        <v>20.554500000000001</v>
      </c>
      <c r="L6" s="77">
        <f>F6+F7</f>
        <v>0</v>
      </c>
      <c r="M6" s="77">
        <f>K6+L6</f>
        <v>20.554500000000001</v>
      </c>
      <c r="N6" s="77">
        <f>H6+H7</f>
        <v>0</v>
      </c>
      <c r="O6" s="77">
        <f>M6-N6</f>
        <v>20.554500000000001</v>
      </c>
      <c r="P6" s="79">
        <f>N6/M6</f>
        <v>0</v>
      </c>
    </row>
    <row r="7" spans="2:16">
      <c r="B7" s="84"/>
      <c r="C7" s="82"/>
      <c r="D7" s="37" t="s">
        <v>75</v>
      </c>
      <c r="E7" s="2">
        <f>6.469+3.825</f>
        <v>10.294</v>
      </c>
      <c r="F7" s="2"/>
      <c r="G7" s="2">
        <f>E7+F7+I6</f>
        <v>20.554500000000001</v>
      </c>
      <c r="H7" s="2"/>
      <c r="I7" s="2">
        <f t="shared" ref="I7:I21" si="0">G7-H7</f>
        <v>20.554500000000001</v>
      </c>
      <c r="J7" s="12">
        <f t="shared" ref="J7:J22" si="1">H7/G7</f>
        <v>0</v>
      </c>
      <c r="K7" s="78"/>
      <c r="L7" s="78"/>
      <c r="M7" s="78"/>
      <c r="N7" s="78"/>
      <c r="O7" s="78"/>
      <c r="P7" s="80"/>
    </row>
    <row r="8" spans="2:16">
      <c r="B8" s="84"/>
      <c r="C8" s="81" t="s">
        <v>69</v>
      </c>
      <c r="D8" s="37" t="s">
        <v>74</v>
      </c>
      <c r="E8" s="2">
        <v>23.66</v>
      </c>
      <c r="F8" s="2"/>
      <c r="G8" s="2">
        <f>E8+F8</f>
        <v>23.66</v>
      </c>
      <c r="H8" s="2">
        <v>4.2000000000000003E-2</v>
      </c>
      <c r="I8" s="2">
        <f t="shared" si="0"/>
        <v>23.617999999999999</v>
      </c>
      <c r="J8" s="12">
        <f t="shared" si="1"/>
        <v>1.775147928994083E-3</v>
      </c>
      <c r="K8" s="77">
        <f t="shared" ref="K8" si="2">E8+E9</f>
        <v>47.397999999999996</v>
      </c>
      <c r="L8" s="77">
        <f t="shared" ref="L8" si="3">F8+F9</f>
        <v>0</v>
      </c>
      <c r="M8" s="77">
        <f t="shared" ref="M8" si="4">K8+L8</f>
        <v>47.397999999999996</v>
      </c>
      <c r="N8" s="77">
        <f t="shared" ref="N8" si="5">H8+H9</f>
        <v>4.2000000000000003E-2</v>
      </c>
      <c r="O8" s="77">
        <f t="shared" ref="O8" si="6">M8-N8</f>
        <v>47.355999999999995</v>
      </c>
      <c r="P8" s="79">
        <f t="shared" ref="P8" si="7">N8/M8</f>
        <v>8.8611333811553243E-4</v>
      </c>
    </row>
    <row r="9" spans="2:16">
      <c r="B9" s="84"/>
      <c r="C9" s="82"/>
      <c r="D9" s="37" t="s">
        <v>75</v>
      </c>
      <c r="E9" s="2">
        <v>23.738</v>
      </c>
      <c r="F9" s="2"/>
      <c r="G9" s="2">
        <f>E9+F9+I8</f>
        <v>47.355999999999995</v>
      </c>
      <c r="H9" s="2"/>
      <c r="I9" s="2">
        <f t="shared" si="0"/>
        <v>47.355999999999995</v>
      </c>
      <c r="J9" s="12">
        <f t="shared" si="1"/>
        <v>0</v>
      </c>
      <c r="K9" s="78"/>
      <c r="L9" s="78"/>
      <c r="M9" s="78"/>
      <c r="N9" s="78"/>
      <c r="O9" s="78"/>
      <c r="P9" s="80"/>
    </row>
    <row r="10" spans="2:16">
      <c r="B10" s="84"/>
      <c r="C10" s="81" t="s">
        <v>70</v>
      </c>
      <c r="D10" s="37" t="s">
        <v>74</v>
      </c>
      <c r="E10" s="2">
        <v>200.72800000000001</v>
      </c>
      <c r="F10" s="2"/>
      <c r="G10" s="2">
        <f>E10+F10</f>
        <v>200.72800000000001</v>
      </c>
      <c r="H10" s="2">
        <v>1.014</v>
      </c>
      <c r="I10" s="2">
        <f t="shared" si="0"/>
        <v>199.714</v>
      </c>
      <c r="J10" s="12">
        <f t="shared" si="1"/>
        <v>5.0516121318401018E-3</v>
      </c>
      <c r="K10" s="77">
        <f>E10+E11</f>
        <v>402.11400000000003</v>
      </c>
      <c r="L10" s="77">
        <f t="shared" ref="L10" si="8">F10+F11</f>
        <v>0</v>
      </c>
      <c r="M10" s="77">
        <f t="shared" ref="M10" si="9">K10+L10</f>
        <v>402.11400000000003</v>
      </c>
      <c r="N10" s="77">
        <f t="shared" ref="N10" si="10">H10+H11</f>
        <v>1.014</v>
      </c>
      <c r="O10" s="77">
        <f t="shared" ref="O10" si="11">M10-N10</f>
        <v>401.1</v>
      </c>
      <c r="P10" s="79">
        <f t="shared" ref="P10" si="12">N10/M10</f>
        <v>2.5216729584147776E-3</v>
      </c>
    </row>
    <row r="11" spans="2:16">
      <c r="B11" s="84"/>
      <c r="C11" s="82"/>
      <c r="D11" s="37" t="s">
        <v>75</v>
      </c>
      <c r="E11" s="2">
        <v>201.386</v>
      </c>
      <c r="F11" s="2"/>
      <c r="G11" s="2">
        <f>E11+F11+I10</f>
        <v>401.1</v>
      </c>
      <c r="H11" s="2"/>
      <c r="I11" s="2">
        <f t="shared" si="0"/>
        <v>401.1</v>
      </c>
      <c r="J11" s="12">
        <f t="shared" si="1"/>
        <v>0</v>
      </c>
      <c r="K11" s="78"/>
      <c r="L11" s="78"/>
      <c r="M11" s="78"/>
      <c r="N11" s="78"/>
      <c r="O11" s="78"/>
      <c r="P11" s="80"/>
    </row>
    <row r="12" spans="2:16">
      <c r="B12" s="84"/>
      <c r="C12" s="81" t="s">
        <v>71</v>
      </c>
      <c r="D12" s="37" t="s">
        <v>74</v>
      </c>
      <c r="E12" s="2">
        <f>0.687+3.8125</f>
        <v>4.4995000000000003</v>
      </c>
      <c r="F12" s="2"/>
      <c r="G12" s="2">
        <f>E12+F12</f>
        <v>4.4995000000000003</v>
      </c>
      <c r="H12" s="2"/>
      <c r="I12" s="2">
        <f t="shared" si="0"/>
        <v>4.4995000000000003</v>
      </c>
      <c r="J12" s="12">
        <f t="shared" si="1"/>
        <v>0</v>
      </c>
      <c r="K12" s="77">
        <f>E12+E13</f>
        <v>9.0135000000000005</v>
      </c>
      <c r="L12" s="77">
        <f t="shared" ref="L12" si="13">F12+F13</f>
        <v>0</v>
      </c>
      <c r="M12" s="77">
        <f t="shared" ref="M12" si="14">K12+L12</f>
        <v>9.0135000000000005</v>
      </c>
      <c r="N12" s="77">
        <f t="shared" ref="N12" si="15">H12+H13</f>
        <v>0</v>
      </c>
      <c r="O12" s="77">
        <f t="shared" ref="O12" si="16">M12-N12</f>
        <v>9.0135000000000005</v>
      </c>
      <c r="P12" s="79">
        <f t="shared" ref="P12" si="17">N12/M12</f>
        <v>0</v>
      </c>
    </row>
    <row r="13" spans="2:16">
      <c r="B13" s="84"/>
      <c r="C13" s="82"/>
      <c r="D13" s="37" t="s">
        <v>75</v>
      </c>
      <c r="E13" s="2">
        <f>0.689+3.825</f>
        <v>4.5140000000000002</v>
      </c>
      <c r="F13" s="2"/>
      <c r="G13" s="2">
        <f>E13+F13+I12</f>
        <v>9.0135000000000005</v>
      </c>
      <c r="H13" s="2"/>
      <c r="I13" s="2">
        <f t="shared" si="0"/>
        <v>9.0135000000000005</v>
      </c>
      <c r="J13" s="12">
        <f t="shared" si="1"/>
        <v>0</v>
      </c>
      <c r="K13" s="78"/>
      <c r="L13" s="78"/>
      <c r="M13" s="78"/>
      <c r="N13" s="78"/>
      <c r="O13" s="78"/>
      <c r="P13" s="80"/>
    </row>
    <row r="14" spans="2:16">
      <c r="B14" s="84"/>
      <c r="C14" s="81" t="s">
        <v>72</v>
      </c>
      <c r="D14" s="37" t="s">
        <v>74</v>
      </c>
      <c r="E14" s="2">
        <v>42.948999999999998</v>
      </c>
      <c r="F14" s="2"/>
      <c r="G14" s="2">
        <f>E14+F14</f>
        <v>42.948999999999998</v>
      </c>
      <c r="H14" s="2">
        <v>2.5870000000000002</v>
      </c>
      <c r="I14" s="2">
        <f t="shared" si="0"/>
        <v>40.361999999999995</v>
      </c>
      <c r="J14" s="12">
        <f t="shared" si="1"/>
        <v>6.0234231297585518E-2</v>
      </c>
      <c r="K14" s="77">
        <f t="shared" ref="K14" si="18">E14+E15</f>
        <v>86.039000000000001</v>
      </c>
      <c r="L14" s="77">
        <f t="shared" ref="L14" si="19">F14+F15</f>
        <v>0</v>
      </c>
      <c r="M14" s="77">
        <f t="shared" ref="M14" si="20">K14+L14</f>
        <v>86.039000000000001</v>
      </c>
      <c r="N14" s="77">
        <f t="shared" ref="N14" si="21">H14+H15</f>
        <v>2.5870000000000002</v>
      </c>
      <c r="O14" s="77">
        <f t="shared" ref="O14" si="22">M14-N14</f>
        <v>83.451999999999998</v>
      </c>
      <c r="P14" s="79">
        <f t="shared" ref="P14" si="23">N14/M14</f>
        <v>3.0067759969316241E-2</v>
      </c>
    </row>
    <row r="15" spans="2:16">
      <c r="B15" s="84"/>
      <c r="C15" s="82"/>
      <c r="D15" s="37" t="s">
        <v>75</v>
      </c>
      <c r="E15" s="2">
        <v>43.09</v>
      </c>
      <c r="F15" s="2"/>
      <c r="G15" s="2">
        <f>E15+F15+I14</f>
        <v>83.451999999999998</v>
      </c>
      <c r="H15" s="2"/>
      <c r="I15" s="2">
        <f t="shared" si="0"/>
        <v>83.451999999999998</v>
      </c>
      <c r="J15" s="12">
        <f t="shared" si="1"/>
        <v>0</v>
      </c>
      <c r="K15" s="78"/>
      <c r="L15" s="78"/>
      <c r="M15" s="78"/>
      <c r="N15" s="78"/>
      <c r="O15" s="78"/>
      <c r="P15" s="80"/>
    </row>
    <row r="16" spans="2:16">
      <c r="B16" s="84"/>
      <c r="C16" s="81" t="s">
        <v>73</v>
      </c>
      <c r="D16" s="37" t="s">
        <v>74</v>
      </c>
      <c r="E16" s="2">
        <v>2.7E-2</v>
      </c>
      <c r="F16" s="2"/>
      <c r="G16" s="2">
        <f>E16+F16</f>
        <v>2.7E-2</v>
      </c>
      <c r="H16" s="2"/>
      <c r="I16" s="2">
        <f t="shared" si="0"/>
        <v>2.7E-2</v>
      </c>
      <c r="J16" s="12">
        <f t="shared" si="1"/>
        <v>0</v>
      </c>
      <c r="K16" s="77">
        <f t="shared" ref="K16" si="24">E16+E17</f>
        <v>5.5E-2</v>
      </c>
      <c r="L16" s="77">
        <f t="shared" ref="L16" si="25">F16+F17</f>
        <v>0</v>
      </c>
      <c r="M16" s="77">
        <f t="shared" ref="M16" si="26">K16+L16</f>
        <v>5.5E-2</v>
      </c>
      <c r="N16" s="77">
        <f t="shared" ref="N16" si="27">H16+H17</f>
        <v>0</v>
      </c>
      <c r="O16" s="77">
        <f t="shared" ref="O16" si="28">M16-N16</f>
        <v>5.5E-2</v>
      </c>
      <c r="P16" s="79">
        <f t="shared" ref="P16" si="29">N16/M16</f>
        <v>0</v>
      </c>
    </row>
    <row r="17" spans="2:16">
      <c r="B17" s="84"/>
      <c r="C17" s="82"/>
      <c r="D17" s="37" t="s">
        <v>75</v>
      </c>
      <c r="E17" s="2">
        <v>2.8000000000000001E-2</v>
      </c>
      <c r="F17" s="2"/>
      <c r="G17" s="2">
        <f>E17+F17+I16</f>
        <v>5.5E-2</v>
      </c>
      <c r="H17" s="2"/>
      <c r="I17" s="2">
        <f t="shared" si="0"/>
        <v>5.5E-2</v>
      </c>
      <c r="J17" s="12">
        <f t="shared" si="1"/>
        <v>0</v>
      </c>
      <c r="K17" s="78"/>
      <c r="L17" s="78"/>
      <c r="M17" s="78"/>
      <c r="N17" s="78"/>
      <c r="O17" s="78"/>
      <c r="P17" s="80"/>
    </row>
    <row r="18" spans="2:16">
      <c r="B18" s="84"/>
      <c r="C18" s="81" t="s">
        <v>76</v>
      </c>
      <c r="D18" s="37" t="s">
        <v>74</v>
      </c>
      <c r="E18" s="2">
        <f>1.9063+1.9063+1.9063</f>
        <v>5.7189000000000005</v>
      </c>
      <c r="F18" s="2"/>
      <c r="G18" s="2">
        <f>E18+F18</f>
        <v>5.7189000000000005</v>
      </c>
      <c r="H18" s="2"/>
      <c r="I18" s="2">
        <f t="shared" si="0"/>
        <v>5.7189000000000005</v>
      </c>
      <c r="J18" s="12">
        <f t="shared" si="1"/>
        <v>0</v>
      </c>
      <c r="K18" s="77">
        <f t="shared" ref="K18" si="30">E18+E19</f>
        <v>11.456400000000002</v>
      </c>
      <c r="L18" s="77">
        <f t="shared" ref="L18" si="31">F18+F19</f>
        <v>0</v>
      </c>
      <c r="M18" s="77">
        <f t="shared" ref="M18" si="32">K18+L18</f>
        <v>11.456400000000002</v>
      </c>
      <c r="N18" s="77">
        <f t="shared" ref="N18" si="33">H18+H19</f>
        <v>0</v>
      </c>
      <c r="O18" s="77">
        <f t="shared" ref="O18" si="34">M18-N18</f>
        <v>11.456400000000002</v>
      </c>
      <c r="P18" s="79">
        <f t="shared" ref="P18" si="35">N18/M18</f>
        <v>0</v>
      </c>
    </row>
    <row r="19" spans="2:16">
      <c r="B19" s="84"/>
      <c r="C19" s="82"/>
      <c r="D19" s="37" t="s">
        <v>75</v>
      </c>
      <c r="E19" s="2">
        <f>1.9125+1.9125+1.9125</f>
        <v>5.7375000000000007</v>
      </c>
      <c r="F19" s="2"/>
      <c r="G19" s="2">
        <f>E19+F19+I18</f>
        <v>11.456400000000002</v>
      </c>
      <c r="H19" s="2"/>
      <c r="I19" s="2">
        <f t="shared" si="0"/>
        <v>11.456400000000002</v>
      </c>
      <c r="J19" s="12">
        <f t="shared" si="1"/>
        <v>0</v>
      </c>
      <c r="K19" s="78"/>
      <c r="L19" s="78"/>
      <c r="M19" s="78"/>
      <c r="N19" s="78"/>
      <c r="O19" s="78"/>
      <c r="P19" s="80"/>
    </row>
    <row r="20" spans="2:16">
      <c r="B20" s="84"/>
      <c r="C20" s="81" t="s">
        <v>77</v>
      </c>
      <c r="D20" s="37" t="s">
        <v>74</v>
      </c>
      <c r="E20" s="2">
        <v>1.9063000000000001</v>
      </c>
      <c r="F20" s="2"/>
      <c r="G20" s="2">
        <f>E20+F20</f>
        <v>1.9063000000000001</v>
      </c>
      <c r="H20" s="2"/>
      <c r="I20" s="2">
        <f t="shared" si="0"/>
        <v>1.9063000000000001</v>
      </c>
      <c r="J20" s="12">
        <f t="shared" si="1"/>
        <v>0</v>
      </c>
      <c r="K20" s="77">
        <f t="shared" ref="K20" si="36">E20+E21</f>
        <v>3.8188000000000004</v>
      </c>
      <c r="L20" s="77">
        <f t="shared" ref="L20" si="37">F20+F21</f>
        <v>0</v>
      </c>
      <c r="M20" s="77">
        <f t="shared" ref="M20" si="38">K20+L20</f>
        <v>3.8188000000000004</v>
      </c>
      <c r="N20" s="77">
        <f t="shared" ref="N20" si="39">H20+H21</f>
        <v>0</v>
      </c>
      <c r="O20" s="77">
        <f t="shared" ref="O20" si="40">M20-N20</f>
        <v>3.8188000000000004</v>
      </c>
      <c r="P20" s="79">
        <f t="shared" ref="P20" si="41">N20/M20</f>
        <v>0</v>
      </c>
    </row>
    <row r="21" spans="2:16">
      <c r="B21" s="84"/>
      <c r="C21" s="82"/>
      <c r="D21" s="37" t="s">
        <v>75</v>
      </c>
      <c r="E21" s="2">
        <v>1.9125000000000001</v>
      </c>
      <c r="F21" s="2"/>
      <c r="G21" s="2">
        <f>E21+F21+I20</f>
        <v>3.8188000000000004</v>
      </c>
      <c r="H21" s="2"/>
      <c r="I21" s="2">
        <f t="shared" si="0"/>
        <v>3.8188000000000004</v>
      </c>
      <c r="J21" s="12">
        <f t="shared" si="1"/>
        <v>0</v>
      </c>
      <c r="K21" s="78"/>
      <c r="L21" s="78"/>
      <c r="M21" s="78"/>
      <c r="N21" s="78"/>
      <c r="O21" s="78"/>
      <c r="P21" s="80"/>
    </row>
    <row r="22" spans="2:16">
      <c r="B22" s="85"/>
      <c r="C22" s="38" t="s">
        <v>78</v>
      </c>
      <c r="D22" s="37" t="s">
        <v>47</v>
      </c>
      <c r="E22" s="2">
        <f>SUM(E6:E21)</f>
        <v>580.44920000000002</v>
      </c>
      <c r="F22" s="2">
        <f>SUM(F6:F21)</f>
        <v>0</v>
      </c>
      <c r="G22" s="2">
        <f>E22+F22</f>
        <v>580.44920000000002</v>
      </c>
      <c r="H22" s="2">
        <f>SUM(H6:H21)</f>
        <v>3.6430000000000002</v>
      </c>
      <c r="I22" s="2">
        <f>G22-H22</f>
        <v>576.80619999999999</v>
      </c>
      <c r="J22" s="12">
        <f t="shared" si="1"/>
        <v>6.2761736944421664E-3</v>
      </c>
      <c r="K22" s="2">
        <f>SUM(K6:K21)</f>
        <v>580.44920000000002</v>
      </c>
      <c r="L22" s="2">
        <f>SUM(L6:L21)</f>
        <v>0</v>
      </c>
      <c r="M22" s="2">
        <f>K22+L22</f>
        <v>580.44920000000002</v>
      </c>
      <c r="N22" s="2">
        <f>SUM(N6:N21)</f>
        <v>3.6430000000000002</v>
      </c>
      <c r="O22" s="2">
        <f>M22-N22</f>
        <v>576.80619999999999</v>
      </c>
      <c r="P22" s="12">
        <f>N22/M22</f>
        <v>6.2761736944421664E-3</v>
      </c>
    </row>
    <row r="23" spans="2:16">
      <c r="D23" s="3"/>
    </row>
    <row r="24" spans="2:16">
      <c r="D24" s="3"/>
    </row>
    <row r="25" spans="2:16">
      <c r="D25" s="3"/>
    </row>
    <row r="26" spans="2:16">
      <c r="B26" s="35" t="s">
        <v>66</v>
      </c>
      <c r="C26" s="35" t="s">
        <v>67</v>
      </c>
      <c r="D26" s="35" t="s">
        <v>31</v>
      </c>
      <c r="E26" s="35" t="s">
        <v>2</v>
      </c>
      <c r="F26" s="35" t="s">
        <v>3</v>
      </c>
      <c r="G26" s="35" t="s">
        <v>4</v>
      </c>
      <c r="H26" s="35" t="s">
        <v>5</v>
      </c>
      <c r="I26" s="35" t="s">
        <v>6</v>
      </c>
      <c r="J26" s="36" t="s">
        <v>7</v>
      </c>
      <c r="K26" s="35" t="s">
        <v>2</v>
      </c>
      <c r="L26" s="35" t="s">
        <v>3</v>
      </c>
      <c r="M26" s="35" t="s">
        <v>4</v>
      </c>
      <c r="N26" s="35" t="s">
        <v>5</v>
      </c>
      <c r="O26" s="35" t="s">
        <v>6</v>
      </c>
      <c r="P26" s="35" t="s">
        <v>33</v>
      </c>
    </row>
    <row r="27" spans="2:16">
      <c r="B27" s="83" t="s">
        <v>143</v>
      </c>
      <c r="C27" s="81" t="s">
        <v>68</v>
      </c>
      <c r="D27" s="37" t="s">
        <v>74</v>
      </c>
      <c r="E27" s="2">
        <f>17.512+2.0563</f>
        <v>19.568300000000001</v>
      </c>
      <c r="F27" s="2"/>
      <c r="G27" s="2">
        <f>E27+F27</f>
        <v>19.568300000000001</v>
      </c>
      <c r="H27" s="2"/>
      <c r="I27" s="2">
        <f>G27-H27</f>
        <v>19.568300000000001</v>
      </c>
      <c r="J27" s="12">
        <f>H27/G27</f>
        <v>0</v>
      </c>
      <c r="K27" s="77">
        <f>E27+E28</f>
        <v>39.136600000000001</v>
      </c>
      <c r="L27" s="77">
        <f>F27+F28</f>
        <v>0</v>
      </c>
      <c r="M27" s="77">
        <f>K27+L27</f>
        <v>39.136600000000001</v>
      </c>
      <c r="N27" s="77">
        <f>H27+H28</f>
        <v>0</v>
      </c>
      <c r="O27" s="77">
        <f>M27-N27</f>
        <v>39.136600000000001</v>
      </c>
      <c r="P27" s="79">
        <f>N27/M27</f>
        <v>0</v>
      </c>
    </row>
    <row r="28" spans="2:16">
      <c r="B28" s="84"/>
      <c r="C28" s="82"/>
      <c r="D28" s="37" t="s">
        <v>75</v>
      </c>
      <c r="E28" s="2">
        <f>17.512+2.0563</f>
        <v>19.568300000000001</v>
      </c>
      <c r="F28" s="2"/>
      <c r="G28" s="2">
        <f>E28+F28+I27</f>
        <v>39.136600000000001</v>
      </c>
      <c r="H28" s="2"/>
      <c r="I28" s="2">
        <f t="shared" ref="I28:I40" si="42">G28-H28</f>
        <v>39.136600000000001</v>
      </c>
      <c r="J28" s="12">
        <f t="shared" ref="J28:J41" si="43">H28/G28</f>
        <v>0</v>
      </c>
      <c r="K28" s="78"/>
      <c r="L28" s="78"/>
      <c r="M28" s="78"/>
      <c r="N28" s="78"/>
      <c r="O28" s="78"/>
      <c r="P28" s="80"/>
    </row>
    <row r="29" spans="2:16">
      <c r="B29" s="84"/>
      <c r="C29" s="81" t="s">
        <v>69</v>
      </c>
      <c r="D29" s="37" t="s">
        <v>74</v>
      </c>
      <c r="E29" s="2">
        <f>0.481</f>
        <v>0.48099999999999998</v>
      </c>
      <c r="F29" s="2"/>
      <c r="G29" s="2">
        <f>E29+F29</f>
        <v>0.48099999999999998</v>
      </c>
      <c r="H29" s="2"/>
      <c r="I29" s="2">
        <f t="shared" si="42"/>
        <v>0.48099999999999998</v>
      </c>
      <c r="J29" s="12">
        <f t="shared" si="43"/>
        <v>0</v>
      </c>
      <c r="K29" s="77">
        <f t="shared" ref="K29:L29" si="44">E29+E30</f>
        <v>0.96199999999999997</v>
      </c>
      <c r="L29" s="77">
        <f t="shared" si="44"/>
        <v>0</v>
      </c>
      <c r="M29" s="77">
        <f t="shared" ref="M29" si="45">K29+L29</f>
        <v>0.96199999999999997</v>
      </c>
      <c r="N29" s="77">
        <f t="shared" ref="N29" si="46">H29+H30</f>
        <v>0</v>
      </c>
      <c r="O29" s="77">
        <f t="shared" ref="O29" si="47">M29-N29</f>
        <v>0.96199999999999997</v>
      </c>
      <c r="P29" s="79">
        <f t="shared" ref="P29" si="48">N29/M29</f>
        <v>0</v>
      </c>
    </row>
    <row r="30" spans="2:16">
      <c r="B30" s="84"/>
      <c r="C30" s="82"/>
      <c r="D30" s="37" t="s">
        <v>75</v>
      </c>
      <c r="E30" s="2">
        <f>0.481</f>
        <v>0.48099999999999998</v>
      </c>
      <c r="F30" s="2"/>
      <c r="G30" s="2">
        <f>E30+F30+I29</f>
        <v>0.96199999999999997</v>
      </c>
      <c r="H30" s="2"/>
      <c r="I30" s="2">
        <f t="shared" si="42"/>
        <v>0.96199999999999997</v>
      </c>
      <c r="J30" s="12">
        <f t="shared" si="43"/>
        <v>0</v>
      </c>
      <c r="K30" s="78"/>
      <c r="L30" s="78"/>
      <c r="M30" s="78"/>
      <c r="N30" s="78"/>
      <c r="O30" s="78"/>
      <c r="P30" s="80"/>
    </row>
    <row r="31" spans="2:16">
      <c r="B31" s="84"/>
      <c r="C31" s="81" t="s">
        <v>70</v>
      </c>
      <c r="D31" s="37" t="s">
        <v>74</v>
      </c>
      <c r="E31" s="2">
        <f>95.626</f>
        <v>95.626000000000005</v>
      </c>
      <c r="F31" s="2"/>
      <c r="G31" s="2">
        <f>E31+F31</f>
        <v>95.626000000000005</v>
      </c>
      <c r="H31" s="2">
        <v>0.11</v>
      </c>
      <c r="I31" s="2">
        <f t="shared" si="42"/>
        <v>95.516000000000005</v>
      </c>
      <c r="J31" s="12">
        <f t="shared" si="43"/>
        <v>1.150314767950139E-3</v>
      </c>
      <c r="K31" s="77">
        <f t="shared" ref="K31:L31" si="49">E31+E32</f>
        <v>191.25200000000001</v>
      </c>
      <c r="L31" s="77">
        <f t="shared" si="49"/>
        <v>0</v>
      </c>
      <c r="M31" s="77">
        <f t="shared" ref="M31" si="50">K31+L31</f>
        <v>191.25200000000001</v>
      </c>
      <c r="N31" s="77">
        <f t="shared" ref="N31" si="51">H31+H32</f>
        <v>0.11</v>
      </c>
      <c r="O31" s="77">
        <f t="shared" ref="O31" si="52">M31-N31</f>
        <v>191.142</v>
      </c>
      <c r="P31" s="79">
        <f t="shared" ref="P31" si="53">N31/M31</f>
        <v>5.7515738397506948E-4</v>
      </c>
    </row>
    <row r="32" spans="2:16">
      <c r="B32" s="84"/>
      <c r="C32" s="82"/>
      <c r="D32" s="37" t="s">
        <v>75</v>
      </c>
      <c r="E32" s="2">
        <f>95.626</f>
        <v>95.626000000000005</v>
      </c>
      <c r="F32" s="2"/>
      <c r="G32" s="2">
        <f>E32+F32+I31</f>
        <v>191.142</v>
      </c>
      <c r="H32" s="2"/>
      <c r="I32" s="2">
        <f t="shared" si="42"/>
        <v>191.142</v>
      </c>
      <c r="J32" s="12">
        <f t="shared" si="43"/>
        <v>0</v>
      </c>
      <c r="K32" s="78"/>
      <c r="L32" s="78"/>
      <c r="M32" s="78"/>
      <c r="N32" s="78"/>
      <c r="O32" s="78"/>
      <c r="P32" s="80"/>
    </row>
    <row r="33" spans="2:16">
      <c r="B33" s="84"/>
      <c r="C33" s="81" t="s">
        <v>71</v>
      </c>
      <c r="D33" s="37" t="s">
        <v>74</v>
      </c>
      <c r="E33" s="2">
        <f>34.195+2.0563</f>
        <v>36.251300000000001</v>
      </c>
      <c r="F33" s="2"/>
      <c r="G33" s="2">
        <f>E33+F33</f>
        <v>36.251300000000001</v>
      </c>
      <c r="H33" s="2"/>
      <c r="I33" s="2">
        <f t="shared" si="42"/>
        <v>36.251300000000001</v>
      </c>
      <c r="J33" s="12">
        <f t="shared" si="43"/>
        <v>0</v>
      </c>
      <c r="K33" s="77">
        <f t="shared" ref="K33:L33" si="54">E33+E34</f>
        <v>72.502600000000001</v>
      </c>
      <c r="L33" s="77">
        <f t="shared" si="54"/>
        <v>0</v>
      </c>
      <c r="M33" s="77">
        <f t="shared" ref="M33" si="55">K33+L33</f>
        <v>72.502600000000001</v>
      </c>
      <c r="N33" s="77">
        <f t="shared" ref="N33" si="56">H33+H34</f>
        <v>0</v>
      </c>
      <c r="O33" s="77">
        <f t="shared" ref="O33" si="57">M33-N33</f>
        <v>72.502600000000001</v>
      </c>
      <c r="P33" s="79">
        <f t="shared" ref="P33" si="58">N33/M33</f>
        <v>0</v>
      </c>
    </row>
    <row r="34" spans="2:16">
      <c r="B34" s="84"/>
      <c r="C34" s="82"/>
      <c r="D34" s="37" t="s">
        <v>75</v>
      </c>
      <c r="E34" s="2">
        <f>34.195+2.0563</f>
        <v>36.251300000000001</v>
      </c>
      <c r="F34" s="2"/>
      <c r="G34" s="2">
        <f>E34+F34+I33</f>
        <v>72.502600000000001</v>
      </c>
      <c r="H34" s="2"/>
      <c r="I34" s="2">
        <f t="shared" si="42"/>
        <v>72.502600000000001</v>
      </c>
      <c r="J34" s="12">
        <f t="shared" si="43"/>
        <v>0</v>
      </c>
      <c r="K34" s="78"/>
      <c r="L34" s="78"/>
      <c r="M34" s="78"/>
      <c r="N34" s="78"/>
      <c r="O34" s="78"/>
      <c r="P34" s="80"/>
    </row>
    <row r="35" spans="2:16">
      <c r="B35" s="84"/>
      <c r="C35" s="81" t="s">
        <v>72</v>
      </c>
      <c r="D35" s="37" t="s">
        <v>74</v>
      </c>
      <c r="E35" s="2">
        <f>0.236</f>
        <v>0.23599999999999999</v>
      </c>
      <c r="F35" s="2"/>
      <c r="G35" s="2">
        <f>E35+F35</f>
        <v>0.23599999999999999</v>
      </c>
      <c r="H35" s="2"/>
      <c r="I35" s="2">
        <f t="shared" si="42"/>
        <v>0.23599999999999999</v>
      </c>
      <c r="J35" s="12">
        <f t="shared" si="43"/>
        <v>0</v>
      </c>
      <c r="K35" s="77">
        <f t="shared" ref="K35:L35" si="59">E35+E36</f>
        <v>0.47199999999999998</v>
      </c>
      <c r="L35" s="77">
        <f t="shared" si="59"/>
        <v>0</v>
      </c>
      <c r="M35" s="77">
        <f t="shared" ref="M35" si="60">K35+L35</f>
        <v>0.47199999999999998</v>
      </c>
      <c r="N35" s="77">
        <f t="shared" ref="N35" si="61">H35+H36</f>
        <v>0</v>
      </c>
      <c r="O35" s="77">
        <f t="shared" ref="O35" si="62">M35-N35</f>
        <v>0.47199999999999998</v>
      </c>
      <c r="P35" s="79">
        <f t="shared" ref="P35" si="63">N35/M35</f>
        <v>0</v>
      </c>
    </row>
    <row r="36" spans="2:16">
      <c r="B36" s="84"/>
      <c r="C36" s="82"/>
      <c r="D36" s="37" t="s">
        <v>75</v>
      </c>
      <c r="E36" s="2">
        <f>0.236</f>
        <v>0.23599999999999999</v>
      </c>
      <c r="F36" s="2"/>
      <c r="G36" s="2">
        <f>E36+F36+I35</f>
        <v>0.47199999999999998</v>
      </c>
      <c r="H36" s="2"/>
      <c r="I36" s="2">
        <f t="shared" si="42"/>
        <v>0.47199999999999998</v>
      </c>
      <c r="J36" s="12">
        <f t="shared" si="43"/>
        <v>0</v>
      </c>
      <c r="K36" s="78"/>
      <c r="L36" s="78"/>
      <c r="M36" s="78"/>
      <c r="N36" s="78"/>
      <c r="O36" s="78"/>
      <c r="P36" s="80"/>
    </row>
    <row r="37" spans="2:16">
      <c r="B37" s="84"/>
      <c r="C37" s="81" t="s">
        <v>76</v>
      </c>
      <c r="D37" s="37" t="s">
        <v>74</v>
      </c>
      <c r="E37" s="2">
        <f>2.0563</f>
        <v>2.0562999999999998</v>
      </c>
      <c r="F37" s="2"/>
      <c r="G37" s="2">
        <f>E37+F37</f>
        <v>2.0562999999999998</v>
      </c>
      <c r="H37" s="2"/>
      <c r="I37" s="2">
        <f t="shared" si="42"/>
        <v>2.0562999999999998</v>
      </c>
      <c r="J37" s="12">
        <f t="shared" si="43"/>
        <v>0</v>
      </c>
      <c r="K37" s="77">
        <f t="shared" ref="K37:L37" si="64">E37+E38</f>
        <v>4.1125999999999996</v>
      </c>
      <c r="L37" s="77">
        <f t="shared" si="64"/>
        <v>0</v>
      </c>
      <c r="M37" s="77">
        <f t="shared" ref="M37" si="65">K37+L37</f>
        <v>4.1125999999999996</v>
      </c>
      <c r="N37" s="77">
        <f t="shared" ref="N37" si="66">H37+H38</f>
        <v>0</v>
      </c>
      <c r="O37" s="77">
        <f t="shared" ref="O37" si="67">M37-N37</f>
        <v>4.1125999999999996</v>
      </c>
      <c r="P37" s="79">
        <f t="shared" ref="P37" si="68">N37/M37</f>
        <v>0</v>
      </c>
    </row>
    <row r="38" spans="2:16">
      <c r="B38" s="84"/>
      <c r="C38" s="82"/>
      <c r="D38" s="37" t="s">
        <v>75</v>
      </c>
      <c r="E38" s="2">
        <f>2.0563</f>
        <v>2.0562999999999998</v>
      </c>
      <c r="F38" s="2"/>
      <c r="G38" s="2">
        <f>E38+F38+I37</f>
        <v>4.1125999999999996</v>
      </c>
      <c r="H38" s="2"/>
      <c r="I38" s="2">
        <f t="shared" si="42"/>
        <v>4.1125999999999996</v>
      </c>
      <c r="J38" s="12">
        <f t="shared" si="43"/>
        <v>0</v>
      </c>
      <c r="K38" s="78"/>
      <c r="L38" s="78"/>
      <c r="M38" s="78"/>
      <c r="N38" s="78"/>
      <c r="O38" s="78"/>
      <c r="P38" s="80"/>
    </row>
    <row r="39" spans="2:16">
      <c r="B39" s="84"/>
      <c r="C39" s="81" t="s">
        <v>77</v>
      </c>
      <c r="D39" s="37" t="s">
        <v>74</v>
      </c>
      <c r="E39" s="2">
        <f>2.0563</f>
        <v>2.0562999999999998</v>
      </c>
      <c r="F39" s="2"/>
      <c r="G39" s="2">
        <f>E39+F39</f>
        <v>2.0562999999999998</v>
      </c>
      <c r="H39" s="2"/>
      <c r="I39" s="2">
        <f t="shared" si="42"/>
        <v>2.0562999999999998</v>
      </c>
      <c r="J39" s="12">
        <f t="shared" si="43"/>
        <v>0</v>
      </c>
      <c r="K39" s="77">
        <f t="shared" ref="K39:L39" si="69">E39+E40</f>
        <v>4.1125999999999996</v>
      </c>
      <c r="L39" s="77">
        <f t="shared" si="69"/>
        <v>0</v>
      </c>
      <c r="M39" s="77">
        <f t="shared" ref="M39" si="70">K39+L39</f>
        <v>4.1125999999999996</v>
      </c>
      <c r="N39" s="77">
        <f t="shared" ref="N39" si="71">H39+H40</f>
        <v>0</v>
      </c>
      <c r="O39" s="77">
        <f t="shared" ref="O39" si="72">M39-N39</f>
        <v>4.1125999999999996</v>
      </c>
      <c r="P39" s="79">
        <f t="shared" ref="P39" si="73">N39/M39</f>
        <v>0</v>
      </c>
    </row>
    <row r="40" spans="2:16">
      <c r="B40" s="84"/>
      <c r="C40" s="82"/>
      <c r="D40" s="37" t="s">
        <v>75</v>
      </c>
      <c r="E40" s="2">
        <f>2.0563</f>
        <v>2.0562999999999998</v>
      </c>
      <c r="F40" s="2"/>
      <c r="G40" s="2">
        <f>E40+F40+I39</f>
        <v>4.1125999999999996</v>
      </c>
      <c r="H40" s="2"/>
      <c r="I40" s="2">
        <f t="shared" si="42"/>
        <v>4.1125999999999996</v>
      </c>
      <c r="J40" s="12">
        <f t="shared" si="43"/>
        <v>0</v>
      </c>
      <c r="K40" s="78"/>
      <c r="L40" s="78"/>
      <c r="M40" s="78"/>
      <c r="N40" s="78"/>
      <c r="O40" s="78"/>
      <c r="P40" s="80"/>
    </row>
    <row r="41" spans="2:16">
      <c r="B41" s="85"/>
      <c r="C41" s="38" t="s">
        <v>78</v>
      </c>
      <c r="D41" s="37" t="s">
        <v>47</v>
      </c>
      <c r="E41" s="2">
        <f>SUM(E27:E40)</f>
        <v>312.55040000000008</v>
      </c>
      <c r="F41" s="2">
        <f>SUM(F27:F40)</f>
        <v>0</v>
      </c>
      <c r="G41" s="2">
        <f>E41+F41</f>
        <v>312.55040000000008</v>
      </c>
      <c r="H41" s="2">
        <f>SUM(H27:H40)</f>
        <v>0.11</v>
      </c>
      <c r="I41" s="2">
        <f>G41-H41</f>
        <v>312.44040000000007</v>
      </c>
      <c r="J41" s="12">
        <f t="shared" si="43"/>
        <v>3.5194323859447937E-4</v>
      </c>
      <c r="K41" s="2">
        <f>SUM(K27:K40)</f>
        <v>312.55039999999997</v>
      </c>
      <c r="L41" s="2">
        <f>SUM(L27:L40)</f>
        <v>0</v>
      </c>
      <c r="M41" s="2">
        <f>K41+L41</f>
        <v>312.55039999999997</v>
      </c>
      <c r="N41" s="2">
        <f>SUM(N27:N40)</f>
        <v>0.11</v>
      </c>
      <c r="O41" s="2">
        <f>M41-N41</f>
        <v>312.44039999999995</v>
      </c>
      <c r="P41" s="42">
        <f>N41/M41</f>
        <v>3.5194323859447953E-4</v>
      </c>
    </row>
    <row r="42" spans="2:16">
      <c r="D42" s="3"/>
    </row>
  </sheetData>
  <mergeCells count="109">
    <mergeCell ref="B6:B22"/>
    <mergeCell ref="B27:B41"/>
    <mergeCell ref="B2:P2"/>
    <mergeCell ref="B3:P3"/>
    <mergeCell ref="C37:C38"/>
    <mergeCell ref="C39:C40"/>
    <mergeCell ref="L39:L40"/>
    <mergeCell ref="M39:M40"/>
    <mergeCell ref="N39:N40"/>
    <mergeCell ref="O39:O40"/>
    <mergeCell ref="P39:P40"/>
    <mergeCell ref="C27:C28"/>
    <mergeCell ref="C29:C30"/>
    <mergeCell ref="C31:C32"/>
    <mergeCell ref="C33:C34"/>
    <mergeCell ref="C35:C36"/>
    <mergeCell ref="M35:M36"/>
    <mergeCell ref="N35:N36"/>
    <mergeCell ref="O35:O36"/>
    <mergeCell ref="P35:P36"/>
    <mergeCell ref="L37:L38"/>
    <mergeCell ref="M37:M38"/>
    <mergeCell ref="N37:N38"/>
    <mergeCell ref="O37:O38"/>
    <mergeCell ref="P37:P38"/>
    <mergeCell ref="O31:O32"/>
    <mergeCell ref="P31:P32"/>
    <mergeCell ref="L33:L34"/>
    <mergeCell ref="O33:O34"/>
    <mergeCell ref="P33:P34"/>
    <mergeCell ref="O27:O28"/>
    <mergeCell ref="P27:P28"/>
    <mergeCell ref="L29:L30"/>
    <mergeCell ref="M29:M30"/>
    <mergeCell ref="N29:N30"/>
    <mergeCell ref="O29:O30"/>
    <mergeCell ref="P29:P30"/>
    <mergeCell ref="K35:K36"/>
    <mergeCell ref="K37:K38"/>
    <mergeCell ref="K39:K40"/>
    <mergeCell ref="L27:L28"/>
    <mergeCell ref="M27:M28"/>
    <mergeCell ref="N27:N28"/>
    <mergeCell ref="L31:L32"/>
    <mergeCell ref="M31:M32"/>
    <mergeCell ref="N31:N32"/>
    <mergeCell ref="L35:L36"/>
    <mergeCell ref="M33:M34"/>
    <mergeCell ref="N33:N34"/>
    <mergeCell ref="C18:C19"/>
    <mergeCell ref="C20:C21"/>
    <mergeCell ref="K27:K28"/>
    <mergeCell ref="K29:K30"/>
    <mergeCell ref="K31:K32"/>
    <mergeCell ref="K33:K34"/>
    <mergeCell ref="C6:C7"/>
    <mergeCell ref="C8:C9"/>
    <mergeCell ref="C10:C11"/>
    <mergeCell ref="C12:C13"/>
    <mergeCell ref="C14:C15"/>
    <mergeCell ref="C16:C17"/>
    <mergeCell ref="K20:K21"/>
    <mergeCell ref="K16:K17"/>
    <mergeCell ref="K12:K13"/>
    <mergeCell ref="K8:K9"/>
    <mergeCell ref="L20:L21"/>
    <mergeCell ref="M20:M21"/>
    <mergeCell ref="N20:N21"/>
    <mergeCell ref="O20:O21"/>
    <mergeCell ref="P20:P21"/>
    <mergeCell ref="K18:K19"/>
    <mergeCell ref="L18:L19"/>
    <mergeCell ref="M18:M19"/>
    <mergeCell ref="N18:N19"/>
    <mergeCell ref="O18:O19"/>
    <mergeCell ref="P18:P19"/>
    <mergeCell ref="L16:L17"/>
    <mergeCell ref="M16:M17"/>
    <mergeCell ref="N16:N17"/>
    <mergeCell ref="O16:O17"/>
    <mergeCell ref="P16:P17"/>
    <mergeCell ref="K14:K15"/>
    <mergeCell ref="L14:L15"/>
    <mergeCell ref="M14:M15"/>
    <mergeCell ref="N14:N15"/>
    <mergeCell ref="O14:O15"/>
    <mergeCell ref="P14:P15"/>
    <mergeCell ref="L12:L13"/>
    <mergeCell ref="M12:M13"/>
    <mergeCell ref="N12:N13"/>
    <mergeCell ref="O12:O13"/>
    <mergeCell ref="P12:P13"/>
    <mergeCell ref="K10:K11"/>
    <mergeCell ref="L10:L11"/>
    <mergeCell ref="M10:M11"/>
    <mergeCell ref="N10:N11"/>
    <mergeCell ref="O10:O11"/>
    <mergeCell ref="P10:P11"/>
    <mergeCell ref="L8:L9"/>
    <mergeCell ref="M8:M9"/>
    <mergeCell ref="N8:N9"/>
    <mergeCell ref="O8:O9"/>
    <mergeCell ref="P8:P9"/>
    <mergeCell ref="K6:K7"/>
    <mergeCell ref="L6:L7"/>
    <mergeCell ref="M6:M7"/>
    <mergeCell ref="N6:N7"/>
    <mergeCell ref="O6:O7"/>
    <mergeCell ref="P6:P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11"/>
  <sheetViews>
    <sheetView showGridLines="0" workbookViewId="0">
      <selection activeCell="G10" sqref="G10"/>
    </sheetView>
  </sheetViews>
  <sheetFormatPr baseColWidth="10" defaultRowHeight="12"/>
  <cols>
    <col min="1" max="1" width="11.42578125" style="6"/>
    <col min="2" max="2" width="41" style="6" customWidth="1"/>
    <col min="3" max="3" width="19.140625" style="6" bestFit="1" customWidth="1"/>
    <col min="4" max="4" width="7.7109375" style="6" bestFit="1" customWidth="1"/>
    <col min="5" max="12" width="11.28515625" style="6" customWidth="1"/>
    <col min="13" max="16384" width="11.42578125" style="6"/>
  </cols>
  <sheetData>
    <row r="2" spans="2:12">
      <c r="B2" s="101" t="s">
        <v>27</v>
      </c>
      <c r="C2" s="102"/>
      <c r="D2" s="102"/>
      <c r="E2" s="102"/>
      <c r="F2" s="102"/>
      <c r="G2" s="102"/>
      <c r="H2" s="102"/>
      <c r="I2" s="102"/>
      <c r="J2" s="102"/>
      <c r="K2" s="102"/>
      <c r="L2" s="103"/>
    </row>
    <row r="3" spans="2:12">
      <c r="B3" s="104">
        <f>RESUMEN!B3</f>
        <v>43872</v>
      </c>
      <c r="C3" s="105"/>
      <c r="D3" s="105"/>
      <c r="E3" s="105"/>
      <c r="F3" s="105"/>
      <c r="G3" s="105"/>
      <c r="H3" s="105"/>
      <c r="I3" s="105"/>
      <c r="J3" s="105"/>
      <c r="K3" s="105"/>
      <c r="L3" s="106"/>
    </row>
    <row r="5" spans="2:12" ht="15" customHeight="1">
      <c r="B5" s="99" t="s">
        <v>66</v>
      </c>
      <c r="C5" s="99" t="s">
        <v>79</v>
      </c>
      <c r="D5" s="99" t="s">
        <v>31</v>
      </c>
      <c r="E5" s="99" t="s">
        <v>80</v>
      </c>
      <c r="F5" s="99" t="s">
        <v>88</v>
      </c>
      <c r="G5" s="97" t="s">
        <v>87</v>
      </c>
      <c r="H5" s="98"/>
      <c r="I5" s="99" t="s">
        <v>81</v>
      </c>
      <c r="J5" s="99" t="s">
        <v>82</v>
      </c>
      <c r="K5" s="99" t="s">
        <v>83</v>
      </c>
      <c r="L5" s="99" t="s">
        <v>32</v>
      </c>
    </row>
    <row r="6" spans="2:12">
      <c r="B6" s="100"/>
      <c r="C6" s="100"/>
      <c r="D6" s="100"/>
      <c r="E6" s="100"/>
      <c r="F6" s="100"/>
      <c r="G6" s="45" t="s">
        <v>9</v>
      </c>
      <c r="H6" s="45" t="s">
        <v>19</v>
      </c>
      <c r="I6" s="100"/>
      <c r="J6" s="100"/>
      <c r="K6" s="100"/>
      <c r="L6" s="100"/>
    </row>
    <row r="7" spans="2:12">
      <c r="B7" s="92" t="s">
        <v>84</v>
      </c>
      <c r="C7" s="95" t="s">
        <v>85</v>
      </c>
      <c r="D7" s="5" t="s">
        <v>45</v>
      </c>
      <c r="E7" s="8">
        <v>52</v>
      </c>
      <c r="F7" s="8">
        <f>E7</f>
        <v>52</v>
      </c>
      <c r="G7" s="46">
        <v>32.621000000000002</v>
      </c>
      <c r="H7" s="46">
        <v>0.114</v>
      </c>
      <c r="I7" s="8">
        <f>G7+H7</f>
        <v>32.734999999999999</v>
      </c>
      <c r="J7" s="8">
        <f>F7-I7</f>
        <v>19.265000000000001</v>
      </c>
      <c r="K7" s="9">
        <f>I7/F7</f>
        <v>0.62951923076923078</v>
      </c>
      <c r="L7" s="5" t="s">
        <v>48</v>
      </c>
    </row>
    <row r="8" spans="2:12">
      <c r="B8" s="93"/>
      <c r="C8" s="96"/>
      <c r="D8" s="5" t="s">
        <v>46</v>
      </c>
      <c r="E8" s="8">
        <v>53</v>
      </c>
      <c r="F8" s="8">
        <f>E8+J7</f>
        <v>72.265000000000001</v>
      </c>
      <c r="G8" s="8"/>
      <c r="H8" s="8"/>
      <c r="I8" s="8">
        <f t="shared" ref="I8:I10" si="0">G8+H8</f>
        <v>0</v>
      </c>
      <c r="J8" s="8">
        <f t="shared" ref="J8:J10" si="1">F8-I8</f>
        <v>72.265000000000001</v>
      </c>
      <c r="K8" s="9">
        <f t="shared" ref="K8:K10" si="2">I8/F8</f>
        <v>0</v>
      </c>
      <c r="L8" s="5" t="s">
        <v>48</v>
      </c>
    </row>
    <row r="9" spans="2:12">
      <c r="B9" s="93"/>
      <c r="C9" s="7" t="s">
        <v>23</v>
      </c>
      <c r="D9" s="5" t="s">
        <v>47</v>
      </c>
      <c r="E9" s="8">
        <v>11</v>
      </c>
      <c r="F9" s="8">
        <f>E9</f>
        <v>11</v>
      </c>
      <c r="G9" s="8">
        <v>4.4999999999999998E-2</v>
      </c>
      <c r="H9" s="8"/>
      <c r="I9" s="8">
        <f t="shared" si="0"/>
        <v>4.4999999999999998E-2</v>
      </c>
      <c r="J9" s="8">
        <f t="shared" si="1"/>
        <v>10.955</v>
      </c>
      <c r="K9" s="9">
        <f t="shared" si="2"/>
        <v>4.0909090909090904E-3</v>
      </c>
      <c r="L9" s="5" t="s">
        <v>48</v>
      </c>
    </row>
    <row r="10" spans="2:12">
      <c r="B10" s="93"/>
      <c r="C10" s="7" t="s">
        <v>86</v>
      </c>
      <c r="D10" s="5" t="s">
        <v>47</v>
      </c>
      <c r="E10" s="8">
        <v>2</v>
      </c>
      <c r="F10" s="8">
        <f>E10</f>
        <v>2</v>
      </c>
      <c r="G10" s="8"/>
      <c r="H10" s="8"/>
      <c r="I10" s="8">
        <f t="shared" si="0"/>
        <v>0</v>
      </c>
      <c r="J10" s="8">
        <f t="shared" si="1"/>
        <v>2</v>
      </c>
      <c r="K10" s="9">
        <f t="shared" si="2"/>
        <v>0</v>
      </c>
      <c r="L10" s="5" t="s">
        <v>48</v>
      </c>
    </row>
    <row r="11" spans="2:12">
      <c r="B11" s="94"/>
      <c r="C11" s="43" t="s">
        <v>78</v>
      </c>
      <c r="D11" s="44" t="s">
        <v>47</v>
      </c>
      <c r="E11" s="8">
        <f t="shared" ref="E11:J11" si="3">SUM(E7:E10)</f>
        <v>118</v>
      </c>
      <c r="F11" s="8">
        <f t="shared" si="3"/>
        <v>137.26499999999999</v>
      </c>
      <c r="G11" s="8">
        <f t="shared" si="3"/>
        <v>32.666000000000004</v>
      </c>
      <c r="H11" s="8">
        <f t="shared" si="3"/>
        <v>0.114</v>
      </c>
      <c r="I11" s="8">
        <f t="shared" si="3"/>
        <v>32.78</v>
      </c>
      <c r="J11" s="8">
        <f t="shared" si="3"/>
        <v>104.485</v>
      </c>
      <c r="K11" s="9">
        <f>I11/F11</f>
        <v>0.23880814482934473</v>
      </c>
      <c r="L11" s="5" t="s">
        <v>48</v>
      </c>
    </row>
  </sheetData>
  <mergeCells count="14">
    <mergeCell ref="B2:L2"/>
    <mergeCell ref="B3:L3"/>
    <mergeCell ref="I5:I6"/>
    <mergeCell ref="J5:J6"/>
    <mergeCell ref="K5:K6"/>
    <mergeCell ref="L5:L6"/>
    <mergeCell ref="B7:B11"/>
    <mergeCell ref="C7:C8"/>
    <mergeCell ref="G5:H5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5"/>
  <sheetViews>
    <sheetView topLeftCell="E1" workbookViewId="0">
      <selection activeCell="O21" sqref="O21"/>
    </sheetView>
  </sheetViews>
  <sheetFormatPr baseColWidth="10" defaultRowHeight="12"/>
  <cols>
    <col min="1" max="1" width="27.140625" style="18" bestFit="1" customWidth="1"/>
    <col min="2" max="2" width="15" style="18" bestFit="1" customWidth="1"/>
    <col min="3" max="3" width="12.28515625" style="18" bestFit="1" customWidth="1"/>
    <col min="4" max="4" width="40.28515625" style="18" bestFit="1" customWidth="1"/>
    <col min="5" max="5" width="24" style="18" bestFit="1" customWidth="1"/>
    <col min="6" max="6" width="10.85546875" style="18" bestFit="1" customWidth="1"/>
    <col min="7" max="7" width="10.28515625" style="18" bestFit="1" customWidth="1"/>
    <col min="8" max="8" width="8" style="20" bestFit="1" customWidth="1"/>
    <col min="9" max="9" width="15.85546875" style="20" bestFit="1" customWidth="1"/>
    <col min="10" max="10" width="11.5703125" style="20" bestFit="1" customWidth="1"/>
    <col min="11" max="11" width="6.42578125" style="20" bestFit="1" customWidth="1"/>
    <col min="12" max="12" width="7.42578125" style="20" bestFit="1" customWidth="1"/>
    <col min="13" max="13" width="15.7109375" style="20" bestFit="1" customWidth="1"/>
    <col min="14" max="14" width="9" style="18" bestFit="1" customWidth="1"/>
    <col min="15" max="15" width="9" style="25" bestFit="1" customWidth="1"/>
    <col min="16" max="16" width="4.42578125" style="18" bestFit="1" customWidth="1"/>
    <col min="17" max="17" width="7" style="18" bestFit="1" customWidth="1"/>
    <col min="18" max="16384" width="11.42578125" style="18"/>
  </cols>
  <sheetData>
    <row r="1" spans="1:17">
      <c r="A1" s="13" t="s">
        <v>97</v>
      </c>
      <c r="B1" s="13" t="s">
        <v>98</v>
      </c>
      <c r="C1" s="13" t="s">
        <v>99</v>
      </c>
      <c r="D1" s="14" t="s">
        <v>100</v>
      </c>
      <c r="E1" s="13" t="s">
        <v>101</v>
      </c>
      <c r="F1" s="13" t="s">
        <v>102</v>
      </c>
      <c r="G1" s="13" t="s">
        <v>103</v>
      </c>
      <c r="H1" s="15" t="s">
        <v>104</v>
      </c>
      <c r="I1" s="15" t="s">
        <v>105</v>
      </c>
      <c r="J1" s="15" t="s">
        <v>106</v>
      </c>
      <c r="K1" s="15" t="s">
        <v>107</v>
      </c>
      <c r="L1" s="15" t="s">
        <v>108</v>
      </c>
      <c r="M1" s="19" t="s">
        <v>109</v>
      </c>
      <c r="N1" s="16" t="s">
        <v>110</v>
      </c>
      <c r="O1" s="23" t="s">
        <v>111</v>
      </c>
      <c r="P1" s="17" t="s">
        <v>112</v>
      </c>
      <c r="Q1" s="17" t="s">
        <v>113</v>
      </c>
    </row>
    <row r="2" spans="1:17">
      <c r="A2" s="21" t="s">
        <v>114</v>
      </c>
      <c r="B2" s="21" t="s">
        <v>115</v>
      </c>
      <c r="C2" s="21" t="s">
        <v>116</v>
      </c>
      <c r="D2" s="21" t="s">
        <v>117</v>
      </c>
      <c r="E2" s="21" t="str">
        <f>'CUOTA ARTESANAL'!C6</f>
        <v>CALBUCO A</v>
      </c>
      <c r="F2" s="21" t="s">
        <v>54</v>
      </c>
      <c r="G2" s="21" t="s">
        <v>65</v>
      </c>
      <c r="H2" s="22">
        <f>'CUOTA ARTESANAL'!E6</f>
        <v>8.1999999999999993</v>
      </c>
      <c r="I2" s="22">
        <f>'CUOTA ARTESANAL'!F6</f>
        <v>0</v>
      </c>
      <c r="J2" s="22">
        <f>'CUOTA ARTESANAL'!G6</f>
        <v>8.1999999999999993</v>
      </c>
      <c r="K2" s="22">
        <f>'CUOTA ARTESANAL'!H6</f>
        <v>0</v>
      </c>
      <c r="L2" s="22">
        <f>'CUOTA ARTESANAL'!I6</f>
        <v>8.1999999999999993</v>
      </c>
      <c r="M2" s="47">
        <f>'CUOTA ARTESANAL'!J6</f>
        <v>0</v>
      </c>
      <c r="N2" s="24" t="str">
        <f>'CUOTA ARTESANAL'!K6</f>
        <v>-</v>
      </c>
      <c r="O2" s="24">
        <f>RESUMEN!$B$3</f>
        <v>43872</v>
      </c>
      <c r="P2" s="21">
        <v>2020</v>
      </c>
      <c r="Q2" s="21"/>
    </row>
    <row r="3" spans="1:17">
      <c r="A3" s="21" t="s">
        <v>114</v>
      </c>
      <c r="B3" s="21" t="s">
        <v>115</v>
      </c>
      <c r="C3" s="21" t="s">
        <v>116</v>
      </c>
      <c r="D3" s="21" t="s">
        <v>117</v>
      </c>
      <c r="E3" s="21" t="str">
        <f>'CUOTA ARTESANAL'!C7</f>
        <v>CALBUCO B</v>
      </c>
      <c r="F3" s="21" t="s">
        <v>54</v>
      </c>
      <c r="G3" s="21" t="s">
        <v>65</v>
      </c>
      <c r="H3" s="22">
        <f>'CUOTA ARTESANAL'!E7</f>
        <v>2.8</v>
      </c>
      <c r="I3" s="22">
        <f>'CUOTA ARTESANAL'!F7</f>
        <v>0</v>
      </c>
      <c r="J3" s="22">
        <f>'CUOTA ARTESANAL'!G7</f>
        <v>2.8</v>
      </c>
      <c r="K3" s="22">
        <f>'CUOTA ARTESANAL'!H7</f>
        <v>0</v>
      </c>
      <c r="L3" s="22">
        <f>'CUOTA ARTESANAL'!I7</f>
        <v>2.8</v>
      </c>
      <c r="M3" s="47">
        <f>'CUOTA ARTESANAL'!J7</f>
        <v>0</v>
      </c>
      <c r="N3" s="24" t="str">
        <f>'CUOTA ARTESANAL'!K7</f>
        <v>-</v>
      </c>
      <c r="O3" s="24">
        <f>RESUMEN!$B$3</f>
        <v>43872</v>
      </c>
      <c r="P3" s="21">
        <v>2020</v>
      </c>
      <c r="Q3" s="21"/>
    </row>
    <row r="4" spans="1:17">
      <c r="A4" s="21" t="s">
        <v>114</v>
      </c>
      <c r="B4" s="21" t="s">
        <v>115</v>
      </c>
      <c r="C4" s="21" t="s">
        <v>116</v>
      </c>
      <c r="D4" s="21" t="s">
        <v>117</v>
      </c>
      <c r="E4" s="21" t="str">
        <f>'CUOTA ARTESANAL'!C8</f>
        <v>CALBUCO C</v>
      </c>
      <c r="F4" s="21" t="s">
        <v>54</v>
      </c>
      <c r="G4" s="21" t="s">
        <v>65</v>
      </c>
      <c r="H4" s="22">
        <f>'CUOTA ARTESANAL'!E8</f>
        <v>7.2</v>
      </c>
      <c r="I4" s="22">
        <f>'CUOTA ARTESANAL'!F8</f>
        <v>0</v>
      </c>
      <c r="J4" s="22">
        <f>'CUOTA ARTESANAL'!G8</f>
        <v>7.2</v>
      </c>
      <c r="K4" s="22">
        <f>'CUOTA ARTESANAL'!H8</f>
        <v>0.13</v>
      </c>
      <c r="L4" s="22">
        <f>'CUOTA ARTESANAL'!I8</f>
        <v>7.07</v>
      </c>
      <c r="M4" s="47">
        <f>'CUOTA ARTESANAL'!J8</f>
        <v>1.8055555555555557E-2</v>
      </c>
      <c r="N4" s="24" t="str">
        <f>'CUOTA ARTESANAL'!K8</f>
        <v>-</v>
      </c>
      <c r="O4" s="24">
        <f>RESUMEN!$B$3</f>
        <v>43872</v>
      </c>
      <c r="P4" s="21">
        <v>2020</v>
      </c>
      <c r="Q4" s="21"/>
    </row>
    <row r="5" spans="1:17">
      <c r="A5" s="21" t="s">
        <v>114</v>
      </c>
      <c r="B5" s="21" t="s">
        <v>115</v>
      </c>
      <c r="C5" s="21" t="s">
        <v>116</v>
      </c>
      <c r="D5" s="21" t="s">
        <v>117</v>
      </c>
      <c r="E5" s="21" t="str">
        <f>'CUOTA ARTESANAL'!C9</f>
        <v>CHILOE B</v>
      </c>
      <c r="F5" s="21" t="s">
        <v>54</v>
      </c>
      <c r="G5" s="21" t="s">
        <v>65</v>
      </c>
      <c r="H5" s="22">
        <f>'CUOTA ARTESANAL'!E9</f>
        <v>22.1</v>
      </c>
      <c r="I5" s="22">
        <f>'CUOTA ARTESANAL'!F9</f>
        <v>-1.9870000000000001</v>
      </c>
      <c r="J5" s="22">
        <f>'CUOTA ARTESANAL'!G9</f>
        <v>20.113</v>
      </c>
      <c r="K5" s="22">
        <f>'CUOTA ARTESANAL'!H9</f>
        <v>11.35</v>
      </c>
      <c r="L5" s="22">
        <f>'CUOTA ARTESANAL'!I9</f>
        <v>8.7629999999999999</v>
      </c>
      <c r="M5" s="47">
        <f>'CUOTA ARTESANAL'!J9</f>
        <v>0.56431163923830363</v>
      </c>
      <c r="N5" s="24" t="str">
        <f>'CUOTA ARTESANAL'!K9</f>
        <v>-</v>
      </c>
      <c r="O5" s="24">
        <f>RESUMEN!$B$3</f>
        <v>43872</v>
      </c>
      <c r="P5" s="21">
        <v>2020</v>
      </c>
      <c r="Q5" s="21"/>
    </row>
    <row r="6" spans="1:17">
      <c r="A6" s="21" t="s">
        <v>114</v>
      </c>
      <c r="B6" s="21" t="s">
        <v>115</v>
      </c>
      <c r="C6" s="21" t="s">
        <v>116</v>
      </c>
      <c r="D6" s="21" t="s">
        <v>117</v>
      </c>
      <c r="E6" s="21" t="str">
        <f>'CUOTA ARTESANAL'!C10</f>
        <v>CHILOE C</v>
      </c>
      <c r="F6" s="21" t="s">
        <v>54</v>
      </c>
      <c r="G6" s="21" t="s">
        <v>65</v>
      </c>
      <c r="H6" s="22">
        <f>'CUOTA ARTESANAL'!E10</f>
        <v>37.799999999999997</v>
      </c>
      <c r="I6" s="22">
        <f>'CUOTA ARTESANAL'!F10</f>
        <v>-0.33</v>
      </c>
      <c r="J6" s="22">
        <f>'CUOTA ARTESANAL'!G10</f>
        <v>37.47</v>
      </c>
      <c r="K6" s="22">
        <f>'CUOTA ARTESANAL'!H10</f>
        <v>0</v>
      </c>
      <c r="L6" s="22">
        <f>'CUOTA ARTESANAL'!I10</f>
        <v>37.47</v>
      </c>
      <c r="M6" s="47">
        <f>'CUOTA ARTESANAL'!J10</f>
        <v>0</v>
      </c>
      <c r="N6" s="24" t="str">
        <f>'CUOTA ARTESANAL'!K10</f>
        <v>-</v>
      </c>
      <c r="O6" s="24">
        <f>RESUMEN!$B$3</f>
        <v>43872</v>
      </c>
      <c r="P6" s="21">
        <v>2020</v>
      </c>
      <c r="Q6" s="21"/>
    </row>
    <row r="7" spans="1:17">
      <c r="A7" s="21" t="s">
        <v>114</v>
      </c>
      <c r="B7" s="21" t="s">
        <v>115</v>
      </c>
      <c r="C7" s="21" t="s">
        <v>116</v>
      </c>
      <c r="D7" s="21" t="s">
        <v>117</v>
      </c>
      <c r="E7" s="21" t="str">
        <f>'CUOTA ARTESANAL'!C11</f>
        <v>HUALAIHUE</v>
      </c>
      <c r="F7" s="21" t="s">
        <v>54</v>
      </c>
      <c r="G7" s="21" t="s">
        <v>65</v>
      </c>
      <c r="H7" s="22">
        <f>'CUOTA ARTESANAL'!E11</f>
        <v>94.1</v>
      </c>
      <c r="I7" s="22">
        <f>'CUOTA ARTESANAL'!F11</f>
        <v>-5.4279999999999999</v>
      </c>
      <c r="J7" s="22">
        <f>'CUOTA ARTESANAL'!G11</f>
        <v>88.671999999999997</v>
      </c>
      <c r="K7" s="22">
        <f>'CUOTA ARTESANAL'!H11</f>
        <v>0.28999999999999998</v>
      </c>
      <c r="L7" s="22">
        <f>'CUOTA ARTESANAL'!I11</f>
        <v>88.381999999999991</v>
      </c>
      <c r="M7" s="47">
        <f>'CUOTA ARTESANAL'!J11</f>
        <v>3.2704799711295559E-3</v>
      </c>
      <c r="N7" s="24" t="str">
        <f>'CUOTA ARTESANAL'!K11</f>
        <v>-</v>
      </c>
      <c r="O7" s="24">
        <f>RESUMEN!$B$3</f>
        <v>43872</v>
      </c>
      <c r="P7" s="21">
        <v>2020</v>
      </c>
      <c r="Q7" s="21"/>
    </row>
    <row r="8" spans="1:17">
      <c r="A8" s="21" t="s">
        <v>114</v>
      </c>
      <c r="B8" s="21" t="s">
        <v>115</v>
      </c>
      <c r="C8" s="21" t="s">
        <v>116</v>
      </c>
      <c r="D8" s="21" t="s">
        <v>117</v>
      </c>
      <c r="E8" s="21" t="str">
        <f>'CUOTA ARTESANAL'!C12</f>
        <v>PALENA</v>
      </c>
      <c r="F8" s="21" t="s">
        <v>54</v>
      </c>
      <c r="G8" s="21" t="s">
        <v>65</v>
      </c>
      <c r="H8" s="22">
        <f>'CUOTA ARTESANAL'!E12</f>
        <v>0.7</v>
      </c>
      <c r="I8" s="22">
        <f>'CUOTA ARTESANAL'!F12</f>
        <v>-0.32400000000000001</v>
      </c>
      <c r="J8" s="22">
        <f>'CUOTA ARTESANAL'!G12</f>
        <v>0.37599999999999995</v>
      </c>
      <c r="K8" s="22">
        <f>'CUOTA ARTESANAL'!H12</f>
        <v>0</v>
      </c>
      <c r="L8" s="22">
        <f>'CUOTA ARTESANAL'!I12</f>
        <v>0.37599999999999995</v>
      </c>
      <c r="M8" s="47">
        <f>'CUOTA ARTESANAL'!J12</f>
        <v>0</v>
      </c>
      <c r="N8" s="24" t="str">
        <f>'CUOTA ARTESANAL'!K12</f>
        <v>-</v>
      </c>
      <c r="O8" s="24">
        <f>RESUMEN!$B$3</f>
        <v>43872</v>
      </c>
      <c r="P8" s="21">
        <v>2020</v>
      </c>
      <c r="Q8" s="21"/>
    </row>
    <row r="9" spans="1:17">
      <c r="A9" s="21" t="s">
        <v>114</v>
      </c>
      <c r="B9" s="21" t="s">
        <v>115</v>
      </c>
      <c r="C9" s="21" t="s">
        <v>116</v>
      </c>
      <c r="D9" s="21" t="s">
        <v>117</v>
      </c>
      <c r="E9" s="21" t="str">
        <f>'CUOTA ARTESANAL'!C13</f>
        <v>PATAGONIA</v>
      </c>
      <c r="F9" s="21" t="s">
        <v>54</v>
      </c>
      <c r="G9" s="21" t="s">
        <v>65</v>
      </c>
      <c r="H9" s="22">
        <f>'CUOTA ARTESANAL'!E13</f>
        <v>1.7</v>
      </c>
      <c r="I9" s="22">
        <f>'CUOTA ARTESANAL'!F13</f>
        <v>0</v>
      </c>
      <c r="J9" s="22">
        <f>'CUOTA ARTESANAL'!G13</f>
        <v>1.7</v>
      </c>
      <c r="K9" s="22">
        <f>'CUOTA ARTESANAL'!H13</f>
        <v>0</v>
      </c>
      <c r="L9" s="22">
        <f>'CUOTA ARTESANAL'!I13</f>
        <v>1.7</v>
      </c>
      <c r="M9" s="47">
        <f>'CUOTA ARTESANAL'!J13</f>
        <v>0</v>
      </c>
      <c r="N9" s="24" t="str">
        <f>'CUOTA ARTESANAL'!K13</f>
        <v>-</v>
      </c>
      <c r="O9" s="24">
        <f>RESUMEN!$B$3</f>
        <v>43872</v>
      </c>
      <c r="P9" s="21">
        <v>2020</v>
      </c>
      <c r="Q9" s="21"/>
    </row>
    <row r="10" spans="1:17">
      <c r="A10" s="21" t="s">
        <v>114</v>
      </c>
      <c r="B10" s="21" t="s">
        <v>115</v>
      </c>
      <c r="C10" s="21" t="s">
        <v>116</v>
      </c>
      <c r="D10" s="21" t="s">
        <v>117</v>
      </c>
      <c r="E10" s="21" t="str">
        <f>'CUOTA ARTESANAL'!C14</f>
        <v>PUERTO MONTT A</v>
      </c>
      <c r="F10" s="21" t="s">
        <v>54</v>
      </c>
      <c r="G10" s="21" t="s">
        <v>65</v>
      </c>
      <c r="H10" s="22">
        <f>'CUOTA ARTESANAL'!E14</f>
        <v>18.399999999999999</v>
      </c>
      <c r="I10" s="22">
        <f>'CUOTA ARTESANAL'!F14</f>
        <v>-3.5009999999999999</v>
      </c>
      <c r="J10" s="22">
        <f>'CUOTA ARTESANAL'!G14</f>
        <v>14.898999999999999</v>
      </c>
      <c r="K10" s="22">
        <f>'CUOTA ARTESANAL'!H14</f>
        <v>0.1</v>
      </c>
      <c r="L10" s="22">
        <f>'CUOTA ARTESANAL'!I14</f>
        <v>14.798999999999999</v>
      </c>
      <c r="M10" s="47">
        <f>'CUOTA ARTESANAL'!J14</f>
        <v>6.7118598563661999E-3</v>
      </c>
      <c r="N10" s="24" t="str">
        <f>'CUOTA ARTESANAL'!K14</f>
        <v>-</v>
      </c>
      <c r="O10" s="24">
        <f>RESUMEN!$B$3</f>
        <v>43872</v>
      </c>
      <c r="P10" s="21">
        <v>2020</v>
      </c>
      <c r="Q10" s="21"/>
    </row>
    <row r="11" spans="1:17">
      <c r="A11" s="21" t="s">
        <v>114</v>
      </c>
      <c r="B11" s="21" t="s">
        <v>115</v>
      </c>
      <c r="C11" s="21" t="s">
        <v>116</v>
      </c>
      <c r="D11" s="21" t="s">
        <v>117</v>
      </c>
      <c r="E11" s="21" t="str">
        <f>'CUOTA ARTESANAL'!C15</f>
        <v>PUERTO MONTT B</v>
      </c>
      <c r="F11" s="21" t="s">
        <v>54</v>
      </c>
      <c r="G11" s="21" t="s">
        <v>65</v>
      </c>
      <c r="H11" s="22">
        <f>'CUOTA ARTESANAL'!E15</f>
        <v>8.5</v>
      </c>
      <c r="I11" s="22">
        <f>'CUOTA ARTESANAL'!F15</f>
        <v>0</v>
      </c>
      <c r="J11" s="22">
        <f>'CUOTA ARTESANAL'!G15</f>
        <v>8.5</v>
      </c>
      <c r="K11" s="22">
        <f>'CUOTA ARTESANAL'!H15</f>
        <v>14.49</v>
      </c>
      <c r="L11" s="22">
        <f>'CUOTA ARTESANAL'!I15</f>
        <v>-5.99</v>
      </c>
      <c r="M11" s="47">
        <f>'CUOTA ARTESANAL'!J15</f>
        <v>1.7047058823529413</v>
      </c>
      <c r="N11" s="24">
        <f>'CUOTA ARTESANAL'!K15</f>
        <v>43845</v>
      </c>
      <c r="O11" s="24">
        <f>RESUMEN!$B$3</f>
        <v>43872</v>
      </c>
      <c r="P11" s="21">
        <v>2020</v>
      </c>
      <c r="Q11" s="21"/>
    </row>
    <row r="12" spans="1:17">
      <c r="A12" s="21" t="s">
        <v>114</v>
      </c>
      <c r="B12" s="21" t="s">
        <v>115</v>
      </c>
      <c r="C12" s="21" t="s">
        <v>116</v>
      </c>
      <c r="D12" s="21" t="s">
        <v>122</v>
      </c>
      <c r="E12" s="21" t="str">
        <f>'CUOTA ARTESANAL'!C16</f>
        <v>RESIDUAL</v>
      </c>
      <c r="F12" s="21" t="s">
        <v>54</v>
      </c>
      <c r="G12" s="21" t="s">
        <v>65</v>
      </c>
      <c r="H12" s="22">
        <f>'CUOTA ARTESANAL'!E16</f>
        <v>29.5</v>
      </c>
      <c r="I12" s="22">
        <f>'CUOTA ARTESANAL'!F16</f>
        <v>0</v>
      </c>
      <c r="J12" s="22">
        <f>'CUOTA ARTESANAL'!G16</f>
        <v>29.5</v>
      </c>
      <c r="K12" s="22">
        <f>'CUOTA ARTESANAL'!H16</f>
        <v>61.16</v>
      </c>
      <c r="L12" s="22">
        <f>'CUOTA ARTESANAL'!I16</f>
        <v>-31.659999999999997</v>
      </c>
      <c r="M12" s="47">
        <f>'CUOTA ARTESANAL'!J16</f>
        <v>2.0732203389830506</v>
      </c>
      <c r="N12" s="24">
        <f>'CUOTA ARTESANAL'!K16</f>
        <v>43845</v>
      </c>
      <c r="O12" s="24">
        <f>RESUMEN!$B$3</f>
        <v>43872</v>
      </c>
      <c r="P12" s="21">
        <v>2020</v>
      </c>
      <c r="Q12" s="21"/>
    </row>
    <row r="13" spans="1:17">
      <c r="A13" s="21" t="s">
        <v>114</v>
      </c>
      <c r="B13" s="21" t="s">
        <v>115</v>
      </c>
      <c r="C13" s="21" t="s">
        <v>116</v>
      </c>
      <c r="D13" s="21" t="s">
        <v>124</v>
      </c>
      <c r="E13" s="21" t="str">
        <f>'CUOTA ARTESANAL'!C17</f>
        <v xml:space="preserve">FAUNA ACOMPAÑANTE </v>
      </c>
      <c r="F13" s="21" t="s">
        <v>54</v>
      </c>
      <c r="G13" s="21" t="s">
        <v>65</v>
      </c>
      <c r="H13" s="22">
        <f>'CUOTA ARTESANAL'!E17</f>
        <v>25.6</v>
      </c>
      <c r="I13" s="22">
        <f>'CUOTA ARTESANAL'!F17</f>
        <v>0</v>
      </c>
      <c r="J13" s="22">
        <f>'CUOTA ARTESANAL'!G17</f>
        <v>25.6</v>
      </c>
      <c r="K13" s="22">
        <f>'CUOTA ARTESANAL'!H17</f>
        <v>0</v>
      </c>
      <c r="L13" s="22">
        <f>'CUOTA ARTESANAL'!I17</f>
        <v>25.6</v>
      </c>
      <c r="M13" s="47">
        <f>'CUOTA ARTESANAL'!J17</f>
        <v>0</v>
      </c>
      <c r="N13" s="24" t="str">
        <f>'CUOTA ARTESANAL'!K17</f>
        <v>-</v>
      </c>
      <c r="O13" s="24">
        <f>RESUMEN!$B$3</f>
        <v>43872</v>
      </c>
      <c r="P13" s="21">
        <v>2020</v>
      </c>
      <c r="Q13" s="21"/>
    </row>
    <row r="14" spans="1:17">
      <c r="A14" s="21" t="s">
        <v>114</v>
      </c>
      <c r="B14" s="21" t="s">
        <v>115</v>
      </c>
      <c r="C14" s="21" t="s">
        <v>116</v>
      </c>
      <c r="D14" s="21" t="s">
        <v>120</v>
      </c>
      <c r="E14" s="21" t="str">
        <f>'CUOTA ARTESANAL'!C18</f>
        <v>AG CHILOE</v>
      </c>
      <c r="F14" s="21" t="s">
        <v>54</v>
      </c>
      <c r="G14" s="21" t="s">
        <v>65</v>
      </c>
      <c r="H14" s="22">
        <f>'CUOTA ARTESANAL'!E18</f>
        <v>146</v>
      </c>
      <c r="I14" s="22">
        <f>'CUOTA ARTESANAL'!F18</f>
        <v>-0.35299999999999998</v>
      </c>
      <c r="J14" s="22">
        <f>'CUOTA ARTESANAL'!G18</f>
        <v>145.64699999999999</v>
      </c>
      <c r="K14" s="22">
        <f>'CUOTA ARTESANAL'!H18</f>
        <v>0</v>
      </c>
      <c r="L14" s="22">
        <f>'CUOTA ARTESANAL'!I18</f>
        <v>145.64699999999999</v>
      </c>
      <c r="M14" s="47">
        <f>'CUOTA ARTESANAL'!J18</f>
        <v>0</v>
      </c>
      <c r="N14" s="24" t="str">
        <f>'CUOTA ARTESANAL'!K18</f>
        <v>-</v>
      </c>
      <c r="O14" s="24">
        <f>RESUMEN!$B$3</f>
        <v>43872</v>
      </c>
      <c r="P14" s="21">
        <v>2020</v>
      </c>
      <c r="Q14" s="21"/>
    </row>
    <row r="15" spans="1:17">
      <c r="A15" s="21" t="s">
        <v>114</v>
      </c>
      <c r="B15" s="21" t="s">
        <v>115</v>
      </c>
      <c r="C15" s="21" t="s">
        <v>116</v>
      </c>
      <c r="D15" s="21" t="s">
        <v>123</v>
      </c>
      <c r="E15" s="21" t="str">
        <f>'CUOTA ARTESANAL'!C19</f>
        <v>RESIDUAL</v>
      </c>
      <c r="F15" s="21" t="s">
        <v>54</v>
      </c>
      <c r="G15" s="21" t="s">
        <v>65</v>
      </c>
      <c r="H15" s="22">
        <f>'CUOTA ARTESANAL'!E19</f>
        <v>19</v>
      </c>
      <c r="I15" s="22">
        <f>'CUOTA ARTESANAL'!F19</f>
        <v>0</v>
      </c>
      <c r="J15" s="22">
        <f>'CUOTA ARTESANAL'!G19</f>
        <v>19</v>
      </c>
      <c r="K15" s="22">
        <f>'CUOTA ARTESANAL'!H19</f>
        <v>31.13</v>
      </c>
      <c r="L15" s="22">
        <f>'CUOTA ARTESANAL'!I19</f>
        <v>-12.129999999999999</v>
      </c>
      <c r="M15" s="47">
        <f>'CUOTA ARTESANAL'!J19</f>
        <v>1.638421052631579</v>
      </c>
      <c r="N15" s="24">
        <f>'CUOTA ARTESANAL'!K19</f>
        <v>43845</v>
      </c>
      <c r="O15" s="24">
        <f>RESUMEN!$B$3</f>
        <v>43872</v>
      </c>
      <c r="P15" s="21">
        <v>2020</v>
      </c>
      <c r="Q15" s="21"/>
    </row>
    <row r="16" spans="1:17">
      <c r="A16" s="21" t="s">
        <v>114</v>
      </c>
      <c r="B16" s="21" t="s">
        <v>115</v>
      </c>
      <c r="C16" s="21" t="s">
        <v>116</v>
      </c>
      <c r="D16" s="21" t="s">
        <v>125</v>
      </c>
      <c r="E16" s="21" t="str">
        <f>'CUOTA ARTESANAL'!C20</f>
        <v xml:space="preserve">FAUNA ACOMPAÑANTE </v>
      </c>
      <c r="F16" s="21" t="s">
        <v>54</v>
      </c>
      <c r="G16" s="21" t="s">
        <v>65</v>
      </c>
      <c r="H16" s="22">
        <f>'CUOTA ARTESANAL'!E20</f>
        <v>17.100000000000001</v>
      </c>
      <c r="I16" s="22">
        <f>'CUOTA ARTESANAL'!F20</f>
        <v>0</v>
      </c>
      <c r="J16" s="22">
        <f>'CUOTA ARTESANAL'!G20</f>
        <v>17.100000000000001</v>
      </c>
      <c r="K16" s="22">
        <f>'CUOTA ARTESANAL'!H20</f>
        <v>0</v>
      </c>
      <c r="L16" s="22">
        <f>'CUOTA ARTESANAL'!I20</f>
        <v>17.100000000000001</v>
      </c>
      <c r="M16" s="47">
        <f>'CUOTA ARTESANAL'!J20</f>
        <v>0</v>
      </c>
      <c r="N16" s="24" t="str">
        <f>'CUOTA ARTESANAL'!K20</f>
        <v>-</v>
      </c>
      <c r="O16" s="24">
        <f>RESUMEN!$B$3</f>
        <v>43872</v>
      </c>
      <c r="P16" s="21">
        <v>2020</v>
      </c>
      <c r="Q16" s="21"/>
    </row>
    <row r="17" spans="1:17">
      <c r="A17" s="21" t="s">
        <v>118</v>
      </c>
      <c r="B17" s="21" t="s">
        <v>115</v>
      </c>
      <c r="C17" s="21" t="s">
        <v>119</v>
      </c>
      <c r="D17" s="21" t="s">
        <v>117</v>
      </c>
      <c r="E17" s="21" t="str">
        <f>'CUOTA ARTESANAL'!C21</f>
        <v>UNIDAD DE PESQUERIA NORTE</v>
      </c>
      <c r="F17" s="21" t="s">
        <v>54</v>
      </c>
      <c r="G17" s="21" t="s">
        <v>55</v>
      </c>
      <c r="H17" s="22">
        <f>'CUOTA ARTESANAL'!E21</f>
        <v>2.5</v>
      </c>
      <c r="I17" s="22">
        <f>'CUOTA ARTESANAL'!F21</f>
        <v>0</v>
      </c>
      <c r="J17" s="22">
        <f>'CUOTA ARTESANAL'!G21</f>
        <v>2.5</v>
      </c>
      <c r="K17" s="22">
        <f>'CUOTA ARTESANAL'!H21</f>
        <v>8.9</v>
      </c>
      <c r="L17" s="22">
        <f>'CUOTA ARTESANAL'!I21</f>
        <v>-6.4</v>
      </c>
      <c r="M17" s="47">
        <f>'CUOTA ARTESANAL'!J21</f>
        <v>3.56</v>
      </c>
      <c r="N17" s="24">
        <f>'CUOTA ARTESANAL'!K21</f>
        <v>43843</v>
      </c>
      <c r="O17" s="24">
        <f>RESUMEN!$B$3</f>
        <v>43872</v>
      </c>
      <c r="P17" s="21">
        <v>2020</v>
      </c>
      <c r="Q17" s="21"/>
    </row>
    <row r="18" spans="1:17">
      <c r="A18" s="21" t="s">
        <v>118</v>
      </c>
      <c r="B18" s="21" t="s">
        <v>115</v>
      </c>
      <c r="C18" s="21" t="s">
        <v>119</v>
      </c>
      <c r="D18" s="21" t="s">
        <v>117</v>
      </c>
      <c r="E18" s="21" t="str">
        <f>'CUOTA ARTESANAL'!C21</f>
        <v>UNIDAD DE PESQUERIA NORTE</v>
      </c>
      <c r="F18" s="21" t="s">
        <v>56</v>
      </c>
      <c r="G18" s="21" t="s">
        <v>61</v>
      </c>
      <c r="H18" s="22">
        <f>'CUOTA ARTESANAL'!E22</f>
        <v>80</v>
      </c>
      <c r="I18" s="22">
        <f>'CUOTA ARTESANAL'!F22</f>
        <v>0</v>
      </c>
      <c r="J18" s="22">
        <f>'CUOTA ARTESANAL'!G22</f>
        <v>73.599999999999994</v>
      </c>
      <c r="K18" s="22">
        <f>'CUOTA ARTESANAL'!H22</f>
        <v>0</v>
      </c>
      <c r="L18" s="22">
        <f>'CUOTA ARTESANAL'!I22</f>
        <v>73.599999999999994</v>
      </c>
      <c r="M18" s="47">
        <f>'CUOTA ARTESANAL'!J22</f>
        <v>0</v>
      </c>
      <c r="N18" s="24" t="str">
        <f>'CUOTA ARTESANAL'!K22</f>
        <v>-</v>
      </c>
      <c r="O18" s="24">
        <f>RESUMEN!$B$3</f>
        <v>43872</v>
      </c>
      <c r="P18" s="21">
        <v>2020</v>
      </c>
      <c r="Q18" s="21"/>
    </row>
    <row r="19" spans="1:17">
      <c r="A19" s="21" t="s">
        <v>118</v>
      </c>
      <c r="B19" s="21" t="s">
        <v>115</v>
      </c>
      <c r="C19" s="21" t="s">
        <v>119</v>
      </c>
      <c r="D19" s="21" t="s">
        <v>117</v>
      </c>
      <c r="E19" s="21" t="str">
        <f>'CUOTA ARTESANAL'!C21</f>
        <v>UNIDAD DE PESQUERIA NORTE</v>
      </c>
      <c r="F19" s="21" t="s">
        <v>62</v>
      </c>
      <c r="G19" s="21" t="s">
        <v>65</v>
      </c>
      <c r="H19" s="22">
        <f>'CUOTA ARTESANAL'!E23</f>
        <v>82.5</v>
      </c>
      <c r="I19" s="22">
        <f>'CUOTA ARTESANAL'!F23</f>
        <v>0</v>
      </c>
      <c r="J19" s="22">
        <f>'CUOTA ARTESANAL'!G23</f>
        <v>156.1</v>
      </c>
      <c r="K19" s="22">
        <f>'CUOTA ARTESANAL'!H23</f>
        <v>0</v>
      </c>
      <c r="L19" s="22">
        <f>'CUOTA ARTESANAL'!I23</f>
        <v>156.1</v>
      </c>
      <c r="M19" s="47">
        <f>'CUOTA ARTESANAL'!J23</f>
        <v>0</v>
      </c>
      <c r="N19" s="24" t="str">
        <f>'CUOTA ARTESANAL'!K23</f>
        <v>-</v>
      </c>
      <c r="O19" s="24">
        <f>RESUMEN!$B$3</f>
        <v>43872</v>
      </c>
      <c r="P19" s="21">
        <v>2020</v>
      </c>
      <c r="Q19" s="21"/>
    </row>
    <row r="20" spans="1:17">
      <c r="A20" s="21" t="s">
        <v>118</v>
      </c>
      <c r="B20" s="21" t="s">
        <v>115</v>
      </c>
      <c r="C20" s="21" t="s">
        <v>119</v>
      </c>
      <c r="D20" s="21" t="s">
        <v>117</v>
      </c>
      <c r="E20" s="21" t="str">
        <f>'CUOTA ARTESANAL'!C21</f>
        <v>UNIDAD DE PESQUERIA NORTE</v>
      </c>
      <c r="F20" s="21" t="s">
        <v>54</v>
      </c>
      <c r="G20" s="21" t="s">
        <v>65</v>
      </c>
      <c r="H20" s="22">
        <f>'CUOTA ARTESANAL'!L21</f>
        <v>165</v>
      </c>
      <c r="I20" s="22">
        <f>'CUOTA ARTESANAL'!M21</f>
        <v>0</v>
      </c>
      <c r="J20" s="22">
        <f>'CUOTA ARTESANAL'!N21</f>
        <v>165</v>
      </c>
      <c r="K20" s="22">
        <f>'CUOTA ARTESANAL'!O21</f>
        <v>8.9</v>
      </c>
      <c r="L20" s="22">
        <f>'CUOTA ARTESANAL'!P21</f>
        <v>156.1</v>
      </c>
      <c r="M20" s="47">
        <f>'CUOTA ARTESANAL'!Q21</f>
        <v>5.393939393939394E-2</v>
      </c>
      <c r="N20" s="24" t="s">
        <v>48</v>
      </c>
      <c r="O20" s="24">
        <f>RESUMEN!$B$3</f>
        <v>43872</v>
      </c>
      <c r="P20" s="21">
        <v>2020</v>
      </c>
      <c r="Q20" s="21"/>
    </row>
    <row r="21" spans="1:17">
      <c r="A21" s="21" t="s">
        <v>118</v>
      </c>
      <c r="B21" s="21" t="s">
        <v>115</v>
      </c>
      <c r="C21" s="21" t="s">
        <v>119</v>
      </c>
      <c r="D21" s="21" t="s">
        <v>91</v>
      </c>
      <c r="E21" s="21" t="s">
        <v>23</v>
      </c>
      <c r="F21" s="21" t="s">
        <v>54</v>
      </c>
      <c r="G21" s="21" t="s">
        <v>65</v>
      </c>
      <c r="H21" s="22">
        <f>'CUOTA ARTESANAL'!E24</f>
        <v>18.3</v>
      </c>
      <c r="I21" s="22">
        <f>'CUOTA ARTESANAL'!F24</f>
        <v>0</v>
      </c>
      <c r="J21" s="22">
        <f>'CUOTA ARTESANAL'!G24</f>
        <v>18.3</v>
      </c>
      <c r="K21" s="22">
        <f>'CUOTA ARTESANAL'!H24</f>
        <v>0.64</v>
      </c>
      <c r="L21" s="22">
        <f>'CUOTA ARTESANAL'!I24</f>
        <v>17.66</v>
      </c>
      <c r="M21" s="47">
        <f>'CUOTA ARTESANAL'!J24</f>
        <v>3.4972677595628415E-2</v>
      </c>
      <c r="N21" s="24" t="str">
        <f>'CUOTA ARTESANAL'!K24</f>
        <v>-</v>
      </c>
      <c r="O21" s="24">
        <f>RESUMEN!$B$3</f>
        <v>43872</v>
      </c>
      <c r="P21" s="21">
        <v>2020</v>
      </c>
      <c r="Q21" s="21"/>
    </row>
    <row r="22" spans="1:17">
      <c r="A22" s="21" t="s">
        <v>118</v>
      </c>
      <c r="B22" s="21" t="s">
        <v>115</v>
      </c>
      <c r="C22" s="21" t="s">
        <v>119</v>
      </c>
      <c r="D22" s="21" t="s">
        <v>117</v>
      </c>
      <c r="E22" s="21" t="str">
        <f>'CUOTA ARTESANAL'!C25</f>
        <v>UNIDAD DE PESQUERIA SUR</v>
      </c>
      <c r="F22" s="21" t="s">
        <v>54</v>
      </c>
      <c r="G22" s="21" t="s">
        <v>59</v>
      </c>
      <c r="H22" s="22">
        <f>'CUOTA ARTESANAL'!E25</f>
        <v>14.8</v>
      </c>
      <c r="I22" s="22">
        <f>'CUOTA ARTESANAL'!F25</f>
        <v>0</v>
      </c>
      <c r="J22" s="22">
        <f>'CUOTA ARTESANAL'!G25</f>
        <v>14.8</v>
      </c>
      <c r="K22" s="22">
        <f>'CUOTA ARTESANAL'!H25</f>
        <v>4.5869999999999997</v>
      </c>
      <c r="L22" s="22">
        <f>'CUOTA ARTESANAL'!I25</f>
        <v>10.213000000000001</v>
      </c>
      <c r="M22" s="47">
        <f>'CUOTA ARTESANAL'!J25</f>
        <v>0.3099324324324324</v>
      </c>
      <c r="N22" s="24" t="str">
        <f>'CUOTA ARTESANAL'!K25</f>
        <v>-</v>
      </c>
      <c r="O22" s="24">
        <f>RESUMEN!$B$3</f>
        <v>43872</v>
      </c>
      <c r="P22" s="21">
        <v>2020</v>
      </c>
      <c r="Q22" s="21"/>
    </row>
    <row r="23" spans="1:17">
      <c r="A23" s="21" t="s">
        <v>118</v>
      </c>
      <c r="B23" s="21" t="s">
        <v>115</v>
      </c>
      <c r="C23" s="21" t="s">
        <v>119</v>
      </c>
      <c r="D23" s="21" t="s">
        <v>117</v>
      </c>
      <c r="E23" s="21" t="str">
        <f>'CUOTA ARTESANAL'!C25</f>
        <v>UNIDAD DE PESQUERIA SUR</v>
      </c>
      <c r="F23" s="21" t="s">
        <v>60</v>
      </c>
      <c r="G23" s="21" t="s">
        <v>65</v>
      </c>
      <c r="H23" s="22">
        <f>'CUOTA ARTESANAL'!E26</f>
        <v>14.8</v>
      </c>
      <c r="I23" s="22">
        <f>'CUOTA ARTESANAL'!F26</f>
        <v>0</v>
      </c>
      <c r="J23" s="22">
        <f>'CUOTA ARTESANAL'!G26</f>
        <v>25.013000000000002</v>
      </c>
      <c r="K23" s="22">
        <f>'CUOTA ARTESANAL'!H26</f>
        <v>0</v>
      </c>
      <c r="L23" s="22">
        <f>'CUOTA ARTESANAL'!I26</f>
        <v>25.013000000000002</v>
      </c>
      <c r="M23" s="47">
        <f>'CUOTA ARTESANAL'!J26</f>
        <v>0</v>
      </c>
      <c r="N23" s="24" t="str">
        <f>'CUOTA ARTESANAL'!K26</f>
        <v>-</v>
      </c>
      <c r="O23" s="24">
        <f>RESUMEN!$B$3</f>
        <v>43872</v>
      </c>
      <c r="P23" s="21">
        <v>2020</v>
      </c>
      <c r="Q23" s="21"/>
    </row>
    <row r="24" spans="1:17">
      <c r="A24" s="21" t="s">
        <v>118</v>
      </c>
      <c r="B24" s="21" t="s">
        <v>115</v>
      </c>
      <c r="C24" s="21" t="s">
        <v>119</v>
      </c>
      <c r="D24" s="21" t="s">
        <v>117</v>
      </c>
      <c r="E24" s="21" t="str">
        <f>'CUOTA ARTESANAL'!C25</f>
        <v>UNIDAD DE PESQUERIA SUR</v>
      </c>
      <c r="F24" s="21" t="s">
        <v>54</v>
      </c>
      <c r="G24" s="21" t="s">
        <v>65</v>
      </c>
      <c r="H24" s="22">
        <f>'CUOTA ARTESANAL'!L25</f>
        <v>29.6</v>
      </c>
      <c r="I24" s="22">
        <f>'CUOTA ARTESANAL'!M25</f>
        <v>0</v>
      </c>
      <c r="J24" s="22">
        <f>'CUOTA ARTESANAL'!N25</f>
        <v>29.6</v>
      </c>
      <c r="K24" s="22">
        <f>'CUOTA ARTESANAL'!O25</f>
        <v>4.5869999999999997</v>
      </c>
      <c r="L24" s="22">
        <f>'CUOTA ARTESANAL'!P25</f>
        <v>25.013000000000002</v>
      </c>
      <c r="M24" s="47">
        <f>'CUOTA ARTESANAL'!Q25</f>
        <v>0.1549662162162162</v>
      </c>
      <c r="N24" s="24" t="s">
        <v>48</v>
      </c>
      <c r="O24" s="24">
        <f>RESUMEN!$B$3</f>
        <v>43872</v>
      </c>
      <c r="P24" s="21">
        <v>2020</v>
      </c>
      <c r="Q24" s="21"/>
    </row>
    <row r="25" spans="1:17">
      <c r="A25" s="21" t="s">
        <v>127</v>
      </c>
      <c r="B25" s="21" t="s">
        <v>115</v>
      </c>
      <c r="C25" s="21" t="s">
        <v>119</v>
      </c>
      <c r="D25" s="21" t="s">
        <v>126</v>
      </c>
      <c r="E25" s="21" t="s">
        <v>23</v>
      </c>
      <c r="F25" s="21" t="s">
        <v>54</v>
      </c>
      <c r="G25" s="21" t="s">
        <v>65</v>
      </c>
      <c r="H25" s="22">
        <f>'CUOTA ARTESANAL'!E27</f>
        <v>3.3</v>
      </c>
      <c r="I25" s="22">
        <f>'CUOTA ARTESANAL'!F27</f>
        <v>0</v>
      </c>
      <c r="J25" s="22">
        <f>'CUOTA ARTESANAL'!G27</f>
        <v>3.3</v>
      </c>
      <c r="K25" s="22">
        <f>'CUOTA ARTESANAL'!H27</f>
        <v>0</v>
      </c>
      <c r="L25" s="22">
        <f>'CUOTA ARTESANAL'!I27</f>
        <v>3.3</v>
      </c>
      <c r="M25" s="47">
        <f>'CUOTA ARTESANAL'!J27</f>
        <v>0</v>
      </c>
      <c r="N25" s="24" t="str">
        <f>'CUOTA ARTESANAL'!K27</f>
        <v>-</v>
      </c>
      <c r="O25" s="24">
        <f>RESUMEN!$B$3</f>
        <v>43872</v>
      </c>
      <c r="P25" s="21">
        <v>2020</v>
      </c>
      <c r="Q25" s="21"/>
    </row>
    <row r="26" spans="1:17">
      <c r="A26" s="21" t="s">
        <v>118</v>
      </c>
      <c r="B26" s="21" t="s">
        <v>115</v>
      </c>
      <c r="C26" s="21" t="s">
        <v>128</v>
      </c>
      <c r="D26" s="21" t="s">
        <v>121</v>
      </c>
      <c r="E26" s="21" t="s">
        <v>129</v>
      </c>
      <c r="F26" s="21" t="s">
        <v>54</v>
      </c>
      <c r="G26" s="21" t="s">
        <v>54</v>
      </c>
      <c r="H26" s="22">
        <f>'CUOTA ARTESANAL'!E28</f>
        <v>22.2</v>
      </c>
      <c r="I26" s="22">
        <f>'CUOTA ARTESANAL'!F28</f>
        <v>0</v>
      </c>
      <c r="J26" s="22">
        <f>'CUOTA ARTESANAL'!G28</f>
        <v>22.2</v>
      </c>
      <c r="K26" s="22">
        <f>'CUOTA ARTESANAL'!H28</f>
        <v>4.1459999999999999</v>
      </c>
      <c r="L26" s="22">
        <f>'CUOTA ARTESANAL'!I28</f>
        <v>18.053999999999998</v>
      </c>
      <c r="M26" s="47">
        <f>'CUOTA ARTESANAL'!J28</f>
        <v>0.18675675675675676</v>
      </c>
      <c r="N26" s="24" t="str">
        <f>'CUOTA ARTESANAL'!K28</f>
        <v>-</v>
      </c>
      <c r="O26" s="24">
        <f>RESUMEN!$B$3</f>
        <v>43872</v>
      </c>
      <c r="P26" s="21">
        <v>2020</v>
      </c>
      <c r="Q26" s="21"/>
    </row>
    <row r="27" spans="1:17">
      <c r="A27" s="21" t="s">
        <v>118</v>
      </c>
      <c r="B27" s="21" t="s">
        <v>115</v>
      </c>
      <c r="C27" s="21" t="s">
        <v>128</v>
      </c>
      <c r="D27" s="21" t="s">
        <v>121</v>
      </c>
      <c r="E27" s="21" t="s">
        <v>129</v>
      </c>
      <c r="F27" s="21" t="s">
        <v>55</v>
      </c>
      <c r="G27" s="21" t="s">
        <v>55</v>
      </c>
      <c r="H27" s="22">
        <f>'CUOTA ARTESANAL'!E29</f>
        <v>22.2</v>
      </c>
      <c r="I27" s="22">
        <f>'CUOTA ARTESANAL'!F29</f>
        <v>0</v>
      </c>
      <c r="J27" s="22">
        <f>'CUOTA ARTESANAL'!G29</f>
        <v>40.253999999999998</v>
      </c>
      <c r="K27" s="22">
        <f>'CUOTA ARTESANAL'!H29</f>
        <v>0</v>
      </c>
      <c r="L27" s="22">
        <f>'CUOTA ARTESANAL'!I29</f>
        <v>40.253999999999998</v>
      </c>
      <c r="M27" s="47">
        <f>'CUOTA ARTESANAL'!J29</f>
        <v>0</v>
      </c>
      <c r="N27" s="24" t="str">
        <f>'CUOTA ARTESANAL'!K29</f>
        <v>-</v>
      </c>
      <c r="O27" s="24">
        <f>RESUMEN!$B$3</f>
        <v>43872</v>
      </c>
      <c r="P27" s="21">
        <v>2020</v>
      </c>
      <c r="Q27" s="21"/>
    </row>
    <row r="28" spans="1:17">
      <c r="A28" s="21" t="s">
        <v>118</v>
      </c>
      <c r="B28" s="21" t="s">
        <v>115</v>
      </c>
      <c r="C28" s="21" t="s">
        <v>128</v>
      </c>
      <c r="D28" s="21" t="s">
        <v>121</v>
      </c>
      <c r="E28" s="21" t="s">
        <v>129</v>
      </c>
      <c r="F28" s="21" t="s">
        <v>56</v>
      </c>
      <c r="G28" s="21" t="s">
        <v>56</v>
      </c>
      <c r="H28" s="22">
        <f>'CUOTA ARTESANAL'!E30</f>
        <v>22.2</v>
      </c>
      <c r="I28" s="22">
        <f>'CUOTA ARTESANAL'!F30</f>
        <v>0</v>
      </c>
      <c r="J28" s="22">
        <f>'CUOTA ARTESANAL'!G30</f>
        <v>62.453999999999994</v>
      </c>
      <c r="K28" s="22">
        <f>'CUOTA ARTESANAL'!H30</f>
        <v>0</v>
      </c>
      <c r="L28" s="22">
        <f>'CUOTA ARTESANAL'!I30</f>
        <v>62.453999999999994</v>
      </c>
      <c r="M28" s="47">
        <f>'CUOTA ARTESANAL'!J30</f>
        <v>0</v>
      </c>
      <c r="N28" s="24" t="str">
        <f>'CUOTA ARTESANAL'!K30</f>
        <v>-</v>
      </c>
      <c r="O28" s="24">
        <f>RESUMEN!$B$3</f>
        <v>43872</v>
      </c>
      <c r="P28" s="21">
        <v>2020</v>
      </c>
      <c r="Q28" s="21"/>
    </row>
    <row r="29" spans="1:17">
      <c r="A29" s="21" t="s">
        <v>118</v>
      </c>
      <c r="B29" s="21" t="s">
        <v>115</v>
      </c>
      <c r="C29" s="21" t="s">
        <v>128</v>
      </c>
      <c r="D29" s="21" t="s">
        <v>121</v>
      </c>
      <c r="E29" s="21" t="s">
        <v>129</v>
      </c>
      <c r="F29" s="21" t="s">
        <v>57</v>
      </c>
      <c r="G29" s="21" t="s">
        <v>57</v>
      </c>
      <c r="H29" s="22">
        <f>'CUOTA ARTESANAL'!E31</f>
        <v>22.2</v>
      </c>
      <c r="I29" s="22">
        <f>'CUOTA ARTESANAL'!F31</f>
        <v>0</v>
      </c>
      <c r="J29" s="22">
        <f>'CUOTA ARTESANAL'!G31</f>
        <v>84.653999999999996</v>
      </c>
      <c r="K29" s="22">
        <f>'CUOTA ARTESANAL'!H31</f>
        <v>0</v>
      </c>
      <c r="L29" s="22">
        <f>'CUOTA ARTESANAL'!I31</f>
        <v>84.653999999999996</v>
      </c>
      <c r="M29" s="47">
        <f>'CUOTA ARTESANAL'!J31</f>
        <v>0</v>
      </c>
      <c r="N29" s="24" t="str">
        <f>'CUOTA ARTESANAL'!K31</f>
        <v>-</v>
      </c>
      <c r="O29" s="24">
        <f>RESUMEN!$B$3</f>
        <v>43872</v>
      </c>
      <c r="P29" s="21">
        <v>2020</v>
      </c>
      <c r="Q29" s="21"/>
    </row>
    <row r="30" spans="1:17">
      <c r="A30" s="21" t="s">
        <v>118</v>
      </c>
      <c r="B30" s="21" t="s">
        <v>115</v>
      </c>
      <c r="C30" s="21" t="s">
        <v>128</v>
      </c>
      <c r="D30" s="21" t="s">
        <v>121</v>
      </c>
      <c r="E30" s="21" t="s">
        <v>129</v>
      </c>
      <c r="F30" s="21" t="s">
        <v>58</v>
      </c>
      <c r="G30" s="21" t="s">
        <v>58</v>
      </c>
      <c r="H30" s="22">
        <f>'CUOTA ARTESANAL'!E32</f>
        <v>22.2</v>
      </c>
      <c r="I30" s="22">
        <f>'CUOTA ARTESANAL'!F32</f>
        <v>0</v>
      </c>
      <c r="J30" s="22">
        <f>'CUOTA ARTESANAL'!G32</f>
        <v>106.854</v>
      </c>
      <c r="K30" s="22">
        <f>'CUOTA ARTESANAL'!H32</f>
        <v>0</v>
      </c>
      <c r="L30" s="22">
        <f>'CUOTA ARTESANAL'!I32</f>
        <v>106.854</v>
      </c>
      <c r="M30" s="47">
        <f>'CUOTA ARTESANAL'!J32</f>
        <v>0</v>
      </c>
      <c r="N30" s="24" t="str">
        <f>'CUOTA ARTESANAL'!K32</f>
        <v>-</v>
      </c>
      <c r="O30" s="24">
        <f>RESUMEN!$B$3</f>
        <v>43872</v>
      </c>
      <c r="P30" s="21">
        <v>2020</v>
      </c>
      <c r="Q30" s="21"/>
    </row>
    <row r="31" spans="1:17">
      <c r="A31" s="21" t="s">
        <v>118</v>
      </c>
      <c r="B31" s="21" t="s">
        <v>115</v>
      </c>
      <c r="C31" s="21" t="s">
        <v>128</v>
      </c>
      <c r="D31" s="21" t="s">
        <v>121</v>
      </c>
      <c r="E31" s="21" t="s">
        <v>129</v>
      </c>
      <c r="F31" s="21" t="s">
        <v>59</v>
      </c>
      <c r="G31" s="21" t="s">
        <v>59</v>
      </c>
      <c r="H31" s="22">
        <f>'CUOTA ARTESANAL'!E33</f>
        <v>22.2</v>
      </c>
      <c r="I31" s="22">
        <f>'CUOTA ARTESANAL'!F33</f>
        <v>0</v>
      </c>
      <c r="J31" s="22">
        <f>'CUOTA ARTESANAL'!G33</f>
        <v>129.054</v>
      </c>
      <c r="K31" s="22">
        <f>'CUOTA ARTESANAL'!H33</f>
        <v>0</v>
      </c>
      <c r="L31" s="22">
        <f>'CUOTA ARTESANAL'!I33</f>
        <v>129.054</v>
      </c>
      <c r="M31" s="47">
        <f>'CUOTA ARTESANAL'!J33</f>
        <v>0</v>
      </c>
      <c r="N31" s="24" t="str">
        <f>'CUOTA ARTESANAL'!K33</f>
        <v>-</v>
      </c>
      <c r="O31" s="24">
        <f>RESUMEN!$B$3</f>
        <v>43872</v>
      </c>
      <c r="P31" s="21">
        <v>2020</v>
      </c>
      <c r="Q31" s="21"/>
    </row>
    <row r="32" spans="1:17">
      <c r="A32" s="21" t="s">
        <v>118</v>
      </c>
      <c r="B32" s="21" t="s">
        <v>115</v>
      </c>
      <c r="C32" s="21" t="s">
        <v>128</v>
      </c>
      <c r="D32" s="21" t="s">
        <v>121</v>
      </c>
      <c r="E32" s="21" t="s">
        <v>129</v>
      </c>
      <c r="F32" s="21" t="s">
        <v>60</v>
      </c>
      <c r="G32" s="21" t="s">
        <v>60</v>
      </c>
      <c r="H32" s="22">
        <f>'CUOTA ARTESANAL'!E34</f>
        <v>22.2</v>
      </c>
      <c r="I32" s="22">
        <f>'CUOTA ARTESANAL'!F34</f>
        <v>0</v>
      </c>
      <c r="J32" s="22">
        <f>'CUOTA ARTESANAL'!G34</f>
        <v>151.25399999999999</v>
      </c>
      <c r="K32" s="22">
        <f>'CUOTA ARTESANAL'!H34</f>
        <v>0</v>
      </c>
      <c r="L32" s="22">
        <f>'CUOTA ARTESANAL'!I34</f>
        <v>151.25399999999999</v>
      </c>
      <c r="M32" s="47">
        <f>'CUOTA ARTESANAL'!J34</f>
        <v>0</v>
      </c>
      <c r="N32" s="24" t="str">
        <f>'CUOTA ARTESANAL'!K34</f>
        <v>-</v>
      </c>
      <c r="O32" s="24">
        <f>RESUMEN!$B$3</f>
        <v>43872</v>
      </c>
      <c r="P32" s="21">
        <v>2020</v>
      </c>
      <c r="Q32" s="21"/>
    </row>
    <row r="33" spans="1:17">
      <c r="A33" s="21" t="s">
        <v>118</v>
      </c>
      <c r="B33" s="21" t="s">
        <v>115</v>
      </c>
      <c r="C33" s="21" t="s">
        <v>128</v>
      </c>
      <c r="D33" s="21" t="s">
        <v>121</v>
      </c>
      <c r="E33" s="21" t="s">
        <v>129</v>
      </c>
      <c r="F33" s="21" t="s">
        <v>61</v>
      </c>
      <c r="G33" s="21" t="s">
        <v>61</v>
      </c>
      <c r="H33" s="22">
        <f>'CUOTA ARTESANAL'!E35</f>
        <v>22.2</v>
      </c>
      <c r="I33" s="22">
        <f>'CUOTA ARTESANAL'!F35</f>
        <v>0</v>
      </c>
      <c r="J33" s="22">
        <f>'CUOTA ARTESANAL'!G35</f>
        <v>173.45399999999998</v>
      </c>
      <c r="K33" s="22">
        <f>'CUOTA ARTESANAL'!H35</f>
        <v>0</v>
      </c>
      <c r="L33" s="22">
        <f>'CUOTA ARTESANAL'!I35</f>
        <v>173.45399999999998</v>
      </c>
      <c r="M33" s="47">
        <f>'CUOTA ARTESANAL'!J35</f>
        <v>0</v>
      </c>
      <c r="N33" s="24" t="str">
        <f>'CUOTA ARTESANAL'!K35</f>
        <v>-</v>
      </c>
      <c r="O33" s="24">
        <f>RESUMEN!$B$3</f>
        <v>43872</v>
      </c>
      <c r="P33" s="21">
        <v>2020</v>
      </c>
      <c r="Q33" s="21"/>
    </row>
    <row r="34" spans="1:17">
      <c r="A34" s="21" t="s">
        <v>118</v>
      </c>
      <c r="B34" s="21" t="s">
        <v>115</v>
      </c>
      <c r="C34" s="21" t="s">
        <v>128</v>
      </c>
      <c r="D34" s="21" t="s">
        <v>121</v>
      </c>
      <c r="E34" s="21" t="s">
        <v>129</v>
      </c>
      <c r="F34" s="21" t="s">
        <v>62</v>
      </c>
      <c r="G34" s="21" t="s">
        <v>62</v>
      </c>
      <c r="H34" s="22">
        <f>'CUOTA ARTESANAL'!E36</f>
        <v>22.2</v>
      </c>
      <c r="I34" s="22">
        <f>'CUOTA ARTESANAL'!F36</f>
        <v>0</v>
      </c>
      <c r="J34" s="22">
        <f>'CUOTA ARTESANAL'!G36</f>
        <v>195.65399999999997</v>
      </c>
      <c r="K34" s="22">
        <f>'CUOTA ARTESANAL'!H36</f>
        <v>0</v>
      </c>
      <c r="L34" s="22">
        <f>'CUOTA ARTESANAL'!I36</f>
        <v>195.65399999999997</v>
      </c>
      <c r="M34" s="47">
        <f>'CUOTA ARTESANAL'!J36</f>
        <v>0</v>
      </c>
      <c r="N34" s="24" t="str">
        <f>'CUOTA ARTESANAL'!K36</f>
        <v>-</v>
      </c>
      <c r="O34" s="24">
        <f>RESUMEN!$B$3</f>
        <v>43872</v>
      </c>
      <c r="P34" s="21">
        <v>2020</v>
      </c>
      <c r="Q34" s="21"/>
    </row>
    <row r="35" spans="1:17">
      <c r="A35" s="21" t="s">
        <v>118</v>
      </c>
      <c r="B35" s="21" t="s">
        <v>115</v>
      </c>
      <c r="C35" s="21" t="s">
        <v>128</v>
      </c>
      <c r="D35" s="21" t="s">
        <v>121</v>
      </c>
      <c r="E35" s="21" t="s">
        <v>129</v>
      </c>
      <c r="F35" s="21" t="s">
        <v>63</v>
      </c>
      <c r="G35" s="21" t="s">
        <v>63</v>
      </c>
      <c r="H35" s="22">
        <f>'CUOTA ARTESANAL'!E37</f>
        <v>22.2</v>
      </c>
      <c r="I35" s="22">
        <f>'CUOTA ARTESANAL'!F37</f>
        <v>0</v>
      </c>
      <c r="J35" s="22">
        <f>'CUOTA ARTESANAL'!G37</f>
        <v>217.85399999999996</v>
      </c>
      <c r="K35" s="22">
        <f>'CUOTA ARTESANAL'!H37</f>
        <v>0</v>
      </c>
      <c r="L35" s="22">
        <f>'CUOTA ARTESANAL'!I37</f>
        <v>217.85399999999996</v>
      </c>
      <c r="M35" s="47">
        <f>'CUOTA ARTESANAL'!J37</f>
        <v>0</v>
      </c>
      <c r="N35" s="24" t="str">
        <f>'CUOTA ARTESANAL'!K37</f>
        <v>-</v>
      </c>
      <c r="O35" s="24">
        <f>RESUMEN!$B$3</f>
        <v>43872</v>
      </c>
      <c r="P35" s="21">
        <v>2020</v>
      </c>
      <c r="Q35" s="21"/>
    </row>
    <row r="36" spans="1:17">
      <c r="A36" s="21" t="s">
        <v>118</v>
      </c>
      <c r="B36" s="21" t="s">
        <v>115</v>
      </c>
      <c r="C36" s="21" t="s">
        <v>128</v>
      </c>
      <c r="D36" s="21" t="s">
        <v>121</v>
      </c>
      <c r="E36" s="21" t="s">
        <v>129</v>
      </c>
      <c r="F36" s="21" t="s">
        <v>64</v>
      </c>
      <c r="G36" s="21" t="s">
        <v>64</v>
      </c>
      <c r="H36" s="22">
        <f>'CUOTA ARTESANAL'!E38</f>
        <v>22.2</v>
      </c>
      <c r="I36" s="22">
        <f>'CUOTA ARTESANAL'!F38</f>
        <v>0</v>
      </c>
      <c r="J36" s="22">
        <f>'CUOTA ARTESANAL'!G38</f>
        <v>240.05399999999995</v>
      </c>
      <c r="K36" s="22">
        <f>'CUOTA ARTESANAL'!H38</f>
        <v>0</v>
      </c>
      <c r="L36" s="22">
        <f>'CUOTA ARTESANAL'!I38</f>
        <v>240.05399999999995</v>
      </c>
      <c r="M36" s="47">
        <f>'CUOTA ARTESANAL'!J38</f>
        <v>0</v>
      </c>
      <c r="N36" s="24" t="str">
        <f>'CUOTA ARTESANAL'!K38</f>
        <v>-</v>
      </c>
      <c r="O36" s="24">
        <f>RESUMEN!$B$3</f>
        <v>43872</v>
      </c>
      <c r="P36" s="21">
        <v>2020</v>
      </c>
      <c r="Q36" s="21"/>
    </row>
    <row r="37" spans="1:17">
      <c r="A37" s="21" t="s">
        <v>118</v>
      </c>
      <c r="B37" s="21" t="s">
        <v>115</v>
      </c>
      <c r="C37" s="21" t="s">
        <v>128</v>
      </c>
      <c r="D37" s="21" t="s">
        <v>121</v>
      </c>
      <c r="E37" s="21" t="s">
        <v>129</v>
      </c>
      <c r="F37" s="21" t="s">
        <v>65</v>
      </c>
      <c r="G37" s="21" t="s">
        <v>65</v>
      </c>
      <c r="H37" s="22">
        <f>'CUOTA ARTESANAL'!E39</f>
        <v>22.2</v>
      </c>
      <c r="I37" s="22">
        <f>'CUOTA ARTESANAL'!F39</f>
        <v>0</v>
      </c>
      <c r="J37" s="22">
        <f>'CUOTA ARTESANAL'!G39</f>
        <v>262.25399999999996</v>
      </c>
      <c r="K37" s="22">
        <f>'CUOTA ARTESANAL'!H39</f>
        <v>0</v>
      </c>
      <c r="L37" s="22">
        <f>'CUOTA ARTESANAL'!I39</f>
        <v>262.25399999999996</v>
      </c>
      <c r="M37" s="47">
        <f>'CUOTA ARTESANAL'!J39</f>
        <v>0</v>
      </c>
      <c r="N37" s="24" t="str">
        <f>'CUOTA ARTESANAL'!K39</f>
        <v>-</v>
      </c>
      <c r="O37" s="24">
        <f>RESUMEN!$B$3</f>
        <v>43872</v>
      </c>
      <c r="P37" s="21">
        <v>2020</v>
      </c>
      <c r="Q37" s="21"/>
    </row>
    <row r="38" spans="1:17">
      <c r="A38" s="21" t="s">
        <v>118</v>
      </c>
      <c r="B38" s="21" t="s">
        <v>115</v>
      </c>
      <c r="C38" s="21" t="s">
        <v>128</v>
      </c>
      <c r="D38" s="21" t="s">
        <v>121</v>
      </c>
      <c r="E38" s="21" t="s">
        <v>129</v>
      </c>
      <c r="F38" s="21" t="s">
        <v>54</v>
      </c>
      <c r="G38" s="21" t="s">
        <v>65</v>
      </c>
      <c r="H38" s="22">
        <f>'CUOTA ARTESANAL'!L28</f>
        <v>266.39999999999992</v>
      </c>
      <c r="I38" s="22">
        <f>'CUOTA ARTESANAL'!M28</f>
        <v>0</v>
      </c>
      <c r="J38" s="22">
        <f>'CUOTA ARTESANAL'!N28</f>
        <v>266.39999999999992</v>
      </c>
      <c r="K38" s="22">
        <f>'CUOTA ARTESANAL'!O28</f>
        <v>4.1459999999999999</v>
      </c>
      <c r="L38" s="22">
        <f>'CUOTA ARTESANAL'!P28</f>
        <v>262.25399999999991</v>
      </c>
      <c r="M38" s="47">
        <f>'CUOTA ARTESANAL'!Q28</f>
        <v>1.5563063063063067E-2</v>
      </c>
      <c r="N38" s="24" t="s">
        <v>48</v>
      </c>
      <c r="O38" s="24">
        <f>RESUMEN!$B$3</f>
        <v>43872</v>
      </c>
      <c r="P38" s="21">
        <v>2020</v>
      </c>
      <c r="Q38" s="21"/>
    </row>
    <row r="39" spans="1:17">
      <c r="A39" s="21" t="s">
        <v>130</v>
      </c>
      <c r="B39" s="21" t="s">
        <v>115</v>
      </c>
      <c r="C39" s="21" t="s">
        <v>131</v>
      </c>
      <c r="D39" s="21" t="s">
        <v>132</v>
      </c>
      <c r="E39" s="21" t="s">
        <v>133</v>
      </c>
      <c r="F39" s="21" t="s">
        <v>54</v>
      </c>
      <c r="G39" s="21" t="s">
        <v>65</v>
      </c>
      <c r="H39" s="22">
        <f>'CUOTA ARTESANAL'!E41</f>
        <v>951.00000000000045</v>
      </c>
      <c r="I39" s="22">
        <f>'CUOTA ARTESANAL'!F41</f>
        <v>-11.923</v>
      </c>
      <c r="J39" s="22">
        <f>'CUOTA ARTESANAL'!G41</f>
        <v>939.07700000000045</v>
      </c>
      <c r="K39" s="22">
        <f>'CUOTA ARTESANAL'!H41</f>
        <v>136.92299999999997</v>
      </c>
      <c r="L39" s="22">
        <f>'CUOTA ARTESANAL'!I41</f>
        <v>802.15400000000045</v>
      </c>
      <c r="M39" s="47">
        <f>'CUOTA ARTESANAL'!J41</f>
        <v>0.14580593497657796</v>
      </c>
      <c r="N39" s="24" t="s">
        <v>48</v>
      </c>
      <c r="O39" s="24">
        <f>RESUMEN!$B$3</f>
        <v>43872</v>
      </c>
      <c r="P39" s="21">
        <v>2020</v>
      </c>
      <c r="Q39" s="21"/>
    </row>
    <row r="40" spans="1:17">
      <c r="A40" s="21" t="s">
        <v>134</v>
      </c>
      <c r="B40" s="21" t="s">
        <v>115</v>
      </c>
      <c r="C40" s="21" t="s">
        <v>135</v>
      </c>
      <c r="D40" s="21" t="s">
        <v>136</v>
      </c>
      <c r="E40" s="21" t="str">
        <f>'CUOTA INDUSTRIAL'!C6</f>
        <v>EMDEPES S.A.</v>
      </c>
      <c r="F40" s="21" t="s">
        <v>54</v>
      </c>
      <c r="G40" s="21" t="s">
        <v>55</v>
      </c>
      <c r="H40" s="22">
        <f>'CUOTA INDUSTRIAL'!E6</f>
        <v>10.2605</v>
      </c>
      <c r="I40" s="22">
        <f>'CUOTA INDUSTRIAL'!F6</f>
        <v>0</v>
      </c>
      <c r="J40" s="22">
        <f>'CUOTA INDUSTRIAL'!G6</f>
        <v>10.2605</v>
      </c>
      <c r="K40" s="22">
        <f>'CUOTA INDUSTRIAL'!H6</f>
        <v>0</v>
      </c>
      <c r="L40" s="22">
        <f>'CUOTA INDUSTRIAL'!I6</f>
        <v>10.2605</v>
      </c>
      <c r="M40" s="47">
        <f>'CUOTA INDUSTRIAL'!J6</f>
        <v>0</v>
      </c>
      <c r="N40" s="24" t="s">
        <v>48</v>
      </c>
      <c r="O40" s="24">
        <f>RESUMEN!$B$3</f>
        <v>43872</v>
      </c>
      <c r="P40" s="21">
        <v>2020</v>
      </c>
      <c r="Q40" s="21"/>
    </row>
    <row r="41" spans="1:17">
      <c r="A41" s="21" t="s">
        <v>134</v>
      </c>
      <c r="B41" s="21" t="s">
        <v>115</v>
      </c>
      <c r="C41" s="21" t="s">
        <v>135</v>
      </c>
      <c r="D41" s="21" t="s">
        <v>136</v>
      </c>
      <c r="E41" s="21" t="str">
        <f>'CUOTA INDUSTRIAL'!C6</f>
        <v>EMDEPES S.A.</v>
      </c>
      <c r="F41" s="21" t="s">
        <v>56</v>
      </c>
      <c r="G41" s="21" t="s">
        <v>65</v>
      </c>
      <c r="H41" s="22">
        <f>'CUOTA INDUSTRIAL'!E7</f>
        <v>10.294</v>
      </c>
      <c r="I41" s="22">
        <f>'CUOTA INDUSTRIAL'!F7</f>
        <v>0</v>
      </c>
      <c r="J41" s="22">
        <f>'CUOTA INDUSTRIAL'!G7</f>
        <v>20.554500000000001</v>
      </c>
      <c r="K41" s="22">
        <f>'CUOTA INDUSTRIAL'!H7</f>
        <v>0</v>
      </c>
      <c r="L41" s="22">
        <f>'CUOTA INDUSTRIAL'!I7</f>
        <v>20.554500000000001</v>
      </c>
      <c r="M41" s="47">
        <f>'CUOTA INDUSTRIAL'!J7</f>
        <v>0</v>
      </c>
      <c r="N41" s="24" t="s">
        <v>48</v>
      </c>
      <c r="O41" s="24">
        <f>RESUMEN!$B$3</f>
        <v>43872</v>
      </c>
      <c r="P41" s="21">
        <v>2020</v>
      </c>
      <c r="Q41" s="21"/>
    </row>
    <row r="42" spans="1:17">
      <c r="A42" s="21" t="s">
        <v>134</v>
      </c>
      <c r="B42" s="21" t="s">
        <v>115</v>
      </c>
      <c r="C42" s="21" t="s">
        <v>135</v>
      </c>
      <c r="D42" s="21" t="s">
        <v>136</v>
      </c>
      <c r="E42" s="21" t="str">
        <f>'CUOTA INDUSTRIAL'!C6</f>
        <v>EMDEPES S.A.</v>
      </c>
      <c r="F42" s="21" t="s">
        <v>54</v>
      </c>
      <c r="G42" s="21" t="s">
        <v>65</v>
      </c>
      <c r="H42" s="22">
        <f>'CUOTA INDUSTRIAL'!K6</f>
        <v>20.554500000000001</v>
      </c>
      <c r="I42" s="22">
        <f>'CUOTA INDUSTRIAL'!L6</f>
        <v>0</v>
      </c>
      <c r="J42" s="22">
        <f>'CUOTA INDUSTRIAL'!M6</f>
        <v>20.554500000000001</v>
      </c>
      <c r="K42" s="22">
        <f>'CUOTA INDUSTRIAL'!N6</f>
        <v>0</v>
      </c>
      <c r="L42" s="22">
        <f>'CUOTA INDUSTRIAL'!O6</f>
        <v>20.554500000000001</v>
      </c>
      <c r="M42" s="47">
        <f>'CUOTA INDUSTRIAL'!P6</f>
        <v>0</v>
      </c>
      <c r="N42" s="24" t="s">
        <v>48</v>
      </c>
      <c r="O42" s="24">
        <f>RESUMEN!$B$3</f>
        <v>43872</v>
      </c>
      <c r="P42" s="21">
        <v>2020</v>
      </c>
      <c r="Q42" s="21"/>
    </row>
    <row r="43" spans="1:17">
      <c r="A43" s="21" t="s">
        <v>134</v>
      </c>
      <c r="B43" s="21" t="s">
        <v>115</v>
      </c>
      <c r="C43" s="21" t="s">
        <v>135</v>
      </c>
      <c r="D43" s="21" t="s">
        <v>136</v>
      </c>
      <c r="E43" s="21" t="str">
        <f>'CUOTA INDUSTRIAL'!C8</f>
        <v>GRIMAR S.A. PESQ.</v>
      </c>
      <c r="F43" s="21" t="s">
        <v>54</v>
      </c>
      <c r="G43" s="21" t="s">
        <v>55</v>
      </c>
      <c r="H43" s="22">
        <f>'CUOTA INDUSTRIAL'!E8</f>
        <v>23.66</v>
      </c>
      <c r="I43" s="22">
        <f>'CUOTA INDUSTRIAL'!F8</f>
        <v>0</v>
      </c>
      <c r="J43" s="22">
        <f>'CUOTA INDUSTRIAL'!G8</f>
        <v>23.66</v>
      </c>
      <c r="K43" s="22">
        <f>'CUOTA INDUSTRIAL'!H8</f>
        <v>4.2000000000000003E-2</v>
      </c>
      <c r="L43" s="22">
        <f>'CUOTA INDUSTRIAL'!I8</f>
        <v>23.617999999999999</v>
      </c>
      <c r="M43" s="47">
        <f>'CUOTA INDUSTRIAL'!J8</f>
        <v>1.775147928994083E-3</v>
      </c>
      <c r="N43" s="24" t="s">
        <v>48</v>
      </c>
      <c r="O43" s="24">
        <f>RESUMEN!$B$3</f>
        <v>43872</v>
      </c>
      <c r="P43" s="21">
        <v>2020</v>
      </c>
      <c r="Q43" s="21"/>
    </row>
    <row r="44" spans="1:17">
      <c r="A44" s="21" t="s">
        <v>134</v>
      </c>
      <c r="B44" s="21" t="s">
        <v>115</v>
      </c>
      <c r="C44" s="21" t="s">
        <v>135</v>
      </c>
      <c r="D44" s="21" t="s">
        <v>136</v>
      </c>
      <c r="E44" s="21" t="str">
        <f>'CUOTA INDUSTRIAL'!C8</f>
        <v>GRIMAR S.A. PESQ.</v>
      </c>
      <c r="F44" s="21" t="s">
        <v>56</v>
      </c>
      <c r="G44" s="21" t="s">
        <v>65</v>
      </c>
      <c r="H44" s="22">
        <f>'CUOTA INDUSTRIAL'!E9</f>
        <v>23.738</v>
      </c>
      <c r="I44" s="22">
        <f>'CUOTA INDUSTRIAL'!F9</f>
        <v>0</v>
      </c>
      <c r="J44" s="22">
        <f>'CUOTA INDUSTRIAL'!G9</f>
        <v>47.355999999999995</v>
      </c>
      <c r="K44" s="22">
        <f>'CUOTA INDUSTRIAL'!H9</f>
        <v>0</v>
      </c>
      <c r="L44" s="22">
        <f>'CUOTA INDUSTRIAL'!I9</f>
        <v>47.355999999999995</v>
      </c>
      <c r="M44" s="47">
        <f>'CUOTA INDUSTRIAL'!J9</f>
        <v>0</v>
      </c>
      <c r="N44" s="24" t="s">
        <v>48</v>
      </c>
      <c r="O44" s="24">
        <f>RESUMEN!$B$3</f>
        <v>43872</v>
      </c>
      <c r="P44" s="21">
        <v>2020</v>
      </c>
      <c r="Q44" s="21"/>
    </row>
    <row r="45" spans="1:17">
      <c r="A45" s="21" t="s">
        <v>134</v>
      </c>
      <c r="B45" s="21" t="s">
        <v>115</v>
      </c>
      <c r="C45" s="21" t="s">
        <v>135</v>
      </c>
      <c r="D45" s="21" t="s">
        <v>136</v>
      </c>
      <c r="E45" s="21" t="str">
        <f>'CUOTA INDUSTRIAL'!C8</f>
        <v>GRIMAR S.A. PESQ.</v>
      </c>
      <c r="F45" s="21" t="s">
        <v>54</v>
      </c>
      <c r="G45" s="21" t="s">
        <v>65</v>
      </c>
      <c r="H45" s="22">
        <f>'CUOTA INDUSTRIAL'!K8</f>
        <v>47.397999999999996</v>
      </c>
      <c r="I45" s="22">
        <f>'CUOTA INDUSTRIAL'!L8</f>
        <v>0</v>
      </c>
      <c r="J45" s="22">
        <f>'CUOTA INDUSTRIAL'!M8</f>
        <v>47.397999999999996</v>
      </c>
      <c r="K45" s="22">
        <f>'CUOTA INDUSTRIAL'!N8</f>
        <v>4.2000000000000003E-2</v>
      </c>
      <c r="L45" s="22">
        <f>'CUOTA INDUSTRIAL'!O8</f>
        <v>47.355999999999995</v>
      </c>
      <c r="M45" s="47">
        <f>'CUOTA INDUSTRIAL'!P8</f>
        <v>8.8611333811553243E-4</v>
      </c>
      <c r="N45" s="24" t="s">
        <v>48</v>
      </c>
      <c r="O45" s="24">
        <f>RESUMEN!$B$3</f>
        <v>43872</v>
      </c>
      <c r="P45" s="21">
        <v>2020</v>
      </c>
      <c r="Q45" s="21"/>
    </row>
    <row r="46" spans="1:17">
      <c r="A46" s="21" t="s">
        <v>134</v>
      </c>
      <c r="B46" s="21" t="s">
        <v>115</v>
      </c>
      <c r="C46" s="21" t="s">
        <v>135</v>
      </c>
      <c r="D46" s="21" t="s">
        <v>136</v>
      </c>
      <c r="E46" s="21" t="str">
        <f>'CUOTA INDUSTRIAL'!C10</f>
        <v>DERIS S.A.</v>
      </c>
      <c r="F46" s="21" t="s">
        <v>54</v>
      </c>
      <c r="G46" s="21" t="s">
        <v>55</v>
      </c>
      <c r="H46" s="22">
        <f>'CUOTA INDUSTRIAL'!E10</f>
        <v>200.72800000000001</v>
      </c>
      <c r="I46" s="22">
        <f>'CUOTA INDUSTRIAL'!F10</f>
        <v>0</v>
      </c>
      <c r="J46" s="22">
        <f>'CUOTA INDUSTRIAL'!G10</f>
        <v>200.72800000000001</v>
      </c>
      <c r="K46" s="22">
        <f>'CUOTA INDUSTRIAL'!H10</f>
        <v>1.014</v>
      </c>
      <c r="L46" s="22">
        <f>'CUOTA INDUSTRIAL'!I10</f>
        <v>199.714</v>
      </c>
      <c r="M46" s="47">
        <f>'CUOTA INDUSTRIAL'!J10</f>
        <v>5.0516121318401018E-3</v>
      </c>
      <c r="N46" s="24" t="s">
        <v>48</v>
      </c>
      <c r="O46" s="24">
        <f>RESUMEN!$B$3</f>
        <v>43872</v>
      </c>
      <c r="P46" s="21">
        <v>2020</v>
      </c>
      <c r="Q46" s="21"/>
    </row>
    <row r="47" spans="1:17">
      <c r="A47" s="21" t="s">
        <v>134</v>
      </c>
      <c r="B47" s="21" t="s">
        <v>115</v>
      </c>
      <c r="C47" s="21" t="s">
        <v>135</v>
      </c>
      <c r="D47" s="21" t="s">
        <v>136</v>
      </c>
      <c r="E47" s="21" t="str">
        <f>'CUOTA INDUSTRIAL'!C10</f>
        <v>DERIS S.A.</v>
      </c>
      <c r="F47" s="21" t="s">
        <v>56</v>
      </c>
      <c r="G47" s="21" t="s">
        <v>65</v>
      </c>
      <c r="H47" s="22">
        <f>'CUOTA INDUSTRIAL'!E11</f>
        <v>201.386</v>
      </c>
      <c r="I47" s="22">
        <f>'CUOTA INDUSTRIAL'!F11</f>
        <v>0</v>
      </c>
      <c r="J47" s="22">
        <f>'CUOTA INDUSTRIAL'!G11</f>
        <v>401.1</v>
      </c>
      <c r="K47" s="22">
        <f>'CUOTA INDUSTRIAL'!H11</f>
        <v>0</v>
      </c>
      <c r="L47" s="22">
        <f>'CUOTA INDUSTRIAL'!I11</f>
        <v>401.1</v>
      </c>
      <c r="M47" s="47">
        <f>'CUOTA INDUSTRIAL'!J11</f>
        <v>0</v>
      </c>
      <c r="N47" s="24" t="s">
        <v>48</v>
      </c>
      <c r="O47" s="24">
        <f>RESUMEN!$B$3</f>
        <v>43872</v>
      </c>
      <c r="P47" s="21">
        <v>2020</v>
      </c>
      <c r="Q47" s="21"/>
    </row>
    <row r="48" spans="1:17">
      <c r="A48" s="21" t="s">
        <v>134</v>
      </c>
      <c r="B48" s="21" t="s">
        <v>115</v>
      </c>
      <c r="C48" s="21" t="s">
        <v>135</v>
      </c>
      <c r="D48" s="21" t="s">
        <v>136</v>
      </c>
      <c r="E48" s="21" t="str">
        <f>'CUOTA INDUSTRIAL'!C10</f>
        <v>DERIS S.A.</v>
      </c>
      <c r="F48" s="21" t="s">
        <v>54</v>
      </c>
      <c r="G48" s="21" t="s">
        <v>65</v>
      </c>
      <c r="H48" s="22">
        <f>'CUOTA INDUSTRIAL'!K10</f>
        <v>402.11400000000003</v>
      </c>
      <c r="I48" s="22">
        <f>'CUOTA INDUSTRIAL'!L10</f>
        <v>0</v>
      </c>
      <c r="J48" s="22">
        <f>'CUOTA INDUSTRIAL'!M10</f>
        <v>402.11400000000003</v>
      </c>
      <c r="K48" s="22">
        <f>'CUOTA INDUSTRIAL'!N10</f>
        <v>1.014</v>
      </c>
      <c r="L48" s="22">
        <f>'CUOTA INDUSTRIAL'!O10</f>
        <v>401.1</v>
      </c>
      <c r="M48" s="47">
        <f>'CUOTA INDUSTRIAL'!P10</f>
        <v>2.5216729584147776E-3</v>
      </c>
      <c r="N48" s="24" t="s">
        <v>48</v>
      </c>
      <c r="O48" s="24">
        <f>RESUMEN!$B$3</f>
        <v>43872</v>
      </c>
      <c r="P48" s="21">
        <v>2020</v>
      </c>
      <c r="Q48" s="21"/>
    </row>
    <row r="49" spans="1:17">
      <c r="A49" s="21" t="s">
        <v>134</v>
      </c>
      <c r="B49" s="21" t="s">
        <v>115</v>
      </c>
      <c r="C49" s="21" t="s">
        <v>135</v>
      </c>
      <c r="D49" s="21" t="s">
        <v>136</v>
      </c>
      <c r="E49" s="21" t="str">
        <f>'CUOTA INDUSTRIAL'!C12</f>
        <v>PESCA CISNE S.A.</v>
      </c>
      <c r="F49" s="21" t="s">
        <v>54</v>
      </c>
      <c r="G49" s="21" t="s">
        <v>55</v>
      </c>
      <c r="H49" s="22">
        <f>'CUOTA INDUSTRIAL'!E12</f>
        <v>4.4995000000000003</v>
      </c>
      <c r="I49" s="22">
        <f>'CUOTA INDUSTRIAL'!F12</f>
        <v>0</v>
      </c>
      <c r="J49" s="22">
        <f>'CUOTA INDUSTRIAL'!G12</f>
        <v>4.4995000000000003</v>
      </c>
      <c r="K49" s="22">
        <f>'CUOTA INDUSTRIAL'!H12</f>
        <v>0</v>
      </c>
      <c r="L49" s="22">
        <f>'CUOTA INDUSTRIAL'!I12</f>
        <v>4.4995000000000003</v>
      </c>
      <c r="M49" s="47">
        <f>'CUOTA INDUSTRIAL'!J12</f>
        <v>0</v>
      </c>
      <c r="N49" s="24" t="s">
        <v>48</v>
      </c>
      <c r="O49" s="24">
        <f>RESUMEN!$B$3</f>
        <v>43872</v>
      </c>
      <c r="P49" s="21">
        <v>2020</v>
      </c>
      <c r="Q49" s="21"/>
    </row>
    <row r="50" spans="1:17">
      <c r="A50" s="21" t="s">
        <v>134</v>
      </c>
      <c r="B50" s="21" t="s">
        <v>115</v>
      </c>
      <c r="C50" s="21" t="s">
        <v>135</v>
      </c>
      <c r="D50" s="21" t="s">
        <v>136</v>
      </c>
      <c r="E50" s="21" t="str">
        <f>'CUOTA INDUSTRIAL'!C12</f>
        <v>PESCA CISNE S.A.</v>
      </c>
      <c r="F50" s="21" t="s">
        <v>56</v>
      </c>
      <c r="G50" s="21" t="s">
        <v>65</v>
      </c>
      <c r="H50" s="22">
        <f>'CUOTA INDUSTRIAL'!E13</f>
        <v>4.5140000000000002</v>
      </c>
      <c r="I50" s="22">
        <f>'CUOTA INDUSTRIAL'!F13</f>
        <v>0</v>
      </c>
      <c r="J50" s="22">
        <f>'CUOTA INDUSTRIAL'!G13</f>
        <v>9.0135000000000005</v>
      </c>
      <c r="K50" s="22">
        <f>'CUOTA INDUSTRIAL'!H13</f>
        <v>0</v>
      </c>
      <c r="L50" s="22">
        <f>'CUOTA INDUSTRIAL'!I13</f>
        <v>9.0135000000000005</v>
      </c>
      <c r="M50" s="47">
        <f>'CUOTA INDUSTRIAL'!J13</f>
        <v>0</v>
      </c>
      <c r="N50" s="24" t="s">
        <v>48</v>
      </c>
      <c r="O50" s="24">
        <f>RESUMEN!$B$3</f>
        <v>43872</v>
      </c>
      <c r="P50" s="21">
        <v>2020</v>
      </c>
      <c r="Q50" s="21"/>
    </row>
    <row r="51" spans="1:17">
      <c r="A51" s="21" t="s">
        <v>134</v>
      </c>
      <c r="B51" s="21" t="s">
        <v>115</v>
      </c>
      <c r="C51" s="21" t="s">
        <v>135</v>
      </c>
      <c r="D51" s="21" t="s">
        <v>136</v>
      </c>
      <c r="E51" s="21" t="str">
        <f>'CUOTA INDUSTRIAL'!C12</f>
        <v>PESCA CISNE S.A.</v>
      </c>
      <c r="F51" s="21" t="s">
        <v>54</v>
      </c>
      <c r="G51" s="21" t="s">
        <v>65</v>
      </c>
      <c r="H51" s="22">
        <f>'CUOTA INDUSTRIAL'!K12</f>
        <v>9.0135000000000005</v>
      </c>
      <c r="I51" s="22">
        <f>'CUOTA INDUSTRIAL'!L12</f>
        <v>0</v>
      </c>
      <c r="J51" s="22">
        <f>'CUOTA INDUSTRIAL'!M12</f>
        <v>9.0135000000000005</v>
      </c>
      <c r="K51" s="22">
        <f>'CUOTA INDUSTRIAL'!N12</f>
        <v>0</v>
      </c>
      <c r="L51" s="22">
        <f>'CUOTA INDUSTRIAL'!O12</f>
        <v>9.0135000000000005</v>
      </c>
      <c r="M51" s="47">
        <f>'CUOTA INDUSTRIAL'!P12</f>
        <v>0</v>
      </c>
      <c r="N51" s="24" t="s">
        <v>48</v>
      </c>
      <c r="O51" s="24">
        <f>RESUMEN!$B$3</f>
        <v>43872</v>
      </c>
      <c r="P51" s="21">
        <v>2020</v>
      </c>
      <c r="Q51" s="21"/>
    </row>
    <row r="52" spans="1:17">
      <c r="A52" s="21" t="s">
        <v>134</v>
      </c>
      <c r="B52" s="21" t="s">
        <v>115</v>
      </c>
      <c r="C52" s="21" t="s">
        <v>135</v>
      </c>
      <c r="D52" s="21" t="s">
        <v>136</v>
      </c>
      <c r="E52" s="21" t="str">
        <f>'CUOTA INDUSTRIAL'!C14</f>
        <v>SUR AUSTRAL S.A. PESQ.</v>
      </c>
      <c r="F52" s="21" t="s">
        <v>54</v>
      </c>
      <c r="G52" s="21" t="s">
        <v>55</v>
      </c>
      <c r="H52" s="22">
        <f>'CUOTA INDUSTRIAL'!E14</f>
        <v>42.948999999999998</v>
      </c>
      <c r="I52" s="22">
        <f>'CUOTA INDUSTRIAL'!F14</f>
        <v>0</v>
      </c>
      <c r="J52" s="22">
        <f>'CUOTA INDUSTRIAL'!G14</f>
        <v>42.948999999999998</v>
      </c>
      <c r="K52" s="22">
        <f>'CUOTA INDUSTRIAL'!H14</f>
        <v>2.5870000000000002</v>
      </c>
      <c r="L52" s="22">
        <f>'CUOTA INDUSTRIAL'!I14</f>
        <v>40.361999999999995</v>
      </c>
      <c r="M52" s="47">
        <f>'CUOTA INDUSTRIAL'!J14</f>
        <v>6.0234231297585518E-2</v>
      </c>
      <c r="N52" s="24" t="s">
        <v>48</v>
      </c>
      <c r="O52" s="24">
        <f>RESUMEN!$B$3</f>
        <v>43872</v>
      </c>
      <c r="P52" s="21">
        <v>2020</v>
      </c>
      <c r="Q52" s="21"/>
    </row>
    <row r="53" spans="1:17">
      <c r="A53" s="21" t="s">
        <v>134</v>
      </c>
      <c r="B53" s="21" t="s">
        <v>115</v>
      </c>
      <c r="C53" s="21" t="s">
        <v>135</v>
      </c>
      <c r="D53" s="21" t="s">
        <v>136</v>
      </c>
      <c r="E53" s="21" t="str">
        <f>'CUOTA INDUSTRIAL'!C14</f>
        <v>SUR AUSTRAL S.A. PESQ.</v>
      </c>
      <c r="F53" s="21" t="s">
        <v>56</v>
      </c>
      <c r="G53" s="21" t="s">
        <v>65</v>
      </c>
      <c r="H53" s="22">
        <f>'CUOTA INDUSTRIAL'!E15</f>
        <v>43.09</v>
      </c>
      <c r="I53" s="22">
        <f>'CUOTA INDUSTRIAL'!F15</f>
        <v>0</v>
      </c>
      <c r="J53" s="22">
        <f>'CUOTA INDUSTRIAL'!G15</f>
        <v>83.451999999999998</v>
      </c>
      <c r="K53" s="22">
        <f>'CUOTA INDUSTRIAL'!H15</f>
        <v>0</v>
      </c>
      <c r="L53" s="22">
        <f>'CUOTA INDUSTRIAL'!I15</f>
        <v>83.451999999999998</v>
      </c>
      <c r="M53" s="47">
        <f>'CUOTA INDUSTRIAL'!J15</f>
        <v>0</v>
      </c>
      <c r="N53" s="24" t="s">
        <v>48</v>
      </c>
      <c r="O53" s="24">
        <f>RESUMEN!$B$3</f>
        <v>43872</v>
      </c>
      <c r="P53" s="21">
        <v>2020</v>
      </c>
      <c r="Q53" s="21"/>
    </row>
    <row r="54" spans="1:17">
      <c r="A54" s="21" t="s">
        <v>134</v>
      </c>
      <c r="B54" s="21" t="s">
        <v>115</v>
      </c>
      <c r="C54" s="21" t="s">
        <v>135</v>
      </c>
      <c r="D54" s="21" t="s">
        <v>136</v>
      </c>
      <c r="E54" s="21" t="str">
        <f>'CUOTA INDUSTRIAL'!C14</f>
        <v>SUR AUSTRAL S.A. PESQ.</v>
      </c>
      <c r="F54" s="21" t="s">
        <v>54</v>
      </c>
      <c r="G54" s="21" t="s">
        <v>65</v>
      </c>
      <c r="H54" s="22">
        <f>'CUOTA INDUSTRIAL'!K14</f>
        <v>86.039000000000001</v>
      </c>
      <c r="I54" s="22">
        <f>'CUOTA INDUSTRIAL'!L14</f>
        <v>0</v>
      </c>
      <c r="J54" s="22">
        <f>'CUOTA INDUSTRIAL'!M14</f>
        <v>86.039000000000001</v>
      </c>
      <c r="K54" s="22">
        <f>'CUOTA INDUSTRIAL'!N14</f>
        <v>2.5870000000000002</v>
      </c>
      <c r="L54" s="22">
        <f>'CUOTA INDUSTRIAL'!O14</f>
        <v>83.451999999999998</v>
      </c>
      <c r="M54" s="47">
        <f>'CUOTA INDUSTRIAL'!P14</f>
        <v>3.0067759969316241E-2</v>
      </c>
      <c r="N54" s="24" t="s">
        <v>48</v>
      </c>
      <c r="O54" s="24">
        <f>RESUMEN!$B$3</f>
        <v>43872</v>
      </c>
      <c r="P54" s="21">
        <v>2020</v>
      </c>
      <c r="Q54" s="21"/>
    </row>
    <row r="55" spans="1:17">
      <c r="A55" s="21" t="s">
        <v>134</v>
      </c>
      <c r="B55" s="21" t="s">
        <v>115</v>
      </c>
      <c r="C55" s="21" t="s">
        <v>135</v>
      </c>
      <c r="D55" s="21" t="s">
        <v>136</v>
      </c>
      <c r="E55" s="21" t="str">
        <f>'CUOTA INDUSTRIAL'!C16</f>
        <v>ISLA QUIHUA S.A. PESQ.</v>
      </c>
      <c r="F55" s="21" t="s">
        <v>54</v>
      </c>
      <c r="G55" s="21" t="s">
        <v>55</v>
      </c>
      <c r="H55" s="22">
        <f>'CUOTA INDUSTRIAL'!E16</f>
        <v>2.7E-2</v>
      </c>
      <c r="I55" s="22">
        <f>'CUOTA INDUSTRIAL'!F16</f>
        <v>0</v>
      </c>
      <c r="J55" s="22">
        <f>'CUOTA INDUSTRIAL'!G16</f>
        <v>2.7E-2</v>
      </c>
      <c r="K55" s="22">
        <f>'CUOTA INDUSTRIAL'!H16</f>
        <v>0</v>
      </c>
      <c r="L55" s="22">
        <f>'CUOTA INDUSTRIAL'!I16</f>
        <v>2.7E-2</v>
      </c>
      <c r="M55" s="47">
        <f>'CUOTA INDUSTRIAL'!J16</f>
        <v>0</v>
      </c>
      <c r="N55" s="24" t="s">
        <v>48</v>
      </c>
      <c r="O55" s="24">
        <f>RESUMEN!$B$3</f>
        <v>43872</v>
      </c>
      <c r="P55" s="21">
        <v>2020</v>
      </c>
      <c r="Q55" s="21"/>
    </row>
    <row r="56" spans="1:17">
      <c r="A56" s="21" t="s">
        <v>134</v>
      </c>
      <c r="B56" s="21" t="s">
        <v>115</v>
      </c>
      <c r="C56" s="21" t="s">
        <v>135</v>
      </c>
      <c r="D56" s="21" t="s">
        <v>136</v>
      </c>
      <c r="E56" s="21" t="str">
        <f>'CUOTA INDUSTRIAL'!C16</f>
        <v>ISLA QUIHUA S.A. PESQ.</v>
      </c>
      <c r="F56" s="21" t="s">
        <v>56</v>
      </c>
      <c r="G56" s="21" t="s">
        <v>65</v>
      </c>
      <c r="H56" s="22">
        <f>'CUOTA INDUSTRIAL'!E17</f>
        <v>2.8000000000000001E-2</v>
      </c>
      <c r="I56" s="22">
        <f>'CUOTA INDUSTRIAL'!F17</f>
        <v>0</v>
      </c>
      <c r="J56" s="22">
        <f>'CUOTA INDUSTRIAL'!G17</f>
        <v>5.5E-2</v>
      </c>
      <c r="K56" s="22">
        <f>'CUOTA INDUSTRIAL'!H17</f>
        <v>0</v>
      </c>
      <c r="L56" s="22">
        <f>'CUOTA INDUSTRIAL'!I17</f>
        <v>5.5E-2</v>
      </c>
      <c r="M56" s="47">
        <f>'CUOTA INDUSTRIAL'!J17</f>
        <v>0</v>
      </c>
      <c r="N56" s="24" t="s">
        <v>48</v>
      </c>
      <c r="O56" s="24">
        <f>RESUMEN!$B$3</f>
        <v>43872</v>
      </c>
      <c r="P56" s="21">
        <v>2020</v>
      </c>
      <c r="Q56" s="21"/>
    </row>
    <row r="57" spans="1:17">
      <c r="A57" s="21" t="s">
        <v>134</v>
      </c>
      <c r="B57" s="21" t="s">
        <v>115</v>
      </c>
      <c r="C57" s="21" t="s">
        <v>135</v>
      </c>
      <c r="D57" s="21" t="s">
        <v>136</v>
      </c>
      <c r="E57" s="21" t="str">
        <f>'CUOTA INDUSTRIAL'!C16</f>
        <v>ISLA QUIHUA S.A. PESQ.</v>
      </c>
      <c r="F57" s="21" t="s">
        <v>54</v>
      </c>
      <c r="G57" s="21" t="s">
        <v>65</v>
      </c>
      <c r="H57" s="22">
        <f>'CUOTA INDUSTRIAL'!K16</f>
        <v>5.5E-2</v>
      </c>
      <c r="I57" s="22">
        <f>'CUOTA INDUSTRIAL'!L16</f>
        <v>0</v>
      </c>
      <c r="J57" s="22">
        <f>'CUOTA INDUSTRIAL'!M16</f>
        <v>5.5E-2</v>
      </c>
      <c r="K57" s="22">
        <f>'CUOTA INDUSTRIAL'!N16</f>
        <v>0</v>
      </c>
      <c r="L57" s="22">
        <f>'CUOTA INDUSTRIAL'!O16</f>
        <v>5.5E-2</v>
      </c>
      <c r="M57" s="47">
        <f>'CUOTA INDUSTRIAL'!P16</f>
        <v>0</v>
      </c>
      <c r="N57" s="24" t="s">
        <v>48</v>
      </c>
      <c r="O57" s="24">
        <f>RESUMEN!$B$3</f>
        <v>43872</v>
      </c>
      <c r="P57" s="21">
        <v>2020</v>
      </c>
      <c r="Q57" s="21"/>
    </row>
    <row r="58" spans="1:17">
      <c r="A58" s="21" t="s">
        <v>134</v>
      </c>
      <c r="B58" s="21" t="s">
        <v>115</v>
      </c>
      <c r="C58" s="21" t="s">
        <v>135</v>
      </c>
      <c r="D58" s="21" t="s">
        <v>136</v>
      </c>
      <c r="E58" s="21" t="str">
        <f>'CUOTA INDUSTRIAL'!C18</f>
        <v>CANAL AUSTRAL LTDA.</v>
      </c>
      <c r="F58" s="21" t="s">
        <v>54</v>
      </c>
      <c r="G58" s="21" t="s">
        <v>55</v>
      </c>
      <c r="H58" s="22">
        <f>'CUOTA INDUSTRIAL'!E18</f>
        <v>5.7189000000000005</v>
      </c>
      <c r="I58" s="22">
        <f>'CUOTA INDUSTRIAL'!F18</f>
        <v>0</v>
      </c>
      <c r="J58" s="22">
        <f>'CUOTA INDUSTRIAL'!G18</f>
        <v>5.7189000000000005</v>
      </c>
      <c r="K58" s="22">
        <f>'CUOTA INDUSTRIAL'!H18</f>
        <v>0</v>
      </c>
      <c r="L58" s="22">
        <f>'CUOTA INDUSTRIAL'!I18</f>
        <v>5.7189000000000005</v>
      </c>
      <c r="M58" s="47">
        <f>'CUOTA INDUSTRIAL'!J18</f>
        <v>0</v>
      </c>
      <c r="N58" s="24" t="s">
        <v>48</v>
      </c>
      <c r="O58" s="24">
        <f>RESUMEN!$B$3</f>
        <v>43872</v>
      </c>
      <c r="P58" s="21">
        <v>2020</v>
      </c>
      <c r="Q58" s="21"/>
    </row>
    <row r="59" spans="1:17">
      <c r="A59" s="21" t="s">
        <v>134</v>
      </c>
      <c r="B59" s="21" t="s">
        <v>115</v>
      </c>
      <c r="C59" s="21" t="s">
        <v>135</v>
      </c>
      <c r="D59" s="21" t="s">
        <v>136</v>
      </c>
      <c r="E59" s="21" t="str">
        <f>'CUOTA INDUSTRIAL'!C18</f>
        <v>CANAL AUSTRAL LTDA.</v>
      </c>
      <c r="F59" s="21" t="s">
        <v>56</v>
      </c>
      <c r="G59" s="21" t="s">
        <v>65</v>
      </c>
      <c r="H59" s="22">
        <f>'CUOTA INDUSTRIAL'!E19</f>
        <v>5.7375000000000007</v>
      </c>
      <c r="I59" s="22">
        <f>'CUOTA INDUSTRIAL'!F19</f>
        <v>0</v>
      </c>
      <c r="J59" s="22">
        <f>'CUOTA INDUSTRIAL'!G19</f>
        <v>11.456400000000002</v>
      </c>
      <c r="K59" s="22">
        <f>'CUOTA INDUSTRIAL'!H19</f>
        <v>0</v>
      </c>
      <c r="L59" s="22">
        <f>'CUOTA INDUSTRIAL'!I19</f>
        <v>11.456400000000002</v>
      </c>
      <c r="M59" s="47">
        <f>'CUOTA INDUSTRIAL'!J19</f>
        <v>0</v>
      </c>
      <c r="N59" s="24" t="s">
        <v>48</v>
      </c>
      <c r="O59" s="24">
        <f>RESUMEN!$B$3</f>
        <v>43872</v>
      </c>
      <c r="P59" s="21">
        <v>2020</v>
      </c>
      <c r="Q59" s="21"/>
    </row>
    <row r="60" spans="1:17">
      <c r="A60" s="21" t="s">
        <v>134</v>
      </c>
      <c r="B60" s="21" t="s">
        <v>115</v>
      </c>
      <c r="C60" s="21" t="s">
        <v>135</v>
      </c>
      <c r="D60" s="21" t="s">
        <v>136</v>
      </c>
      <c r="E60" s="21" t="str">
        <f>'CUOTA INDUSTRIAL'!C18</f>
        <v>CANAL AUSTRAL LTDA.</v>
      </c>
      <c r="F60" s="21" t="s">
        <v>54</v>
      </c>
      <c r="G60" s="21" t="s">
        <v>65</v>
      </c>
      <c r="H60" s="22">
        <f>'CUOTA INDUSTRIAL'!K18</f>
        <v>11.456400000000002</v>
      </c>
      <c r="I60" s="22">
        <f>'CUOTA INDUSTRIAL'!L18</f>
        <v>0</v>
      </c>
      <c r="J60" s="22">
        <f>'CUOTA INDUSTRIAL'!M18</f>
        <v>11.456400000000002</v>
      </c>
      <c r="K60" s="22">
        <f>'CUOTA INDUSTRIAL'!N18</f>
        <v>0</v>
      </c>
      <c r="L60" s="22">
        <f>'CUOTA INDUSTRIAL'!O18</f>
        <v>11.456400000000002</v>
      </c>
      <c r="M60" s="47">
        <f>'CUOTA INDUSTRIAL'!P18</f>
        <v>0</v>
      </c>
      <c r="N60" s="24" t="s">
        <v>48</v>
      </c>
      <c r="O60" s="24">
        <f>RESUMEN!$B$3</f>
        <v>43872</v>
      </c>
      <c r="P60" s="21">
        <v>2020</v>
      </c>
      <c r="Q60" s="21"/>
    </row>
    <row r="61" spans="1:17">
      <c r="A61" s="21" t="s">
        <v>134</v>
      </c>
      <c r="B61" s="21" t="s">
        <v>115</v>
      </c>
      <c r="C61" s="21" t="s">
        <v>135</v>
      </c>
      <c r="D61" s="21" t="s">
        <v>136</v>
      </c>
      <c r="E61" s="21" t="str">
        <f>'CUOTA INDUSTRIAL'!C20</f>
        <v>MARCO SALINAS CARRASCO</v>
      </c>
      <c r="F61" s="21" t="s">
        <v>54</v>
      </c>
      <c r="G61" s="21" t="s">
        <v>55</v>
      </c>
      <c r="H61" s="22">
        <f>'CUOTA INDUSTRIAL'!E20</f>
        <v>1.9063000000000001</v>
      </c>
      <c r="I61" s="22">
        <f>'CUOTA INDUSTRIAL'!F20</f>
        <v>0</v>
      </c>
      <c r="J61" s="22">
        <f>'CUOTA INDUSTRIAL'!G20</f>
        <v>1.9063000000000001</v>
      </c>
      <c r="K61" s="22">
        <f>'CUOTA INDUSTRIAL'!H20</f>
        <v>0</v>
      </c>
      <c r="L61" s="22">
        <f>'CUOTA INDUSTRIAL'!I20</f>
        <v>1.9063000000000001</v>
      </c>
      <c r="M61" s="47">
        <f>'CUOTA INDUSTRIAL'!J20</f>
        <v>0</v>
      </c>
      <c r="N61" s="24" t="s">
        <v>48</v>
      </c>
      <c r="O61" s="24">
        <f>RESUMEN!$B$3</f>
        <v>43872</v>
      </c>
      <c r="P61" s="21">
        <v>2020</v>
      </c>
      <c r="Q61" s="21"/>
    </row>
    <row r="62" spans="1:17">
      <c r="A62" s="21" t="s">
        <v>134</v>
      </c>
      <c r="B62" s="21" t="s">
        <v>115</v>
      </c>
      <c r="C62" s="21" t="s">
        <v>135</v>
      </c>
      <c r="D62" s="21" t="s">
        <v>136</v>
      </c>
      <c r="E62" s="21" t="str">
        <f>'CUOTA INDUSTRIAL'!C20</f>
        <v>MARCO SALINAS CARRASCO</v>
      </c>
      <c r="F62" s="21" t="s">
        <v>56</v>
      </c>
      <c r="G62" s="21" t="s">
        <v>65</v>
      </c>
      <c r="H62" s="22">
        <f>'CUOTA INDUSTRIAL'!E21</f>
        <v>1.9125000000000001</v>
      </c>
      <c r="I62" s="22">
        <f>'CUOTA INDUSTRIAL'!F21</f>
        <v>0</v>
      </c>
      <c r="J62" s="22">
        <f>'CUOTA INDUSTRIAL'!G21</f>
        <v>3.8188000000000004</v>
      </c>
      <c r="K62" s="22">
        <f>'CUOTA INDUSTRIAL'!H21</f>
        <v>0</v>
      </c>
      <c r="L62" s="22">
        <f>'CUOTA INDUSTRIAL'!I21</f>
        <v>3.8188000000000004</v>
      </c>
      <c r="M62" s="47">
        <f>'CUOTA INDUSTRIAL'!J21</f>
        <v>0</v>
      </c>
      <c r="N62" s="24" t="s">
        <v>48</v>
      </c>
      <c r="O62" s="24">
        <f>RESUMEN!$B$3</f>
        <v>43872</v>
      </c>
      <c r="P62" s="21">
        <v>2020</v>
      </c>
      <c r="Q62" s="21"/>
    </row>
    <row r="63" spans="1:17">
      <c r="A63" s="21" t="s">
        <v>134</v>
      </c>
      <c r="B63" s="21" t="s">
        <v>115</v>
      </c>
      <c r="C63" s="21" t="s">
        <v>135</v>
      </c>
      <c r="D63" s="21" t="s">
        <v>136</v>
      </c>
      <c r="E63" s="21" t="str">
        <f>'CUOTA INDUSTRIAL'!C20</f>
        <v>MARCO SALINAS CARRASCO</v>
      </c>
      <c r="F63" s="21" t="s">
        <v>54</v>
      </c>
      <c r="G63" s="21" t="s">
        <v>65</v>
      </c>
      <c r="H63" s="22">
        <f>'CUOTA INDUSTRIAL'!K20</f>
        <v>3.8188000000000004</v>
      </c>
      <c r="I63" s="22">
        <f>'CUOTA INDUSTRIAL'!L20</f>
        <v>0</v>
      </c>
      <c r="J63" s="22">
        <f>'CUOTA INDUSTRIAL'!M20</f>
        <v>3.8188000000000004</v>
      </c>
      <c r="K63" s="22">
        <f>'CUOTA INDUSTRIAL'!N20</f>
        <v>0</v>
      </c>
      <c r="L63" s="22">
        <f>'CUOTA INDUSTRIAL'!O20</f>
        <v>3.8188000000000004</v>
      </c>
      <c r="M63" s="47">
        <f>'CUOTA INDUSTRIAL'!P20</f>
        <v>0</v>
      </c>
      <c r="N63" s="24" t="s">
        <v>48</v>
      </c>
      <c r="O63" s="24">
        <f>RESUMEN!$B$3</f>
        <v>43872</v>
      </c>
      <c r="P63" s="21">
        <v>2020</v>
      </c>
      <c r="Q63" s="21"/>
    </row>
    <row r="64" spans="1:17">
      <c r="A64" s="21" t="s">
        <v>137</v>
      </c>
      <c r="B64" s="21" t="s">
        <v>115</v>
      </c>
      <c r="C64" s="21" t="s">
        <v>138</v>
      </c>
      <c r="D64" s="21" t="s">
        <v>136</v>
      </c>
      <c r="E64" s="21" t="str">
        <f>'CUOTA INDUSTRIAL'!C27</f>
        <v>EMDEPES S.A.</v>
      </c>
      <c r="F64" s="21" t="s">
        <v>54</v>
      </c>
      <c r="G64" s="21" t="s">
        <v>55</v>
      </c>
      <c r="H64" s="22">
        <f>'CUOTA INDUSTRIAL'!E27</f>
        <v>19.568300000000001</v>
      </c>
      <c r="I64" s="22">
        <f>'CUOTA INDUSTRIAL'!F27</f>
        <v>0</v>
      </c>
      <c r="J64" s="22">
        <f>'CUOTA INDUSTRIAL'!G27</f>
        <v>19.568300000000001</v>
      </c>
      <c r="K64" s="22">
        <f>'CUOTA INDUSTRIAL'!H27</f>
        <v>0</v>
      </c>
      <c r="L64" s="22">
        <f>'CUOTA INDUSTRIAL'!I27</f>
        <v>19.568300000000001</v>
      </c>
      <c r="M64" s="47">
        <f>'CUOTA INDUSTRIAL'!J27</f>
        <v>0</v>
      </c>
      <c r="N64" s="24" t="s">
        <v>48</v>
      </c>
      <c r="O64" s="24">
        <f>RESUMEN!$B$3</f>
        <v>43872</v>
      </c>
      <c r="P64" s="21">
        <v>2020</v>
      </c>
      <c r="Q64" s="21"/>
    </row>
    <row r="65" spans="1:17">
      <c r="A65" s="21" t="s">
        <v>137</v>
      </c>
      <c r="B65" s="21" t="s">
        <v>115</v>
      </c>
      <c r="C65" s="21" t="s">
        <v>138</v>
      </c>
      <c r="D65" s="21" t="s">
        <v>136</v>
      </c>
      <c r="E65" s="21" t="str">
        <f>'CUOTA INDUSTRIAL'!C27</f>
        <v>EMDEPES S.A.</v>
      </c>
      <c r="F65" s="21" t="s">
        <v>56</v>
      </c>
      <c r="G65" s="21" t="s">
        <v>65</v>
      </c>
      <c r="H65" s="22">
        <f>'CUOTA INDUSTRIAL'!E28</f>
        <v>19.568300000000001</v>
      </c>
      <c r="I65" s="22">
        <f>'CUOTA INDUSTRIAL'!F28</f>
        <v>0</v>
      </c>
      <c r="J65" s="22">
        <f>'CUOTA INDUSTRIAL'!G28</f>
        <v>39.136600000000001</v>
      </c>
      <c r="K65" s="22">
        <f>'CUOTA INDUSTRIAL'!H28</f>
        <v>0</v>
      </c>
      <c r="L65" s="22">
        <f>'CUOTA INDUSTRIAL'!I28</f>
        <v>39.136600000000001</v>
      </c>
      <c r="M65" s="47">
        <f>'CUOTA INDUSTRIAL'!J28</f>
        <v>0</v>
      </c>
      <c r="N65" s="24" t="s">
        <v>48</v>
      </c>
      <c r="O65" s="24">
        <f>RESUMEN!$B$3</f>
        <v>43872</v>
      </c>
      <c r="P65" s="21">
        <v>2020</v>
      </c>
      <c r="Q65" s="21"/>
    </row>
    <row r="66" spans="1:17">
      <c r="A66" s="21" t="s">
        <v>137</v>
      </c>
      <c r="B66" s="21" t="s">
        <v>115</v>
      </c>
      <c r="C66" s="21" t="s">
        <v>138</v>
      </c>
      <c r="D66" s="21" t="s">
        <v>136</v>
      </c>
      <c r="E66" s="21" t="str">
        <f>'CUOTA INDUSTRIAL'!C27</f>
        <v>EMDEPES S.A.</v>
      </c>
      <c r="F66" s="21" t="s">
        <v>54</v>
      </c>
      <c r="G66" s="21" t="s">
        <v>65</v>
      </c>
      <c r="H66" s="22">
        <f>'CUOTA INDUSTRIAL'!K27</f>
        <v>39.136600000000001</v>
      </c>
      <c r="I66" s="22">
        <f>'CUOTA INDUSTRIAL'!L27</f>
        <v>0</v>
      </c>
      <c r="J66" s="22">
        <f>'CUOTA INDUSTRIAL'!M27</f>
        <v>39.136600000000001</v>
      </c>
      <c r="K66" s="22">
        <f>'CUOTA INDUSTRIAL'!N27</f>
        <v>0</v>
      </c>
      <c r="L66" s="22">
        <f>'CUOTA INDUSTRIAL'!O27</f>
        <v>39.136600000000001</v>
      </c>
      <c r="M66" s="47">
        <f>'CUOTA INDUSTRIAL'!P27</f>
        <v>0</v>
      </c>
      <c r="N66" s="24" t="s">
        <v>48</v>
      </c>
      <c r="O66" s="24">
        <f>RESUMEN!$B$3</f>
        <v>43872</v>
      </c>
      <c r="P66" s="21">
        <v>2020</v>
      </c>
      <c r="Q66" s="21"/>
    </row>
    <row r="67" spans="1:17">
      <c r="A67" s="21" t="s">
        <v>137</v>
      </c>
      <c r="B67" s="21" t="s">
        <v>115</v>
      </c>
      <c r="C67" s="21" t="s">
        <v>138</v>
      </c>
      <c r="D67" s="21" t="s">
        <v>136</v>
      </c>
      <c r="E67" s="21" t="str">
        <f>'CUOTA INDUSTRIAL'!C29</f>
        <v>GRIMAR S.A. PESQ.</v>
      </c>
      <c r="F67" s="21" t="s">
        <v>54</v>
      </c>
      <c r="G67" s="21" t="s">
        <v>55</v>
      </c>
      <c r="H67" s="22">
        <f>'CUOTA INDUSTRIAL'!E29</f>
        <v>0.48099999999999998</v>
      </c>
      <c r="I67" s="22">
        <f>'CUOTA INDUSTRIAL'!F29</f>
        <v>0</v>
      </c>
      <c r="J67" s="22">
        <f>'CUOTA INDUSTRIAL'!G29</f>
        <v>0.48099999999999998</v>
      </c>
      <c r="K67" s="22">
        <f>'CUOTA INDUSTRIAL'!H29</f>
        <v>0</v>
      </c>
      <c r="L67" s="22">
        <f>'CUOTA INDUSTRIAL'!I29</f>
        <v>0.48099999999999998</v>
      </c>
      <c r="M67" s="47">
        <f>'CUOTA INDUSTRIAL'!J29</f>
        <v>0</v>
      </c>
      <c r="N67" s="24" t="s">
        <v>48</v>
      </c>
      <c r="O67" s="24">
        <f>RESUMEN!$B$3</f>
        <v>43872</v>
      </c>
      <c r="P67" s="21">
        <v>2020</v>
      </c>
      <c r="Q67" s="21"/>
    </row>
    <row r="68" spans="1:17">
      <c r="A68" s="21" t="s">
        <v>137</v>
      </c>
      <c r="B68" s="21" t="s">
        <v>115</v>
      </c>
      <c r="C68" s="21" t="s">
        <v>138</v>
      </c>
      <c r="D68" s="21" t="s">
        <v>136</v>
      </c>
      <c r="E68" s="21" t="str">
        <f>'CUOTA INDUSTRIAL'!C29</f>
        <v>GRIMAR S.A. PESQ.</v>
      </c>
      <c r="F68" s="21" t="s">
        <v>56</v>
      </c>
      <c r="G68" s="21" t="s">
        <v>65</v>
      </c>
      <c r="H68" s="22">
        <f>'CUOTA INDUSTRIAL'!E30</f>
        <v>0.48099999999999998</v>
      </c>
      <c r="I68" s="22">
        <f>'CUOTA INDUSTRIAL'!F30</f>
        <v>0</v>
      </c>
      <c r="J68" s="22">
        <f>'CUOTA INDUSTRIAL'!G30</f>
        <v>0.96199999999999997</v>
      </c>
      <c r="K68" s="22">
        <f>'CUOTA INDUSTRIAL'!H30</f>
        <v>0</v>
      </c>
      <c r="L68" s="22">
        <f>'CUOTA INDUSTRIAL'!I30</f>
        <v>0.96199999999999997</v>
      </c>
      <c r="M68" s="47">
        <f>'CUOTA INDUSTRIAL'!J30</f>
        <v>0</v>
      </c>
      <c r="N68" s="24" t="s">
        <v>48</v>
      </c>
      <c r="O68" s="24">
        <f>RESUMEN!$B$3</f>
        <v>43872</v>
      </c>
      <c r="P68" s="21">
        <v>2020</v>
      </c>
      <c r="Q68" s="21"/>
    </row>
    <row r="69" spans="1:17">
      <c r="A69" s="21" t="s">
        <v>137</v>
      </c>
      <c r="B69" s="21" t="s">
        <v>115</v>
      </c>
      <c r="C69" s="21" t="s">
        <v>138</v>
      </c>
      <c r="D69" s="21" t="s">
        <v>136</v>
      </c>
      <c r="E69" s="21" t="str">
        <f>'CUOTA INDUSTRIAL'!C29</f>
        <v>GRIMAR S.A. PESQ.</v>
      </c>
      <c r="F69" s="21" t="s">
        <v>54</v>
      </c>
      <c r="G69" s="21" t="s">
        <v>65</v>
      </c>
      <c r="H69" s="22">
        <f>'CUOTA INDUSTRIAL'!K29</f>
        <v>0.96199999999999997</v>
      </c>
      <c r="I69" s="22">
        <f>'CUOTA INDUSTRIAL'!L29</f>
        <v>0</v>
      </c>
      <c r="J69" s="22">
        <f>'CUOTA INDUSTRIAL'!M29</f>
        <v>0.96199999999999997</v>
      </c>
      <c r="K69" s="22">
        <f>'CUOTA INDUSTRIAL'!N29</f>
        <v>0</v>
      </c>
      <c r="L69" s="22">
        <f>'CUOTA INDUSTRIAL'!O29</f>
        <v>0.96199999999999997</v>
      </c>
      <c r="M69" s="47">
        <f>'CUOTA INDUSTRIAL'!P29</f>
        <v>0</v>
      </c>
      <c r="N69" s="24" t="s">
        <v>48</v>
      </c>
      <c r="O69" s="24">
        <f>RESUMEN!$B$3</f>
        <v>43872</v>
      </c>
      <c r="P69" s="21">
        <v>2020</v>
      </c>
      <c r="Q69" s="21"/>
    </row>
    <row r="70" spans="1:17">
      <c r="A70" s="21" t="s">
        <v>137</v>
      </c>
      <c r="B70" s="21" t="s">
        <v>115</v>
      </c>
      <c r="C70" s="21" t="s">
        <v>138</v>
      </c>
      <c r="D70" s="21" t="s">
        <v>136</v>
      </c>
      <c r="E70" s="21" t="str">
        <f>'CUOTA INDUSTRIAL'!C31</f>
        <v>DERIS S.A.</v>
      </c>
      <c r="F70" s="21" t="s">
        <v>54</v>
      </c>
      <c r="G70" s="21" t="s">
        <v>55</v>
      </c>
      <c r="H70" s="22">
        <f>'CUOTA INDUSTRIAL'!E31</f>
        <v>95.626000000000005</v>
      </c>
      <c r="I70" s="22">
        <f>'CUOTA INDUSTRIAL'!F31</f>
        <v>0</v>
      </c>
      <c r="J70" s="22">
        <f>'CUOTA INDUSTRIAL'!G31</f>
        <v>95.626000000000005</v>
      </c>
      <c r="K70" s="22">
        <f>'CUOTA INDUSTRIAL'!H31</f>
        <v>0.11</v>
      </c>
      <c r="L70" s="22">
        <f>'CUOTA INDUSTRIAL'!I31</f>
        <v>95.516000000000005</v>
      </c>
      <c r="M70" s="47">
        <f>'CUOTA INDUSTRIAL'!J31</f>
        <v>1.150314767950139E-3</v>
      </c>
      <c r="N70" s="24" t="s">
        <v>48</v>
      </c>
      <c r="O70" s="24">
        <f>RESUMEN!$B$3</f>
        <v>43872</v>
      </c>
      <c r="P70" s="21">
        <v>2020</v>
      </c>
      <c r="Q70" s="21"/>
    </row>
    <row r="71" spans="1:17">
      <c r="A71" s="21" t="s">
        <v>137</v>
      </c>
      <c r="B71" s="21" t="s">
        <v>115</v>
      </c>
      <c r="C71" s="21" t="s">
        <v>138</v>
      </c>
      <c r="D71" s="21" t="s">
        <v>136</v>
      </c>
      <c r="E71" s="21" t="str">
        <f>'CUOTA INDUSTRIAL'!C31</f>
        <v>DERIS S.A.</v>
      </c>
      <c r="F71" s="21" t="s">
        <v>56</v>
      </c>
      <c r="G71" s="21" t="s">
        <v>65</v>
      </c>
      <c r="H71" s="22">
        <f>'CUOTA INDUSTRIAL'!E32</f>
        <v>95.626000000000005</v>
      </c>
      <c r="I71" s="22">
        <f>'CUOTA INDUSTRIAL'!F32</f>
        <v>0</v>
      </c>
      <c r="J71" s="22">
        <f>'CUOTA INDUSTRIAL'!G32</f>
        <v>191.142</v>
      </c>
      <c r="K71" s="22">
        <f>'CUOTA INDUSTRIAL'!H32</f>
        <v>0</v>
      </c>
      <c r="L71" s="22">
        <f>'CUOTA INDUSTRIAL'!I32</f>
        <v>191.142</v>
      </c>
      <c r="M71" s="47">
        <f>'CUOTA INDUSTRIAL'!J32</f>
        <v>0</v>
      </c>
      <c r="N71" s="24" t="s">
        <v>48</v>
      </c>
      <c r="O71" s="24">
        <f>RESUMEN!$B$3</f>
        <v>43872</v>
      </c>
      <c r="P71" s="21">
        <v>2020</v>
      </c>
      <c r="Q71" s="21"/>
    </row>
    <row r="72" spans="1:17">
      <c r="A72" s="21" t="s">
        <v>137</v>
      </c>
      <c r="B72" s="21" t="s">
        <v>115</v>
      </c>
      <c r="C72" s="21" t="s">
        <v>138</v>
      </c>
      <c r="D72" s="21" t="s">
        <v>136</v>
      </c>
      <c r="E72" s="21" t="str">
        <f>'CUOTA INDUSTRIAL'!C31</f>
        <v>DERIS S.A.</v>
      </c>
      <c r="F72" s="21" t="s">
        <v>54</v>
      </c>
      <c r="G72" s="21" t="s">
        <v>65</v>
      </c>
      <c r="H72" s="22">
        <f>'CUOTA INDUSTRIAL'!K31</f>
        <v>191.25200000000001</v>
      </c>
      <c r="I72" s="22">
        <f>'CUOTA INDUSTRIAL'!L31</f>
        <v>0</v>
      </c>
      <c r="J72" s="22">
        <f>'CUOTA INDUSTRIAL'!M31</f>
        <v>191.25200000000001</v>
      </c>
      <c r="K72" s="22">
        <f>'CUOTA INDUSTRIAL'!N31</f>
        <v>0.11</v>
      </c>
      <c r="L72" s="22">
        <f>'CUOTA INDUSTRIAL'!O31</f>
        <v>191.142</v>
      </c>
      <c r="M72" s="47">
        <f>'CUOTA INDUSTRIAL'!P31</f>
        <v>5.7515738397506948E-4</v>
      </c>
      <c r="N72" s="24" t="s">
        <v>48</v>
      </c>
      <c r="O72" s="24">
        <f>RESUMEN!$B$3</f>
        <v>43872</v>
      </c>
      <c r="P72" s="21">
        <v>2020</v>
      </c>
      <c r="Q72" s="21"/>
    </row>
    <row r="73" spans="1:17">
      <c r="A73" s="21" t="s">
        <v>137</v>
      </c>
      <c r="B73" s="21" t="s">
        <v>115</v>
      </c>
      <c r="C73" s="21" t="s">
        <v>138</v>
      </c>
      <c r="D73" s="21" t="s">
        <v>136</v>
      </c>
      <c r="E73" s="21" t="str">
        <f>'CUOTA INDUSTRIAL'!C33</f>
        <v>PESCA CISNE S.A.</v>
      </c>
      <c r="F73" s="21" t="s">
        <v>54</v>
      </c>
      <c r="G73" s="21" t="s">
        <v>55</v>
      </c>
      <c r="H73" s="22">
        <f>'CUOTA INDUSTRIAL'!E33</f>
        <v>36.251300000000001</v>
      </c>
      <c r="I73" s="22">
        <f>'CUOTA INDUSTRIAL'!F33</f>
        <v>0</v>
      </c>
      <c r="J73" s="22">
        <f>'CUOTA INDUSTRIAL'!G33</f>
        <v>36.251300000000001</v>
      </c>
      <c r="K73" s="22">
        <f>'CUOTA INDUSTRIAL'!H33</f>
        <v>0</v>
      </c>
      <c r="L73" s="22">
        <f>'CUOTA INDUSTRIAL'!I33</f>
        <v>36.251300000000001</v>
      </c>
      <c r="M73" s="47">
        <f>'CUOTA INDUSTRIAL'!J33</f>
        <v>0</v>
      </c>
      <c r="N73" s="24" t="s">
        <v>48</v>
      </c>
      <c r="O73" s="24">
        <f>RESUMEN!$B$3</f>
        <v>43872</v>
      </c>
      <c r="P73" s="21">
        <v>2020</v>
      </c>
      <c r="Q73" s="21"/>
    </row>
    <row r="74" spans="1:17">
      <c r="A74" s="21" t="s">
        <v>137</v>
      </c>
      <c r="B74" s="21" t="s">
        <v>115</v>
      </c>
      <c r="C74" s="21" t="s">
        <v>138</v>
      </c>
      <c r="D74" s="21" t="s">
        <v>136</v>
      </c>
      <c r="E74" s="21" t="str">
        <f>'CUOTA INDUSTRIAL'!C33</f>
        <v>PESCA CISNE S.A.</v>
      </c>
      <c r="F74" s="21" t="s">
        <v>56</v>
      </c>
      <c r="G74" s="21" t="s">
        <v>65</v>
      </c>
      <c r="H74" s="22">
        <f>'CUOTA INDUSTRIAL'!E34</f>
        <v>36.251300000000001</v>
      </c>
      <c r="I74" s="22">
        <f>'CUOTA INDUSTRIAL'!F34</f>
        <v>0</v>
      </c>
      <c r="J74" s="22">
        <f>'CUOTA INDUSTRIAL'!G34</f>
        <v>72.502600000000001</v>
      </c>
      <c r="K74" s="22">
        <f>'CUOTA INDUSTRIAL'!H34</f>
        <v>0</v>
      </c>
      <c r="L74" s="22">
        <f>'CUOTA INDUSTRIAL'!I34</f>
        <v>72.502600000000001</v>
      </c>
      <c r="M74" s="47">
        <f>'CUOTA INDUSTRIAL'!J34</f>
        <v>0</v>
      </c>
      <c r="N74" s="24" t="s">
        <v>48</v>
      </c>
      <c r="O74" s="24">
        <f>RESUMEN!$B$3</f>
        <v>43872</v>
      </c>
      <c r="P74" s="21">
        <v>2020</v>
      </c>
      <c r="Q74" s="21"/>
    </row>
    <row r="75" spans="1:17">
      <c r="A75" s="21" t="s">
        <v>137</v>
      </c>
      <c r="B75" s="21" t="s">
        <v>115</v>
      </c>
      <c r="C75" s="21" t="s">
        <v>138</v>
      </c>
      <c r="D75" s="21" t="s">
        <v>136</v>
      </c>
      <c r="E75" s="21" t="str">
        <f>'CUOTA INDUSTRIAL'!C33</f>
        <v>PESCA CISNE S.A.</v>
      </c>
      <c r="F75" s="21" t="s">
        <v>54</v>
      </c>
      <c r="G75" s="21" t="s">
        <v>65</v>
      </c>
      <c r="H75" s="22">
        <f>'CUOTA INDUSTRIAL'!K33</f>
        <v>72.502600000000001</v>
      </c>
      <c r="I75" s="22">
        <f>'CUOTA INDUSTRIAL'!L33</f>
        <v>0</v>
      </c>
      <c r="J75" s="22">
        <f>'CUOTA INDUSTRIAL'!M33</f>
        <v>72.502600000000001</v>
      </c>
      <c r="K75" s="22">
        <f>'CUOTA INDUSTRIAL'!N33</f>
        <v>0</v>
      </c>
      <c r="L75" s="22">
        <f>'CUOTA INDUSTRIAL'!O33</f>
        <v>72.502600000000001</v>
      </c>
      <c r="M75" s="47">
        <f>'CUOTA INDUSTRIAL'!P33</f>
        <v>0</v>
      </c>
      <c r="N75" s="24" t="s">
        <v>48</v>
      </c>
      <c r="O75" s="24">
        <f>RESUMEN!$B$3</f>
        <v>43872</v>
      </c>
      <c r="P75" s="21">
        <v>2020</v>
      </c>
      <c r="Q75" s="21"/>
    </row>
    <row r="76" spans="1:17">
      <c r="A76" s="21" t="s">
        <v>137</v>
      </c>
      <c r="B76" s="21" t="s">
        <v>115</v>
      </c>
      <c r="C76" s="21" t="s">
        <v>138</v>
      </c>
      <c r="D76" s="21" t="s">
        <v>136</v>
      </c>
      <c r="E76" s="21" t="str">
        <f>'CUOTA INDUSTRIAL'!C35</f>
        <v>SUR AUSTRAL S.A. PESQ.</v>
      </c>
      <c r="F76" s="21" t="s">
        <v>54</v>
      </c>
      <c r="G76" s="21" t="s">
        <v>55</v>
      </c>
      <c r="H76" s="22">
        <f>'CUOTA INDUSTRIAL'!E35</f>
        <v>0.23599999999999999</v>
      </c>
      <c r="I76" s="22">
        <f>'CUOTA INDUSTRIAL'!F35</f>
        <v>0</v>
      </c>
      <c r="J76" s="22">
        <f>'CUOTA INDUSTRIAL'!G35</f>
        <v>0.23599999999999999</v>
      </c>
      <c r="K76" s="22">
        <f>'CUOTA INDUSTRIAL'!H35</f>
        <v>0</v>
      </c>
      <c r="L76" s="22">
        <f>'CUOTA INDUSTRIAL'!I35</f>
        <v>0.23599999999999999</v>
      </c>
      <c r="M76" s="47">
        <f>'CUOTA INDUSTRIAL'!J35</f>
        <v>0</v>
      </c>
      <c r="N76" s="24" t="s">
        <v>48</v>
      </c>
      <c r="O76" s="24">
        <f>RESUMEN!$B$3</f>
        <v>43872</v>
      </c>
      <c r="P76" s="21">
        <v>2020</v>
      </c>
      <c r="Q76" s="21"/>
    </row>
    <row r="77" spans="1:17">
      <c r="A77" s="21" t="s">
        <v>137</v>
      </c>
      <c r="B77" s="21" t="s">
        <v>115</v>
      </c>
      <c r="C77" s="21" t="s">
        <v>138</v>
      </c>
      <c r="D77" s="21" t="s">
        <v>136</v>
      </c>
      <c r="E77" s="21" t="str">
        <f>'CUOTA INDUSTRIAL'!C35</f>
        <v>SUR AUSTRAL S.A. PESQ.</v>
      </c>
      <c r="F77" s="21" t="s">
        <v>56</v>
      </c>
      <c r="G77" s="21" t="s">
        <v>65</v>
      </c>
      <c r="H77" s="22">
        <f>'CUOTA INDUSTRIAL'!E36</f>
        <v>0.23599999999999999</v>
      </c>
      <c r="I77" s="22">
        <f>'CUOTA INDUSTRIAL'!F36</f>
        <v>0</v>
      </c>
      <c r="J77" s="22">
        <f>'CUOTA INDUSTRIAL'!G36</f>
        <v>0.47199999999999998</v>
      </c>
      <c r="K77" s="22">
        <f>'CUOTA INDUSTRIAL'!H36</f>
        <v>0</v>
      </c>
      <c r="L77" s="22">
        <f>'CUOTA INDUSTRIAL'!I36</f>
        <v>0.47199999999999998</v>
      </c>
      <c r="M77" s="47">
        <f>'CUOTA INDUSTRIAL'!J36</f>
        <v>0</v>
      </c>
      <c r="N77" s="24" t="s">
        <v>48</v>
      </c>
      <c r="O77" s="24">
        <f>RESUMEN!$B$3</f>
        <v>43872</v>
      </c>
      <c r="P77" s="21">
        <v>2020</v>
      </c>
      <c r="Q77" s="21"/>
    </row>
    <row r="78" spans="1:17">
      <c r="A78" s="21" t="s">
        <v>137</v>
      </c>
      <c r="B78" s="21" t="s">
        <v>115</v>
      </c>
      <c r="C78" s="21" t="s">
        <v>138</v>
      </c>
      <c r="D78" s="21" t="s">
        <v>136</v>
      </c>
      <c r="E78" s="21" t="str">
        <f>'CUOTA INDUSTRIAL'!C35</f>
        <v>SUR AUSTRAL S.A. PESQ.</v>
      </c>
      <c r="F78" s="21" t="s">
        <v>54</v>
      </c>
      <c r="G78" s="21" t="s">
        <v>65</v>
      </c>
      <c r="H78" s="22">
        <f>'CUOTA INDUSTRIAL'!K35</f>
        <v>0.47199999999999998</v>
      </c>
      <c r="I78" s="22">
        <f>'CUOTA INDUSTRIAL'!L35</f>
        <v>0</v>
      </c>
      <c r="J78" s="22">
        <f>'CUOTA INDUSTRIAL'!M35</f>
        <v>0.47199999999999998</v>
      </c>
      <c r="K78" s="22">
        <f>'CUOTA INDUSTRIAL'!N35</f>
        <v>0</v>
      </c>
      <c r="L78" s="22">
        <f>'CUOTA INDUSTRIAL'!O35</f>
        <v>0.47199999999999998</v>
      </c>
      <c r="M78" s="47">
        <f>'CUOTA INDUSTRIAL'!P35</f>
        <v>0</v>
      </c>
      <c r="N78" s="24" t="s">
        <v>48</v>
      </c>
      <c r="O78" s="24">
        <f>RESUMEN!$B$3</f>
        <v>43872</v>
      </c>
      <c r="P78" s="21">
        <v>2020</v>
      </c>
      <c r="Q78" s="21"/>
    </row>
    <row r="79" spans="1:17">
      <c r="A79" s="21" t="s">
        <v>137</v>
      </c>
      <c r="B79" s="21" t="s">
        <v>115</v>
      </c>
      <c r="C79" s="21" t="s">
        <v>138</v>
      </c>
      <c r="D79" s="21" t="s">
        <v>136</v>
      </c>
      <c r="E79" s="21" t="str">
        <f>'CUOTA INDUSTRIAL'!C37</f>
        <v>CANAL AUSTRAL LTDA.</v>
      </c>
      <c r="F79" s="21" t="s">
        <v>54</v>
      </c>
      <c r="G79" s="21" t="s">
        <v>55</v>
      </c>
      <c r="H79" s="22">
        <f>'CUOTA INDUSTRIAL'!E37</f>
        <v>2.0562999999999998</v>
      </c>
      <c r="I79" s="22">
        <f>'CUOTA INDUSTRIAL'!F37</f>
        <v>0</v>
      </c>
      <c r="J79" s="22">
        <f>'CUOTA INDUSTRIAL'!G37</f>
        <v>2.0562999999999998</v>
      </c>
      <c r="K79" s="22">
        <f>'CUOTA INDUSTRIAL'!H37</f>
        <v>0</v>
      </c>
      <c r="L79" s="22">
        <f>'CUOTA INDUSTRIAL'!I37</f>
        <v>2.0562999999999998</v>
      </c>
      <c r="M79" s="47">
        <f>'CUOTA INDUSTRIAL'!J37</f>
        <v>0</v>
      </c>
      <c r="N79" s="24" t="s">
        <v>48</v>
      </c>
      <c r="O79" s="24">
        <f>RESUMEN!$B$3</f>
        <v>43872</v>
      </c>
      <c r="P79" s="21">
        <v>2020</v>
      </c>
      <c r="Q79" s="21"/>
    </row>
    <row r="80" spans="1:17">
      <c r="A80" s="21" t="s">
        <v>137</v>
      </c>
      <c r="B80" s="21" t="s">
        <v>115</v>
      </c>
      <c r="C80" s="21" t="s">
        <v>138</v>
      </c>
      <c r="D80" s="21" t="s">
        <v>136</v>
      </c>
      <c r="E80" s="21" t="str">
        <f>'CUOTA INDUSTRIAL'!C37</f>
        <v>CANAL AUSTRAL LTDA.</v>
      </c>
      <c r="F80" s="21" t="s">
        <v>56</v>
      </c>
      <c r="G80" s="21" t="s">
        <v>65</v>
      </c>
      <c r="H80" s="22">
        <f>'CUOTA INDUSTRIAL'!E38</f>
        <v>2.0562999999999998</v>
      </c>
      <c r="I80" s="22">
        <f>'CUOTA INDUSTRIAL'!F38</f>
        <v>0</v>
      </c>
      <c r="J80" s="22">
        <f>'CUOTA INDUSTRIAL'!G38</f>
        <v>4.1125999999999996</v>
      </c>
      <c r="K80" s="22">
        <f>'CUOTA INDUSTRIAL'!H38</f>
        <v>0</v>
      </c>
      <c r="L80" s="22">
        <f>'CUOTA INDUSTRIAL'!I38</f>
        <v>4.1125999999999996</v>
      </c>
      <c r="M80" s="47">
        <f>'CUOTA INDUSTRIAL'!J38</f>
        <v>0</v>
      </c>
      <c r="N80" s="24" t="s">
        <v>48</v>
      </c>
      <c r="O80" s="24">
        <f>RESUMEN!$B$3</f>
        <v>43872</v>
      </c>
      <c r="P80" s="21">
        <v>2020</v>
      </c>
      <c r="Q80" s="21"/>
    </row>
    <row r="81" spans="1:17">
      <c r="A81" s="21" t="s">
        <v>137</v>
      </c>
      <c r="B81" s="21" t="s">
        <v>115</v>
      </c>
      <c r="C81" s="21" t="s">
        <v>138</v>
      </c>
      <c r="D81" s="21" t="s">
        <v>136</v>
      </c>
      <c r="E81" s="21" t="str">
        <f>'CUOTA INDUSTRIAL'!C37</f>
        <v>CANAL AUSTRAL LTDA.</v>
      </c>
      <c r="F81" s="21" t="s">
        <v>54</v>
      </c>
      <c r="G81" s="21" t="s">
        <v>65</v>
      </c>
      <c r="H81" s="22">
        <f>'CUOTA INDUSTRIAL'!K37</f>
        <v>4.1125999999999996</v>
      </c>
      <c r="I81" s="22">
        <f>'CUOTA INDUSTRIAL'!L37</f>
        <v>0</v>
      </c>
      <c r="J81" s="22">
        <f>'CUOTA INDUSTRIAL'!M37</f>
        <v>4.1125999999999996</v>
      </c>
      <c r="K81" s="22">
        <f>'CUOTA INDUSTRIAL'!N37</f>
        <v>0</v>
      </c>
      <c r="L81" s="22">
        <f>'CUOTA INDUSTRIAL'!O37</f>
        <v>4.1125999999999996</v>
      </c>
      <c r="M81" s="47">
        <f>'CUOTA INDUSTRIAL'!P37</f>
        <v>0</v>
      </c>
      <c r="N81" s="24" t="s">
        <v>48</v>
      </c>
      <c r="O81" s="24">
        <f>RESUMEN!$B$3</f>
        <v>43872</v>
      </c>
      <c r="P81" s="21">
        <v>2020</v>
      </c>
      <c r="Q81" s="21"/>
    </row>
    <row r="82" spans="1:17">
      <c r="A82" s="21" t="s">
        <v>137</v>
      </c>
      <c r="B82" s="21" t="s">
        <v>115</v>
      </c>
      <c r="C82" s="21" t="s">
        <v>138</v>
      </c>
      <c r="D82" s="21" t="s">
        <v>136</v>
      </c>
      <c r="E82" s="21" t="str">
        <f>'CUOTA INDUSTRIAL'!C39</f>
        <v>MARCO SALINAS CARRASCO</v>
      </c>
      <c r="F82" s="21" t="s">
        <v>54</v>
      </c>
      <c r="G82" s="21" t="s">
        <v>55</v>
      </c>
      <c r="H82" s="22">
        <f>'CUOTA INDUSTRIAL'!E39</f>
        <v>2.0562999999999998</v>
      </c>
      <c r="I82" s="22">
        <f>'CUOTA INDUSTRIAL'!F39</f>
        <v>0</v>
      </c>
      <c r="J82" s="22">
        <f>'CUOTA INDUSTRIAL'!G39</f>
        <v>2.0562999999999998</v>
      </c>
      <c r="K82" s="22">
        <f>'CUOTA INDUSTRIAL'!H39</f>
        <v>0</v>
      </c>
      <c r="L82" s="22">
        <f>'CUOTA INDUSTRIAL'!I39</f>
        <v>2.0562999999999998</v>
      </c>
      <c r="M82" s="47">
        <f>'CUOTA INDUSTRIAL'!J39</f>
        <v>0</v>
      </c>
      <c r="N82" s="24" t="s">
        <v>48</v>
      </c>
      <c r="O82" s="24">
        <f>RESUMEN!$B$3</f>
        <v>43872</v>
      </c>
      <c r="P82" s="21">
        <v>2020</v>
      </c>
      <c r="Q82" s="21"/>
    </row>
    <row r="83" spans="1:17">
      <c r="A83" s="21" t="s">
        <v>137</v>
      </c>
      <c r="B83" s="21" t="s">
        <v>115</v>
      </c>
      <c r="C83" s="21" t="s">
        <v>138</v>
      </c>
      <c r="D83" s="21" t="s">
        <v>136</v>
      </c>
      <c r="E83" s="21" t="str">
        <f>'CUOTA INDUSTRIAL'!C39</f>
        <v>MARCO SALINAS CARRASCO</v>
      </c>
      <c r="F83" s="21" t="s">
        <v>56</v>
      </c>
      <c r="G83" s="21" t="s">
        <v>65</v>
      </c>
      <c r="H83" s="22">
        <f>'CUOTA INDUSTRIAL'!E40</f>
        <v>2.0562999999999998</v>
      </c>
      <c r="I83" s="22">
        <f>'CUOTA INDUSTRIAL'!F40</f>
        <v>0</v>
      </c>
      <c r="J83" s="22">
        <f>'CUOTA INDUSTRIAL'!G40</f>
        <v>4.1125999999999996</v>
      </c>
      <c r="K83" s="22">
        <f>'CUOTA INDUSTRIAL'!H40</f>
        <v>0</v>
      </c>
      <c r="L83" s="22">
        <f>'CUOTA INDUSTRIAL'!I40</f>
        <v>4.1125999999999996</v>
      </c>
      <c r="M83" s="47">
        <f>'CUOTA INDUSTRIAL'!J40</f>
        <v>0</v>
      </c>
      <c r="N83" s="24" t="s">
        <v>48</v>
      </c>
      <c r="O83" s="24">
        <f>RESUMEN!$B$3</f>
        <v>43872</v>
      </c>
      <c r="P83" s="21">
        <v>2020</v>
      </c>
      <c r="Q83" s="21"/>
    </row>
    <row r="84" spans="1:17">
      <c r="A84" s="21" t="s">
        <v>137</v>
      </c>
      <c r="B84" s="21" t="s">
        <v>115</v>
      </c>
      <c r="C84" s="21" t="s">
        <v>138</v>
      </c>
      <c r="D84" s="21" t="s">
        <v>136</v>
      </c>
      <c r="E84" s="21" t="str">
        <f>'CUOTA INDUSTRIAL'!C39</f>
        <v>MARCO SALINAS CARRASCO</v>
      </c>
      <c r="F84" s="21" t="s">
        <v>54</v>
      </c>
      <c r="G84" s="21" t="s">
        <v>65</v>
      </c>
      <c r="H84" s="22">
        <f>'CUOTA INDUSTRIAL'!K39</f>
        <v>4.1125999999999996</v>
      </c>
      <c r="I84" s="22">
        <f>'CUOTA INDUSTRIAL'!L39</f>
        <v>0</v>
      </c>
      <c r="J84" s="22">
        <f>'CUOTA INDUSTRIAL'!M39</f>
        <v>4.1125999999999996</v>
      </c>
      <c r="K84" s="22">
        <f>'CUOTA INDUSTRIAL'!N39</f>
        <v>0</v>
      </c>
      <c r="L84" s="22">
        <f>'CUOTA INDUSTRIAL'!O39</f>
        <v>4.1125999999999996</v>
      </c>
      <c r="M84" s="47">
        <f>'CUOTA INDUSTRIAL'!P39</f>
        <v>0</v>
      </c>
      <c r="N84" s="24" t="s">
        <v>48</v>
      </c>
      <c r="O84" s="24">
        <f>RESUMEN!$B$3</f>
        <v>43872</v>
      </c>
      <c r="P84" s="21">
        <v>2020</v>
      </c>
      <c r="Q84" s="21"/>
    </row>
    <row r="85" spans="1:17">
      <c r="A85" s="21" t="s">
        <v>137</v>
      </c>
      <c r="B85" s="21" t="s">
        <v>115</v>
      </c>
      <c r="C85" s="21" t="s">
        <v>139</v>
      </c>
      <c r="D85" s="21" t="s">
        <v>141</v>
      </c>
      <c r="E85" s="21" t="s">
        <v>140</v>
      </c>
      <c r="F85" s="21" t="s">
        <v>54</v>
      </c>
      <c r="G85" s="21" t="s">
        <v>65</v>
      </c>
      <c r="H85" s="22">
        <f>'CUOTA INDUSTRIAL'!E22+'CUOTA INDUSTRIAL'!E41</f>
        <v>892.9996000000001</v>
      </c>
      <c r="I85" s="22">
        <f>'CUOTA INDUSTRIAL'!F22+'CUOTA INDUSTRIAL'!F41</f>
        <v>0</v>
      </c>
      <c r="J85" s="22">
        <f>'CUOTA INDUSTRIAL'!G22+'CUOTA INDUSTRIAL'!G41</f>
        <v>892.9996000000001</v>
      </c>
      <c r="K85" s="22">
        <f>'CUOTA INDUSTRIAL'!H22+'CUOTA INDUSTRIAL'!H41</f>
        <v>3.7530000000000001</v>
      </c>
      <c r="L85" s="22">
        <f>'CUOTA INDUSTRIAL'!I22+'CUOTA INDUSTRIAL'!I41</f>
        <v>889.24660000000006</v>
      </c>
      <c r="M85" s="47">
        <f>'CUOTA INDUSTRIAL'!J22+'CUOTA INDUSTRIAL'!J41</f>
        <v>6.6281169330366461E-3</v>
      </c>
      <c r="N85" s="24" t="s">
        <v>48</v>
      </c>
      <c r="O85" s="24">
        <f>RESUMEN!$B$3</f>
        <v>43872</v>
      </c>
      <c r="P85" s="21">
        <v>2020</v>
      </c>
      <c r="Q85" s="2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</vt:lpstr>
      <vt:lpstr>CUOTA ARTESANAL</vt:lpstr>
      <vt:lpstr>CUOTA INDUSTRIAL</vt:lpstr>
      <vt:lpstr>FUERA UNIDAD DE PESQUERIA</vt:lpstr>
      <vt:lpstr>PAG. WEB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CEA TELLO, MARIO ANDRES</dc:creator>
  <cp:lastModifiedBy>kmolina</cp:lastModifiedBy>
  <dcterms:created xsi:type="dcterms:W3CDTF">2019-10-04T13:28:19Z</dcterms:created>
  <dcterms:modified xsi:type="dcterms:W3CDTF">2020-02-11T20:32:42Z</dcterms:modified>
</cp:coreProperties>
</file>