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LANILLAS 2020\Congrio Dorado 2020\"/>
    </mc:Choice>
  </mc:AlternateContent>
  <xr:revisionPtr revIDLastSave="0" documentId="13_ncr:1_{9EA2D526-6326-4C3C-8002-5ED875F48736}" xr6:coauthVersionLast="45" xr6:coauthVersionMax="45" xr10:uidLastSave="{00000000-0000-0000-0000-000000000000}"/>
  <bookViews>
    <workbookView xWindow="-108" yWindow="-108" windowWidth="23256" windowHeight="12576" tabRatio="762" xr2:uid="{00000000-000D-0000-FFFF-FFFF00000000}"/>
  </bookViews>
  <sheets>
    <sheet name="RESUMEN" sheetId="1" r:id="rId1"/>
    <sheet name="CUOTA ARTESANAL" sheetId="2" r:id="rId2"/>
    <sheet name="CUOTA INDUSTRIAL" sheetId="3" r:id="rId3"/>
    <sheet name="FUERA UNIDAD DE PESQUERIA" sheetId="4" r:id="rId4"/>
    <sheet name="PAG. WEB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3" l="1"/>
  <c r="H41" i="3" l="1"/>
  <c r="F41" i="3"/>
  <c r="H22" i="3"/>
  <c r="F22" i="3"/>
  <c r="I85" i="5" s="1"/>
  <c r="H11" i="4"/>
  <c r="G11" i="4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2" i="5"/>
  <c r="K85" i="5" l="1"/>
  <c r="E84" i="5" l="1"/>
  <c r="E83" i="5"/>
  <c r="E81" i="5"/>
  <c r="E80" i="5"/>
  <c r="E78" i="5"/>
  <c r="E77" i="5"/>
  <c r="E75" i="5"/>
  <c r="E74" i="5"/>
  <c r="E72" i="5"/>
  <c r="E71" i="5"/>
  <c r="E69" i="5"/>
  <c r="E68" i="5"/>
  <c r="E66" i="5"/>
  <c r="E65" i="5"/>
  <c r="I64" i="5"/>
  <c r="K64" i="5"/>
  <c r="I65" i="5"/>
  <c r="K65" i="5"/>
  <c r="I67" i="5"/>
  <c r="K67" i="5"/>
  <c r="I68" i="5"/>
  <c r="K68" i="5"/>
  <c r="I70" i="5"/>
  <c r="K70" i="5"/>
  <c r="I71" i="5"/>
  <c r="K71" i="5"/>
  <c r="I73" i="5"/>
  <c r="K73" i="5"/>
  <c r="I74" i="5"/>
  <c r="K74" i="5"/>
  <c r="I76" i="5"/>
  <c r="K76" i="5"/>
  <c r="I77" i="5"/>
  <c r="K77" i="5"/>
  <c r="I79" i="5"/>
  <c r="K79" i="5"/>
  <c r="I80" i="5"/>
  <c r="K80" i="5"/>
  <c r="I82" i="5"/>
  <c r="K82" i="5"/>
  <c r="I83" i="5"/>
  <c r="K83" i="5"/>
  <c r="E67" i="5"/>
  <c r="E70" i="5"/>
  <c r="E73" i="5"/>
  <c r="E76" i="5"/>
  <c r="E79" i="5"/>
  <c r="E82" i="5"/>
  <c r="E64" i="5"/>
  <c r="E63" i="5" l="1"/>
  <c r="E62" i="5"/>
  <c r="E60" i="5"/>
  <c r="E59" i="5"/>
  <c r="E57" i="5"/>
  <c r="E56" i="5"/>
  <c r="E54" i="5"/>
  <c r="E53" i="5"/>
  <c r="E51" i="5"/>
  <c r="E50" i="5"/>
  <c r="E49" i="5"/>
  <c r="E48" i="5"/>
  <c r="E47" i="5"/>
  <c r="E45" i="5"/>
  <c r="E44" i="5"/>
  <c r="E42" i="5"/>
  <c r="E41" i="5"/>
  <c r="I40" i="5" l="1"/>
  <c r="K40" i="5"/>
  <c r="I41" i="5"/>
  <c r="K41" i="5"/>
  <c r="I43" i="5"/>
  <c r="K43" i="5"/>
  <c r="I44" i="5"/>
  <c r="K44" i="5"/>
  <c r="I46" i="5"/>
  <c r="K46" i="5"/>
  <c r="I47" i="5"/>
  <c r="K47" i="5"/>
  <c r="I49" i="5"/>
  <c r="K49" i="5"/>
  <c r="I50" i="5"/>
  <c r="K50" i="5"/>
  <c r="I52" i="5"/>
  <c r="K52" i="5"/>
  <c r="I53" i="5"/>
  <c r="K53" i="5"/>
  <c r="I55" i="5"/>
  <c r="K55" i="5"/>
  <c r="I56" i="5"/>
  <c r="K56" i="5"/>
  <c r="I58" i="5"/>
  <c r="K58" i="5"/>
  <c r="I59" i="5"/>
  <c r="K59" i="5"/>
  <c r="I61" i="5"/>
  <c r="K61" i="5"/>
  <c r="I62" i="5"/>
  <c r="K62" i="5"/>
  <c r="H43" i="5"/>
  <c r="H44" i="5"/>
  <c r="H46" i="5"/>
  <c r="H47" i="5"/>
  <c r="H52" i="5"/>
  <c r="H53" i="5"/>
  <c r="H55" i="5"/>
  <c r="H56" i="5"/>
  <c r="H61" i="5"/>
  <c r="H62" i="5"/>
  <c r="E61" i="5"/>
  <c r="E43" i="5"/>
  <c r="E46" i="5"/>
  <c r="E52" i="5"/>
  <c r="E55" i="5"/>
  <c r="E58" i="5"/>
  <c r="E40" i="5"/>
  <c r="I26" i="5" l="1"/>
  <c r="K26" i="5"/>
  <c r="N26" i="5"/>
  <c r="I27" i="5"/>
  <c r="K27" i="5"/>
  <c r="N27" i="5"/>
  <c r="I28" i="5"/>
  <c r="K28" i="5"/>
  <c r="N28" i="5"/>
  <c r="I29" i="5"/>
  <c r="K29" i="5"/>
  <c r="N29" i="5"/>
  <c r="I30" i="5"/>
  <c r="K30" i="5"/>
  <c r="N30" i="5"/>
  <c r="I31" i="5"/>
  <c r="K31" i="5"/>
  <c r="N31" i="5"/>
  <c r="I32" i="5"/>
  <c r="K32" i="5"/>
  <c r="N32" i="5"/>
  <c r="I33" i="5"/>
  <c r="K33" i="5"/>
  <c r="N33" i="5"/>
  <c r="I34" i="5"/>
  <c r="K34" i="5"/>
  <c r="N34" i="5"/>
  <c r="I35" i="5"/>
  <c r="K35" i="5"/>
  <c r="N35" i="5"/>
  <c r="I36" i="5"/>
  <c r="K36" i="5"/>
  <c r="N36" i="5"/>
  <c r="I37" i="5"/>
  <c r="K37" i="5"/>
  <c r="N37" i="5"/>
  <c r="H27" i="5"/>
  <c r="H28" i="5"/>
  <c r="H29" i="5"/>
  <c r="H30" i="5"/>
  <c r="H31" i="5"/>
  <c r="H32" i="5"/>
  <c r="H33" i="5"/>
  <c r="H34" i="5"/>
  <c r="H35" i="5"/>
  <c r="H36" i="5"/>
  <c r="H37" i="5"/>
  <c r="H26" i="5"/>
  <c r="I25" i="5"/>
  <c r="K25" i="5"/>
  <c r="N25" i="5"/>
  <c r="H25" i="5"/>
  <c r="I22" i="5"/>
  <c r="K22" i="5"/>
  <c r="N22" i="5"/>
  <c r="I23" i="5"/>
  <c r="K23" i="5"/>
  <c r="N23" i="5"/>
  <c r="H23" i="5"/>
  <c r="H22" i="5"/>
  <c r="E24" i="5"/>
  <c r="E23" i="5"/>
  <c r="I21" i="5"/>
  <c r="K21" i="5"/>
  <c r="N21" i="5"/>
  <c r="H21" i="5"/>
  <c r="I17" i="5"/>
  <c r="K17" i="5"/>
  <c r="N17" i="5"/>
  <c r="I18" i="5"/>
  <c r="K18" i="5"/>
  <c r="N18" i="5"/>
  <c r="I19" i="5"/>
  <c r="K19" i="5"/>
  <c r="N19" i="5"/>
  <c r="H18" i="5"/>
  <c r="H19" i="5"/>
  <c r="H17" i="5"/>
  <c r="E20" i="5"/>
  <c r="E19" i="5"/>
  <c r="E18" i="5"/>
  <c r="E22" i="5"/>
  <c r="E17" i="5"/>
  <c r="K14" i="5"/>
  <c r="N14" i="5"/>
  <c r="I15" i="5"/>
  <c r="K15" i="5"/>
  <c r="N15" i="5"/>
  <c r="I16" i="5"/>
  <c r="K16" i="5"/>
  <c r="N16" i="5"/>
  <c r="H15" i="5"/>
  <c r="H16" i="5"/>
  <c r="H14" i="5"/>
  <c r="E16" i="5"/>
  <c r="E15" i="5"/>
  <c r="E14" i="5"/>
  <c r="I2" i="5"/>
  <c r="K2" i="5"/>
  <c r="N2" i="5"/>
  <c r="I3" i="5"/>
  <c r="K3" i="5"/>
  <c r="N3" i="5"/>
  <c r="I4" i="5"/>
  <c r="K4" i="5"/>
  <c r="N4" i="5"/>
  <c r="K5" i="5"/>
  <c r="N5" i="5"/>
  <c r="K6" i="5"/>
  <c r="N6" i="5"/>
  <c r="K7" i="5"/>
  <c r="N7" i="5"/>
  <c r="K8" i="5"/>
  <c r="N8" i="5"/>
  <c r="I9" i="5"/>
  <c r="K9" i="5"/>
  <c r="N9" i="5"/>
  <c r="K10" i="5"/>
  <c r="N10" i="5"/>
  <c r="I11" i="5"/>
  <c r="K11" i="5"/>
  <c r="N11" i="5"/>
  <c r="I12" i="5"/>
  <c r="K12" i="5"/>
  <c r="N12" i="5"/>
  <c r="I13" i="5"/>
  <c r="K13" i="5"/>
  <c r="N13" i="5"/>
  <c r="H3" i="5"/>
  <c r="H4" i="5"/>
  <c r="H5" i="5"/>
  <c r="H6" i="5"/>
  <c r="H7" i="5"/>
  <c r="H8" i="5"/>
  <c r="H9" i="5"/>
  <c r="H10" i="5"/>
  <c r="H11" i="5"/>
  <c r="H12" i="5"/>
  <c r="H13" i="5"/>
  <c r="H2" i="5"/>
  <c r="E3" i="5"/>
  <c r="E4" i="5"/>
  <c r="E5" i="5"/>
  <c r="E6" i="5"/>
  <c r="E7" i="5"/>
  <c r="E8" i="5"/>
  <c r="E9" i="5"/>
  <c r="E10" i="5"/>
  <c r="E11" i="5"/>
  <c r="E12" i="5"/>
  <c r="E13" i="5"/>
  <c r="E2" i="5"/>
  <c r="B3" i="4" l="1"/>
  <c r="B3" i="3"/>
  <c r="B3" i="2"/>
  <c r="B23" i="1" l="1"/>
  <c r="D28" i="1"/>
  <c r="F28" i="1" s="1"/>
  <c r="D27" i="1"/>
  <c r="F27" i="1" s="1"/>
  <c r="D26" i="1"/>
  <c r="D18" i="1"/>
  <c r="F18" i="1" s="1"/>
  <c r="E12" i="1"/>
  <c r="D9" i="1"/>
  <c r="M40" i="2"/>
  <c r="E15" i="1" s="1"/>
  <c r="O40" i="2"/>
  <c r="G15" i="1" s="1"/>
  <c r="L40" i="2"/>
  <c r="D15" i="1" s="1"/>
  <c r="O28" i="2"/>
  <c r="K38" i="5" s="1"/>
  <c r="M28" i="2"/>
  <c r="I38" i="5" s="1"/>
  <c r="L28" i="2"/>
  <c r="H38" i="5" s="1"/>
  <c r="M27" i="2"/>
  <c r="E13" i="1" s="1"/>
  <c r="O27" i="2"/>
  <c r="G13" i="1" s="1"/>
  <c r="L27" i="2"/>
  <c r="D13" i="1" s="1"/>
  <c r="O25" i="2"/>
  <c r="K24" i="5" s="1"/>
  <c r="N25" i="2"/>
  <c r="J24" i="5" s="1"/>
  <c r="M25" i="2"/>
  <c r="I24" i="5" s="1"/>
  <c r="L25" i="2"/>
  <c r="H24" i="5" s="1"/>
  <c r="M24" i="2"/>
  <c r="E11" i="1" s="1"/>
  <c r="O24" i="2"/>
  <c r="G11" i="1" s="1"/>
  <c r="L24" i="2"/>
  <c r="D11" i="1" s="1"/>
  <c r="O21" i="2"/>
  <c r="M21" i="2"/>
  <c r="I20" i="5" s="1"/>
  <c r="L21" i="2"/>
  <c r="H20" i="5" s="1"/>
  <c r="O7" i="2"/>
  <c r="O8" i="2"/>
  <c r="O9" i="2"/>
  <c r="O10" i="2"/>
  <c r="O11" i="2"/>
  <c r="O12" i="2"/>
  <c r="O13" i="2"/>
  <c r="O14" i="2"/>
  <c r="O15" i="2"/>
  <c r="O16" i="2"/>
  <c r="O17" i="2"/>
  <c r="G7" i="1" s="1"/>
  <c r="O18" i="2"/>
  <c r="O19" i="2"/>
  <c r="O20" i="2"/>
  <c r="G9" i="1" s="1"/>
  <c r="O6" i="2"/>
  <c r="M6" i="2"/>
  <c r="M7" i="2"/>
  <c r="M8" i="2"/>
  <c r="N8" i="2" s="1"/>
  <c r="M13" i="2"/>
  <c r="M15" i="2"/>
  <c r="M16" i="2"/>
  <c r="M17" i="2"/>
  <c r="E7" i="1" s="1"/>
  <c r="M19" i="2"/>
  <c r="M20" i="2"/>
  <c r="L7" i="2"/>
  <c r="N7" i="2" s="1"/>
  <c r="P7" i="2" s="1"/>
  <c r="L8" i="2"/>
  <c r="L9" i="2"/>
  <c r="L10" i="2"/>
  <c r="D6" i="1" s="1"/>
  <c r="L11" i="2"/>
  <c r="L12" i="2"/>
  <c r="L13" i="2"/>
  <c r="L14" i="2"/>
  <c r="L15" i="2"/>
  <c r="N15" i="2" s="1"/>
  <c r="L16" i="2"/>
  <c r="L17" i="2"/>
  <c r="D7" i="1" s="1"/>
  <c r="L18" i="2"/>
  <c r="L19" i="2"/>
  <c r="L20" i="2"/>
  <c r="L6" i="2"/>
  <c r="N20" i="2" l="1"/>
  <c r="N13" i="2"/>
  <c r="P13" i="2" s="1"/>
  <c r="N21" i="2"/>
  <c r="J20" i="5" s="1"/>
  <c r="L41" i="2"/>
  <c r="N19" i="2"/>
  <c r="P19" i="2" s="1"/>
  <c r="N16" i="2"/>
  <c r="P16" i="2" s="1"/>
  <c r="Q13" i="2"/>
  <c r="Q7" i="2"/>
  <c r="P20" i="2"/>
  <c r="H9" i="1" s="1"/>
  <c r="F9" i="1"/>
  <c r="N28" i="2"/>
  <c r="D8" i="1"/>
  <c r="E9" i="1"/>
  <c r="I18" i="1"/>
  <c r="H18" i="1"/>
  <c r="E14" i="1"/>
  <c r="Q20" i="2"/>
  <c r="I9" i="1" s="1"/>
  <c r="D10" i="1"/>
  <c r="D12" i="1"/>
  <c r="G14" i="1"/>
  <c r="Q15" i="2"/>
  <c r="N6" i="2"/>
  <c r="N17" i="2"/>
  <c r="F12" i="1"/>
  <c r="D14" i="1"/>
  <c r="D29" i="1"/>
  <c r="F29" i="1" s="1"/>
  <c r="Q19" i="2"/>
  <c r="G8" i="1"/>
  <c r="P15" i="2"/>
  <c r="G6" i="1"/>
  <c r="P8" i="2"/>
  <c r="Q8" i="2"/>
  <c r="K20" i="5"/>
  <c r="Q21" i="2"/>
  <c r="G10" i="1"/>
  <c r="Q25" i="2"/>
  <c r="P25" i="2"/>
  <c r="G12" i="1"/>
  <c r="O41" i="2"/>
  <c r="F10" i="1"/>
  <c r="P21" i="2"/>
  <c r="E10" i="1"/>
  <c r="F26" i="1"/>
  <c r="Q16" i="2" l="1"/>
  <c r="P6" i="2"/>
  <c r="Q6" i="2"/>
  <c r="F7" i="1"/>
  <c r="P17" i="2"/>
  <c r="H7" i="1" s="1"/>
  <c r="Q17" i="2"/>
  <c r="I7" i="1" s="1"/>
  <c r="J38" i="5"/>
  <c r="F14" i="1"/>
  <c r="P28" i="2"/>
  <c r="Q28" i="2"/>
  <c r="M24" i="5"/>
  <c r="I12" i="1"/>
  <c r="L24" i="5"/>
  <c r="H12" i="1"/>
  <c r="L20" i="5"/>
  <c r="H10" i="1"/>
  <c r="M20" i="5"/>
  <c r="I10" i="1"/>
  <c r="H41" i="2"/>
  <c r="K39" i="5" s="1"/>
  <c r="G24" i="2"/>
  <c r="I24" i="2" s="1"/>
  <c r="E41" i="2"/>
  <c r="H39" i="5" s="1"/>
  <c r="F18" i="2"/>
  <c r="F14" i="2"/>
  <c r="F12" i="2"/>
  <c r="F11" i="2"/>
  <c r="F10" i="2"/>
  <c r="F9" i="2"/>
  <c r="I6" i="5" l="1"/>
  <c r="M10" i="2"/>
  <c r="N10" i="2" s="1"/>
  <c r="I14" i="5"/>
  <c r="M18" i="2"/>
  <c r="J21" i="5"/>
  <c r="N24" i="2"/>
  <c r="F11" i="1" s="1"/>
  <c r="I7" i="5"/>
  <c r="M11" i="2"/>
  <c r="N11" i="2" s="1"/>
  <c r="I8" i="5"/>
  <c r="M12" i="2"/>
  <c r="N12" i="2" s="1"/>
  <c r="J24" i="2"/>
  <c r="M38" i="5"/>
  <c r="I14" i="1"/>
  <c r="F41" i="2"/>
  <c r="I39" i="5" s="1"/>
  <c r="I5" i="5"/>
  <c r="M9" i="2"/>
  <c r="I10" i="5"/>
  <c r="M14" i="2"/>
  <c r="N14" i="2" s="1"/>
  <c r="L38" i="5"/>
  <c r="H14" i="1"/>
  <c r="L21" i="5"/>
  <c r="P24" i="2"/>
  <c r="H11" i="1" s="1"/>
  <c r="M21" i="5"/>
  <c r="Q24" i="2"/>
  <c r="I11" i="1" s="1"/>
  <c r="I8" i="4"/>
  <c r="I9" i="4"/>
  <c r="I10" i="4"/>
  <c r="G28" i="1" s="1"/>
  <c r="I7" i="4"/>
  <c r="F10" i="4"/>
  <c r="J10" i="4" s="1"/>
  <c r="F9" i="4"/>
  <c r="F7" i="4"/>
  <c r="E11" i="4"/>
  <c r="P11" i="2" l="1"/>
  <c r="Q11" i="2"/>
  <c r="E8" i="1"/>
  <c r="N18" i="2"/>
  <c r="N9" i="2"/>
  <c r="M41" i="2"/>
  <c r="N41" i="2" s="1"/>
  <c r="E6" i="1"/>
  <c r="P12" i="2"/>
  <c r="Q12" i="2"/>
  <c r="Q10" i="2"/>
  <c r="P10" i="2"/>
  <c r="H28" i="1"/>
  <c r="I28" i="1"/>
  <c r="K10" i="4"/>
  <c r="Q14" i="2"/>
  <c r="P14" i="2"/>
  <c r="G41" i="2"/>
  <c r="J9" i="4"/>
  <c r="G27" i="1"/>
  <c r="K9" i="4"/>
  <c r="J41" i="2"/>
  <c r="M39" i="5" s="1"/>
  <c r="J39" i="5"/>
  <c r="I41" i="2"/>
  <c r="L39" i="5" s="1"/>
  <c r="K7" i="4"/>
  <c r="G26" i="1"/>
  <c r="J7" i="4"/>
  <c r="I11" i="4"/>
  <c r="E12" i="3"/>
  <c r="H49" i="5" s="1"/>
  <c r="K10" i="3"/>
  <c r="H48" i="5" s="1"/>
  <c r="E34" i="3"/>
  <c r="H74" i="5" s="1"/>
  <c r="E33" i="3"/>
  <c r="E28" i="3"/>
  <c r="H65" i="5" s="1"/>
  <c r="E27" i="3"/>
  <c r="H64" i="5" s="1"/>
  <c r="E40" i="3"/>
  <c r="H83" i="5" s="1"/>
  <c r="E39" i="3"/>
  <c r="H82" i="5" s="1"/>
  <c r="E38" i="3"/>
  <c r="H80" i="5" s="1"/>
  <c r="E37" i="3"/>
  <c r="H79" i="5" s="1"/>
  <c r="E36" i="3"/>
  <c r="H77" i="5" s="1"/>
  <c r="E35" i="3"/>
  <c r="H76" i="5" s="1"/>
  <c r="E32" i="3"/>
  <c r="H71" i="5" s="1"/>
  <c r="E31" i="3"/>
  <c r="H70" i="5" s="1"/>
  <c r="E30" i="3"/>
  <c r="H68" i="5" s="1"/>
  <c r="E29" i="3"/>
  <c r="N39" i="3"/>
  <c r="N37" i="3"/>
  <c r="N35" i="3"/>
  <c r="N33" i="3"/>
  <c r="N31" i="3"/>
  <c r="N29" i="3"/>
  <c r="N27" i="3"/>
  <c r="L39" i="3"/>
  <c r="I84" i="5" s="1"/>
  <c r="L37" i="3"/>
  <c r="I81" i="5" s="1"/>
  <c r="L35" i="3"/>
  <c r="I78" i="5" s="1"/>
  <c r="L33" i="3"/>
  <c r="I75" i="5" s="1"/>
  <c r="L31" i="3"/>
  <c r="I72" i="5" s="1"/>
  <c r="L29" i="3"/>
  <c r="I69" i="5" s="1"/>
  <c r="L27" i="3"/>
  <c r="G27" i="3"/>
  <c r="G39" i="3"/>
  <c r="G37" i="3"/>
  <c r="E13" i="3"/>
  <c r="H50" i="5" s="1"/>
  <c r="E7" i="3"/>
  <c r="H41" i="5" s="1"/>
  <c r="E6" i="3"/>
  <c r="H40" i="5" s="1"/>
  <c r="E19" i="3"/>
  <c r="E18" i="3"/>
  <c r="H58" i="5" s="1"/>
  <c r="K8" i="3"/>
  <c r="L8" i="3"/>
  <c r="I45" i="5" s="1"/>
  <c r="N8" i="3"/>
  <c r="L10" i="3"/>
  <c r="I48" i="5" s="1"/>
  <c r="N10" i="3"/>
  <c r="L12" i="3"/>
  <c r="I51" i="5" s="1"/>
  <c r="N12" i="3"/>
  <c r="K14" i="3"/>
  <c r="L14" i="3"/>
  <c r="I54" i="5" s="1"/>
  <c r="N14" i="3"/>
  <c r="K16" i="3"/>
  <c r="L16" i="3"/>
  <c r="I57" i="5" s="1"/>
  <c r="N16" i="3"/>
  <c r="L18" i="3"/>
  <c r="I60" i="5" s="1"/>
  <c r="N18" i="3"/>
  <c r="K20" i="3"/>
  <c r="H63" i="5" s="1"/>
  <c r="L20" i="3"/>
  <c r="I63" i="5" s="1"/>
  <c r="N20" i="3"/>
  <c r="N6" i="3"/>
  <c r="L6" i="3"/>
  <c r="G20" i="3"/>
  <c r="G16" i="3"/>
  <c r="G14" i="3"/>
  <c r="G10" i="3"/>
  <c r="G8" i="3"/>
  <c r="G6" i="3"/>
  <c r="M10" i="3" l="1"/>
  <c r="G35" i="3"/>
  <c r="K31" i="3"/>
  <c r="K6" i="3"/>
  <c r="H42" i="5" s="1"/>
  <c r="K60" i="5"/>
  <c r="M31" i="3"/>
  <c r="J72" i="5" s="1"/>
  <c r="H72" i="5"/>
  <c r="K69" i="5"/>
  <c r="K18" i="3"/>
  <c r="H59" i="5"/>
  <c r="I39" i="3"/>
  <c r="J39" i="3"/>
  <c r="M82" i="5" s="1"/>
  <c r="J82" i="5"/>
  <c r="K35" i="3"/>
  <c r="K84" i="5"/>
  <c r="E41" i="3"/>
  <c r="G41" i="3" s="1"/>
  <c r="I16" i="3"/>
  <c r="J16" i="3"/>
  <c r="M55" i="5" s="1"/>
  <c r="J55" i="5"/>
  <c r="M16" i="3"/>
  <c r="H57" i="5"/>
  <c r="O10" i="3"/>
  <c r="L48" i="5" s="1"/>
  <c r="J48" i="5"/>
  <c r="I37" i="3"/>
  <c r="J37" i="3"/>
  <c r="M79" i="5" s="1"/>
  <c r="J79" i="5"/>
  <c r="L41" i="3"/>
  <c r="I66" i="5"/>
  <c r="E17" i="1"/>
  <c r="K81" i="5"/>
  <c r="P18" i="2"/>
  <c r="H8" i="1" s="1"/>
  <c r="F8" i="1"/>
  <c r="Q18" i="2"/>
  <c r="I8" i="1" s="1"/>
  <c r="G18" i="3"/>
  <c r="K63" i="5"/>
  <c r="J20" i="3"/>
  <c r="M61" i="5" s="1"/>
  <c r="J61" i="5"/>
  <c r="M6" i="3"/>
  <c r="P16" i="3"/>
  <c r="M57" i="5" s="1"/>
  <c r="K57" i="5"/>
  <c r="G31" i="3"/>
  <c r="I27" i="3"/>
  <c r="J27" i="3"/>
  <c r="M64" i="5" s="1"/>
  <c r="J64" i="5"/>
  <c r="K37" i="3"/>
  <c r="K75" i="5"/>
  <c r="K27" i="3"/>
  <c r="Q41" i="2"/>
  <c r="P41" i="2"/>
  <c r="I8" i="3"/>
  <c r="L43" i="5" s="1"/>
  <c r="J8" i="3"/>
  <c r="M43" i="5" s="1"/>
  <c r="J43" i="5"/>
  <c r="K42" i="5"/>
  <c r="K51" i="5"/>
  <c r="J10" i="3"/>
  <c r="M46" i="5" s="1"/>
  <c r="J46" i="5"/>
  <c r="I10" i="3"/>
  <c r="E22" i="3"/>
  <c r="G12" i="3"/>
  <c r="I6" i="3"/>
  <c r="J6" i="3"/>
  <c r="M40" i="5" s="1"/>
  <c r="J40" i="5"/>
  <c r="I14" i="3"/>
  <c r="J14" i="3"/>
  <c r="M52" i="5" s="1"/>
  <c r="J52" i="5"/>
  <c r="I20" i="3"/>
  <c r="L22" i="3"/>
  <c r="I42" i="5"/>
  <c r="E16" i="1"/>
  <c r="E19" i="1" s="1"/>
  <c r="E20" i="1" s="1"/>
  <c r="M14" i="3"/>
  <c r="H54" i="5"/>
  <c r="M8" i="3"/>
  <c r="P8" i="3" s="1"/>
  <c r="M45" i="5" s="1"/>
  <c r="H45" i="5"/>
  <c r="I35" i="3"/>
  <c r="J35" i="3"/>
  <c r="M76" i="5" s="1"/>
  <c r="J76" i="5"/>
  <c r="K29" i="3"/>
  <c r="K39" i="3"/>
  <c r="K66" i="5"/>
  <c r="K78" i="5"/>
  <c r="G29" i="3"/>
  <c r="H67" i="5"/>
  <c r="G33" i="3"/>
  <c r="H73" i="5"/>
  <c r="K12" i="3"/>
  <c r="H51" i="5" s="1"/>
  <c r="P9" i="2"/>
  <c r="H6" i="1" s="1"/>
  <c r="Q9" i="2"/>
  <c r="I6" i="1" s="1"/>
  <c r="F6" i="1"/>
  <c r="I27" i="1"/>
  <c r="H27" i="1"/>
  <c r="P31" i="3"/>
  <c r="N41" i="3"/>
  <c r="K72" i="5"/>
  <c r="G17" i="1"/>
  <c r="O31" i="3"/>
  <c r="G15" i="3"/>
  <c r="L52" i="5"/>
  <c r="P14" i="3"/>
  <c r="M54" i="5" s="1"/>
  <c r="K54" i="5"/>
  <c r="K45" i="5"/>
  <c r="P10" i="3"/>
  <c r="N22" i="3"/>
  <c r="K48" i="5"/>
  <c r="G16" i="1"/>
  <c r="G11" i="3"/>
  <c r="L46" i="5"/>
  <c r="G29" i="1"/>
  <c r="H26" i="1"/>
  <c r="I26" i="1"/>
  <c r="F8" i="4"/>
  <c r="J8" i="4" s="1"/>
  <c r="J11" i="4" s="1"/>
  <c r="K33" i="3"/>
  <c r="M20" i="3"/>
  <c r="P20" i="3" s="1"/>
  <c r="M63" i="5" s="1"/>
  <c r="G9" i="3" l="1"/>
  <c r="M12" i="3"/>
  <c r="O6" i="3"/>
  <c r="J42" i="5"/>
  <c r="I29" i="3"/>
  <c r="J29" i="3"/>
  <c r="M67" i="5" s="1"/>
  <c r="J67" i="5"/>
  <c r="I12" i="3"/>
  <c r="J12" i="3"/>
  <c r="M49" i="5" s="1"/>
  <c r="J49" i="5"/>
  <c r="P6" i="3"/>
  <c r="M42" i="5" s="1"/>
  <c r="G28" i="3"/>
  <c r="L64" i="5"/>
  <c r="D16" i="1"/>
  <c r="J18" i="3"/>
  <c r="M58" i="5" s="1"/>
  <c r="J58" i="5"/>
  <c r="I18" i="3"/>
  <c r="J41" i="3"/>
  <c r="I41" i="3"/>
  <c r="M18" i="3"/>
  <c r="H60" i="5"/>
  <c r="O16" i="3"/>
  <c r="L57" i="5" s="1"/>
  <c r="J57" i="5"/>
  <c r="M35" i="3"/>
  <c r="H78" i="5"/>
  <c r="O20" i="3"/>
  <c r="L63" i="5" s="1"/>
  <c r="J63" i="5"/>
  <c r="M39" i="3"/>
  <c r="H84" i="5"/>
  <c r="G36" i="3"/>
  <c r="L76" i="5"/>
  <c r="O14" i="3"/>
  <c r="L54" i="5" s="1"/>
  <c r="J54" i="5"/>
  <c r="L61" i="5"/>
  <c r="G21" i="3"/>
  <c r="G22" i="3"/>
  <c r="H85" i="5"/>
  <c r="M37" i="3"/>
  <c r="H81" i="5"/>
  <c r="I31" i="3"/>
  <c r="J31" i="3"/>
  <c r="M70" i="5" s="1"/>
  <c r="J70" i="5"/>
  <c r="M33" i="3"/>
  <c r="H75" i="5"/>
  <c r="O8" i="3"/>
  <c r="L45" i="5" s="1"/>
  <c r="J45" i="5"/>
  <c r="G7" i="3"/>
  <c r="L40" i="5"/>
  <c r="G38" i="3"/>
  <c r="L79" i="5"/>
  <c r="O12" i="3"/>
  <c r="L51" i="5" s="1"/>
  <c r="J51" i="5"/>
  <c r="G19" i="1"/>
  <c r="I33" i="3"/>
  <c r="J33" i="3"/>
  <c r="M73" i="5" s="1"/>
  <c r="J73" i="5"/>
  <c r="M29" i="3"/>
  <c r="H69" i="5"/>
  <c r="P12" i="3"/>
  <c r="M51" i="5" s="1"/>
  <c r="M27" i="3"/>
  <c r="K41" i="3"/>
  <c r="M41" i="3" s="1"/>
  <c r="O41" i="3" s="1"/>
  <c r="H66" i="5"/>
  <c r="D17" i="1"/>
  <c r="K22" i="3"/>
  <c r="M22" i="3" s="1"/>
  <c r="O22" i="3" s="1"/>
  <c r="G17" i="3"/>
  <c r="L55" i="5"/>
  <c r="G40" i="3"/>
  <c r="L82" i="5"/>
  <c r="L72" i="5"/>
  <c r="P41" i="3"/>
  <c r="M72" i="5"/>
  <c r="I15" i="3"/>
  <c r="L53" i="5" s="1"/>
  <c r="J15" i="3"/>
  <c r="M53" i="5" s="1"/>
  <c r="J53" i="5"/>
  <c r="I9" i="3"/>
  <c r="L44" i="5" s="1"/>
  <c r="J9" i="3"/>
  <c r="M44" i="5" s="1"/>
  <c r="J44" i="5"/>
  <c r="I11" i="3"/>
  <c r="L47" i="5" s="1"/>
  <c r="J11" i="3"/>
  <c r="M47" i="5" s="1"/>
  <c r="J47" i="5"/>
  <c r="M48" i="5"/>
  <c r="H29" i="1"/>
  <c r="I29" i="1"/>
  <c r="F11" i="4"/>
  <c r="K11" i="4" s="1"/>
  <c r="K8" i="4"/>
  <c r="G40" i="2"/>
  <c r="G28" i="2"/>
  <c r="G27" i="2"/>
  <c r="G25" i="2"/>
  <c r="G21" i="2"/>
  <c r="J21" i="2" s="1"/>
  <c r="G20" i="2"/>
  <c r="G19" i="2"/>
  <c r="G18" i="2"/>
  <c r="G17" i="2"/>
  <c r="J13" i="5" s="1"/>
  <c r="G16" i="2"/>
  <c r="G15" i="2"/>
  <c r="G14" i="2"/>
  <c r="G13" i="2"/>
  <c r="G12" i="2"/>
  <c r="G11" i="2"/>
  <c r="G10" i="2"/>
  <c r="G9" i="2"/>
  <c r="G8" i="2"/>
  <c r="G7" i="2"/>
  <c r="G6" i="2"/>
  <c r="P22" i="3" l="1"/>
  <c r="J2" i="5"/>
  <c r="J6" i="2"/>
  <c r="M2" i="5" s="1"/>
  <c r="I6" i="2"/>
  <c r="L2" i="5" s="1"/>
  <c r="J18" i="2"/>
  <c r="M14" i="5" s="1"/>
  <c r="J14" i="5"/>
  <c r="O27" i="3"/>
  <c r="J66" i="5"/>
  <c r="F17" i="1"/>
  <c r="P27" i="3"/>
  <c r="J85" i="5"/>
  <c r="I22" i="3"/>
  <c r="L85" i="5" s="1"/>
  <c r="J22" i="3"/>
  <c r="M85" i="5" s="1"/>
  <c r="I11" i="2"/>
  <c r="L7" i="5" s="1"/>
  <c r="J7" i="5"/>
  <c r="I40" i="3"/>
  <c r="L83" i="5" s="1"/>
  <c r="J40" i="3"/>
  <c r="M83" i="5" s="1"/>
  <c r="J83" i="5"/>
  <c r="I7" i="3"/>
  <c r="L41" i="5" s="1"/>
  <c r="J7" i="3"/>
  <c r="M41" i="5" s="1"/>
  <c r="J41" i="5"/>
  <c r="O33" i="3"/>
  <c r="L75" i="5" s="1"/>
  <c r="J75" i="5"/>
  <c r="P33" i="3"/>
  <c r="M75" i="5" s="1"/>
  <c r="J21" i="3"/>
  <c r="M62" i="5" s="1"/>
  <c r="J62" i="5"/>
  <c r="O39" i="3"/>
  <c r="L84" i="5" s="1"/>
  <c r="J84" i="5"/>
  <c r="P39" i="3"/>
  <c r="M84" i="5" s="1"/>
  <c r="O35" i="3"/>
  <c r="L78" i="5" s="1"/>
  <c r="J78" i="5"/>
  <c r="P35" i="3"/>
  <c r="M78" i="5" s="1"/>
  <c r="O18" i="3"/>
  <c r="L60" i="5" s="1"/>
  <c r="J60" i="5"/>
  <c r="P18" i="3"/>
  <c r="M60" i="5" s="1"/>
  <c r="I28" i="3"/>
  <c r="L65" i="5" s="1"/>
  <c r="J28" i="3"/>
  <c r="M65" i="5" s="1"/>
  <c r="J65" i="5"/>
  <c r="G13" i="3"/>
  <c r="L49" i="5"/>
  <c r="F16" i="1"/>
  <c r="J10" i="2"/>
  <c r="M6" i="5" s="1"/>
  <c r="J6" i="5"/>
  <c r="J25" i="2"/>
  <c r="M22" i="5" s="1"/>
  <c r="J22" i="5"/>
  <c r="G19" i="3"/>
  <c r="L58" i="5"/>
  <c r="G30" i="3"/>
  <c r="L67" i="5"/>
  <c r="I15" i="2"/>
  <c r="L11" i="5" s="1"/>
  <c r="J11" i="5"/>
  <c r="J19" i="2"/>
  <c r="M15" i="5" s="1"/>
  <c r="J15" i="5"/>
  <c r="J27" i="2"/>
  <c r="J25" i="5"/>
  <c r="N27" i="2"/>
  <c r="F13" i="1" s="1"/>
  <c r="J8" i="2"/>
  <c r="M4" i="5" s="1"/>
  <c r="J4" i="5"/>
  <c r="J12" i="2"/>
  <c r="M8" i="5" s="1"/>
  <c r="J8" i="5"/>
  <c r="J16" i="2"/>
  <c r="M12" i="5" s="1"/>
  <c r="J12" i="5"/>
  <c r="J20" i="2"/>
  <c r="M16" i="5" s="1"/>
  <c r="J16" i="5"/>
  <c r="I28" i="2"/>
  <c r="J26" i="5"/>
  <c r="I16" i="1"/>
  <c r="G34" i="3"/>
  <c r="L73" i="5"/>
  <c r="O37" i="3"/>
  <c r="L81" i="5" s="1"/>
  <c r="J81" i="5"/>
  <c r="P37" i="3"/>
  <c r="M81" i="5" s="1"/>
  <c r="J14" i="2"/>
  <c r="M10" i="5" s="1"/>
  <c r="J10" i="5"/>
  <c r="G32" i="3"/>
  <c r="L70" i="5"/>
  <c r="J7" i="2"/>
  <c r="M3" i="5" s="1"/>
  <c r="J3" i="5"/>
  <c r="I9" i="2"/>
  <c r="L5" i="5" s="1"/>
  <c r="J5" i="5"/>
  <c r="I13" i="2"/>
  <c r="L9" i="5" s="1"/>
  <c r="J9" i="5"/>
  <c r="I40" i="2"/>
  <c r="P40" i="2" s="1"/>
  <c r="H15" i="1" s="1"/>
  <c r="N40" i="2"/>
  <c r="F15" i="1" s="1"/>
  <c r="I17" i="3"/>
  <c r="L56" i="5" s="1"/>
  <c r="J17" i="3"/>
  <c r="M56" i="5" s="1"/>
  <c r="J56" i="5"/>
  <c r="O29" i="3"/>
  <c r="L69" i="5" s="1"/>
  <c r="J69" i="5"/>
  <c r="P29" i="3"/>
  <c r="M69" i="5" s="1"/>
  <c r="I38" i="3"/>
  <c r="L80" i="5" s="1"/>
  <c r="J38" i="3"/>
  <c r="M80" i="5" s="1"/>
  <c r="J80" i="5"/>
  <c r="I21" i="3"/>
  <c r="L62" i="5" s="1"/>
  <c r="I36" i="3"/>
  <c r="L77" i="5" s="1"/>
  <c r="J36" i="3"/>
  <c r="M77" i="5" s="1"/>
  <c r="J77" i="5"/>
  <c r="D19" i="1"/>
  <c r="F19" i="1" s="1"/>
  <c r="L42" i="5"/>
  <c r="M17" i="5"/>
  <c r="J17" i="5"/>
  <c r="I17" i="2"/>
  <c r="L13" i="5" s="1"/>
  <c r="J17" i="2"/>
  <c r="M13" i="5" s="1"/>
  <c r="J28" i="2"/>
  <c r="M26" i="5" s="1"/>
  <c r="J11" i="2"/>
  <c r="M7" i="5" s="1"/>
  <c r="I19" i="2"/>
  <c r="L15" i="5" s="1"/>
  <c r="J9" i="2"/>
  <c r="M5" i="5" s="1"/>
  <c r="I12" i="2"/>
  <c r="L8" i="5" s="1"/>
  <c r="J15" i="2"/>
  <c r="M11" i="5" s="1"/>
  <c r="I27" i="2"/>
  <c r="I8" i="2"/>
  <c r="L4" i="5" s="1"/>
  <c r="J13" i="2"/>
  <c r="M9" i="5" s="1"/>
  <c r="I16" i="2"/>
  <c r="L12" i="5" s="1"/>
  <c r="I25" i="2"/>
  <c r="I7" i="2"/>
  <c r="L3" i="5" s="1"/>
  <c r="J40" i="2"/>
  <c r="Q40" i="2" s="1"/>
  <c r="I15" i="1" s="1"/>
  <c r="I21" i="2"/>
  <c r="I18" i="2"/>
  <c r="L14" i="5" s="1"/>
  <c r="I14" i="2"/>
  <c r="L10" i="5" s="1"/>
  <c r="I10" i="2"/>
  <c r="L6" i="5" s="1"/>
  <c r="I20" i="2"/>
  <c r="L16" i="5" s="1"/>
  <c r="I34" i="3" l="1"/>
  <c r="L74" i="5" s="1"/>
  <c r="J34" i="3"/>
  <c r="M74" i="5" s="1"/>
  <c r="J74" i="5"/>
  <c r="I30" i="3"/>
  <c r="L68" i="5" s="1"/>
  <c r="J30" i="3"/>
  <c r="M68" i="5" s="1"/>
  <c r="J68" i="5"/>
  <c r="G29" i="2"/>
  <c r="L26" i="5"/>
  <c r="L25" i="5"/>
  <c r="P27" i="2"/>
  <c r="H13" i="1" s="1"/>
  <c r="J71" i="5"/>
  <c r="I32" i="3"/>
  <c r="L71" i="5" s="1"/>
  <c r="J32" i="3"/>
  <c r="M71" i="5" s="1"/>
  <c r="I13" i="3"/>
  <c r="L50" i="5" s="1"/>
  <c r="J13" i="3"/>
  <c r="M50" i="5" s="1"/>
  <c r="J50" i="5"/>
  <c r="L66" i="5"/>
  <c r="H17" i="1"/>
  <c r="H16" i="1"/>
  <c r="I19" i="1"/>
  <c r="H19" i="1"/>
  <c r="M25" i="5"/>
  <c r="Q27" i="2"/>
  <c r="I13" i="1" s="1"/>
  <c r="I19" i="3"/>
  <c r="L59" i="5" s="1"/>
  <c r="J19" i="3"/>
  <c r="M59" i="5" s="1"/>
  <c r="J59" i="5"/>
  <c r="M66" i="5"/>
  <c r="I17" i="1"/>
  <c r="L22" i="5"/>
  <c r="G26" i="2"/>
  <c r="J23" i="5" s="1"/>
  <c r="L17" i="5"/>
  <c r="G22" i="2"/>
  <c r="J27" i="5" l="1"/>
  <c r="I29" i="2"/>
  <c r="J29" i="2"/>
  <c r="M27" i="5" s="1"/>
  <c r="J18" i="5"/>
  <c r="I22" i="2"/>
  <c r="J22" i="2"/>
  <c r="M18" i="5" s="1"/>
  <c r="I26" i="2"/>
  <c r="L23" i="5" s="1"/>
  <c r="J26" i="2"/>
  <c r="M23" i="5" s="1"/>
  <c r="G30" i="2" l="1"/>
  <c r="L27" i="5"/>
  <c r="L18" i="5"/>
  <c r="G23" i="2"/>
  <c r="J28" i="5" l="1"/>
  <c r="I30" i="2"/>
  <c r="J30" i="2"/>
  <c r="M28" i="5" s="1"/>
  <c r="J19" i="5"/>
  <c r="J23" i="2"/>
  <c r="M19" i="5" s="1"/>
  <c r="I23" i="2"/>
  <c r="L19" i="5" s="1"/>
  <c r="G31" i="2" l="1"/>
  <c r="L28" i="5"/>
  <c r="J29" i="5" l="1"/>
  <c r="I31" i="2"/>
  <c r="J31" i="2"/>
  <c r="M29" i="5" s="1"/>
  <c r="G32" i="2" l="1"/>
  <c r="L29" i="5"/>
  <c r="J30" i="5" l="1"/>
  <c r="I32" i="2"/>
  <c r="J32" i="2"/>
  <c r="M30" i="5" s="1"/>
  <c r="G33" i="2" l="1"/>
  <c r="L30" i="5"/>
  <c r="J31" i="5" l="1"/>
  <c r="J33" i="2"/>
  <c r="M31" i="5" s="1"/>
  <c r="I33" i="2"/>
  <c r="G34" i="2" l="1"/>
  <c r="L31" i="5"/>
  <c r="J32" i="5" l="1"/>
  <c r="I34" i="2"/>
  <c r="J34" i="2"/>
  <c r="M32" i="5" s="1"/>
  <c r="G35" i="2" l="1"/>
  <c r="L32" i="5"/>
  <c r="J33" i="5" l="1"/>
  <c r="J35" i="2"/>
  <c r="M33" i="5" s="1"/>
  <c r="I35" i="2"/>
  <c r="G36" i="2" l="1"/>
  <c r="L33" i="5"/>
  <c r="J34" i="5" l="1"/>
  <c r="J36" i="2"/>
  <c r="M34" i="5" s="1"/>
  <c r="I36" i="2"/>
  <c r="G37" i="2" l="1"/>
  <c r="L34" i="5"/>
  <c r="J35" i="5" l="1"/>
  <c r="J37" i="2"/>
  <c r="M35" i="5" s="1"/>
  <c r="I37" i="2"/>
  <c r="G38" i="2" l="1"/>
  <c r="L35" i="5"/>
  <c r="J36" i="5" l="1"/>
  <c r="I38" i="2"/>
  <c r="J38" i="2"/>
  <c r="M36" i="5" s="1"/>
  <c r="G39" i="2" l="1"/>
  <c r="L36" i="5"/>
  <c r="J37" i="5" l="1"/>
  <c r="J39" i="2"/>
  <c r="M37" i="5" s="1"/>
  <c r="I39" i="2"/>
  <c r="L3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CEA TELLO, MARIO ANDRES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1,987 Ton (Res. Ex N°05-2020)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0,330 Ton (Res. Ex N°05-2020)</t>
        </r>
      </text>
    </comment>
    <comment ref="F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5,428 Ton (Res. Ex N°05-2020)</t>
        </r>
      </text>
    </comment>
    <comment ref="F1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0,324 Ton (Res. Ex N°05-2020)</t>
        </r>
      </text>
    </comment>
    <comment ref="F1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3,501 Ton (Res. Ex N°05-2020)</t>
        </r>
      </text>
    </comment>
    <comment ref="E1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Res.Ex. N°576-20 Modifica Cuota de 146 Ton a 136,3 Ton</t>
        </r>
      </text>
    </comment>
    <comment ref="F1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0,353 Ton (Res. Ex N°05-2020)</t>
        </r>
      </text>
    </comment>
    <comment ref="E1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Res.Ex. N°576-20 Modifica Cuota de 19 Ton a 17,7 Ton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CEA TELLO, MARIO ANDRES</author>
  </authors>
  <commentList>
    <comment ref="H14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Se descta 2,418196 Ton año 2019</t>
        </r>
      </text>
    </comment>
  </commentList>
</comments>
</file>

<file path=xl/sharedStrings.xml><?xml version="1.0" encoding="utf-8"?>
<sst xmlns="http://schemas.openxmlformats.org/spreadsheetml/2006/main" count="849" uniqueCount="146">
  <si>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</si>
  <si>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</si>
  <si>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</si>
  <si>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</si>
  <si>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</si>
  <si>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</si>
  <si>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</si>
  <si>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</si>
  <si>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</si>
  <si>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</si>
  <si>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</si>
  <si>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</si>
  <si>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</si>
  <si>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</si>
  <si>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</si>
  <si>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</si>
  <si>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</si>
  <si>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</si>
  <si>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</si>
  <si>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</si>
  <si>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</si>
  <si>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</si>
  <si>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</si>
  <si>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</si>
  <si>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</si>
  <si>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</si>
  <si>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CONTROL CUOTA GLOBAL CONGRIO DORADO AÑO 2020</t>
  </si>
  <si>
    <t>CONTROL CUOTA CONGRIO DORADO FUERA UNIDAD DE PESQUERIA AÑO 2020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</si>
  <si>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</si>
  <si>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</si>
  <si>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</si>
  <si>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</si>
  <si>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</si>
  <si>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</si>
  <si>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</si>
  <si>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</si>
  <si>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</si>
  <si>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</si>
  <si>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</si>
  <si>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</si>
  <si>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</si>
  <si>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</si>
  <si>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</si>
  <si>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</si>
  <si>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</si>
  <si>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</si>
  <si>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</si>
  <si>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</si>
  <si>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</si>
  <si>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</si>
  <si>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</si>
  <si>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</si>
  <si>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>SEP-DIC</t>
  </si>
  <si>
    <t xml:space="preserve">XI REGION DE AYSEN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</si>
  <si>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</si>
  <si>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</si>
  <si>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</si>
  <si>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</si>
  <si>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</si>
  <si>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</si>
  <si>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</si>
  <si>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</si>
  <si>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</si>
  <si>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</si>
  <si>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</si>
  <si>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</si>
  <si>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 DE PESQUERIA</t>
  </si>
  <si>
    <t>TITULAR DE CUOTA LTP</t>
  </si>
  <si>
    <t>EMDEPES S.A.</t>
  </si>
  <si>
    <t>GRIMAR S.A. PESQ.</t>
  </si>
  <si>
    <t>DERIS S.A.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</si>
  <si>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</si>
  <si>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</si>
  <si>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</si>
  <si>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</si>
  <si>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</si>
  <si>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</si>
  <si>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MARCO SALINAS CARRASCO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</si>
  <si>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</si>
  <si>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</si>
  <si>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</si>
  <si>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</si>
  <si>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</si>
  <si>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</si>
  <si>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</si>
  <si>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INDUSTRIAL-ARTESANAL</t>
  </si>
  <si>
    <t>INVESTIGACIÓN</t>
  </si>
  <si>
    <t>CAPTURA</t>
  </si>
  <si>
    <t>CUOTA EFECTIVA</t>
  </si>
  <si>
    <t>MAR-AGO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</si>
  <si>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</si>
  <si>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</si>
  <si>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</si>
  <si>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</si>
  <si>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</si>
  <si>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CONTROL CUOTA CONGRIO DORADO FRACCION ARTESANAL AÑO 2020</t>
  </si>
  <si>
    <t>CONTROL CUOTA CONGRIO DORADO FRACCION INDUSTRIAL AÑO 2020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</si>
  <si>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</si>
  <si>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</si>
  <si>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</si>
  <si>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</si>
  <si>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</si>
  <si>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</si>
  <si>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</si>
  <si>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</si>
  <si>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</si>
  <si>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</si>
  <si>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</si>
  <si>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</si>
  <si>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</si>
  <si>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</si>
  <si>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</si>
  <si>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</si>
  <si>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</si>
  <si>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</si>
  <si>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</si>
  <si>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</si>
  <si>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</si>
  <si>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</si>
  <si>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</si>
  <si>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</si>
  <si>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</si>
  <si>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</si>
  <si>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</si>
  <si>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 xml:space="preserve">FAUNA ACOMPAÑANTE MENORES O IGUAL A 12 METROS </t>
  </si>
  <si>
    <t>FAUNA ACOMPAÑANTE MAYORES A 12 METROS</t>
  </si>
  <si>
    <t>FAUNA ACOMPAÑANTE UPS</t>
  </si>
  <si>
    <t>CONGRIO DORADO XII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</si>
  <si>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</si>
  <si>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</si>
  <si>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</si>
  <si>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</si>
  <si>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</si>
  <si>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</si>
  <si>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</si>
  <si>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</si>
  <si>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</si>
  <si>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</si>
  <si>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</si>
  <si>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</si>
  <si>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</si>
  <si>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</si>
  <si>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</si>
  <si>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</si>
  <si>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</si>
  <si>
    <t>Descto. Por sanción 11,923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</si>
</sst>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00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9" fontId="3" fillId="0" borderId="0" xfId="1" applyFont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4" fontId="2" fillId="4" borderId="16" xfId="0" applyNumberFormat="1" applyFont="1" applyFill="1" applyBorder="1" applyAlignment="1">
      <alignment horizontal="center" vertical="center"/>
    </xf>
    <xf numFmtId="14" fontId="2" fillId="4" borderId="17" xfId="0" applyNumberFormat="1" applyFont="1" applyFill="1" applyBorder="1" applyAlignment="1">
      <alignment horizontal="center" vertical="center"/>
    </xf>
    <xf numFmtId="14" fontId="2" fillId="4" borderId="18" xfId="0" applyNumberFormat="1" applyFont="1" applyFill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4" xfId="1" applyNumberFormat="1" applyFont="1" applyBorder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4" fontId="2" fillId="3" borderId="16" xfId="0" applyNumberFormat="1" applyFont="1" applyFill="1" applyBorder="1" applyAlignment="1">
      <alignment horizontal="center"/>
    </xf>
    <xf numFmtId="14" fontId="2" fillId="3" borderId="17" xfId="0" applyNumberFormat="1" applyFont="1" applyFill="1" applyBorder="1" applyAlignment="1">
      <alignment horizontal="center"/>
    </xf>
    <xf numFmtId="14" fontId="2" fillId="3" borderId="18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14" fontId="2" fillId="2" borderId="16" xfId="0" applyNumberFormat="1" applyFont="1" applyFill="1" applyBorder="1" applyAlignment="1">
      <alignment horizontal="center" wrapText="1"/>
    </xf>
    <xf numFmtId="14" fontId="2" fillId="2" borderId="17" xfId="0" applyNumberFormat="1" applyFont="1" applyFill="1" applyBorder="1" applyAlignment="1">
      <alignment horizontal="center" wrapText="1"/>
    </xf>
    <xf numFmtId="14" fontId="2" fillId="2" borderId="18" xfId="0" applyNumberFormat="1" applyFont="1" applyFill="1" applyBorder="1" applyAlignment="1">
      <alignment horizontal="center" wrapText="1"/>
    </xf>
    <xf numFmtId="165" fontId="3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9"/>
  <sheetViews>
    <sheetView showGridLines="0" tabSelected="1" workbookViewId="0">
      <selection activeCell="B4" sqref="B4"/>
    </sheetView>
  </sheetViews>
  <sheetFormatPr baseColWidth="10" defaultColWidth="11.44140625" defaultRowHeight="12" x14ac:dyDescent="0.3"/>
  <cols>
    <col min="1" max="1" width="11.44140625" style="3"/>
    <col min="2" max="2" width="20" style="3" bestFit="1" customWidth="1"/>
    <col min="3" max="3" width="44.6640625" style="3" bestFit="1" customWidth="1"/>
    <col min="4" max="4" width="19.5546875" style="3" bestFit="1" customWidth="1"/>
    <col min="5" max="5" width="16.6640625" style="3" bestFit="1" customWidth="1"/>
    <col min="6" max="6" width="18.6640625" style="3" bestFit="1" customWidth="1"/>
    <col min="7" max="7" width="12.88671875" style="3" bestFit="1" customWidth="1"/>
    <col min="8" max="8" width="10.88671875" style="3" bestFit="1" customWidth="1"/>
    <col min="9" max="9" width="12.6640625" style="3" bestFit="1" customWidth="1"/>
    <col min="10" max="16384" width="11.44140625" style="3"/>
  </cols>
  <sheetData>
    <row r="1" spans="2:9" ht="12.6" thickBot="1" x14ac:dyDescent="0.35"/>
    <row r="2" spans="2:9" x14ac:dyDescent="0.3">
      <c r="B2" s="57" t="s">
        <v>26</v>
      </c>
      <c r="C2" s="58"/>
      <c r="D2" s="58"/>
      <c r="E2" s="58"/>
      <c r="F2" s="58"/>
      <c r="G2" s="58"/>
      <c r="H2" s="58"/>
      <c r="I2" s="59"/>
    </row>
    <row r="3" spans="2:9" ht="12.6" thickBot="1" x14ac:dyDescent="0.35">
      <c r="B3" s="63">
        <v>43913</v>
      </c>
      <c r="C3" s="64"/>
      <c r="D3" s="64"/>
      <c r="E3" s="64"/>
      <c r="F3" s="64"/>
      <c r="G3" s="64"/>
      <c r="H3" s="64"/>
      <c r="I3" s="65"/>
    </row>
    <row r="5" spans="2:9" x14ac:dyDescent="0.3"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</row>
    <row r="6" spans="2:9" x14ac:dyDescent="0.3">
      <c r="B6" s="66" t="s">
        <v>9</v>
      </c>
      <c r="C6" s="26" t="s">
        <v>8</v>
      </c>
      <c r="D6" s="2">
        <f>SUM('CUOTA ARTESANAL'!L6:L16)</f>
        <v>230.99999999999997</v>
      </c>
      <c r="E6" s="2">
        <f>SUM('CUOTA ARTESANAL'!M6:M16)</f>
        <v>-11.57</v>
      </c>
      <c r="F6" s="2">
        <f>SUM('CUOTA ARTESANAL'!N6:N16)</f>
        <v>219.42999999999998</v>
      </c>
      <c r="G6" s="2">
        <f>SUM('CUOTA ARTESANAL'!O6:O16)</f>
        <v>96.998999999999995</v>
      </c>
      <c r="H6" s="2">
        <f>SUM('CUOTA ARTESANAL'!P6:P16)</f>
        <v>122.43099999999998</v>
      </c>
      <c r="I6" s="12">
        <f>SUM('CUOTA ARTESANAL'!Q6:Q16)</f>
        <v>4.6764755056711298</v>
      </c>
    </row>
    <row r="7" spans="2:9" x14ac:dyDescent="0.3">
      <c r="B7" s="66"/>
      <c r="C7" s="26" t="s">
        <v>14</v>
      </c>
      <c r="D7" s="2">
        <f>'CUOTA ARTESANAL'!L17</f>
        <v>25.6</v>
      </c>
      <c r="E7" s="2">
        <f>'CUOTA ARTESANAL'!M17</f>
        <v>0</v>
      </c>
      <c r="F7" s="2">
        <f>'CUOTA ARTESANAL'!N17</f>
        <v>25.6</v>
      </c>
      <c r="G7" s="2">
        <f>'CUOTA ARTESANAL'!O17</f>
        <v>0</v>
      </c>
      <c r="H7" s="2">
        <f>'CUOTA ARTESANAL'!P17</f>
        <v>25.6</v>
      </c>
      <c r="I7" s="12">
        <f>'CUOTA ARTESANAL'!Q17</f>
        <v>0</v>
      </c>
    </row>
    <row r="8" spans="2:9" x14ac:dyDescent="0.3">
      <c r="B8" s="66"/>
      <c r="C8" s="26" t="s">
        <v>10</v>
      </c>
      <c r="D8" s="2">
        <f>SUM('CUOTA ARTESANAL'!L18:L19)</f>
        <v>154</v>
      </c>
      <c r="E8" s="2">
        <f>SUM('CUOTA ARTESANAL'!M18:M19)</f>
        <v>-0.35299999999999998</v>
      </c>
      <c r="F8" s="2">
        <f>SUM('CUOTA ARTESANAL'!N18:N19)</f>
        <v>153.64699999999999</v>
      </c>
      <c r="G8" s="2">
        <f>SUM('CUOTA ARTESANAL'!O18:O19)</f>
        <v>33.777000000000001</v>
      </c>
      <c r="H8" s="2">
        <f>SUM('CUOTA ARTESANAL'!P18:P19)</f>
        <v>119.87000000000002</v>
      </c>
      <c r="I8" s="12">
        <f>SUM('CUOTA ARTESANAL'!Q18:Q19)</f>
        <v>1.7782770267027044</v>
      </c>
    </row>
    <row r="9" spans="2:9" x14ac:dyDescent="0.3">
      <c r="B9" s="66"/>
      <c r="C9" s="26" t="s">
        <v>15</v>
      </c>
      <c r="D9" s="2">
        <f>'CUOTA ARTESANAL'!L20</f>
        <v>17.100000000000001</v>
      </c>
      <c r="E9" s="2">
        <f>'CUOTA ARTESANAL'!M20</f>
        <v>0</v>
      </c>
      <c r="F9" s="2">
        <f>'CUOTA ARTESANAL'!N20</f>
        <v>17.100000000000001</v>
      </c>
      <c r="G9" s="2">
        <f>'CUOTA ARTESANAL'!O20</f>
        <v>0</v>
      </c>
      <c r="H9" s="2">
        <f>'CUOTA ARTESANAL'!P20</f>
        <v>17.100000000000001</v>
      </c>
      <c r="I9" s="12">
        <f>'CUOTA ARTESANAL'!Q20</f>
        <v>0</v>
      </c>
    </row>
    <row r="10" spans="2:9" x14ac:dyDescent="0.3">
      <c r="B10" s="66"/>
      <c r="C10" s="26" t="s">
        <v>11</v>
      </c>
      <c r="D10" s="2">
        <f>'CUOTA ARTESANAL'!L21</f>
        <v>165</v>
      </c>
      <c r="E10" s="2">
        <f>'CUOTA ARTESANAL'!M21</f>
        <v>0</v>
      </c>
      <c r="F10" s="2">
        <f>'CUOTA ARTESANAL'!N21</f>
        <v>165</v>
      </c>
      <c r="G10" s="2">
        <f>'CUOTA ARTESANAL'!O21</f>
        <v>79.224999999999994</v>
      </c>
      <c r="H10" s="2">
        <f>'CUOTA ARTESANAL'!P21</f>
        <v>85.775000000000006</v>
      </c>
      <c r="I10" s="12">
        <f>'CUOTA ARTESANAL'!Q21</f>
        <v>0.48015151515151511</v>
      </c>
    </row>
    <row r="11" spans="2:9" x14ac:dyDescent="0.3">
      <c r="B11" s="66"/>
      <c r="C11" s="26" t="s">
        <v>16</v>
      </c>
      <c r="D11" s="2">
        <f>'CUOTA ARTESANAL'!L24</f>
        <v>18.3</v>
      </c>
      <c r="E11" s="2">
        <f>'CUOTA ARTESANAL'!M24</f>
        <v>0</v>
      </c>
      <c r="F11" s="2">
        <f>'CUOTA ARTESANAL'!N24</f>
        <v>18.3</v>
      </c>
      <c r="G11" s="2">
        <f>'CUOTA ARTESANAL'!O24</f>
        <v>2.2959999999999998</v>
      </c>
      <c r="H11" s="2">
        <f>'CUOTA ARTESANAL'!P24</f>
        <v>16.004000000000001</v>
      </c>
      <c r="I11" s="12">
        <f>'CUOTA ARTESANAL'!Q24</f>
        <v>0.12546448087431691</v>
      </c>
    </row>
    <row r="12" spans="2:9" x14ac:dyDescent="0.3">
      <c r="B12" s="66"/>
      <c r="C12" s="26" t="s">
        <v>12</v>
      </c>
      <c r="D12" s="2">
        <f>'CUOTA ARTESANAL'!L25</f>
        <v>29.6</v>
      </c>
      <c r="E12" s="2">
        <f>'CUOTA ARTESANAL'!M25</f>
        <v>0</v>
      </c>
      <c r="F12" s="2">
        <f>'CUOTA ARTESANAL'!N25</f>
        <v>29.6</v>
      </c>
      <c r="G12" s="2">
        <f>'CUOTA ARTESANAL'!O25</f>
        <v>15.564</v>
      </c>
      <c r="H12" s="2">
        <f>'CUOTA ARTESANAL'!P25</f>
        <v>14.036000000000001</v>
      </c>
      <c r="I12" s="12">
        <f>'CUOTA ARTESANAL'!Q25</f>
        <v>0.52581081081081082</v>
      </c>
    </row>
    <row r="13" spans="2:9" x14ac:dyDescent="0.3">
      <c r="B13" s="66"/>
      <c r="C13" s="26" t="s">
        <v>21</v>
      </c>
      <c r="D13" s="2">
        <f>'CUOTA ARTESANAL'!L27</f>
        <v>3.3</v>
      </c>
      <c r="E13" s="2">
        <f>'CUOTA ARTESANAL'!M27</f>
        <v>0</v>
      </c>
      <c r="F13" s="2">
        <f>'CUOTA ARTESANAL'!N27</f>
        <v>3.3</v>
      </c>
      <c r="G13" s="2">
        <f>'CUOTA ARTESANAL'!O27</f>
        <v>0</v>
      </c>
      <c r="H13" s="2">
        <f>'CUOTA ARTESANAL'!P27</f>
        <v>3.3</v>
      </c>
      <c r="I13" s="12">
        <f>'CUOTA ARTESANAL'!Q27</f>
        <v>0</v>
      </c>
    </row>
    <row r="14" spans="2:9" x14ac:dyDescent="0.3">
      <c r="B14" s="66"/>
      <c r="C14" s="26" t="s">
        <v>13</v>
      </c>
      <c r="D14" s="2">
        <f>'CUOTA ARTESANAL'!L28</f>
        <v>266.39999999999992</v>
      </c>
      <c r="E14" s="2">
        <f>'CUOTA ARTESANAL'!M28</f>
        <v>0</v>
      </c>
      <c r="F14" s="2">
        <f>'CUOTA ARTESANAL'!N28</f>
        <v>266.39999999999992</v>
      </c>
      <c r="G14" s="2">
        <f>'CUOTA ARTESANAL'!O28</f>
        <v>9.5940000000000012</v>
      </c>
      <c r="H14" s="2">
        <f>'CUOTA ARTESANAL'!P28</f>
        <v>256.80599999999993</v>
      </c>
      <c r="I14" s="12">
        <f>'CUOTA ARTESANAL'!Q28</f>
        <v>3.6013513513513527E-2</v>
      </c>
    </row>
    <row r="15" spans="2:9" x14ac:dyDescent="0.3">
      <c r="B15" s="66"/>
      <c r="C15" s="26" t="s">
        <v>17</v>
      </c>
      <c r="D15" s="2">
        <f>'CUOTA ARTESANAL'!L40</f>
        <v>29.7</v>
      </c>
      <c r="E15" s="2">
        <f>'CUOTA ARTESANAL'!M40</f>
        <v>0</v>
      </c>
      <c r="F15" s="2">
        <f>'CUOTA ARTESANAL'!N40</f>
        <v>29.7</v>
      </c>
      <c r="G15" s="2">
        <f>'CUOTA ARTESANAL'!O40</f>
        <v>0</v>
      </c>
      <c r="H15" s="2">
        <f>'CUOTA ARTESANAL'!P40</f>
        <v>29.7</v>
      </c>
      <c r="I15" s="12">
        <f>'CUOTA ARTESANAL'!Q40</f>
        <v>0</v>
      </c>
    </row>
    <row r="16" spans="2:9" x14ac:dyDescent="0.3">
      <c r="B16" s="66" t="s">
        <v>19</v>
      </c>
      <c r="C16" s="26" t="s">
        <v>28</v>
      </c>
      <c r="D16" s="2">
        <f>SUM('CUOTA INDUSTRIAL'!K6:K21)</f>
        <v>580.44920000000002</v>
      </c>
      <c r="E16" s="2">
        <f>SUM('CUOTA INDUSTRIAL'!L6:L21)</f>
        <v>0</v>
      </c>
      <c r="F16" s="2">
        <f>SUM('CUOTA INDUSTRIAL'!M6:M21)</f>
        <v>580.44920000000002</v>
      </c>
      <c r="G16" s="34">
        <f>SUM('CUOTA INDUSTRIAL'!N6:N21)</f>
        <v>37.928040000000003</v>
      </c>
      <c r="H16" s="2">
        <f>SUM('CUOTA INDUSTRIAL'!O6:O21)</f>
        <v>542.52116000000001</v>
      </c>
      <c r="I16" s="12">
        <f>SUM('CUOTA INDUSTRIAL'!P6:P21)</f>
        <v>9.9282614672836902E-2</v>
      </c>
    </row>
    <row r="17" spans="2:9" x14ac:dyDescent="0.3">
      <c r="B17" s="66"/>
      <c r="C17" s="26" t="s">
        <v>18</v>
      </c>
      <c r="D17" s="2">
        <f>SUM('CUOTA INDUSTRIAL'!K27:K40)</f>
        <v>312.55039999999997</v>
      </c>
      <c r="E17" s="2">
        <f>SUM('CUOTA INDUSTRIAL'!L27:L40)</f>
        <v>0</v>
      </c>
      <c r="F17" s="2">
        <f>SUM('CUOTA INDUSTRIAL'!M27:M40)</f>
        <v>312.55039999999997</v>
      </c>
      <c r="G17" s="34">
        <f>SUM('CUOTA INDUSTRIAL'!N27:N40)</f>
        <v>65.294000000000011</v>
      </c>
      <c r="H17" s="2">
        <f>SUM('CUOTA INDUSTRIAL'!O27:O40)</f>
        <v>247.25639999999999</v>
      </c>
      <c r="I17" s="12">
        <f>SUM('CUOTA INDUSTRIAL'!P27:P40)</f>
        <v>0.6807391503621969</v>
      </c>
    </row>
    <row r="18" spans="2:9" x14ac:dyDescent="0.3">
      <c r="B18" s="27"/>
      <c r="C18" s="28" t="s">
        <v>24</v>
      </c>
      <c r="D18" s="2">
        <f>17.6+12.2</f>
        <v>29.8</v>
      </c>
      <c r="E18" s="2">
        <v>0</v>
      </c>
      <c r="F18" s="2">
        <f>D18+E18</f>
        <v>29.8</v>
      </c>
      <c r="G18" s="2">
        <v>0</v>
      </c>
      <c r="H18" s="2">
        <f>F18-G18</f>
        <v>29.8</v>
      </c>
      <c r="I18" s="12">
        <f>G18/F18</f>
        <v>0</v>
      </c>
    </row>
    <row r="19" spans="2:9" x14ac:dyDescent="0.3">
      <c r="B19" s="55" t="s">
        <v>20</v>
      </c>
      <c r="C19" s="56"/>
      <c r="D19" s="2">
        <f>SUM(D6:D18)</f>
        <v>1862.7996000000001</v>
      </c>
      <c r="E19" s="2">
        <f>SUM(E6:E17)</f>
        <v>-11.923</v>
      </c>
      <c r="F19" s="2">
        <f t="shared" ref="F19" si="0">D19+E19</f>
        <v>1850.8766000000001</v>
      </c>
      <c r="G19" s="2">
        <f>SUM(G6:G17)</f>
        <v>340.67704000000003</v>
      </c>
      <c r="H19" s="2">
        <f>F19-G19</f>
        <v>1510.19956</v>
      </c>
      <c r="I19" s="12">
        <f>G19/F19</f>
        <v>0.18406253555747587</v>
      </c>
    </row>
    <row r="20" spans="2:9" x14ac:dyDescent="0.3">
      <c r="B20" s="49" t="s">
        <v>145</v>
      </c>
      <c r="C20" s="4"/>
      <c r="E20" s="48">
        <f>E19+11.923</f>
        <v>0</v>
      </c>
    </row>
    <row r="21" spans="2:9" ht="12.6" thickBot="1" x14ac:dyDescent="0.35">
      <c r="C21" s="4"/>
    </row>
    <row r="22" spans="2:9" x14ac:dyDescent="0.3">
      <c r="B22" s="57" t="s">
        <v>27</v>
      </c>
      <c r="C22" s="58"/>
      <c r="D22" s="58"/>
      <c r="E22" s="58"/>
      <c r="F22" s="58"/>
      <c r="G22" s="58"/>
      <c r="H22" s="58"/>
      <c r="I22" s="59"/>
    </row>
    <row r="23" spans="2:9" ht="12.6" thickBot="1" x14ac:dyDescent="0.35">
      <c r="B23" s="60">
        <f>B3</f>
        <v>43913</v>
      </c>
      <c r="C23" s="61"/>
      <c r="D23" s="61"/>
      <c r="E23" s="61"/>
      <c r="F23" s="61"/>
      <c r="G23" s="61"/>
      <c r="H23" s="61"/>
      <c r="I23" s="62"/>
    </row>
    <row r="24" spans="2:9" s="32" customFormat="1" x14ac:dyDescent="0.3">
      <c r="C24" s="33"/>
    </row>
    <row r="25" spans="2:9" x14ac:dyDescent="0.25">
      <c r="B25" s="31" t="s">
        <v>0</v>
      </c>
      <c r="C25" s="31" t="s">
        <v>1</v>
      </c>
      <c r="D25" s="31" t="s">
        <v>2</v>
      </c>
      <c r="E25" s="31" t="s">
        <v>3</v>
      </c>
      <c r="F25" s="31" t="s">
        <v>4</v>
      </c>
      <c r="G25" s="31" t="s">
        <v>5</v>
      </c>
      <c r="H25" s="31" t="s">
        <v>6</v>
      </c>
      <c r="I25" s="31" t="s">
        <v>7</v>
      </c>
    </row>
    <row r="26" spans="2:9" x14ac:dyDescent="0.3">
      <c r="B26" s="52" t="s">
        <v>25</v>
      </c>
      <c r="C26" s="29" t="s">
        <v>22</v>
      </c>
      <c r="D26" s="2">
        <f>SUM('FUERA UNIDAD DE PESQUERIA'!E7:E8)</f>
        <v>105</v>
      </c>
      <c r="E26" s="2">
        <v>0</v>
      </c>
      <c r="F26" s="2">
        <f>RESUMEN!D26+RESUMEN!E26</f>
        <v>105</v>
      </c>
      <c r="G26" s="34">
        <f>SUM('FUERA UNIDAD DE PESQUERIA'!I7:I8)</f>
        <v>36.192</v>
      </c>
      <c r="H26" s="2">
        <f>F26-G26</f>
        <v>68.807999999999993</v>
      </c>
      <c r="I26" s="11">
        <f>G26/F26</f>
        <v>0.34468571428571426</v>
      </c>
    </row>
    <row r="27" spans="2:9" x14ac:dyDescent="0.3">
      <c r="B27" s="53"/>
      <c r="C27" s="29" t="s">
        <v>23</v>
      </c>
      <c r="D27" s="2">
        <f>'FUERA UNIDAD DE PESQUERIA'!E9</f>
        <v>11</v>
      </c>
      <c r="E27" s="2">
        <v>0</v>
      </c>
      <c r="F27" s="2">
        <f>RESUMEN!D27+RESUMEN!E27</f>
        <v>11</v>
      </c>
      <c r="G27" s="34">
        <f>'FUERA UNIDAD DE PESQUERIA'!I9</f>
        <v>0.155</v>
      </c>
      <c r="H27" s="2">
        <f t="shared" ref="H27:H29" si="1">F27-G27</f>
        <v>10.845000000000001</v>
      </c>
      <c r="I27" s="11">
        <f t="shared" ref="I27:I29" si="2">G27/F27</f>
        <v>1.4090909090909091E-2</v>
      </c>
    </row>
    <row r="28" spans="2:9" x14ac:dyDescent="0.3">
      <c r="B28" s="54"/>
      <c r="C28" s="29" t="s">
        <v>24</v>
      </c>
      <c r="D28" s="2">
        <f>'FUERA UNIDAD DE PESQUERIA'!E10</f>
        <v>2</v>
      </c>
      <c r="E28" s="2">
        <v>0</v>
      </c>
      <c r="F28" s="2">
        <f>RESUMEN!D28+RESUMEN!E28</f>
        <v>2</v>
      </c>
      <c r="G28" s="2">
        <f>'FUERA UNIDAD DE PESQUERIA'!I10</f>
        <v>0</v>
      </c>
      <c r="H28" s="2">
        <f t="shared" si="1"/>
        <v>2</v>
      </c>
      <c r="I28" s="11">
        <f t="shared" si="2"/>
        <v>0</v>
      </c>
    </row>
    <row r="29" spans="2:9" x14ac:dyDescent="0.3">
      <c r="B29" s="55" t="s">
        <v>20</v>
      </c>
      <c r="C29" s="56"/>
      <c r="D29" s="2">
        <f>SUM(D26:D28)</f>
        <v>118</v>
      </c>
      <c r="E29" s="2">
        <v>0</v>
      </c>
      <c r="F29" s="2">
        <f>RESUMEN!D29+RESUMEN!E29</f>
        <v>118</v>
      </c>
      <c r="G29" s="2">
        <f>SUM(G26:G28)</f>
        <v>36.347000000000001</v>
      </c>
      <c r="H29" s="2">
        <f t="shared" si="1"/>
        <v>81.652999999999992</v>
      </c>
      <c r="I29" s="11">
        <f t="shared" si="2"/>
        <v>0.30802542372881359</v>
      </c>
    </row>
  </sheetData>
  <mergeCells count="9">
    <mergeCell ref="B26:B28"/>
    <mergeCell ref="B29:C29"/>
    <mergeCell ref="B22:I22"/>
    <mergeCell ref="B23:I23"/>
    <mergeCell ref="B2:I2"/>
    <mergeCell ref="B3:I3"/>
    <mergeCell ref="B6:B15"/>
    <mergeCell ref="B16:B17"/>
    <mergeCell ref="B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41"/>
  <sheetViews>
    <sheetView showGridLines="0" workbookViewId="0">
      <selection activeCell="F28" sqref="F28"/>
    </sheetView>
  </sheetViews>
  <sheetFormatPr baseColWidth="10" defaultColWidth="11.44140625" defaultRowHeight="12" x14ac:dyDescent="0.3"/>
  <cols>
    <col min="1" max="1" width="11.44140625" style="3"/>
    <col min="2" max="2" width="25.88671875" style="3" customWidth="1"/>
    <col min="3" max="3" width="23.6640625" style="3" bestFit="1" customWidth="1"/>
    <col min="4" max="4" width="10" style="3" bestFit="1" customWidth="1"/>
    <col min="5" max="5" width="20.33203125" style="3" bestFit="1" customWidth="1"/>
    <col min="6" max="6" width="15.5546875" style="3" bestFit="1" customWidth="1"/>
    <col min="7" max="7" width="18" style="3" bestFit="1" customWidth="1"/>
    <col min="8" max="8" width="12.44140625" style="3" bestFit="1" customWidth="1"/>
    <col min="9" max="9" width="10.5546875" style="3" bestFit="1" customWidth="1"/>
    <col min="10" max="10" width="12" style="10" bestFit="1" customWidth="1"/>
    <col min="11" max="11" width="11.109375" style="3" bestFit="1" customWidth="1"/>
    <col min="12" max="12" width="19" style="3" bestFit="1" customWidth="1"/>
    <col min="13" max="13" width="15.5546875" style="3" bestFit="1" customWidth="1"/>
    <col min="14" max="14" width="18" style="3" bestFit="1" customWidth="1"/>
    <col min="15" max="15" width="12.44140625" style="3" bestFit="1" customWidth="1"/>
    <col min="16" max="16" width="10.5546875" style="3" bestFit="1" customWidth="1"/>
    <col min="17" max="17" width="10.44140625" style="3" bestFit="1" customWidth="1"/>
    <col min="18" max="16384" width="11.44140625" style="3"/>
  </cols>
  <sheetData>
    <row r="2" spans="2:17" x14ac:dyDescent="0.3">
      <c r="B2" s="67" t="s">
        <v>95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2:17" x14ac:dyDescent="0.3">
      <c r="B3" s="70">
        <f>RESUMEN!B3</f>
        <v>43913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5" spans="2:17" x14ac:dyDescent="0.3">
      <c r="B5" s="39" t="s">
        <v>29</v>
      </c>
      <c r="C5" s="39" t="s">
        <v>30</v>
      </c>
      <c r="D5" s="39" t="s">
        <v>31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6</v>
      </c>
      <c r="J5" s="40" t="s">
        <v>7</v>
      </c>
      <c r="K5" s="39" t="s">
        <v>32</v>
      </c>
      <c r="L5" s="39" t="s">
        <v>2</v>
      </c>
      <c r="M5" s="39" t="s">
        <v>3</v>
      </c>
      <c r="N5" s="39" t="s">
        <v>4</v>
      </c>
      <c r="O5" s="39" t="s">
        <v>5</v>
      </c>
      <c r="P5" s="39" t="s">
        <v>6</v>
      </c>
      <c r="Q5" s="39" t="s">
        <v>33</v>
      </c>
    </row>
    <row r="6" spans="2:17" x14ac:dyDescent="0.3">
      <c r="B6" s="78" t="s">
        <v>93</v>
      </c>
      <c r="C6" s="41" t="s">
        <v>34</v>
      </c>
      <c r="D6" s="37" t="s">
        <v>47</v>
      </c>
      <c r="E6" s="34">
        <v>8.1999999999999993</v>
      </c>
      <c r="F6" s="2"/>
      <c r="G6" s="2">
        <f t="shared" ref="G6:G16" si="0">E6+F6</f>
        <v>8.1999999999999993</v>
      </c>
      <c r="H6" s="109">
        <v>0</v>
      </c>
      <c r="I6" s="2">
        <f>G6-H6</f>
        <v>8.1999999999999993</v>
      </c>
      <c r="J6" s="12">
        <f>H6/G6</f>
        <v>0</v>
      </c>
      <c r="K6" s="50" t="s">
        <v>48</v>
      </c>
      <c r="L6" s="2">
        <f>E6</f>
        <v>8.1999999999999993</v>
      </c>
      <c r="M6" s="2">
        <f>F6</f>
        <v>0</v>
      </c>
      <c r="N6" s="2">
        <f>L6+M6</f>
        <v>8.1999999999999993</v>
      </c>
      <c r="O6" s="2">
        <f>H6</f>
        <v>0</v>
      </c>
      <c r="P6" s="2">
        <f>N6-O6</f>
        <v>8.1999999999999993</v>
      </c>
      <c r="Q6" s="12">
        <f>O6/N6</f>
        <v>0</v>
      </c>
    </row>
    <row r="7" spans="2:17" x14ac:dyDescent="0.3">
      <c r="B7" s="78"/>
      <c r="C7" s="41" t="s">
        <v>35</v>
      </c>
      <c r="D7" s="37" t="s">
        <v>47</v>
      </c>
      <c r="E7" s="34">
        <v>2.8</v>
      </c>
      <c r="F7" s="2"/>
      <c r="G7" s="2">
        <f t="shared" si="0"/>
        <v>2.8</v>
      </c>
      <c r="H7" s="109">
        <v>0</v>
      </c>
      <c r="I7" s="2">
        <f t="shared" ref="I7:I39" si="1">G7-H7</f>
        <v>2.8</v>
      </c>
      <c r="J7" s="12">
        <f t="shared" ref="J7:J40" si="2">H7/G7</f>
        <v>0</v>
      </c>
      <c r="K7" s="50" t="s">
        <v>48</v>
      </c>
      <c r="L7" s="2">
        <f t="shared" ref="L7:M20" si="3">E7</f>
        <v>2.8</v>
      </c>
      <c r="M7" s="2">
        <f t="shared" si="3"/>
        <v>0</v>
      </c>
      <c r="N7" s="2">
        <f t="shared" ref="N7:N20" si="4">L7+M7</f>
        <v>2.8</v>
      </c>
      <c r="O7" s="2">
        <f t="shared" ref="O7:O20" si="5">H7</f>
        <v>0</v>
      </c>
      <c r="P7" s="2">
        <f t="shared" ref="P7:P20" si="6">N7-O7</f>
        <v>2.8</v>
      </c>
      <c r="Q7" s="12">
        <f t="shared" ref="Q7:Q20" si="7">O7/N7</f>
        <v>0</v>
      </c>
    </row>
    <row r="8" spans="2:17" x14ac:dyDescent="0.3">
      <c r="B8" s="78"/>
      <c r="C8" s="41" t="s">
        <v>36</v>
      </c>
      <c r="D8" s="37" t="s">
        <v>47</v>
      </c>
      <c r="E8" s="34">
        <v>7.2</v>
      </c>
      <c r="F8" s="2"/>
      <c r="G8" s="2">
        <f t="shared" si="0"/>
        <v>7.2</v>
      </c>
      <c r="H8" s="109">
        <v>0.13300000000000001</v>
      </c>
      <c r="I8" s="2">
        <f t="shared" si="1"/>
        <v>7.0670000000000002</v>
      </c>
      <c r="J8" s="12">
        <f t="shared" si="2"/>
        <v>1.8472222222222223E-2</v>
      </c>
      <c r="K8" s="50" t="s">
        <v>48</v>
      </c>
      <c r="L8" s="2">
        <f t="shared" si="3"/>
        <v>7.2</v>
      </c>
      <c r="M8" s="2">
        <f t="shared" si="3"/>
        <v>0</v>
      </c>
      <c r="N8" s="2">
        <f t="shared" si="4"/>
        <v>7.2</v>
      </c>
      <c r="O8" s="2">
        <f t="shared" si="5"/>
        <v>0.13300000000000001</v>
      </c>
      <c r="P8" s="2">
        <f t="shared" si="6"/>
        <v>7.0670000000000002</v>
      </c>
      <c r="Q8" s="12">
        <f t="shared" si="7"/>
        <v>1.8472222222222223E-2</v>
      </c>
    </row>
    <row r="9" spans="2:17" x14ac:dyDescent="0.3">
      <c r="B9" s="78"/>
      <c r="C9" s="41" t="s">
        <v>37</v>
      </c>
      <c r="D9" s="37" t="s">
        <v>47</v>
      </c>
      <c r="E9" s="34">
        <v>22.1</v>
      </c>
      <c r="F9" s="2">
        <f>-1.987</f>
        <v>-1.9870000000000001</v>
      </c>
      <c r="G9" s="2">
        <f t="shared" si="0"/>
        <v>20.113</v>
      </c>
      <c r="H9" s="109">
        <v>13.006</v>
      </c>
      <c r="I9" s="2">
        <f t="shared" si="1"/>
        <v>7.1069999999999993</v>
      </c>
      <c r="J9" s="12">
        <f t="shared" si="2"/>
        <v>0.64664644757122258</v>
      </c>
      <c r="K9" s="50" t="s">
        <v>48</v>
      </c>
      <c r="L9" s="2">
        <f t="shared" si="3"/>
        <v>22.1</v>
      </c>
      <c r="M9" s="2">
        <f t="shared" si="3"/>
        <v>-1.9870000000000001</v>
      </c>
      <c r="N9" s="2">
        <f t="shared" si="4"/>
        <v>20.113</v>
      </c>
      <c r="O9" s="2">
        <f t="shared" si="5"/>
        <v>13.006</v>
      </c>
      <c r="P9" s="2">
        <f t="shared" si="6"/>
        <v>7.1069999999999993</v>
      </c>
      <c r="Q9" s="12">
        <f t="shared" si="7"/>
        <v>0.64664644757122258</v>
      </c>
    </row>
    <row r="10" spans="2:17" x14ac:dyDescent="0.3">
      <c r="B10" s="78"/>
      <c r="C10" s="41" t="s">
        <v>38</v>
      </c>
      <c r="D10" s="37" t="s">
        <v>47</v>
      </c>
      <c r="E10" s="34">
        <v>37.799999999999997</v>
      </c>
      <c r="F10" s="2">
        <f>-0.33</f>
        <v>-0.33</v>
      </c>
      <c r="G10" s="2">
        <f t="shared" si="0"/>
        <v>37.47</v>
      </c>
      <c r="H10" s="109">
        <v>5.5350000000000001</v>
      </c>
      <c r="I10" s="2">
        <f t="shared" si="1"/>
        <v>31.934999999999999</v>
      </c>
      <c r="J10" s="12">
        <f t="shared" si="2"/>
        <v>0.14771817453963171</v>
      </c>
      <c r="K10" s="50" t="s">
        <v>48</v>
      </c>
      <c r="L10" s="2">
        <f t="shared" si="3"/>
        <v>37.799999999999997</v>
      </c>
      <c r="M10" s="2">
        <f t="shared" si="3"/>
        <v>-0.33</v>
      </c>
      <c r="N10" s="2">
        <f t="shared" si="4"/>
        <v>37.47</v>
      </c>
      <c r="O10" s="2">
        <f t="shared" si="5"/>
        <v>5.5350000000000001</v>
      </c>
      <c r="P10" s="2">
        <f t="shared" si="6"/>
        <v>31.934999999999999</v>
      </c>
      <c r="Q10" s="12">
        <f t="shared" si="7"/>
        <v>0.14771817453963171</v>
      </c>
    </row>
    <row r="11" spans="2:17" x14ac:dyDescent="0.3">
      <c r="B11" s="78"/>
      <c r="C11" s="41" t="s">
        <v>39</v>
      </c>
      <c r="D11" s="37" t="s">
        <v>47</v>
      </c>
      <c r="E11" s="34">
        <v>94.1</v>
      </c>
      <c r="F11" s="2">
        <f>-5.428</f>
        <v>-5.4279999999999999</v>
      </c>
      <c r="G11" s="2">
        <f t="shared" si="0"/>
        <v>88.671999999999997</v>
      </c>
      <c r="H11" s="109">
        <v>1.1719999999999999</v>
      </c>
      <c r="I11" s="2">
        <f t="shared" si="1"/>
        <v>87.5</v>
      </c>
      <c r="J11" s="12">
        <f t="shared" si="2"/>
        <v>1.3217250090220137E-2</v>
      </c>
      <c r="K11" s="50" t="s">
        <v>48</v>
      </c>
      <c r="L11" s="2">
        <f t="shared" si="3"/>
        <v>94.1</v>
      </c>
      <c r="M11" s="2">
        <f t="shared" si="3"/>
        <v>-5.4279999999999999</v>
      </c>
      <c r="N11" s="2">
        <f t="shared" si="4"/>
        <v>88.671999999999997</v>
      </c>
      <c r="O11" s="2">
        <f t="shared" si="5"/>
        <v>1.1719999999999999</v>
      </c>
      <c r="P11" s="2">
        <f t="shared" si="6"/>
        <v>87.5</v>
      </c>
      <c r="Q11" s="12">
        <f t="shared" si="7"/>
        <v>1.3217250090220137E-2</v>
      </c>
    </row>
    <row r="12" spans="2:17" x14ac:dyDescent="0.3">
      <c r="B12" s="78"/>
      <c r="C12" s="41" t="s">
        <v>42</v>
      </c>
      <c r="D12" s="37" t="s">
        <v>47</v>
      </c>
      <c r="E12" s="34">
        <v>0.7</v>
      </c>
      <c r="F12" s="2">
        <f>-0.324</f>
        <v>-0.32400000000000001</v>
      </c>
      <c r="G12" s="2">
        <f t="shared" si="0"/>
        <v>0.37599999999999995</v>
      </c>
      <c r="H12" s="109">
        <v>0</v>
      </c>
      <c r="I12" s="2">
        <f t="shared" si="1"/>
        <v>0.37599999999999995</v>
      </c>
      <c r="J12" s="12">
        <f t="shared" si="2"/>
        <v>0</v>
      </c>
      <c r="K12" s="50" t="s">
        <v>48</v>
      </c>
      <c r="L12" s="2">
        <f t="shared" si="3"/>
        <v>0.7</v>
      </c>
      <c r="M12" s="2">
        <f t="shared" si="3"/>
        <v>-0.32400000000000001</v>
      </c>
      <c r="N12" s="2">
        <f t="shared" si="4"/>
        <v>0.37599999999999995</v>
      </c>
      <c r="O12" s="2">
        <f t="shared" si="5"/>
        <v>0</v>
      </c>
      <c r="P12" s="2">
        <f t="shared" si="6"/>
        <v>0.37599999999999995</v>
      </c>
      <c r="Q12" s="12">
        <f t="shared" si="7"/>
        <v>0</v>
      </c>
    </row>
    <row r="13" spans="2:17" x14ac:dyDescent="0.3">
      <c r="B13" s="78"/>
      <c r="C13" s="41" t="s">
        <v>43</v>
      </c>
      <c r="D13" s="37" t="s">
        <v>47</v>
      </c>
      <c r="E13" s="34">
        <v>1.7</v>
      </c>
      <c r="F13" s="2"/>
      <c r="G13" s="2">
        <f t="shared" si="0"/>
        <v>1.7</v>
      </c>
      <c r="H13" s="109">
        <v>0</v>
      </c>
      <c r="I13" s="2">
        <f t="shared" si="1"/>
        <v>1.7</v>
      </c>
      <c r="J13" s="12">
        <f t="shared" si="2"/>
        <v>0</v>
      </c>
      <c r="K13" s="50" t="s">
        <v>48</v>
      </c>
      <c r="L13" s="2">
        <f t="shared" si="3"/>
        <v>1.7</v>
      </c>
      <c r="M13" s="2">
        <f t="shared" si="3"/>
        <v>0</v>
      </c>
      <c r="N13" s="2">
        <f t="shared" si="4"/>
        <v>1.7</v>
      </c>
      <c r="O13" s="2">
        <f t="shared" si="5"/>
        <v>0</v>
      </c>
      <c r="P13" s="2">
        <f t="shared" si="6"/>
        <v>1.7</v>
      </c>
      <c r="Q13" s="12">
        <f t="shared" si="7"/>
        <v>0</v>
      </c>
    </row>
    <row r="14" spans="2:17" x14ac:dyDescent="0.3">
      <c r="B14" s="78"/>
      <c r="C14" s="41" t="s">
        <v>40</v>
      </c>
      <c r="D14" s="37" t="s">
        <v>47</v>
      </c>
      <c r="E14" s="34">
        <v>18.399999999999999</v>
      </c>
      <c r="F14" s="2">
        <f>-3.501</f>
        <v>-3.5009999999999999</v>
      </c>
      <c r="G14" s="2">
        <f t="shared" si="0"/>
        <v>14.898999999999999</v>
      </c>
      <c r="H14" s="109">
        <v>9.9000000000000005E-2</v>
      </c>
      <c r="I14" s="2">
        <f t="shared" si="1"/>
        <v>14.799999999999999</v>
      </c>
      <c r="J14" s="12">
        <f t="shared" si="2"/>
        <v>6.644741257802538E-3</v>
      </c>
      <c r="K14" s="50" t="s">
        <v>48</v>
      </c>
      <c r="L14" s="2">
        <f t="shared" si="3"/>
        <v>18.399999999999999</v>
      </c>
      <c r="M14" s="2">
        <f t="shared" si="3"/>
        <v>-3.5009999999999999</v>
      </c>
      <c r="N14" s="2">
        <f t="shared" si="4"/>
        <v>14.898999999999999</v>
      </c>
      <c r="O14" s="2">
        <f t="shared" si="5"/>
        <v>9.9000000000000005E-2</v>
      </c>
      <c r="P14" s="2">
        <f t="shared" si="6"/>
        <v>14.799999999999999</v>
      </c>
      <c r="Q14" s="12">
        <f t="shared" si="7"/>
        <v>6.644741257802538E-3</v>
      </c>
    </row>
    <row r="15" spans="2:17" x14ac:dyDescent="0.3">
      <c r="B15" s="78"/>
      <c r="C15" s="41" t="s">
        <v>41</v>
      </c>
      <c r="D15" s="37" t="s">
        <v>47</v>
      </c>
      <c r="E15" s="34">
        <v>8.5</v>
      </c>
      <c r="F15" s="2"/>
      <c r="G15" s="2">
        <f t="shared" si="0"/>
        <v>8.5</v>
      </c>
      <c r="H15" s="109">
        <v>14.708</v>
      </c>
      <c r="I15" s="2">
        <f t="shared" si="1"/>
        <v>-6.2080000000000002</v>
      </c>
      <c r="J15" s="12">
        <f t="shared" si="2"/>
        <v>1.7303529411764706</v>
      </c>
      <c r="K15" s="50">
        <v>43845</v>
      </c>
      <c r="L15" s="2">
        <f t="shared" si="3"/>
        <v>8.5</v>
      </c>
      <c r="M15" s="2">
        <f t="shared" si="3"/>
        <v>0</v>
      </c>
      <c r="N15" s="2">
        <f t="shared" si="4"/>
        <v>8.5</v>
      </c>
      <c r="O15" s="2">
        <f t="shared" si="5"/>
        <v>14.708</v>
      </c>
      <c r="P15" s="2">
        <f t="shared" si="6"/>
        <v>-6.2080000000000002</v>
      </c>
      <c r="Q15" s="12">
        <f t="shared" si="7"/>
        <v>1.7303529411764706</v>
      </c>
    </row>
    <row r="16" spans="2:17" x14ac:dyDescent="0.3">
      <c r="B16" s="78"/>
      <c r="C16" s="41" t="s">
        <v>44</v>
      </c>
      <c r="D16" s="37" t="s">
        <v>47</v>
      </c>
      <c r="E16" s="34">
        <v>29.5</v>
      </c>
      <c r="F16" s="2"/>
      <c r="G16" s="2">
        <f t="shared" si="0"/>
        <v>29.5</v>
      </c>
      <c r="H16" s="109">
        <v>62.345999999999997</v>
      </c>
      <c r="I16" s="2">
        <f t="shared" si="1"/>
        <v>-32.845999999999997</v>
      </c>
      <c r="J16" s="12">
        <f t="shared" si="2"/>
        <v>2.1134237288135593</v>
      </c>
      <c r="K16" s="50">
        <v>43845</v>
      </c>
      <c r="L16" s="2">
        <f t="shared" si="3"/>
        <v>29.5</v>
      </c>
      <c r="M16" s="2">
        <f t="shared" si="3"/>
        <v>0</v>
      </c>
      <c r="N16" s="2">
        <f t="shared" si="4"/>
        <v>29.5</v>
      </c>
      <c r="O16" s="2">
        <f t="shared" si="5"/>
        <v>62.345999999999997</v>
      </c>
      <c r="P16" s="2">
        <f t="shared" si="6"/>
        <v>-32.845999999999997</v>
      </c>
      <c r="Q16" s="12">
        <f t="shared" si="7"/>
        <v>2.1134237288135593</v>
      </c>
    </row>
    <row r="17" spans="2:17" x14ac:dyDescent="0.3">
      <c r="B17" s="78"/>
      <c r="C17" s="41" t="s">
        <v>90</v>
      </c>
      <c r="D17" s="37" t="s">
        <v>47</v>
      </c>
      <c r="E17" s="34">
        <v>25.6</v>
      </c>
      <c r="F17" s="2"/>
      <c r="G17" s="2">
        <f>E17</f>
        <v>25.6</v>
      </c>
      <c r="H17" s="109">
        <v>0</v>
      </c>
      <c r="I17" s="2">
        <f t="shared" si="1"/>
        <v>25.6</v>
      </c>
      <c r="J17" s="12">
        <f>H17/G17</f>
        <v>0</v>
      </c>
      <c r="K17" s="50" t="s">
        <v>48</v>
      </c>
      <c r="L17" s="2">
        <f t="shared" si="3"/>
        <v>25.6</v>
      </c>
      <c r="M17" s="2">
        <f t="shared" si="3"/>
        <v>0</v>
      </c>
      <c r="N17" s="2">
        <f t="shared" si="4"/>
        <v>25.6</v>
      </c>
      <c r="O17" s="2">
        <f t="shared" si="5"/>
        <v>0</v>
      </c>
      <c r="P17" s="2">
        <f t="shared" si="6"/>
        <v>25.6</v>
      </c>
      <c r="Q17" s="12">
        <f t="shared" si="7"/>
        <v>0</v>
      </c>
    </row>
    <row r="18" spans="2:17" x14ac:dyDescent="0.3">
      <c r="B18" s="78" t="s">
        <v>94</v>
      </c>
      <c r="C18" s="41" t="s">
        <v>49</v>
      </c>
      <c r="D18" s="37" t="s">
        <v>47</v>
      </c>
      <c r="E18" s="34">
        <v>136.30000000000001</v>
      </c>
      <c r="F18" s="2">
        <f>-0.353</f>
        <v>-0.35299999999999998</v>
      </c>
      <c r="G18" s="2">
        <f>E18+F18</f>
        <v>135.947</v>
      </c>
      <c r="H18" s="109">
        <v>2.6459999999999999</v>
      </c>
      <c r="I18" s="2">
        <f t="shared" si="1"/>
        <v>133.30100000000002</v>
      </c>
      <c r="J18" s="12">
        <f t="shared" si="2"/>
        <v>1.9463467380670407E-2</v>
      </c>
      <c r="K18" s="50" t="s">
        <v>48</v>
      </c>
      <c r="L18" s="2">
        <f t="shared" si="3"/>
        <v>136.30000000000001</v>
      </c>
      <c r="M18" s="2">
        <f t="shared" si="3"/>
        <v>-0.35299999999999998</v>
      </c>
      <c r="N18" s="2">
        <f t="shared" si="4"/>
        <v>135.947</v>
      </c>
      <c r="O18" s="2">
        <f t="shared" si="5"/>
        <v>2.6459999999999999</v>
      </c>
      <c r="P18" s="2">
        <f t="shared" si="6"/>
        <v>133.30100000000002</v>
      </c>
      <c r="Q18" s="12">
        <f t="shared" si="7"/>
        <v>1.9463467380670407E-2</v>
      </c>
    </row>
    <row r="19" spans="2:17" x14ac:dyDescent="0.3">
      <c r="B19" s="78"/>
      <c r="C19" s="41" t="s">
        <v>44</v>
      </c>
      <c r="D19" s="37" t="s">
        <v>47</v>
      </c>
      <c r="E19" s="34">
        <v>17.7</v>
      </c>
      <c r="F19" s="2"/>
      <c r="G19" s="2">
        <f>E19+F19</f>
        <v>17.7</v>
      </c>
      <c r="H19" s="109">
        <v>31.131</v>
      </c>
      <c r="I19" s="2">
        <f t="shared" si="1"/>
        <v>-13.431000000000001</v>
      </c>
      <c r="J19" s="12">
        <f t="shared" si="2"/>
        <v>1.758813559322034</v>
      </c>
      <c r="K19" s="50">
        <v>43845</v>
      </c>
      <c r="L19" s="2">
        <f t="shared" si="3"/>
        <v>17.7</v>
      </c>
      <c r="M19" s="2">
        <f t="shared" si="3"/>
        <v>0</v>
      </c>
      <c r="N19" s="2">
        <f t="shared" si="4"/>
        <v>17.7</v>
      </c>
      <c r="O19" s="2">
        <f t="shared" si="5"/>
        <v>31.131</v>
      </c>
      <c r="P19" s="2">
        <f t="shared" si="6"/>
        <v>-13.431000000000001</v>
      </c>
      <c r="Q19" s="12">
        <f t="shared" si="7"/>
        <v>1.758813559322034</v>
      </c>
    </row>
    <row r="20" spans="2:17" x14ac:dyDescent="0.3">
      <c r="B20" s="78"/>
      <c r="C20" s="41" t="s">
        <v>90</v>
      </c>
      <c r="D20" s="37" t="s">
        <v>47</v>
      </c>
      <c r="E20" s="34">
        <v>17.100000000000001</v>
      </c>
      <c r="F20" s="2"/>
      <c r="G20" s="2">
        <f>E20</f>
        <v>17.100000000000001</v>
      </c>
      <c r="H20" s="109">
        <v>0</v>
      </c>
      <c r="I20" s="2">
        <f t="shared" si="1"/>
        <v>17.100000000000001</v>
      </c>
      <c r="J20" s="12">
        <f t="shared" si="2"/>
        <v>0</v>
      </c>
      <c r="K20" s="50" t="s">
        <v>48</v>
      </c>
      <c r="L20" s="2">
        <f t="shared" si="3"/>
        <v>17.100000000000001</v>
      </c>
      <c r="M20" s="2">
        <f t="shared" si="3"/>
        <v>0</v>
      </c>
      <c r="N20" s="2">
        <f t="shared" si="4"/>
        <v>17.100000000000001</v>
      </c>
      <c r="O20" s="2">
        <f t="shared" si="5"/>
        <v>0</v>
      </c>
      <c r="P20" s="2">
        <f t="shared" si="6"/>
        <v>17.100000000000001</v>
      </c>
      <c r="Q20" s="12">
        <f t="shared" si="7"/>
        <v>0</v>
      </c>
    </row>
    <row r="21" spans="2:17" x14ac:dyDescent="0.3">
      <c r="B21" s="75" t="s">
        <v>53</v>
      </c>
      <c r="C21" s="76" t="s">
        <v>50</v>
      </c>
      <c r="D21" s="37" t="s">
        <v>74</v>
      </c>
      <c r="E21" s="34">
        <v>2.5</v>
      </c>
      <c r="F21" s="2"/>
      <c r="G21" s="2">
        <f>E21+F21</f>
        <v>2.5</v>
      </c>
      <c r="H21" s="109">
        <v>10.798999999999999</v>
      </c>
      <c r="I21" s="2">
        <f t="shared" si="1"/>
        <v>-8.2989999999999995</v>
      </c>
      <c r="J21" s="12">
        <f>H21/G21</f>
        <v>4.3195999999999994</v>
      </c>
      <c r="K21" s="51">
        <v>43843</v>
      </c>
      <c r="L21" s="74">
        <f>E21+E22+E23</f>
        <v>165</v>
      </c>
      <c r="M21" s="74">
        <f>F21+F22+F23</f>
        <v>0</v>
      </c>
      <c r="N21" s="74">
        <f>L21+M21</f>
        <v>165</v>
      </c>
      <c r="O21" s="74">
        <f>H21+H22+H23</f>
        <v>79.224999999999994</v>
      </c>
      <c r="P21" s="74">
        <f>N21-O21</f>
        <v>85.775000000000006</v>
      </c>
      <c r="Q21" s="73">
        <f>O21/N21</f>
        <v>0.48015151515151511</v>
      </c>
    </row>
    <row r="22" spans="2:17" x14ac:dyDescent="0.3">
      <c r="B22" s="75"/>
      <c r="C22" s="76"/>
      <c r="D22" s="37" t="s">
        <v>89</v>
      </c>
      <c r="E22" s="34">
        <v>80</v>
      </c>
      <c r="F22" s="2"/>
      <c r="G22" s="2">
        <f>E22+F22+I21</f>
        <v>71.700999999999993</v>
      </c>
      <c r="H22" s="109">
        <v>68.426000000000002</v>
      </c>
      <c r="I22" s="2">
        <f>G22-H22</f>
        <v>3.2749999999999915</v>
      </c>
      <c r="J22" s="12">
        <f>H22/G22</f>
        <v>0.95432420747269919</v>
      </c>
      <c r="K22" s="50" t="s">
        <v>48</v>
      </c>
      <c r="L22" s="74"/>
      <c r="M22" s="74"/>
      <c r="N22" s="74"/>
      <c r="O22" s="74"/>
      <c r="P22" s="74"/>
      <c r="Q22" s="73"/>
    </row>
    <row r="23" spans="2:17" x14ac:dyDescent="0.3">
      <c r="B23" s="75"/>
      <c r="C23" s="76"/>
      <c r="D23" s="37" t="s">
        <v>52</v>
      </c>
      <c r="E23" s="34">
        <v>82.5</v>
      </c>
      <c r="F23" s="2"/>
      <c r="G23" s="2">
        <f>E23+F23+I22</f>
        <v>85.774999999999991</v>
      </c>
      <c r="H23" s="109">
        <v>0</v>
      </c>
      <c r="I23" s="2">
        <f t="shared" si="1"/>
        <v>85.774999999999991</v>
      </c>
      <c r="J23" s="12">
        <f t="shared" si="2"/>
        <v>0</v>
      </c>
      <c r="K23" s="50" t="s">
        <v>48</v>
      </c>
      <c r="L23" s="74"/>
      <c r="M23" s="74"/>
      <c r="N23" s="74"/>
      <c r="O23" s="74"/>
      <c r="P23" s="74"/>
      <c r="Q23" s="73"/>
    </row>
    <row r="24" spans="2:17" x14ac:dyDescent="0.3">
      <c r="B24" s="75"/>
      <c r="C24" s="41" t="s">
        <v>91</v>
      </c>
      <c r="D24" s="37" t="s">
        <v>47</v>
      </c>
      <c r="E24" s="34">
        <v>18.3</v>
      </c>
      <c r="F24" s="2"/>
      <c r="G24" s="2">
        <f>E24+F24</f>
        <v>18.3</v>
      </c>
      <c r="H24" s="109">
        <v>2.2959999999999998</v>
      </c>
      <c r="I24" s="2">
        <f>G24-H24</f>
        <v>16.004000000000001</v>
      </c>
      <c r="J24" s="12">
        <f>H24/G24</f>
        <v>0.12546448087431691</v>
      </c>
      <c r="K24" s="50" t="s">
        <v>48</v>
      </c>
      <c r="L24" s="2">
        <f>E24</f>
        <v>18.3</v>
      </c>
      <c r="M24" s="2">
        <f t="shared" ref="M24:Q24" si="8">F24</f>
        <v>0</v>
      </c>
      <c r="N24" s="2">
        <f t="shared" si="8"/>
        <v>18.3</v>
      </c>
      <c r="O24" s="2">
        <f t="shared" si="8"/>
        <v>2.2959999999999998</v>
      </c>
      <c r="P24" s="2">
        <f t="shared" si="8"/>
        <v>16.004000000000001</v>
      </c>
      <c r="Q24" s="12">
        <f t="shared" si="8"/>
        <v>0.12546448087431691</v>
      </c>
    </row>
    <row r="25" spans="2:17" x14ac:dyDescent="0.3">
      <c r="B25" s="75"/>
      <c r="C25" s="76" t="s">
        <v>51</v>
      </c>
      <c r="D25" s="37" t="s">
        <v>45</v>
      </c>
      <c r="E25" s="34">
        <v>14.8</v>
      </c>
      <c r="F25" s="2"/>
      <c r="G25" s="2">
        <f>E25+F25</f>
        <v>14.8</v>
      </c>
      <c r="H25" s="109">
        <v>15.564</v>
      </c>
      <c r="I25" s="2">
        <f t="shared" si="1"/>
        <v>-0.76399999999999935</v>
      </c>
      <c r="J25" s="12">
        <f t="shared" si="2"/>
        <v>1.0516216216216216</v>
      </c>
      <c r="K25" s="50" t="s">
        <v>48</v>
      </c>
      <c r="L25" s="74">
        <f>E25+E26</f>
        <v>29.6</v>
      </c>
      <c r="M25" s="74">
        <f>F25+F26</f>
        <v>0</v>
      </c>
      <c r="N25" s="74">
        <f>L25+M25</f>
        <v>29.6</v>
      </c>
      <c r="O25" s="74">
        <f>H25+H26</f>
        <v>15.564</v>
      </c>
      <c r="P25" s="74">
        <f>N25-O25</f>
        <v>14.036000000000001</v>
      </c>
      <c r="Q25" s="73">
        <f>O25/N25</f>
        <v>0.52581081081081082</v>
      </c>
    </row>
    <row r="26" spans="2:17" x14ac:dyDescent="0.3">
      <c r="B26" s="75"/>
      <c r="C26" s="76"/>
      <c r="D26" s="37" t="s">
        <v>46</v>
      </c>
      <c r="E26" s="34">
        <v>14.8</v>
      </c>
      <c r="F26" s="2"/>
      <c r="G26" s="2">
        <f>E26+F26+I25</f>
        <v>14.036000000000001</v>
      </c>
      <c r="H26" s="109">
        <v>0</v>
      </c>
      <c r="I26" s="2">
        <f t="shared" si="1"/>
        <v>14.036000000000001</v>
      </c>
      <c r="J26" s="12">
        <f t="shared" si="2"/>
        <v>0</v>
      </c>
      <c r="K26" s="50" t="s">
        <v>48</v>
      </c>
      <c r="L26" s="74"/>
      <c r="M26" s="74"/>
      <c r="N26" s="74"/>
      <c r="O26" s="74"/>
      <c r="P26" s="74"/>
      <c r="Q26" s="73"/>
    </row>
    <row r="27" spans="2:17" x14ac:dyDescent="0.3">
      <c r="B27" s="75"/>
      <c r="C27" s="41" t="s">
        <v>92</v>
      </c>
      <c r="D27" s="37" t="s">
        <v>47</v>
      </c>
      <c r="E27" s="34">
        <v>3.3</v>
      </c>
      <c r="F27" s="2"/>
      <c r="G27" s="2">
        <f>E27</f>
        <v>3.3</v>
      </c>
      <c r="H27" s="109">
        <v>0</v>
      </c>
      <c r="I27" s="2">
        <f t="shared" si="1"/>
        <v>3.3</v>
      </c>
      <c r="J27" s="12">
        <f t="shared" si="2"/>
        <v>0</v>
      </c>
      <c r="K27" s="50" t="s">
        <v>48</v>
      </c>
      <c r="L27" s="2">
        <f>E27</f>
        <v>3.3</v>
      </c>
      <c r="M27" s="2">
        <f t="shared" ref="M27:Q27" si="9">F27</f>
        <v>0</v>
      </c>
      <c r="N27" s="2">
        <f t="shared" si="9"/>
        <v>3.3</v>
      </c>
      <c r="O27" s="2">
        <f t="shared" si="9"/>
        <v>0</v>
      </c>
      <c r="P27" s="2">
        <f t="shared" si="9"/>
        <v>3.3</v>
      </c>
      <c r="Q27" s="12">
        <f t="shared" si="9"/>
        <v>0</v>
      </c>
    </row>
    <row r="28" spans="2:17" x14ac:dyDescent="0.3">
      <c r="B28" s="75" t="s">
        <v>144</v>
      </c>
      <c r="C28" s="76" t="s">
        <v>13</v>
      </c>
      <c r="D28" s="37" t="s">
        <v>54</v>
      </c>
      <c r="E28" s="34">
        <v>22.2</v>
      </c>
      <c r="F28" s="2"/>
      <c r="G28" s="2">
        <f>E28+F28</f>
        <v>22.2</v>
      </c>
      <c r="H28" s="109">
        <v>4.1440000000000001</v>
      </c>
      <c r="I28" s="2">
        <f t="shared" si="1"/>
        <v>18.055999999999997</v>
      </c>
      <c r="J28" s="12">
        <f t="shared" si="2"/>
        <v>0.18666666666666668</v>
      </c>
      <c r="K28" s="50" t="s">
        <v>48</v>
      </c>
      <c r="L28" s="74">
        <f>E28+E29+E30+E31+E32+E33+E34+E35+E36+E37+E38+E39</f>
        <v>266.39999999999992</v>
      </c>
      <c r="M28" s="74">
        <f>F28+F29+F30+F31+F32+F33+F34+F35+F36+F37+F38+F39</f>
        <v>0</v>
      </c>
      <c r="N28" s="74">
        <f>L28+M28</f>
        <v>266.39999999999992</v>
      </c>
      <c r="O28" s="74">
        <f>H28+H29+H30+H31+H32+H33+H34+H35+H36+H37+H38+H39</f>
        <v>9.5940000000000012</v>
      </c>
      <c r="P28" s="74">
        <f>N28-O28</f>
        <v>256.80599999999993</v>
      </c>
      <c r="Q28" s="73">
        <f>O28/N28</f>
        <v>3.6013513513513527E-2</v>
      </c>
    </row>
    <row r="29" spans="2:17" x14ac:dyDescent="0.3">
      <c r="B29" s="75"/>
      <c r="C29" s="76"/>
      <c r="D29" s="37" t="s">
        <v>55</v>
      </c>
      <c r="E29" s="34">
        <v>22.2</v>
      </c>
      <c r="F29" s="2"/>
      <c r="G29" s="2">
        <f t="shared" ref="G29:G39" si="10">E29+F29+I28</f>
        <v>40.256</v>
      </c>
      <c r="H29" s="109">
        <v>2.1110000000000002</v>
      </c>
      <c r="I29" s="2">
        <f t="shared" si="1"/>
        <v>38.145000000000003</v>
      </c>
      <c r="J29" s="12">
        <f t="shared" si="2"/>
        <v>5.2439387917329099E-2</v>
      </c>
      <c r="K29" s="50" t="s">
        <v>48</v>
      </c>
      <c r="L29" s="74"/>
      <c r="M29" s="74"/>
      <c r="N29" s="74"/>
      <c r="O29" s="74"/>
      <c r="P29" s="74"/>
      <c r="Q29" s="73"/>
    </row>
    <row r="30" spans="2:17" x14ac:dyDescent="0.3">
      <c r="B30" s="75"/>
      <c r="C30" s="76"/>
      <c r="D30" s="37" t="s">
        <v>56</v>
      </c>
      <c r="E30" s="34">
        <v>22.2</v>
      </c>
      <c r="F30" s="2"/>
      <c r="G30" s="2">
        <f t="shared" si="10"/>
        <v>60.344999999999999</v>
      </c>
      <c r="H30" s="109">
        <v>3.339</v>
      </c>
      <c r="I30" s="2">
        <f t="shared" si="1"/>
        <v>57.006</v>
      </c>
      <c r="J30" s="12">
        <f t="shared" si="2"/>
        <v>5.533184190902312E-2</v>
      </c>
      <c r="K30" s="50" t="s">
        <v>48</v>
      </c>
      <c r="L30" s="74"/>
      <c r="M30" s="74"/>
      <c r="N30" s="74"/>
      <c r="O30" s="74"/>
      <c r="P30" s="74"/>
      <c r="Q30" s="73"/>
    </row>
    <row r="31" spans="2:17" x14ac:dyDescent="0.3">
      <c r="B31" s="75"/>
      <c r="C31" s="76"/>
      <c r="D31" s="37" t="s">
        <v>57</v>
      </c>
      <c r="E31" s="34">
        <v>22.2</v>
      </c>
      <c r="F31" s="2"/>
      <c r="G31" s="2">
        <f t="shared" si="10"/>
        <v>79.206000000000003</v>
      </c>
      <c r="H31" s="109">
        <v>0</v>
      </c>
      <c r="I31" s="2">
        <f t="shared" si="1"/>
        <v>79.206000000000003</v>
      </c>
      <c r="J31" s="12">
        <f t="shared" si="2"/>
        <v>0</v>
      </c>
      <c r="K31" s="50" t="s">
        <v>48</v>
      </c>
      <c r="L31" s="74"/>
      <c r="M31" s="74"/>
      <c r="N31" s="74"/>
      <c r="O31" s="74"/>
      <c r="P31" s="74"/>
      <c r="Q31" s="73"/>
    </row>
    <row r="32" spans="2:17" x14ac:dyDescent="0.3">
      <c r="B32" s="75"/>
      <c r="C32" s="76"/>
      <c r="D32" s="37" t="s">
        <v>58</v>
      </c>
      <c r="E32" s="34">
        <v>22.2</v>
      </c>
      <c r="F32" s="2"/>
      <c r="G32" s="2">
        <f t="shared" si="10"/>
        <v>101.40600000000001</v>
      </c>
      <c r="H32" s="109">
        <v>0</v>
      </c>
      <c r="I32" s="2">
        <f t="shared" si="1"/>
        <v>101.40600000000001</v>
      </c>
      <c r="J32" s="12">
        <f t="shared" si="2"/>
        <v>0</v>
      </c>
      <c r="K32" s="50" t="s">
        <v>48</v>
      </c>
      <c r="L32" s="74"/>
      <c r="M32" s="74"/>
      <c r="N32" s="74"/>
      <c r="O32" s="74"/>
      <c r="P32" s="74"/>
      <c r="Q32" s="73"/>
    </row>
    <row r="33" spans="2:17" x14ac:dyDescent="0.3">
      <c r="B33" s="75"/>
      <c r="C33" s="76"/>
      <c r="D33" s="37" t="s">
        <v>59</v>
      </c>
      <c r="E33" s="34">
        <v>22.2</v>
      </c>
      <c r="F33" s="2"/>
      <c r="G33" s="2">
        <f t="shared" si="10"/>
        <v>123.60600000000001</v>
      </c>
      <c r="H33" s="109">
        <v>0</v>
      </c>
      <c r="I33" s="2">
        <f t="shared" si="1"/>
        <v>123.60600000000001</v>
      </c>
      <c r="J33" s="12">
        <f t="shared" si="2"/>
        <v>0</v>
      </c>
      <c r="K33" s="50" t="s">
        <v>48</v>
      </c>
      <c r="L33" s="74"/>
      <c r="M33" s="74"/>
      <c r="N33" s="74"/>
      <c r="O33" s="74"/>
      <c r="P33" s="74"/>
      <c r="Q33" s="73"/>
    </row>
    <row r="34" spans="2:17" x14ac:dyDescent="0.3">
      <c r="B34" s="75"/>
      <c r="C34" s="76"/>
      <c r="D34" s="37" t="s">
        <v>60</v>
      </c>
      <c r="E34" s="34">
        <v>22.2</v>
      </c>
      <c r="F34" s="2"/>
      <c r="G34" s="2">
        <f t="shared" si="10"/>
        <v>145.80600000000001</v>
      </c>
      <c r="H34" s="109">
        <v>0</v>
      </c>
      <c r="I34" s="2">
        <f t="shared" si="1"/>
        <v>145.80600000000001</v>
      </c>
      <c r="J34" s="12">
        <f t="shared" si="2"/>
        <v>0</v>
      </c>
      <c r="K34" s="50" t="s">
        <v>48</v>
      </c>
      <c r="L34" s="74"/>
      <c r="M34" s="74"/>
      <c r="N34" s="74"/>
      <c r="O34" s="74"/>
      <c r="P34" s="74"/>
      <c r="Q34" s="73"/>
    </row>
    <row r="35" spans="2:17" x14ac:dyDescent="0.3">
      <c r="B35" s="75"/>
      <c r="C35" s="76"/>
      <c r="D35" s="37" t="s">
        <v>61</v>
      </c>
      <c r="E35" s="34">
        <v>22.2</v>
      </c>
      <c r="F35" s="2"/>
      <c r="G35" s="2">
        <f t="shared" si="10"/>
        <v>168.006</v>
      </c>
      <c r="H35" s="109">
        <v>0</v>
      </c>
      <c r="I35" s="2">
        <f t="shared" si="1"/>
        <v>168.006</v>
      </c>
      <c r="J35" s="12">
        <f t="shared" si="2"/>
        <v>0</v>
      </c>
      <c r="K35" s="50" t="s">
        <v>48</v>
      </c>
      <c r="L35" s="74"/>
      <c r="M35" s="74"/>
      <c r="N35" s="74"/>
      <c r="O35" s="74"/>
      <c r="P35" s="74"/>
      <c r="Q35" s="73"/>
    </row>
    <row r="36" spans="2:17" x14ac:dyDescent="0.3">
      <c r="B36" s="75"/>
      <c r="C36" s="76"/>
      <c r="D36" s="37" t="s">
        <v>62</v>
      </c>
      <c r="E36" s="34">
        <v>22.2</v>
      </c>
      <c r="F36" s="2"/>
      <c r="G36" s="2">
        <f t="shared" si="10"/>
        <v>190.20599999999999</v>
      </c>
      <c r="H36" s="109">
        <v>0</v>
      </c>
      <c r="I36" s="2">
        <f t="shared" si="1"/>
        <v>190.20599999999999</v>
      </c>
      <c r="J36" s="12">
        <f t="shared" si="2"/>
        <v>0</v>
      </c>
      <c r="K36" s="50" t="s">
        <v>48</v>
      </c>
      <c r="L36" s="74"/>
      <c r="M36" s="74"/>
      <c r="N36" s="74"/>
      <c r="O36" s="74"/>
      <c r="P36" s="74"/>
      <c r="Q36" s="73"/>
    </row>
    <row r="37" spans="2:17" x14ac:dyDescent="0.3">
      <c r="B37" s="75"/>
      <c r="C37" s="76"/>
      <c r="D37" s="37" t="s">
        <v>63</v>
      </c>
      <c r="E37" s="34">
        <v>22.2</v>
      </c>
      <c r="F37" s="2"/>
      <c r="G37" s="2">
        <f t="shared" si="10"/>
        <v>212.40599999999998</v>
      </c>
      <c r="H37" s="109">
        <v>0</v>
      </c>
      <c r="I37" s="2">
        <f t="shared" si="1"/>
        <v>212.40599999999998</v>
      </c>
      <c r="J37" s="12">
        <f t="shared" si="2"/>
        <v>0</v>
      </c>
      <c r="K37" s="50" t="s">
        <v>48</v>
      </c>
      <c r="L37" s="74"/>
      <c r="M37" s="74"/>
      <c r="N37" s="74"/>
      <c r="O37" s="74"/>
      <c r="P37" s="74"/>
      <c r="Q37" s="73"/>
    </row>
    <row r="38" spans="2:17" x14ac:dyDescent="0.3">
      <c r="B38" s="75"/>
      <c r="C38" s="76"/>
      <c r="D38" s="37" t="s">
        <v>64</v>
      </c>
      <c r="E38" s="34">
        <v>22.2</v>
      </c>
      <c r="F38" s="2"/>
      <c r="G38" s="2">
        <f t="shared" si="10"/>
        <v>234.60599999999997</v>
      </c>
      <c r="H38" s="109">
        <v>0</v>
      </c>
      <c r="I38" s="2">
        <f t="shared" si="1"/>
        <v>234.60599999999997</v>
      </c>
      <c r="J38" s="12">
        <f t="shared" si="2"/>
        <v>0</v>
      </c>
      <c r="K38" s="50" t="s">
        <v>48</v>
      </c>
      <c r="L38" s="74"/>
      <c r="M38" s="74"/>
      <c r="N38" s="74"/>
      <c r="O38" s="74"/>
      <c r="P38" s="74"/>
      <c r="Q38" s="73"/>
    </row>
    <row r="39" spans="2:17" x14ac:dyDescent="0.3">
      <c r="B39" s="75"/>
      <c r="C39" s="76"/>
      <c r="D39" s="37" t="s">
        <v>65</v>
      </c>
      <c r="E39" s="34">
        <v>22.2</v>
      </c>
      <c r="F39" s="2"/>
      <c r="G39" s="2">
        <f t="shared" si="10"/>
        <v>256.80599999999998</v>
      </c>
      <c r="H39" s="109">
        <v>0</v>
      </c>
      <c r="I39" s="2">
        <f t="shared" si="1"/>
        <v>256.80599999999998</v>
      </c>
      <c r="J39" s="12">
        <f t="shared" si="2"/>
        <v>0</v>
      </c>
      <c r="K39" s="50" t="s">
        <v>48</v>
      </c>
      <c r="L39" s="74"/>
      <c r="M39" s="74"/>
      <c r="N39" s="74"/>
      <c r="O39" s="74"/>
      <c r="P39" s="74"/>
      <c r="Q39" s="73"/>
    </row>
    <row r="40" spans="2:17" x14ac:dyDescent="0.3">
      <c r="B40" s="75"/>
      <c r="C40" s="41" t="s">
        <v>23</v>
      </c>
      <c r="D40" s="37" t="s">
        <v>47</v>
      </c>
      <c r="E40" s="34">
        <v>29.7</v>
      </c>
      <c r="F40" s="2"/>
      <c r="G40" s="2">
        <f>E40</f>
        <v>29.7</v>
      </c>
      <c r="H40" s="109">
        <v>0</v>
      </c>
      <c r="I40" s="2">
        <f>G40-H40</f>
        <v>29.7</v>
      </c>
      <c r="J40" s="12">
        <f t="shared" si="2"/>
        <v>0</v>
      </c>
      <c r="K40" s="50" t="s">
        <v>48</v>
      </c>
      <c r="L40" s="2">
        <f>E40</f>
        <v>29.7</v>
      </c>
      <c r="M40" s="2">
        <f t="shared" ref="M40:P40" si="11">F40</f>
        <v>0</v>
      </c>
      <c r="N40" s="2">
        <f t="shared" si="11"/>
        <v>29.7</v>
      </c>
      <c r="O40" s="2">
        <f t="shared" si="11"/>
        <v>0</v>
      </c>
      <c r="P40" s="2">
        <f t="shared" si="11"/>
        <v>29.7</v>
      </c>
      <c r="Q40" s="12">
        <f>J40</f>
        <v>0</v>
      </c>
    </row>
    <row r="41" spans="2:17" x14ac:dyDescent="0.3">
      <c r="B41" s="77" t="s">
        <v>20</v>
      </c>
      <c r="C41" s="77"/>
      <c r="D41" s="37" t="s">
        <v>47</v>
      </c>
      <c r="E41" s="2">
        <f>SUM(E6:E40)</f>
        <v>940.00000000000045</v>
      </c>
      <c r="F41" s="2">
        <f>SUM(F6:F40)</f>
        <v>-11.923</v>
      </c>
      <c r="G41" s="2">
        <f>E41+F41</f>
        <v>928.07700000000045</v>
      </c>
      <c r="H41" s="2">
        <f>SUM(H6:H40)</f>
        <v>237.45500000000001</v>
      </c>
      <c r="I41" s="2">
        <f>G41-H41</f>
        <v>690.62200000000041</v>
      </c>
      <c r="J41" s="12">
        <f>H41/G41</f>
        <v>0.25585700324434274</v>
      </c>
      <c r="K41" s="50" t="s">
        <v>48</v>
      </c>
      <c r="L41" s="2">
        <f>SUM(L6:L40)</f>
        <v>940</v>
      </c>
      <c r="M41" s="2">
        <f>SUM(M6:M40)</f>
        <v>-11.923</v>
      </c>
      <c r="N41" s="2">
        <f>L41+M41</f>
        <v>928.077</v>
      </c>
      <c r="O41" s="2">
        <f>SUM(O6:O40)</f>
        <v>237.45499999999998</v>
      </c>
      <c r="P41" s="2">
        <f>N41-O41</f>
        <v>690.62200000000007</v>
      </c>
      <c r="Q41" s="12">
        <f>O41/N41</f>
        <v>0.25585700324434285</v>
      </c>
    </row>
  </sheetData>
  <mergeCells count="28">
    <mergeCell ref="B41:C41"/>
    <mergeCell ref="B18:B20"/>
    <mergeCell ref="B6:B17"/>
    <mergeCell ref="L21:L23"/>
    <mergeCell ref="L25:L26"/>
    <mergeCell ref="L28:L39"/>
    <mergeCell ref="M28:M39"/>
    <mergeCell ref="B21:B27"/>
    <mergeCell ref="C21:C23"/>
    <mergeCell ref="C25:C26"/>
    <mergeCell ref="C28:C39"/>
    <mergeCell ref="B28:B40"/>
    <mergeCell ref="B2:Q2"/>
    <mergeCell ref="B3:Q3"/>
    <mergeCell ref="Q21:Q23"/>
    <mergeCell ref="Q25:Q26"/>
    <mergeCell ref="Q28:Q39"/>
    <mergeCell ref="M25:M26"/>
    <mergeCell ref="N25:N26"/>
    <mergeCell ref="O25:O26"/>
    <mergeCell ref="P25:P26"/>
    <mergeCell ref="N28:N39"/>
    <mergeCell ref="O28:O39"/>
    <mergeCell ref="P28:P39"/>
    <mergeCell ref="M21:M23"/>
    <mergeCell ref="N21:N23"/>
    <mergeCell ref="O21:O23"/>
    <mergeCell ref="P21:P23"/>
  </mergeCells>
  <conditionalFormatting sqref="J6:J41">
    <cfRule type="cellIs" dxfId="2" priority="1" operator="greaterThan">
      <formula>95%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2"/>
  <sheetViews>
    <sheetView showGridLines="0" workbookViewId="0">
      <selection activeCell="H35" sqref="H35"/>
    </sheetView>
  </sheetViews>
  <sheetFormatPr baseColWidth="10" defaultColWidth="11.44140625" defaultRowHeight="12" x14ac:dyDescent="0.25"/>
  <cols>
    <col min="1" max="1" width="11.44140625" style="1"/>
    <col min="2" max="2" width="18.109375" style="1" bestFit="1" customWidth="1"/>
    <col min="3" max="3" width="21.44140625" style="1" bestFit="1" customWidth="1"/>
    <col min="4" max="4" width="8" style="1" bestFit="1" customWidth="1"/>
    <col min="5" max="5" width="20.33203125" style="1" bestFit="1" customWidth="1"/>
    <col min="6" max="6" width="16.88671875" style="1" bestFit="1" customWidth="1"/>
    <col min="7" max="7" width="19.109375" style="1" bestFit="1" customWidth="1"/>
    <col min="8" max="8" width="13.33203125" style="1" bestFit="1" customWidth="1"/>
    <col min="9" max="9" width="11.33203125" style="1" bestFit="1" customWidth="1"/>
    <col min="10" max="10" width="12.6640625" style="1" bestFit="1" customWidth="1"/>
    <col min="11" max="11" width="20.33203125" style="1" bestFit="1" customWidth="1"/>
    <col min="12" max="12" width="16.88671875" style="1" bestFit="1" customWidth="1"/>
    <col min="13" max="13" width="19.109375" style="1" bestFit="1" customWidth="1"/>
    <col min="14" max="14" width="13.33203125" style="1" bestFit="1" customWidth="1"/>
    <col min="15" max="15" width="11.33203125" style="1" bestFit="1" customWidth="1"/>
    <col min="16" max="16" width="11.109375" style="1" bestFit="1" customWidth="1"/>
    <col min="17" max="16384" width="11.44140625" style="1"/>
  </cols>
  <sheetData>
    <row r="2" spans="2:16" x14ac:dyDescent="0.25">
      <c r="B2" s="88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</row>
    <row r="3" spans="2:16" x14ac:dyDescent="0.25">
      <c r="B3" s="91">
        <f>RESUMEN!B3</f>
        <v>43913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</row>
    <row r="5" spans="2:16" x14ac:dyDescent="0.25">
      <c r="B5" s="35" t="s">
        <v>66</v>
      </c>
      <c r="C5" s="35" t="s">
        <v>67</v>
      </c>
      <c r="D5" s="35" t="s">
        <v>31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6" t="s">
        <v>7</v>
      </c>
      <c r="K5" s="35" t="s">
        <v>2</v>
      </c>
      <c r="L5" s="35" t="s">
        <v>3</v>
      </c>
      <c r="M5" s="35" t="s">
        <v>4</v>
      </c>
      <c r="N5" s="35" t="s">
        <v>5</v>
      </c>
      <c r="O5" s="35" t="s">
        <v>6</v>
      </c>
      <c r="P5" s="35" t="s">
        <v>33</v>
      </c>
    </row>
    <row r="6" spans="2:16" x14ac:dyDescent="0.25">
      <c r="B6" s="85" t="s">
        <v>142</v>
      </c>
      <c r="C6" s="83" t="s">
        <v>68</v>
      </c>
      <c r="D6" s="37" t="s">
        <v>74</v>
      </c>
      <c r="E6" s="2">
        <f>6.448+3.8125</f>
        <v>10.2605</v>
      </c>
      <c r="F6" s="2"/>
      <c r="G6" s="2">
        <f>E6+F6</f>
        <v>10.2605</v>
      </c>
      <c r="H6" s="2"/>
      <c r="I6" s="2">
        <f>G6-H6</f>
        <v>10.2605</v>
      </c>
      <c r="J6" s="12">
        <f>H6/G6</f>
        <v>0</v>
      </c>
      <c r="K6" s="79">
        <f>E6+E7</f>
        <v>20.554500000000001</v>
      </c>
      <c r="L6" s="79">
        <f>F6+F7</f>
        <v>0</v>
      </c>
      <c r="M6" s="79">
        <f>K6+L6</f>
        <v>20.554500000000001</v>
      </c>
      <c r="N6" s="79">
        <f>H6+H7</f>
        <v>0</v>
      </c>
      <c r="O6" s="79">
        <f>M6-N6</f>
        <v>20.554500000000001</v>
      </c>
      <c r="P6" s="81">
        <f>N6/M6</f>
        <v>0</v>
      </c>
    </row>
    <row r="7" spans="2:16" x14ac:dyDescent="0.25">
      <c r="B7" s="86"/>
      <c r="C7" s="84"/>
      <c r="D7" s="37" t="s">
        <v>75</v>
      </c>
      <c r="E7" s="2">
        <f>6.469+3.825</f>
        <v>10.294</v>
      </c>
      <c r="F7" s="2"/>
      <c r="G7" s="2">
        <f>E7+F7+I6</f>
        <v>20.554500000000001</v>
      </c>
      <c r="H7" s="34"/>
      <c r="I7" s="2">
        <f t="shared" ref="I7:I21" si="0">G7-H7</f>
        <v>20.554500000000001</v>
      </c>
      <c r="J7" s="12">
        <f t="shared" ref="J7:J22" si="1">H7/G7</f>
        <v>0</v>
      </c>
      <c r="K7" s="80"/>
      <c r="L7" s="80"/>
      <c r="M7" s="80"/>
      <c r="N7" s="80"/>
      <c r="O7" s="80"/>
      <c r="P7" s="82"/>
    </row>
    <row r="8" spans="2:16" x14ac:dyDescent="0.25">
      <c r="B8" s="86"/>
      <c r="C8" s="83" t="s">
        <v>69</v>
      </c>
      <c r="D8" s="37" t="s">
        <v>74</v>
      </c>
      <c r="E8" s="2">
        <v>23.66</v>
      </c>
      <c r="F8" s="2"/>
      <c r="G8" s="2">
        <f>E8+F8</f>
        <v>23.66</v>
      </c>
      <c r="H8" s="109">
        <v>0.215</v>
      </c>
      <c r="I8" s="2">
        <f t="shared" si="0"/>
        <v>23.445</v>
      </c>
      <c r="J8" s="12">
        <f t="shared" si="1"/>
        <v>9.0870667793744708E-3</v>
      </c>
      <c r="K8" s="79">
        <f t="shared" ref="K8" si="2">E8+E9</f>
        <v>47.397999999999996</v>
      </c>
      <c r="L8" s="79">
        <f t="shared" ref="L8" si="3">F8+F9</f>
        <v>0</v>
      </c>
      <c r="M8" s="79">
        <f t="shared" ref="M8" si="4">K8+L8</f>
        <v>47.397999999999996</v>
      </c>
      <c r="N8" s="79">
        <f t="shared" ref="N8" si="5">H8+H9</f>
        <v>0.215</v>
      </c>
      <c r="O8" s="79">
        <f t="shared" ref="O8" si="6">M8-N8</f>
        <v>47.182999999999993</v>
      </c>
      <c r="P8" s="81">
        <f t="shared" ref="P8" si="7">N8/M8</f>
        <v>4.5360563736866538E-3</v>
      </c>
    </row>
    <row r="9" spans="2:16" x14ac:dyDescent="0.25">
      <c r="B9" s="86"/>
      <c r="C9" s="84"/>
      <c r="D9" s="37" t="s">
        <v>75</v>
      </c>
      <c r="E9" s="2">
        <v>23.738</v>
      </c>
      <c r="F9" s="2"/>
      <c r="G9" s="2">
        <f>E9+F9+I8</f>
        <v>47.183</v>
      </c>
      <c r="H9" s="34"/>
      <c r="I9" s="2">
        <f t="shared" si="0"/>
        <v>47.183</v>
      </c>
      <c r="J9" s="12">
        <f t="shared" si="1"/>
        <v>0</v>
      </c>
      <c r="K9" s="80"/>
      <c r="L9" s="80"/>
      <c r="M9" s="80"/>
      <c r="N9" s="80"/>
      <c r="O9" s="80"/>
      <c r="P9" s="82"/>
    </row>
    <row r="10" spans="2:16" x14ac:dyDescent="0.25">
      <c r="B10" s="86"/>
      <c r="C10" s="83" t="s">
        <v>70</v>
      </c>
      <c r="D10" s="37" t="s">
        <v>74</v>
      </c>
      <c r="E10" s="2">
        <v>200.72800000000001</v>
      </c>
      <c r="F10" s="2"/>
      <c r="G10" s="2">
        <f>E10+F10</f>
        <v>200.72800000000001</v>
      </c>
      <c r="H10" s="109">
        <v>37.607999999999997</v>
      </c>
      <c r="I10" s="2">
        <f t="shared" si="0"/>
        <v>163.12</v>
      </c>
      <c r="J10" s="12">
        <f t="shared" si="1"/>
        <v>0.18735801681877962</v>
      </c>
      <c r="K10" s="79">
        <f>E10+E11</f>
        <v>402.11400000000003</v>
      </c>
      <c r="L10" s="79">
        <f t="shared" ref="L10" si="8">F10+F11</f>
        <v>0</v>
      </c>
      <c r="M10" s="79">
        <f t="shared" ref="M10" si="9">K10+L10</f>
        <v>402.11400000000003</v>
      </c>
      <c r="N10" s="79">
        <f t="shared" ref="N10" si="10">H10+H11</f>
        <v>37.607999999999997</v>
      </c>
      <c r="O10" s="79">
        <f t="shared" ref="O10" si="11">M10-N10</f>
        <v>364.50600000000003</v>
      </c>
      <c r="P10" s="81">
        <f t="shared" ref="P10" si="12">N10/M10</f>
        <v>9.3525716587833291E-2</v>
      </c>
    </row>
    <row r="11" spans="2:16" x14ac:dyDescent="0.25">
      <c r="B11" s="86"/>
      <c r="C11" s="84"/>
      <c r="D11" s="37" t="s">
        <v>75</v>
      </c>
      <c r="E11" s="2">
        <v>201.386</v>
      </c>
      <c r="F11" s="2"/>
      <c r="G11" s="2">
        <f>E11+F11+I10</f>
        <v>364.50599999999997</v>
      </c>
      <c r="H11" s="34"/>
      <c r="I11" s="2">
        <f t="shared" si="0"/>
        <v>364.50599999999997</v>
      </c>
      <c r="J11" s="12">
        <f t="shared" si="1"/>
        <v>0</v>
      </c>
      <c r="K11" s="80"/>
      <c r="L11" s="80"/>
      <c r="M11" s="80"/>
      <c r="N11" s="80"/>
      <c r="O11" s="80"/>
      <c r="P11" s="82"/>
    </row>
    <row r="12" spans="2:16" x14ac:dyDescent="0.25">
      <c r="B12" s="86"/>
      <c r="C12" s="83" t="s">
        <v>71</v>
      </c>
      <c r="D12" s="37" t="s">
        <v>74</v>
      </c>
      <c r="E12" s="2">
        <f>0.687+3.8125</f>
        <v>4.4995000000000003</v>
      </c>
      <c r="F12" s="2"/>
      <c r="G12" s="2">
        <f>E12+F12</f>
        <v>4.4995000000000003</v>
      </c>
      <c r="H12" s="34"/>
      <c r="I12" s="2">
        <f t="shared" si="0"/>
        <v>4.4995000000000003</v>
      </c>
      <c r="J12" s="12">
        <f t="shared" si="1"/>
        <v>0</v>
      </c>
      <c r="K12" s="79">
        <f>E12+E13</f>
        <v>9.0135000000000005</v>
      </c>
      <c r="L12" s="79">
        <f t="shared" ref="L12" si="13">F12+F13</f>
        <v>0</v>
      </c>
      <c r="M12" s="79">
        <f t="shared" ref="M12" si="14">K12+L12</f>
        <v>9.0135000000000005</v>
      </c>
      <c r="N12" s="79">
        <f t="shared" ref="N12" si="15">H12+H13</f>
        <v>0</v>
      </c>
      <c r="O12" s="79">
        <f t="shared" ref="O12" si="16">M12-N12</f>
        <v>9.0135000000000005</v>
      </c>
      <c r="P12" s="81">
        <f t="shared" ref="P12" si="17">N12/M12</f>
        <v>0</v>
      </c>
    </row>
    <row r="13" spans="2:16" x14ac:dyDescent="0.25">
      <c r="B13" s="86"/>
      <c r="C13" s="84"/>
      <c r="D13" s="37" t="s">
        <v>75</v>
      </c>
      <c r="E13" s="2">
        <f>0.689+3.825</f>
        <v>4.5140000000000002</v>
      </c>
      <c r="F13" s="2"/>
      <c r="G13" s="2">
        <f>E13+F13+I12</f>
        <v>9.0135000000000005</v>
      </c>
      <c r="H13" s="34"/>
      <c r="I13" s="2">
        <f t="shared" si="0"/>
        <v>9.0135000000000005</v>
      </c>
      <c r="J13" s="12">
        <f t="shared" si="1"/>
        <v>0</v>
      </c>
      <c r="K13" s="80"/>
      <c r="L13" s="80"/>
      <c r="M13" s="80"/>
      <c r="N13" s="80"/>
      <c r="O13" s="80"/>
      <c r="P13" s="82"/>
    </row>
    <row r="14" spans="2:16" x14ac:dyDescent="0.25">
      <c r="B14" s="86"/>
      <c r="C14" s="83" t="s">
        <v>72</v>
      </c>
      <c r="D14" s="37" t="s">
        <v>74</v>
      </c>
      <c r="E14" s="2">
        <v>42.948999999999998</v>
      </c>
      <c r="F14" s="2"/>
      <c r="G14" s="2">
        <f>E14+F14</f>
        <v>42.948999999999998</v>
      </c>
      <c r="H14" s="109">
        <f>2.587-2.48196</f>
        <v>0.10504000000000024</v>
      </c>
      <c r="I14" s="2">
        <f t="shared" si="0"/>
        <v>42.843959999999996</v>
      </c>
      <c r="J14" s="12">
        <f t="shared" si="1"/>
        <v>2.4456914014296081E-3</v>
      </c>
      <c r="K14" s="79">
        <f t="shared" ref="K14" si="18">E14+E15</f>
        <v>86.039000000000001</v>
      </c>
      <c r="L14" s="79">
        <f t="shared" ref="L14" si="19">F14+F15</f>
        <v>0</v>
      </c>
      <c r="M14" s="79">
        <f t="shared" ref="M14" si="20">K14+L14</f>
        <v>86.039000000000001</v>
      </c>
      <c r="N14" s="79">
        <f t="shared" ref="N14" si="21">H14+H15</f>
        <v>0.10504000000000024</v>
      </c>
      <c r="O14" s="79">
        <f t="shared" ref="O14" si="22">M14-N14</f>
        <v>85.933959999999999</v>
      </c>
      <c r="P14" s="81">
        <f t="shared" ref="P14" si="23">N14/M14</f>
        <v>1.2208417113169637E-3</v>
      </c>
    </row>
    <row r="15" spans="2:16" x14ac:dyDescent="0.25">
      <c r="B15" s="86"/>
      <c r="C15" s="84"/>
      <c r="D15" s="37" t="s">
        <v>75</v>
      </c>
      <c r="E15" s="2">
        <v>43.09</v>
      </c>
      <c r="F15" s="2"/>
      <c r="G15" s="2">
        <f>E15+F15+I14</f>
        <v>85.933959999999999</v>
      </c>
      <c r="H15" s="34"/>
      <c r="I15" s="2">
        <f t="shared" si="0"/>
        <v>85.933959999999999</v>
      </c>
      <c r="J15" s="12">
        <f t="shared" si="1"/>
        <v>0</v>
      </c>
      <c r="K15" s="80"/>
      <c r="L15" s="80"/>
      <c r="M15" s="80"/>
      <c r="N15" s="80"/>
      <c r="O15" s="80"/>
      <c r="P15" s="82"/>
    </row>
    <row r="16" spans="2:16" x14ac:dyDescent="0.25">
      <c r="B16" s="86"/>
      <c r="C16" s="83" t="s">
        <v>73</v>
      </c>
      <c r="D16" s="37" t="s">
        <v>74</v>
      </c>
      <c r="E16" s="2">
        <v>2.7E-2</v>
      </c>
      <c r="F16" s="2"/>
      <c r="G16" s="2">
        <f>E16+F16</f>
        <v>2.7E-2</v>
      </c>
      <c r="H16" s="34"/>
      <c r="I16" s="2">
        <f t="shared" si="0"/>
        <v>2.7E-2</v>
      </c>
      <c r="J16" s="12">
        <f t="shared" si="1"/>
        <v>0</v>
      </c>
      <c r="K16" s="79">
        <f t="shared" ref="K16" si="24">E16+E17</f>
        <v>5.5E-2</v>
      </c>
      <c r="L16" s="79">
        <f t="shared" ref="L16" si="25">F16+F17</f>
        <v>0</v>
      </c>
      <c r="M16" s="79">
        <f t="shared" ref="M16" si="26">K16+L16</f>
        <v>5.5E-2</v>
      </c>
      <c r="N16" s="79">
        <f t="shared" ref="N16" si="27">H16+H17</f>
        <v>0</v>
      </c>
      <c r="O16" s="79">
        <f t="shared" ref="O16" si="28">M16-N16</f>
        <v>5.5E-2</v>
      </c>
      <c r="P16" s="81">
        <f t="shared" ref="P16" si="29">N16/M16</f>
        <v>0</v>
      </c>
    </row>
    <row r="17" spans="2:16" x14ac:dyDescent="0.25">
      <c r="B17" s="86"/>
      <c r="C17" s="84"/>
      <c r="D17" s="37" t="s">
        <v>75</v>
      </c>
      <c r="E17" s="2">
        <v>2.8000000000000001E-2</v>
      </c>
      <c r="F17" s="2"/>
      <c r="G17" s="2">
        <f>E17+F17+I16</f>
        <v>5.5E-2</v>
      </c>
      <c r="H17" s="34"/>
      <c r="I17" s="2">
        <f t="shared" si="0"/>
        <v>5.5E-2</v>
      </c>
      <c r="J17" s="12">
        <f t="shared" si="1"/>
        <v>0</v>
      </c>
      <c r="K17" s="80"/>
      <c r="L17" s="80"/>
      <c r="M17" s="80"/>
      <c r="N17" s="80"/>
      <c r="O17" s="80"/>
      <c r="P17" s="82"/>
    </row>
    <row r="18" spans="2:16" x14ac:dyDescent="0.25">
      <c r="B18" s="86"/>
      <c r="C18" s="83" t="s">
        <v>76</v>
      </c>
      <c r="D18" s="37" t="s">
        <v>74</v>
      </c>
      <c r="E18" s="2">
        <f>1.9063+1.9063+1.9063</f>
        <v>5.7189000000000005</v>
      </c>
      <c r="F18" s="2"/>
      <c r="G18" s="2">
        <f>E18+F18</f>
        <v>5.7189000000000005</v>
      </c>
      <c r="H18" s="2"/>
      <c r="I18" s="2">
        <f t="shared" si="0"/>
        <v>5.7189000000000005</v>
      </c>
      <c r="J18" s="12">
        <f t="shared" si="1"/>
        <v>0</v>
      </c>
      <c r="K18" s="79">
        <f t="shared" ref="K18" si="30">E18+E19</f>
        <v>11.456400000000002</v>
      </c>
      <c r="L18" s="79">
        <f t="shared" ref="L18" si="31">F18+F19</f>
        <v>0</v>
      </c>
      <c r="M18" s="79">
        <f t="shared" ref="M18" si="32">K18+L18</f>
        <v>11.456400000000002</v>
      </c>
      <c r="N18" s="79">
        <f t="shared" ref="N18" si="33">H18+H19</f>
        <v>0</v>
      </c>
      <c r="O18" s="79">
        <f t="shared" ref="O18" si="34">M18-N18</f>
        <v>11.456400000000002</v>
      </c>
      <c r="P18" s="81">
        <f t="shared" ref="P18" si="35">N18/M18</f>
        <v>0</v>
      </c>
    </row>
    <row r="19" spans="2:16" x14ac:dyDescent="0.25">
      <c r="B19" s="86"/>
      <c r="C19" s="84"/>
      <c r="D19" s="37" t="s">
        <v>75</v>
      </c>
      <c r="E19" s="2">
        <f>1.9125+1.9125+1.9125</f>
        <v>5.7375000000000007</v>
      </c>
      <c r="F19" s="2"/>
      <c r="G19" s="2">
        <f>E19+F19+I18</f>
        <v>11.456400000000002</v>
      </c>
      <c r="H19" s="2"/>
      <c r="I19" s="2">
        <f t="shared" si="0"/>
        <v>11.456400000000002</v>
      </c>
      <c r="J19" s="12">
        <f t="shared" si="1"/>
        <v>0</v>
      </c>
      <c r="K19" s="80"/>
      <c r="L19" s="80"/>
      <c r="M19" s="80"/>
      <c r="N19" s="80"/>
      <c r="O19" s="80"/>
      <c r="P19" s="82"/>
    </row>
    <row r="20" spans="2:16" x14ac:dyDescent="0.25">
      <c r="B20" s="86"/>
      <c r="C20" s="83" t="s">
        <v>77</v>
      </c>
      <c r="D20" s="37" t="s">
        <v>74</v>
      </c>
      <c r="E20" s="2">
        <v>1.9063000000000001</v>
      </c>
      <c r="F20" s="2"/>
      <c r="G20" s="2">
        <f>E20+F20</f>
        <v>1.9063000000000001</v>
      </c>
      <c r="H20" s="2"/>
      <c r="I20" s="2">
        <f t="shared" si="0"/>
        <v>1.9063000000000001</v>
      </c>
      <c r="J20" s="12">
        <f t="shared" si="1"/>
        <v>0</v>
      </c>
      <c r="K20" s="79">
        <f t="shared" ref="K20" si="36">E20+E21</f>
        <v>3.8188000000000004</v>
      </c>
      <c r="L20" s="79">
        <f t="shared" ref="L20" si="37">F20+F21</f>
        <v>0</v>
      </c>
      <c r="M20" s="79">
        <f t="shared" ref="M20" si="38">K20+L20</f>
        <v>3.8188000000000004</v>
      </c>
      <c r="N20" s="79">
        <f t="shared" ref="N20" si="39">H20+H21</f>
        <v>0</v>
      </c>
      <c r="O20" s="79">
        <f t="shared" ref="O20" si="40">M20-N20</f>
        <v>3.8188000000000004</v>
      </c>
      <c r="P20" s="81">
        <f t="shared" ref="P20" si="41">N20/M20</f>
        <v>0</v>
      </c>
    </row>
    <row r="21" spans="2:16" x14ac:dyDescent="0.25">
      <c r="B21" s="86"/>
      <c r="C21" s="84"/>
      <c r="D21" s="37" t="s">
        <v>75</v>
      </c>
      <c r="E21" s="2">
        <v>1.9125000000000001</v>
      </c>
      <c r="F21" s="2"/>
      <c r="G21" s="2">
        <f>E21+F21+I20</f>
        <v>3.8188000000000004</v>
      </c>
      <c r="H21" s="2"/>
      <c r="I21" s="2">
        <f t="shared" si="0"/>
        <v>3.8188000000000004</v>
      </c>
      <c r="J21" s="12">
        <f t="shared" si="1"/>
        <v>0</v>
      </c>
      <c r="K21" s="80"/>
      <c r="L21" s="80"/>
      <c r="M21" s="80"/>
      <c r="N21" s="80"/>
      <c r="O21" s="80"/>
      <c r="P21" s="82"/>
    </row>
    <row r="22" spans="2:16" x14ac:dyDescent="0.25">
      <c r="B22" s="87"/>
      <c r="C22" s="38" t="s">
        <v>78</v>
      </c>
      <c r="D22" s="37" t="s">
        <v>47</v>
      </c>
      <c r="E22" s="2">
        <f>SUM(E6:E21)</f>
        <v>580.44920000000002</v>
      </c>
      <c r="F22" s="2">
        <f>SUM(F6:F21)</f>
        <v>0</v>
      </c>
      <c r="G22" s="2">
        <f>E22+F22</f>
        <v>580.44920000000002</v>
      </c>
      <c r="H22" s="2">
        <f>SUM(H6:H21)</f>
        <v>37.928040000000003</v>
      </c>
      <c r="I22" s="2">
        <f>G22-H22</f>
        <v>542.52116000000001</v>
      </c>
      <c r="J22" s="12">
        <f t="shared" si="1"/>
        <v>6.534256572323642E-2</v>
      </c>
      <c r="K22" s="2">
        <f>SUM(K6:K21)</f>
        <v>580.44920000000002</v>
      </c>
      <c r="L22" s="2">
        <f>SUM(L6:L21)</f>
        <v>0</v>
      </c>
      <c r="M22" s="2">
        <f>K22+L22</f>
        <v>580.44920000000002</v>
      </c>
      <c r="N22" s="2">
        <f>SUM(N6:N21)</f>
        <v>37.928040000000003</v>
      </c>
      <c r="O22" s="2">
        <f>M22-N22</f>
        <v>542.52116000000001</v>
      </c>
      <c r="P22" s="12">
        <f>N22/M22</f>
        <v>6.534256572323642E-2</v>
      </c>
    </row>
    <row r="23" spans="2:16" x14ac:dyDescent="0.25">
      <c r="D23" s="3"/>
    </row>
    <row r="24" spans="2:16" x14ac:dyDescent="0.25">
      <c r="D24" s="3"/>
    </row>
    <row r="25" spans="2:16" x14ac:dyDescent="0.25">
      <c r="D25" s="3"/>
    </row>
    <row r="26" spans="2:16" x14ac:dyDescent="0.25">
      <c r="B26" s="35" t="s">
        <v>66</v>
      </c>
      <c r="C26" s="35" t="s">
        <v>67</v>
      </c>
      <c r="D26" s="35" t="s">
        <v>31</v>
      </c>
      <c r="E26" s="35" t="s">
        <v>2</v>
      </c>
      <c r="F26" s="35" t="s">
        <v>3</v>
      </c>
      <c r="G26" s="35" t="s">
        <v>4</v>
      </c>
      <c r="H26" s="35" t="s">
        <v>5</v>
      </c>
      <c r="I26" s="35" t="s">
        <v>6</v>
      </c>
      <c r="J26" s="36" t="s">
        <v>7</v>
      </c>
      <c r="K26" s="35" t="s">
        <v>2</v>
      </c>
      <c r="L26" s="35" t="s">
        <v>3</v>
      </c>
      <c r="M26" s="35" t="s">
        <v>4</v>
      </c>
      <c r="N26" s="35" t="s">
        <v>5</v>
      </c>
      <c r="O26" s="35" t="s">
        <v>6</v>
      </c>
      <c r="P26" s="35" t="s">
        <v>33</v>
      </c>
    </row>
    <row r="27" spans="2:16" x14ac:dyDescent="0.25">
      <c r="B27" s="85" t="s">
        <v>143</v>
      </c>
      <c r="C27" s="83" t="s">
        <v>68</v>
      </c>
      <c r="D27" s="37" t="s">
        <v>74</v>
      </c>
      <c r="E27" s="2">
        <f>17.512+2.0563</f>
        <v>19.568300000000001</v>
      </c>
      <c r="F27" s="2"/>
      <c r="G27" s="2">
        <f>E27+F27</f>
        <v>19.568300000000001</v>
      </c>
      <c r="H27" s="2"/>
      <c r="I27" s="2">
        <f>G27-H27</f>
        <v>19.568300000000001</v>
      </c>
      <c r="J27" s="12">
        <f>H27/G27</f>
        <v>0</v>
      </c>
      <c r="K27" s="79">
        <f>E27+E28</f>
        <v>39.136600000000001</v>
      </c>
      <c r="L27" s="79">
        <f>F27+F28</f>
        <v>0</v>
      </c>
      <c r="M27" s="79">
        <f>K27+L27</f>
        <v>39.136600000000001</v>
      </c>
      <c r="N27" s="79">
        <f>H27+H28</f>
        <v>0</v>
      </c>
      <c r="O27" s="79">
        <f>M27-N27</f>
        <v>39.136600000000001</v>
      </c>
      <c r="P27" s="81">
        <f>N27/M27</f>
        <v>0</v>
      </c>
    </row>
    <row r="28" spans="2:16" x14ac:dyDescent="0.25">
      <c r="B28" s="86"/>
      <c r="C28" s="84"/>
      <c r="D28" s="37" t="s">
        <v>75</v>
      </c>
      <c r="E28" s="2">
        <f>17.512+2.0563</f>
        <v>19.568300000000001</v>
      </c>
      <c r="F28" s="2"/>
      <c r="G28" s="2">
        <f>E28+F28+I27</f>
        <v>39.136600000000001</v>
      </c>
      <c r="H28" s="2"/>
      <c r="I28" s="2">
        <f t="shared" ref="I28:I40" si="42">G28-H28</f>
        <v>39.136600000000001</v>
      </c>
      <c r="J28" s="12">
        <f t="shared" ref="J28:J41" si="43">H28/G28</f>
        <v>0</v>
      </c>
      <c r="K28" s="80"/>
      <c r="L28" s="80"/>
      <c r="M28" s="80"/>
      <c r="N28" s="80"/>
      <c r="O28" s="80"/>
      <c r="P28" s="82"/>
    </row>
    <row r="29" spans="2:16" x14ac:dyDescent="0.25">
      <c r="B29" s="86"/>
      <c r="C29" s="83" t="s">
        <v>69</v>
      </c>
      <c r="D29" s="37" t="s">
        <v>74</v>
      </c>
      <c r="E29" s="2">
        <f>0.481</f>
        <v>0.48099999999999998</v>
      </c>
      <c r="F29" s="2"/>
      <c r="G29" s="2">
        <f>E29+F29</f>
        <v>0.48099999999999998</v>
      </c>
      <c r="H29" s="34"/>
      <c r="I29" s="2">
        <f t="shared" si="42"/>
        <v>0.48099999999999998</v>
      </c>
      <c r="J29" s="12">
        <f t="shared" si="43"/>
        <v>0</v>
      </c>
      <c r="K29" s="79">
        <f t="shared" ref="K29:L29" si="44">E29+E30</f>
        <v>0.96199999999999997</v>
      </c>
      <c r="L29" s="79">
        <f t="shared" si="44"/>
        <v>0</v>
      </c>
      <c r="M29" s="79">
        <f t="shared" ref="M29" si="45">K29+L29</f>
        <v>0.96199999999999997</v>
      </c>
      <c r="N29" s="79">
        <f t="shared" ref="N29" si="46">H29+H30</f>
        <v>0</v>
      </c>
      <c r="O29" s="79">
        <f t="shared" ref="O29" si="47">M29-N29</f>
        <v>0.96199999999999997</v>
      </c>
      <c r="P29" s="81">
        <f t="shared" ref="P29" si="48">N29/M29</f>
        <v>0</v>
      </c>
    </row>
    <row r="30" spans="2:16" x14ac:dyDescent="0.25">
      <c r="B30" s="86"/>
      <c r="C30" s="84"/>
      <c r="D30" s="37" t="s">
        <v>75</v>
      </c>
      <c r="E30" s="2">
        <f>0.481</f>
        <v>0.48099999999999998</v>
      </c>
      <c r="F30" s="2"/>
      <c r="G30" s="2">
        <f>E30+F30+I29</f>
        <v>0.96199999999999997</v>
      </c>
      <c r="H30" s="34"/>
      <c r="I30" s="2">
        <f t="shared" si="42"/>
        <v>0.96199999999999997</v>
      </c>
      <c r="J30" s="12">
        <f t="shared" si="43"/>
        <v>0</v>
      </c>
      <c r="K30" s="80"/>
      <c r="L30" s="80"/>
      <c r="M30" s="80"/>
      <c r="N30" s="80"/>
      <c r="O30" s="80"/>
      <c r="P30" s="82"/>
    </row>
    <row r="31" spans="2:16" x14ac:dyDescent="0.25">
      <c r="B31" s="86"/>
      <c r="C31" s="83" t="s">
        <v>70</v>
      </c>
      <c r="D31" s="37" t="s">
        <v>74</v>
      </c>
      <c r="E31" s="2">
        <f>95.626</f>
        <v>95.626000000000005</v>
      </c>
      <c r="F31" s="2"/>
      <c r="G31" s="2">
        <f>E31+F31</f>
        <v>95.626000000000005</v>
      </c>
      <c r="H31" s="109">
        <v>25.67</v>
      </c>
      <c r="I31" s="2">
        <f t="shared" si="42"/>
        <v>69.956000000000003</v>
      </c>
      <c r="J31" s="12">
        <f t="shared" si="43"/>
        <v>0.268441637211637</v>
      </c>
      <c r="K31" s="79">
        <f t="shared" ref="K31:L31" si="49">E31+E32</f>
        <v>191.25200000000001</v>
      </c>
      <c r="L31" s="79">
        <f t="shared" si="49"/>
        <v>0</v>
      </c>
      <c r="M31" s="79">
        <f t="shared" ref="M31" si="50">K31+L31</f>
        <v>191.25200000000001</v>
      </c>
      <c r="N31" s="79">
        <f t="shared" ref="N31" si="51">H31+H32</f>
        <v>25.67</v>
      </c>
      <c r="O31" s="79">
        <f t="shared" ref="O31" si="52">M31-N31</f>
        <v>165.58199999999999</v>
      </c>
      <c r="P31" s="81">
        <f t="shared" ref="P31" si="53">N31/M31</f>
        <v>0.1342208186058185</v>
      </c>
    </row>
    <row r="32" spans="2:16" x14ac:dyDescent="0.25">
      <c r="B32" s="86"/>
      <c r="C32" s="84"/>
      <c r="D32" s="37" t="s">
        <v>75</v>
      </c>
      <c r="E32" s="2">
        <f>95.626</f>
        <v>95.626000000000005</v>
      </c>
      <c r="F32" s="2"/>
      <c r="G32" s="2">
        <f>E32+F32+I31</f>
        <v>165.58199999999999</v>
      </c>
      <c r="H32" s="109"/>
      <c r="I32" s="2">
        <f t="shared" si="42"/>
        <v>165.58199999999999</v>
      </c>
      <c r="J32" s="12">
        <f t="shared" si="43"/>
        <v>0</v>
      </c>
      <c r="K32" s="80"/>
      <c r="L32" s="80"/>
      <c r="M32" s="80"/>
      <c r="N32" s="80"/>
      <c r="O32" s="80"/>
      <c r="P32" s="82"/>
    </row>
    <row r="33" spans="2:16" x14ac:dyDescent="0.25">
      <c r="B33" s="86"/>
      <c r="C33" s="83" t="s">
        <v>71</v>
      </c>
      <c r="D33" s="37" t="s">
        <v>74</v>
      </c>
      <c r="E33" s="2">
        <f>34.195+2.0563</f>
        <v>36.251300000000001</v>
      </c>
      <c r="F33" s="2"/>
      <c r="G33" s="2">
        <f>E33+F33</f>
        <v>36.251300000000001</v>
      </c>
      <c r="H33" s="109">
        <v>39.624000000000002</v>
      </c>
      <c r="I33" s="2">
        <f t="shared" si="42"/>
        <v>-3.3727000000000018</v>
      </c>
      <c r="J33" s="12">
        <f t="shared" si="43"/>
        <v>1.0930366635127569</v>
      </c>
      <c r="K33" s="79">
        <f t="shared" ref="K33:L33" si="54">E33+E34</f>
        <v>72.502600000000001</v>
      </c>
      <c r="L33" s="79">
        <f t="shared" si="54"/>
        <v>0</v>
      </c>
      <c r="M33" s="79">
        <f t="shared" ref="M33" si="55">K33+L33</f>
        <v>72.502600000000001</v>
      </c>
      <c r="N33" s="79">
        <f t="shared" ref="N33" si="56">H33+H34</f>
        <v>39.624000000000002</v>
      </c>
      <c r="O33" s="79">
        <f t="shared" ref="O33" si="57">M33-N33</f>
        <v>32.878599999999999</v>
      </c>
      <c r="P33" s="81">
        <f t="shared" ref="P33" si="58">N33/M33</f>
        <v>0.54651833175637843</v>
      </c>
    </row>
    <row r="34" spans="2:16" x14ac:dyDescent="0.25">
      <c r="B34" s="86"/>
      <c r="C34" s="84"/>
      <c r="D34" s="37" t="s">
        <v>75</v>
      </c>
      <c r="E34" s="2">
        <f>34.195+2.0563</f>
        <v>36.251300000000001</v>
      </c>
      <c r="F34" s="2"/>
      <c r="G34" s="2">
        <f>E34+F34+I33</f>
        <v>32.878599999999999</v>
      </c>
      <c r="H34" s="2"/>
      <c r="I34" s="2">
        <f t="shared" si="42"/>
        <v>32.878599999999999</v>
      </c>
      <c r="J34" s="12">
        <f t="shared" si="43"/>
        <v>0</v>
      </c>
      <c r="K34" s="80"/>
      <c r="L34" s="80"/>
      <c r="M34" s="80"/>
      <c r="N34" s="80"/>
      <c r="O34" s="80"/>
      <c r="P34" s="82"/>
    </row>
    <row r="35" spans="2:16" x14ac:dyDescent="0.25">
      <c r="B35" s="86"/>
      <c r="C35" s="83" t="s">
        <v>72</v>
      </c>
      <c r="D35" s="37" t="s">
        <v>74</v>
      </c>
      <c r="E35" s="2">
        <f>0.236</f>
        <v>0.23599999999999999</v>
      </c>
      <c r="F35" s="2"/>
      <c r="G35" s="2">
        <f>E35+F35</f>
        <v>0.23599999999999999</v>
      </c>
      <c r="H35" s="2"/>
      <c r="I35" s="2">
        <f t="shared" si="42"/>
        <v>0.23599999999999999</v>
      </c>
      <c r="J35" s="12">
        <f t="shared" si="43"/>
        <v>0</v>
      </c>
      <c r="K35" s="79">
        <f t="shared" ref="K35:L35" si="59">E35+E36</f>
        <v>0.47199999999999998</v>
      </c>
      <c r="L35" s="79">
        <f t="shared" si="59"/>
        <v>0</v>
      </c>
      <c r="M35" s="79">
        <f t="shared" ref="M35" si="60">K35+L35</f>
        <v>0.47199999999999998</v>
      </c>
      <c r="N35" s="79">
        <f t="shared" ref="N35" si="61">H35+H36</f>
        <v>0</v>
      </c>
      <c r="O35" s="79">
        <f t="shared" ref="O35" si="62">M35-N35</f>
        <v>0.47199999999999998</v>
      </c>
      <c r="P35" s="81">
        <f t="shared" ref="P35" si="63">N35/M35</f>
        <v>0</v>
      </c>
    </row>
    <row r="36" spans="2:16" x14ac:dyDescent="0.25">
      <c r="B36" s="86"/>
      <c r="C36" s="84"/>
      <c r="D36" s="37" t="s">
        <v>75</v>
      </c>
      <c r="E36" s="2">
        <f>0.236</f>
        <v>0.23599999999999999</v>
      </c>
      <c r="F36" s="2"/>
      <c r="G36" s="2">
        <f>E36+F36+I35</f>
        <v>0.47199999999999998</v>
      </c>
      <c r="H36" s="2"/>
      <c r="I36" s="2">
        <f t="shared" si="42"/>
        <v>0.47199999999999998</v>
      </c>
      <c r="J36" s="12">
        <f t="shared" si="43"/>
        <v>0</v>
      </c>
      <c r="K36" s="80"/>
      <c r="L36" s="80"/>
      <c r="M36" s="80"/>
      <c r="N36" s="80"/>
      <c r="O36" s="80"/>
      <c r="P36" s="82"/>
    </row>
    <row r="37" spans="2:16" x14ac:dyDescent="0.25">
      <c r="B37" s="86"/>
      <c r="C37" s="83" t="s">
        <v>76</v>
      </c>
      <c r="D37" s="37" t="s">
        <v>74</v>
      </c>
      <c r="E37" s="2">
        <f>2.0563</f>
        <v>2.0562999999999998</v>
      </c>
      <c r="F37" s="2"/>
      <c r="G37" s="2">
        <f>E37+F37</f>
        <v>2.0562999999999998</v>
      </c>
      <c r="H37" s="2"/>
      <c r="I37" s="2">
        <f t="shared" si="42"/>
        <v>2.0562999999999998</v>
      </c>
      <c r="J37" s="12">
        <f t="shared" si="43"/>
        <v>0</v>
      </c>
      <c r="K37" s="79">
        <f t="shared" ref="K37:L37" si="64">E37+E38</f>
        <v>4.1125999999999996</v>
      </c>
      <c r="L37" s="79">
        <f t="shared" si="64"/>
        <v>0</v>
      </c>
      <c r="M37" s="79">
        <f t="shared" ref="M37" si="65">K37+L37</f>
        <v>4.1125999999999996</v>
      </c>
      <c r="N37" s="79">
        <f t="shared" ref="N37" si="66">H37+H38</f>
        <v>0</v>
      </c>
      <c r="O37" s="79">
        <f t="shared" ref="O37" si="67">M37-N37</f>
        <v>4.1125999999999996</v>
      </c>
      <c r="P37" s="81">
        <f t="shared" ref="P37" si="68">N37/M37</f>
        <v>0</v>
      </c>
    </row>
    <row r="38" spans="2:16" x14ac:dyDescent="0.25">
      <c r="B38" s="86"/>
      <c r="C38" s="84"/>
      <c r="D38" s="37" t="s">
        <v>75</v>
      </c>
      <c r="E38" s="2">
        <f>2.0563</f>
        <v>2.0562999999999998</v>
      </c>
      <c r="F38" s="2"/>
      <c r="G38" s="2">
        <f>E38+F38+I37</f>
        <v>4.1125999999999996</v>
      </c>
      <c r="H38" s="2"/>
      <c r="I38" s="2">
        <f t="shared" si="42"/>
        <v>4.1125999999999996</v>
      </c>
      <c r="J38" s="12">
        <f t="shared" si="43"/>
        <v>0</v>
      </c>
      <c r="K38" s="80"/>
      <c r="L38" s="80"/>
      <c r="M38" s="80"/>
      <c r="N38" s="80"/>
      <c r="O38" s="80"/>
      <c r="P38" s="82"/>
    </row>
    <row r="39" spans="2:16" x14ac:dyDescent="0.25">
      <c r="B39" s="86"/>
      <c r="C39" s="83" t="s">
        <v>77</v>
      </c>
      <c r="D39" s="37" t="s">
        <v>74</v>
      </c>
      <c r="E39" s="2">
        <f>2.0563</f>
        <v>2.0562999999999998</v>
      </c>
      <c r="F39" s="2"/>
      <c r="G39" s="2">
        <f>E39+F39</f>
        <v>2.0562999999999998</v>
      </c>
      <c r="H39" s="2"/>
      <c r="I39" s="2">
        <f t="shared" si="42"/>
        <v>2.0562999999999998</v>
      </c>
      <c r="J39" s="12">
        <f t="shared" si="43"/>
        <v>0</v>
      </c>
      <c r="K39" s="79">
        <f t="shared" ref="K39:L39" si="69">E39+E40</f>
        <v>4.1125999999999996</v>
      </c>
      <c r="L39" s="79">
        <f t="shared" si="69"/>
        <v>0</v>
      </c>
      <c r="M39" s="79">
        <f t="shared" ref="M39" si="70">K39+L39</f>
        <v>4.1125999999999996</v>
      </c>
      <c r="N39" s="79">
        <f t="shared" ref="N39" si="71">H39+H40</f>
        <v>0</v>
      </c>
      <c r="O39" s="79">
        <f t="shared" ref="O39" si="72">M39-N39</f>
        <v>4.1125999999999996</v>
      </c>
      <c r="P39" s="81">
        <f t="shared" ref="P39" si="73">N39/M39</f>
        <v>0</v>
      </c>
    </row>
    <row r="40" spans="2:16" x14ac:dyDescent="0.25">
      <c r="B40" s="86"/>
      <c r="C40" s="84"/>
      <c r="D40" s="37" t="s">
        <v>75</v>
      </c>
      <c r="E40" s="2">
        <f>2.0563</f>
        <v>2.0562999999999998</v>
      </c>
      <c r="F40" s="2"/>
      <c r="G40" s="2">
        <f>E40+F40+I39</f>
        <v>4.1125999999999996</v>
      </c>
      <c r="H40" s="2"/>
      <c r="I40" s="2">
        <f t="shared" si="42"/>
        <v>4.1125999999999996</v>
      </c>
      <c r="J40" s="12">
        <f t="shared" si="43"/>
        <v>0</v>
      </c>
      <c r="K40" s="80"/>
      <c r="L40" s="80"/>
      <c r="M40" s="80"/>
      <c r="N40" s="80"/>
      <c r="O40" s="80"/>
      <c r="P40" s="82"/>
    </row>
    <row r="41" spans="2:16" x14ac:dyDescent="0.25">
      <c r="B41" s="87"/>
      <c r="C41" s="38" t="s">
        <v>78</v>
      </c>
      <c r="D41" s="37" t="s">
        <v>47</v>
      </c>
      <c r="E41" s="2">
        <f>SUM(E27:E40)</f>
        <v>312.55040000000008</v>
      </c>
      <c r="F41" s="2">
        <f>SUM(F27:F40)</f>
        <v>0</v>
      </c>
      <c r="G41" s="2">
        <f>E41+F41</f>
        <v>312.55040000000008</v>
      </c>
      <c r="H41" s="2">
        <f>SUM(H27:H40)</f>
        <v>65.294000000000011</v>
      </c>
      <c r="I41" s="2">
        <f>G41-H41</f>
        <v>247.25640000000007</v>
      </c>
      <c r="J41" s="12">
        <f t="shared" si="43"/>
        <v>0.20890710746170857</v>
      </c>
      <c r="K41" s="2">
        <f>SUM(K27:K40)</f>
        <v>312.55039999999997</v>
      </c>
      <c r="L41" s="2">
        <f>SUM(L27:L40)</f>
        <v>0</v>
      </c>
      <c r="M41" s="2">
        <f>K41+L41</f>
        <v>312.55039999999997</v>
      </c>
      <c r="N41" s="2">
        <f>SUM(N27:N40)</f>
        <v>65.294000000000011</v>
      </c>
      <c r="O41" s="2">
        <f>M41-N41</f>
        <v>247.25639999999996</v>
      </c>
      <c r="P41" s="42">
        <f>N41/M41</f>
        <v>0.20890710746170862</v>
      </c>
    </row>
    <row r="42" spans="2:16" x14ac:dyDescent="0.25">
      <c r="D42" s="3"/>
    </row>
  </sheetData>
  <mergeCells count="109">
    <mergeCell ref="B6:B22"/>
    <mergeCell ref="B27:B41"/>
    <mergeCell ref="B2:P2"/>
    <mergeCell ref="B3:P3"/>
    <mergeCell ref="C37:C38"/>
    <mergeCell ref="C39:C40"/>
    <mergeCell ref="L39:L40"/>
    <mergeCell ref="M39:M40"/>
    <mergeCell ref="N39:N40"/>
    <mergeCell ref="O39:O40"/>
    <mergeCell ref="P39:P40"/>
    <mergeCell ref="C27:C28"/>
    <mergeCell ref="C29:C30"/>
    <mergeCell ref="C31:C32"/>
    <mergeCell ref="C33:C34"/>
    <mergeCell ref="C35:C36"/>
    <mergeCell ref="M35:M36"/>
    <mergeCell ref="N35:N36"/>
    <mergeCell ref="O35:O36"/>
    <mergeCell ref="P35:P36"/>
    <mergeCell ref="L37:L38"/>
    <mergeCell ref="M37:M38"/>
    <mergeCell ref="N37:N38"/>
    <mergeCell ref="O37:O38"/>
    <mergeCell ref="P37:P38"/>
    <mergeCell ref="O31:O32"/>
    <mergeCell ref="P31:P32"/>
    <mergeCell ref="L33:L34"/>
    <mergeCell ref="O33:O34"/>
    <mergeCell ref="P33:P34"/>
    <mergeCell ref="O27:O28"/>
    <mergeCell ref="P27:P28"/>
    <mergeCell ref="L29:L30"/>
    <mergeCell ref="M29:M30"/>
    <mergeCell ref="N29:N30"/>
    <mergeCell ref="O29:O30"/>
    <mergeCell ref="P29:P30"/>
    <mergeCell ref="K35:K36"/>
    <mergeCell ref="K37:K38"/>
    <mergeCell ref="K39:K40"/>
    <mergeCell ref="L27:L28"/>
    <mergeCell ref="M27:M28"/>
    <mergeCell ref="N27:N28"/>
    <mergeCell ref="L31:L32"/>
    <mergeCell ref="M31:M32"/>
    <mergeCell ref="N31:N32"/>
    <mergeCell ref="L35:L36"/>
    <mergeCell ref="M33:M34"/>
    <mergeCell ref="N33:N34"/>
    <mergeCell ref="C18:C19"/>
    <mergeCell ref="C20:C21"/>
    <mergeCell ref="K27:K28"/>
    <mergeCell ref="K29:K30"/>
    <mergeCell ref="K31:K32"/>
    <mergeCell ref="K33:K34"/>
    <mergeCell ref="C6:C7"/>
    <mergeCell ref="C8:C9"/>
    <mergeCell ref="C10:C11"/>
    <mergeCell ref="C12:C13"/>
    <mergeCell ref="C14:C15"/>
    <mergeCell ref="C16:C17"/>
    <mergeCell ref="K20:K21"/>
    <mergeCell ref="K16:K17"/>
    <mergeCell ref="K12:K13"/>
    <mergeCell ref="K8:K9"/>
    <mergeCell ref="L20:L21"/>
    <mergeCell ref="M20:M21"/>
    <mergeCell ref="N20:N21"/>
    <mergeCell ref="O20:O21"/>
    <mergeCell ref="P20:P21"/>
    <mergeCell ref="K18:K19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O14:O15"/>
    <mergeCell ref="P14:P15"/>
    <mergeCell ref="L12:L13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P10:P11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6:P7"/>
  </mergeCells>
  <conditionalFormatting sqref="P6:P25 P27:P41">
    <cfRule type="cellIs" dxfId="1" priority="1" operator="greaterThan">
      <formula>100%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11"/>
  <sheetViews>
    <sheetView showGridLines="0" workbookViewId="0">
      <selection activeCell="F23" sqref="F23"/>
    </sheetView>
  </sheetViews>
  <sheetFormatPr baseColWidth="10" defaultColWidth="11.44140625" defaultRowHeight="12" x14ac:dyDescent="0.25"/>
  <cols>
    <col min="1" max="1" width="11.44140625" style="6"/>
    <col min="2" max="2" width="33.88671875" style="6" customWidth="1"/>
    <col min="3" max="3" width="19.109375" style="6" bestFit="1" customWidth="1"/>
    <col min="4" max="4" width="7.6640625" style="6" bestFit="1" customWidth="1"/>
    <col min="5" max="12" width="11.33203125" style="6" customWidth="1"/>
    <col min="13" max="16384" width="11.44140625" style="6"/>
  </cols>
  <sheetData>
    <row r="2" spans="2:12" x14ac:dyDescent="0.25">
      <c r="B2" s="103" t="s">
        <v>27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2:12" x14ac:dyDescent="0.25">
      <c r="B3" s="106">
        <f>RESUMEN!B3</f>
        <v>43913</v>
      </c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5" spans="2:12" ht="15" customHeight="1" x14ac:dyDescent="0.25">
      <c r="B5" s="101" t="s">
        <v>66</v>
      </c>
      <c r="C5" s="101" t="s">
        <v>79</v>
      </c>
      <c r="D5" s="101" t="s">
        <v>31</v>
      </c>
      <c r="E5" s="101" t="s">
        <v>80</v>
      </c>
      <c r="F5" s="101" t="s">
        <v>88</v>
      </c>
      <c r="G5" s="99" t="s">
        <v>87</v>
      </c>
      <c r="H5" s="100"/>
      <c r="I5" s="101" t="s">
        <v>81</v>
      </c>
      <c r="J5" s="101" t="s">
        <v>82</v>
      </c>
      <c r="K5" s="101" t="s">
        <v>83</v>
      </c>
      <c r="L5" s="101" t="s">
        <v>32</v>
      </c>
    </row>
    <row r="6" spans="2:12" x14ac:dyDescent="0.25">
      <c r="B6" s="102"/>
      <c r="C6" s="102"/>
      <c r="D6" s="102"/>
      <c r="E6" s="102"/>
      <c r="F6" s="102"/>
      <c r="G6" s="45" t="s">
        <v>9</v>
      </c>
      <c r="H6" s="45" t="s">
        <v>19</v>
      </c>
      <c r="I6" s="102"/>
      <c r="J6" s="102"/>
      <c r="K6" s="102"/>
      <c r="L6" s="102"/>
    </row>
    <row r="7" spans="2:12" x14ac:dyDescent="0.25">
      <c r="B7" s="94" t="s">
        <v>84</v>
      </c>
      <c r="C7" s="97" t="s">
        <v>85</v>
      </c>
      <c r="D7" s="5" t="s">
        <v>45</v>
      </c>
      <c r="E7" s="8">
        <v>52</v>
      </c>
      <c r="F7" s="8">
        <f>E7</f>
        <v>52</v>
      </c>
      <c r="G7" s="110">
        <v>35.948</v>
      </c>
      <c r="H7" s="110">
        <v>0.24399999999999999</v>
      </c>
      <c r="I7" s="8">
        <f>G7+H7</f>
        <v>36.192</v>
      </c>
      <c r="J7" s="8">
        <f>F7-I7</f>
        <v>15.808</v>
      </c>
      <c r="K7" s="9">
        <f>I7/F7</f>
        <v>0.69599999999999995</v>
      </c>
      <c r="L7" s="5" t="s">
        <v>48</v>
      </c>
    </row>
    <row r="8" spans="2:12" x14ac:dyDescent="0.25">
      <c r="B8" s="95"/>
      <c r="C8" s="98"/>
      <c r="D8" s="5" t="s">
        <v>46</v>
      </c>
      <c r="E8" s="8">
        <v>53</v>
      </c>
      <c r="F8" s="8">
        <f>E8+J7</f>
        <v>68.807999999999993</v>
      </c>
      <c r="G8" s="46"/>
      <c r="H8" s="8"/>
      <c r="I8" s="8">
        <f t="shared" ref="I8:I10" si="0">G8+H8</f>
        <v>0</v>
      </c>
      <c r="J8" s="8">
        <f t="shared" ref="J8:J10" si="1">F8-I8</f>
        <v>68.807999999999993</v>
      </c>
      <c r="K8" s="9">
        <f t="shared" ref="K8:K10" si="2">I8/F8</f>
        <v>0</v>
      </c>
      <c r="L8" s="5" t="s">
        <v>48</v>
      </c>
    </row>
    <row r="9" spans="2:12" x14ac:dyDescent="0.25">
      <c r="B9" s="95"/>
      <c r="C9" s="7" t="s">
        <v>23</v>
      </c>
      <c r="D9" s="5" t="s">
        <v>47</v>
      </c>
      <c r="E9" s="8">
        <v>11</v>
      </c>
      <c r="F9" s="8">
        <f>E9</f>
        <v>11</v>
      </c>
      <c r="G9" s="110">
        <v>0.155</v>
      </c>
      <c r="H9" s="8"/>
      <c r="I9" s="8">
        <f t="shared" si="0"/>
        <v>0.155</v>
      </c>
      <c r="J9" s="8">
        <f t="shared" si="1"/>
        <v>10.845000000000001</v>
      </c>
      <c r="K9" s="9">
        <f t="shared" si="2"/>
        <v>1.4090909090909091E-2</v>
      </c>
      <c r="L9" s="5" t="s">
        <v>48</v>
      </c>
    </row>
    <row r="10" spans="2:12" x14ac:dyDescent="0.25">
      <c r="B10" s="95"/>
      <c r="C10" s="7" t="s">
        <v>86</v>
      </c>
      <c r="D10" s="5" t="s">
        <v>47</v>
      </c>
      <c r="E10" s="8">
        <v>2</v>
      </c>
      <c r="F10" s="8">
        <f>E10</f>
        <v>2</v>
      </c>
      <c r="G10" s="8"/>
      <c r="H10" s="8"/>
      <c r="I10" s="8">
        <f t="shared" si="0"/>
        <v>0</v>
      </c>
      <c r="J10" s="8">
        <f t="shared" si="1"/>
        <v>2</v>
      </c>
      <c r="K10" s="9">
        <f t="shared" si="2"/>
        <v>0</v>
      </c>
      <c r="L10" s="5" t="s">
        <v>48</v>
      </c>
    </row>
    <row r="11" spans="2:12" x14ac:dyDescent="0.25">
      <c r="B11" s="96"/>
      <c r="C11" s="43" t="s">
        <v>78</v>
      </c>
      <c r="D11" s="44" t="s">
        <v>47</v>
      </c>
      <c r="E11" s="8">
        <f t="shared" ref="E11:J11" si="3">SUM(E7:E10)</f>
        <v>118</v>
      </c>
      <c r="F11" s="8">
        <f t="shared" si="3"/>
        <v>133.80799999999999</v>
      </c>
      <c r="G11" s="8">
        <f t="shared" si="3"/>
        <v>36.103000000000002</v>
      </c>
      <c r="H11" s="8">
        <f t="shared" si="3"/>
        <v>0.24399999999999999</v>
      </c>
      <c r="I11" s="8">
        <f t="shared" si="3"/>
        <v>36.347000000000001</v>
      </c>
      <c r="J11" s="8">
        <f t="shared" si="3"/>
        <v>97.460999999999984</v>
      </c>
      <c r="K11" s="9">
        <f>I11/F11</f>
        <v>0.27163547769939017</v>
      </c>
      <c r="L11" s="5" t="s">
        <v>48</v>
      </c>
    </row>
  </sheetData>
  <mergeCells count="14">
    <mergeCell ref="B2:L2"/>
    <mergeCell ref="B3:L3"/>
    <mergeCell ref="I5:I6"/>
    <mergeCell ref="J5:J6"/>
    <mergeCell ref="K5:K6"/>
    <mergeCell ref="L5:L6"/>
    <mergeCell ref="B7:B11"/>
    <mergeCell ref="C7:C8"/>
    <mergeCell ref="G5:H5"/>
    <mergeCell ref="B5:B6"/>
    <mergeCell ref="C5:C6"/>
    <mergeCell ref="D5:D6"/>
    <mergeCell ref="E5:E6"/>
    <mergeCell ref="F5:F6"/>
  </mergeCells>
  <conditionalFormatting sqref="K7:K11">
    <cfRule type="cellIs" dxfId="0" priority="1" operator="greaterThan">
      <formula>95%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5"/>
  <sheetViews>
    <sheetView workbookViewId="0">
      <selection activeCell="O21" sqref="O21"/>
    </sheetView>
  </sheetViews>
  <sheetFormatPr baseColWidth="10" defaultColWidth="11.44140625" defaultRowHeight="12" x14ac:dyDescent="0.25"/>
  <cols>
    <col min="1" max="1" width="27.109375" style="18" bestFit="1" customWidth="1"/>
    <col min="2" max="2" width="15" style="18" bestFit="1" customWidth="1"/>
    <col min="3" max="3" width="12.33203125" style="18" bestFit="1" customWidth="1"/>
    <col min="4" max="4" width="40.33203125" style="18" bestFit="1" customWidth="1"/>
    <col min="5" max="5" width="24" style="18" bestFit="1" customWidth="1"/>
    <col min="6" max="6" width="10.88671875" style="18" bestFit="1" customWidth="1"/>
    <col min="7" max="7" width="10.33203125" style="18" bestFit="1" customWidth="1"/>
    <col min="8" max="8" width="8" style="20" bestFit="1" customWidth="1"/>
    <col min="9" max="9" width="15.88671875" style="20" bestFit="1" customWidth="1"/>
    <col min="10" max="10" width="11.5546875" style="20" bestFit="1" customWidth="1"/>
    <col min="11" max="11" width="6.44140625" style="20" bestFit="1" customWidth="1"/>
    <col min="12" max="12" width="7.44140625" style="20" bestFit="1" customWidth="1"/>
    <col min="13" max="13" width="15.6640625" style="20" bestFit="1" customWidth="1"/>
    <col min="14" max="14" width="9" style="18" bestFit="1" customWidth="1"/>
    <col min="15" max="15" width="9" style="25" bestFit="1" customWidth="1"/>
    <col min="16" max="16" width="4.44140625" style="18" bestFit="1" customWidth="1"/>
    <col min="17" max="17" width="7" style="18" bestFit="1" customWidth="1"/>
    <col min="18" max="16384" width="11.44140625" style="18"/>
  </cols>
  <sheetData>
    <row r="1" spans="1:17" x14ac:dyDescent="0.25">
      <c r="A1" s="13" t="s">
        <v>97</v>
      </c>
      <c r="B1" s="13" t="s">
        <v>98</v>
      </c>
      <c r="C1" s="13" t="s">
        <v>99</v>
      </c>
      <c r="D1" s="14" t="s">
        <v>100</v>
      </c>
      <c r="E1" s="13" t="s">
        <v>101</v>
      </c>
      <c r="F1" s="13" t="s">
        <v>102</v>
      </c>
      <c r="G1" s="13" t="s">
        <v>103</v>
      </c>
      <c r="H1" s="15" t="s">
        <v>104</v>
      </c>
      <c r="I1" s="15" t="s">
        <v>105</v>
      </c>
      <c r="J1" s="15" t="s">
        <v>106</v>
      </c>
      <c r="K1" s="15" t="s">
        <v>107</v>
      </c>
      <c r="L1" s="15" t="s">
        <v>108</v>
      </c>
      <c r="M1" s="19" t="s">
        <v>109</v>
      </c>
      <c r="N1" s="16" t="s">
        <v>110</v>
      </c>
      <c r="O1" s="23" t="s">
        <v>111</v>
      </c>
      <c r="P1" s="17" t="s">
        <v>112</v>
      </c>
      <c r="Q1" s="17" t="s">
        <v>113</v>
      </c>
    </row>
    <row r="2" spans="1:17" x14ac:dyDescent="0.25">
      <c r="A2" s="21" t="s">
        <v>114</v>
      </c>
      <c r="B2" s="21" t="s">
        <v>115</v>
      </c>
      <c r="C2" s="21" t="s">
        <v>116</v>
      </c>
      <c r="D2" s="21" t="s">
        <v>117</v>
      </c>
      <c r="E2" s="21" t="str">
        <f>'CUOTA ARTESANAL'!C6</f>
        <v>CALBUCO A</v>
      </c>
      <c r="F2" s="21" t="s">
        <v>54</v>
      </c>
      <c r="G2" s="21" t="s">
        <v>65</v>
      </c>
      <c r="H2" s="22">
        <f>'CUOTA ARTESANAL'!E6</f>
        <v>8.1999999999999993</v>
      </c>
      <c r="I2" s="22">
        <f>'CUOTA ARTESANAL'!F6</f>
        <v>0</v>
      </c>
      <c r="J2" s="22">
        <f>'CUOTA ARTESANAL'!G6</f>
        <v>8.1999999999999993</v>
      </c>
      <c r="K2" s="22">
        <f>'CUOTA ARTESANAL'!H6</f>
        <v>0</v>
      </c>
      <c r="L2" s="22">
        <f>'CUOTA ARTESANAL'!I6</f>
        <v>8.1999999999999993</v>
      </c>
      <c r="M2" s="47">
        <f>'CUOTA ARTESANAL'!J6</f>
        <v>0</v>
      </c>
      <c r="N2" s="24" t="str">
        <f>'CUOTA ARTESANAL'!K6</f>
        <v>-</v>
      </c>
      <c r="O2" s="24">
        <f>RESUMEN!$B$3</f>
        <v>43913</v>
      </c>
      <c r="P2" s="21">
        <v>2020</v>
      </c>
      <c r="Q2" s="21"/>
    </row>
    <row r="3" spans="1:17" x14ac:dyDescent="0.25">
      <c r="A3" s="21" t="s">
        <v>114</v>
      </c>
      <c r="B3" s="21" t="s">
        <v>115</v>
      </c>
      <c r="C3" s="21" t="s">
        <v>116</v>
      </c>
      <c r="D3" s="21" t="s">
        <v>117</v>
      </c>
      <c r="E3" s="21" t="str">
        <f>'CUOTA ARTESANAL'!C7</f>
        <v>CALBUCO B</v>
      </c>
      <c r="F3" s="21" t="s">
        <v>54</v>
      </c>
      <c r="G3" s="21" t="s">
        <v>65</v>
      </c>
      <c r="H3" s="22">
        <f>'CUOTA ARTESANAL'!E7</f>
        <v>2.8</v>
      </c>
      <c r="I3" s="22">
        <f>'CUOTA ARTESANAL'!F7</f>
        <v>0</v>
      </c>
      <c r="J3" s="22">
        <f>'CUOTA ARTESANAL'!G7</f>
        <v>2.8</v>
      </c>
      <c r="K3" s="22">
        <f>'CUOTA ARTESANAL'!H7</f>
        <v>0</v>
      </c>
      <c r="L3" s="22">
        <f>'CUOTA ARTESANAL'!I7</f>
        <v>2.8</v>
      </c>
      <c r="M3" s="47">
        <f>'CUOTA ARTESANAL'!J7</f>
        <v>0</v>
      </c>
      <c r="N3" s="24" t="str">
        <f>'CUOTA ARTESANAL'!K7</f>
        <v>-</v>
      </c>
      <c r="O3" s="24">
        <f>RESUMEN!$B$3</f>
        <v>43913</v>
      </c>
      <c r="P3" s="21">
        <v>2020</v>
      </c>
      <c r="Q3" s="21"/>
    </row>
    <row r="4" spans="1:17" x14ac:dyDescent="0.25">
      <c r="A4" s="21" t="s">
        <v>114</v>
      </c>
      <c r="B4" s="21" t="s">
        <v>115</v>
      </c>
      <c r="C4" s="21" t="s">
        <v>116</v>
      </c>
      <c r="D4" s="21" t="s">
        <v>117</v>
      </c>
      <c r="E4" s="21" t="str">
        <f>'CUOTA ARTESANAL'!C8</f>
        <v>CALBUCO C</v>
      </c>
      <c r="F4" s="21" t="s">
        <v>54</v>
      </c>
      <c r="G4" s="21" t="s">
        <v>65</v>
      </c>
      <c r="H4" s="22">
        <f>'CUOTA ARTESANAL'!E8</f>
        <v>7.2</v>
      </c>
      <c r="I4" s="22">
        <f>'CUOTA ARTESANAL'!F8</f>
        <v>0</v>
      </c>
      <c r="J4" s="22">
        <f>'CUOTA ARTESANAL'!G8</f>
        <v>7.2</v>
      </c>
      <c r="K4" s="22">
        <f>'CUOTA ARTESANAL'!H8</f>
        <v>0.13300000000000001</v>
      </c>
      <c r="L4" s="22">
        <f>'CUOTA ARTESANAL'!I8</f>
        <v>7.0670000000000002</v>
      </c>
      <c r="M4" s="47">
        <f>'CUOTA ARTESANAL'!J8</f>
        <v>1.8472222222222223E-2</v>
      </c>
      <c r="N4" s="24" t="str">
        <f>'CUOTA ARTESANAL'!K8</f>
        <v>-</v>
      </c>
      <c r="O4" s="24">
        <f>RESUMEN!$B$3</f>
        <v>43913</v>
      </c>
      <c r="P4" s="21">
        <v>2020</v>
      </c>
      <c r="Q4" s="21"/>
    </row>
    <row r="5" spans="1:17" x14ac:dyDescent="0.25">
      <c r="A5" s="21" t="s">
        <v>114</v>
      </c>
      <c r="B5" s="21" t="s">
        <v>115</v>
      </c>
      <c r="C5" s="21" t="s">
        <v>116</v>
      </c>
      <c r="D5" s="21" t="s">
        <v>117</v>
      </c>
      <c r="E5" s="21" t="str">
        <f>'CUOTA ARTESANAL'!C9</f>
        <v>CHILOE B</v>
      </c>
      <c r="F5" s="21" t="s">
        <v>54</v>
      </c>
      <c r="G5" s="21" t="s">
        <v>65</v>
      </c>
      <c r="H5" s="22">
        <f>'CUOTA ARTESANAL'!E9</f>
        <v>22.1</v>
      </c>
      <c r="I5" s="22">
        <f>'CUOTA ARTESANAL'!F9</f>
        <v>-1.9870000000000001</v>
      </c>
      <c r="J5" s="22">
        <f>'CUOTA ARTESANAL'!G9</f>
        <v>20.113</v>
      </c>
      <c r="K5" s="22">
        <f>'CUOTA ARTESANAL'!H9</f>
        <v>13.006</v>
      </c>
      <c r="L5" s="22">
        <f>'CUOTA ARTESANAL'!I9</f>
        <v>7.1069999999999993</v>
      </c>
      <c r="M5" s="47">
        <f>'CUOTA ARTESANAL'!J9</f>
        <v>0.64664644757122258</v>
      </c>
      <c r="N5" s="24" t="str">
        <f>'CUOTA ARTESANAL'!K9</f>
        <v>-</v>
      </c>
      <c r="O5" s="24">
        <f>RESUMEN!$B$3</f>
        <v>43913</v>
      </c>
      <c r="P5" s="21">
        <v>2020</v>
      </c>
      <c r="Q5" s="21"/>
    </row>
    <row r="6" spans="1:17" x14ac:dyDescent="0.25">
      <c r="A6" s="21" t="s">
        <v>114</v>
      </c>
      <c r="B6" s="21" t="s">
        <v>115</v>
      </c>
      <c r="C6" s="21" t="s">
        <v>116</v>
      </c>
      <c r="D6" s="21" t="s">
        <v>117</v>
      </c>
      <c r="E6" s="21" t="str">
        <f>'CUOTA ARTESANAL'!C10</f>
        <v>CHILOE C</v>
      </c>
      <c r="F6" s="21" t="s">
        <v>54</v>
      </c>
      <c r="G6" s="21" t="s">
        <v>65</v>
      </c>
      <c r="H6" s="22">
        <f>'CUOTA ARTESANAL'!E10</f>
        <v>37.799999999999997</v>
      </c>
      <c r="I6" s="22">
        <f>'CUOTA ARTESANAL'!F10</f>
        <v>-0.33</v>
      </c>
      <c r="J6" s="22">
        <f>'CUOTA ARTESANAL'!G10</f>
        <v>37.47</v>
      </c>
      <c r="K6" s="22">
        <f>'CUOTA ARTESANAL'!H10</f>
        <v>5.5350000000000001</v>
      </c>
      <c r="L6" s="22">
        <f>'CUOTA ARTESANAL'!I10</f>
        <v>31.934999999999999</v>
      </c>
      <c r="M6" s="47">
        <f>'CUOTA ARTESANAL'!J10</f>
        <v>0.14771817453963171</v>
      </c>
      <c r="N6" s="24" t="str">
        <f>'CUOTA ARTESANAL'!K10</f>
        <v>-</v>
      </c>
      <c r="O6" s="24">
        <f>RESUMEN!$B$3</f>
        <v>43913</v>
      </c>
      <c r="P6" s="21">
        <v>2020</v>
      </c>
      <c r="Q6" s="21"/>
    </row>
    <row r="7" spans="1:17" x14ac:dyDescent="0.25">
      <c r="A7" s="21" t="s">
        <v>114</v>
      </c>
      <c r="B7" s="21" t="s">
        <v>115</v>
      </c>
      <c r="C7" s="21" t="s">
        <v>116</v>
      </c>
      <c r="D7" s="21" t="s">
        <v>117</v>
      </c>
      <c r="E7" s="21" t="str">
        <f>'CUOTA ARTESANAL'!C11</f>
        <v>HUALAIHUE</v>
      </c>
      <c r="F7" s="21" t="s">
        <v>54</v>
      </c>
      <c r="G7" s="21" t="s">
        <v>65</v>
      </c>
      <c r="H7" s="22">
        <f>'CUOTA ARTESANAL'!E11</f>
        <v>94.1</v>
      </c>
      <c r="I7" s="22">
        <f>'CUOTA ARTESANAL'!F11</f>
        <v>-5.4279999999999999</v>
      </c>
      <c r="J7" s="22">
        <f>'CUOTA ARTESANAL'!G11</f>
        <v>88.671999999999997</v>
      </c>
      <c r="K7" s="22">
        <f>'CUOTA ARTESANAL'!H11</f>
        <v>1.1719999999999999</v>
      </c>
      <c r="L7" s="22">
        <f>'CUOTA ARTESANAL'!I11</f>
        <v>87.5</v>
      </c>
      <c r="M7" s="47">
        <f>'CUOTA ARTESANAL'!J11</f>
        <v>1.3217250090220137E-2</v>
      </c>
      <c r="N7" s="24" t="str">
        <f>'CUOTA ARTESANAL'!K11</f>
        <v>-</v>
      </c>
      <c r="O7" s="24">
        <f>RESUMEN!$B$3</f>
        <v>43913</v>
      </c>
      <c r="P7" s="21">
        <v>2020</v>
      </c>
      <c r="Q7" s="21"/>
    </row>
    <row r="8" spans="1:17" x14ac:dyDescent="0.25">
      <c r="A8" s="21" t="s">
        <v>114</v>
      </c>
      <c r="B8" s="21" t="s">
        <v>115</v>
      </c>
      <c r="C8" s="21" t="s">
        <v>116</v>
      </c>
      <c r="D8" s="21" t="s">
        <v>117</v>
      </c>
      <c r="E8" s="21" t="str">
        <f>'CUOTA ARTESANAL'!C12</f>
        <v>PALENA</v>
      </c>
      <c r="F8" s="21" t="s">
        <v>54</v>
      </c>
      <c r="G8" s="21" t="s">
        <v>65</v>
      </c>
      <c r="H8" s="22">
        <f>'CUOTA ARTESANAL'!E12</f>
        <v>0.7</v>
      </c>
      <c r="I8" s="22">
        <f>'CUOTA ARTESANAL'!F12</f>
        <v>-0.32400000000000001</v>
      </c>
      <c r="J8" s="22">
        <f>'CUOTA ARTESANAL'!G12</f>
        <v>0.37599999999999995</v>
      </c>
      <c r="K8" s="22">
        <f>'CUOTA ARTESANAL'!H12</f>
        <v>0</v>
      </c>
      <c r="L8" s="22">
        <f>'CUOTA ARTESANAL'!I12</f>
        <v>0.37599999999999995</v>
      </c>
      <c r="M8" s="47">
        <f>'CUOTA ARTESANAL'!J12</f>
        <v>0</v>
      </c>
      <c r="N8" s="24" t="str">
        <f>'CUOTA ARTESANAL'!K12</f>
        <v>-</v>
      </c>
      <c r="O8" s="24">
        <f>RESUMEN!$B$3</f>
        <v>43913</v>
      </c>
      <c r="P8" s="21">
        <v>2020</v>
      </c>
      <c r="Q8" s="21"/>
    </row>
    <row r="9" spans="1:17" x14ac:dyDescent="0.25">
      <c r="A9" s="21" t="s">
        <v>114</v>
      </c>
      <c r="B9" s="21" t="s">
        <v>115</v>
      </c>
      <c r="C9" s="21" t="s">
        <v>116</v>
      </c>
      <c r="D9" s="21" t="s">
        <v>117</v>
      </c>
      <c r="E9" s="21" t="str">
        <f>'CUOTA ARTESANAL'!C13</f>
        <v>PATAGONIA</v>
      </c>
      <c r="F9" s="21" t="s">
        <v>54</v>
      </c>
      <c r="G9" s="21" t="s">
        <v>65</v>
      </c>
      <c r="H9" s="22">
        <f>'CUOTA ARTESANAL'!E13</f>
        <v>1.7</v>
      </c>
      <c r="I9" s="22">
        <f>'CUOTA ARTESANAL'!F13</f>
        <v>0</v>
      </c>
      <c r="J9" s="22">
        <f>'CUOTA ARTESANAL'!G13</f>
        <v>1.7</v>
      </c>
      <c r="K9" s="22">
        <f>'CUOTA ARTESANAL'!H13</f>
        <v>0</v>
      </c>
      <c r="L9" s="22">
        <f>'CUOTA ARTESANAL'!I13</f>
        <v>1.7</v>
      </c>
      <c r="M9" s="47">
        <f>'CUOTA ARTESANAL'!J13</f>
        <v>0</v>
      </c>
      <c r="N9" s="24" t="str">
        <f>'CUOTA ARTESANAL'!K13</f>
        <v>-</v>
      </c>
      <c r="O9" s="24">
        <f>RESUMEN!$B$3</f>
        <v>43913</v>
      </c>
      <c r="P9" s="21">
        <v>2020</v>
      </c>
      <c r="Q9" s="21"/>
    </row>
    <row r="10" spans="1:17" x14ac:dyDescent="0.25">
      <c r="A10" s="21" t="s">
        <v>114</v>
      </c>
      <c r="B10" s="21" t="s">
        <v>115</v>
      </c>
      <c r="C10" s="21" t="s">
        <v>116</v>
      </c>
      <c r="D10" s="21" t="s">
        <v>117</v>
      </c>
      <c r="E10" s="21" t="str">
        <f>'CUOTA ARTESANAL'!C14</f>
        <v>PUERTO MONTT A</v>
      </c>
      <c r="F10" s="21" t="s">
        <v>54</v>
      </c>
      <c r="G10" s="21" t="s">
        <v>65</v>
      </c>
      <c r="H10" s="22">
        <f>'CUOTA ARTESANAL'!E14</f>
        <v>18.399999999999999</v>
      </c>
      <c r="I10" s="22">
        <f>'CUOTA ARTESANAL'!F14</f>
        <v>-3.5009999999999999</v>
      </c>
      <c r="J10" s="22">
        <f>'CUOTA ARTESANAL'!G14</f>
        <v>14.898999999999999</v>
      </c>
      <c r="K10" s="22">
        <f>'CUOTA ARTESANAL'!H14</f>
        <v>9.9000000000000005E-2</v>
      </c>
      <c r="L10" s="22">
        <f>'CUOTA ARTESANAL'!I14</f>
        <v>14.799999999999999</v>
      </c>
      <c r="M10" s="47">
        <f>'CUOTA ARTESANAL'!J14</f>
        <v>6.644741257802538E-3</v>
      </c>
      <c r="N10" s="24" t="str">
        <f>'CUOTA ARTESANAL'!K14</f>
        <v>-</v>
      </c>
      <c r="O10" s="24">
        <f>RESUMEN!$B$3</f>
        <v>43913</v>
      </c>
      <c r="P10" s="21">
        <v>2020</v>
      </c>
      <c r="Q10" s="21"/>
    </row>
    <row r="11" spans="1:17" x14ac:dyDescent="0.25">
      <c r="A11" s="21" t="s">
        <v>114</v>
      </c>
      <c r="B11" s="21" t="s">
        <v>115</v>
      </c>
      <c r="C11" s="21" t="s">
        <v>116</v>
      </c>
      <c r="D11" s="21" t="s">
        <v>117</v>
      </c>
      <c r="E11" s="21" t="str">
        <f>'CUOTA ARTESANAL'!C15</f>
        <v>PUERTO MONTT B</v>
      </c>
      <c r="F11" s="21" t="s">
        <v>54</v>
      </c>
      <c r="G11" s="21" t="s">
        <v>65</v>
      </c>
      <c r="H11" s="22">
        <f>'CUOTA ARTESANAL'!E15</f>
        <v>8.5</v>
      </c>
      <c r="I11" s="22">
        <f>'CUOTA ARTESANAL'!F15</f>
        <v>0</v>
      </c>
      <c r="J11" s="22">
        <f>'CUOTA ARTESANAL'!G15</f>
        <v>8.5</v>
      </c>
      <c r="K11" s="22">
        <f>'CUOTA ARTESANAL'!H15</f>
        <v>14.708</v>
      </c>
      <c r="L11" s="22">
        <f>'CUOTA ARTESANAL'!I15</f>
        <v>-6.2080000000000002</v>
      </c>
      <c r="M11" s="47">
        <f>'CUOTA ARTESANAL'!J15</f>
        <v>1.7303529411764706</v>
      </c>
      <c r="N11" s="24">
        <f>'CUOTA ARTESANAL'!K15</f>
        <v>43845</v>
      </c>
      <c r="O11" s="24">
        <f>RESUMEN!$B$3</f>
        <v>43913</v>
      </c>
      <c r="P11" s="21">
        <v>2020</v>
      </c>
      <c r="Q11" s="21"/>
    </row>
    <row r="12" spans="1:17" x14ac:dyDescent="0.25">
      <c r="A12" s="21" t="s">
        <v>114</v>
      </c>
      <c r="B12" s="21" t="s">
        <v>115</v>
      </c>
      <c r="C12" s="21" t="s">
        <v>116</v>
      </c>
      <c r="D12" s="21" t="s">
        <v>122</v>
      </c>
      <c r="E12" s="21" t="str">
        <f>'CUOTA ARTESANAL'!C16</f>
        <v>RESIDUAL</v>
      </c>
      <c r="F12" s="21" t="s">
        <v>54</v>
      </c>
      <c r="G12" s="21" t="s">
        <v>65</v>
      </c>
      <c r="H12" s="22">
        <f>'CUOTA ARTESANAL'!E16</f>
        <v>29.5</v>
      </c>
      <c r="I12" s="22">
        <f>'CUOTA ARTESANAL'!F16</f>
        <v>0</v>
      </c>
      <c r="J12" s="22">
        <f>'CUOTA ARTESANAL'!G16</f>
        <v>29.5</v>
      </c>
      <c r="K12" s="22">
        <f>'CUOTA ARTESANAL'!H16</f>
        <v>62.345999999999997</v>
      </c>
      <c r="L12" s="22">
        <f>'CUOTA ARTESANAL'!I16</f>
        <v>-32.845999999999997</v>
      </c>
      <c r="M12" s="47">
        <f>'CUOTA ARTESANAL'!J16</f>
        <v>2.1134237288135593</v>
      </c>
      <c r="N12" s="24">
        <f>'CUOTA ARTESANAL'!K16</f>
        <v>43845</v>
      </c>
      <c r="O12" s="24">
        <f>RESUMEN!$B$3</f>
        <v>43913</v>
      </c>
      <c r="P12" s="21">
        <v>2020</v>
      </c>
      <c r="Q12" s="21"/>
    </row>
    <row r="13" spans="1:17" x14ac:dyDescent="0.25">
      <c r="A13" s="21" t="s">
        <v>114</v>
      </c>
      <c r="B13" s="21" t="s">
        <v>115</v>
      </c>
      <c r="C13" s="21" t="s">
        <v>116</v>
      </c>
      <c r="D13" s="21" t="s">
        <v>124</v>
      </c>
      <c r="E13" s="21" t="str">
        <f>'CUOTA ARTESANAL'!C17</f>
        <v xml:space="preserve">FAUNA ACOMPAÑANTE </v>
      </c>
      <c r="F13" s="21" t="s">
        <v>54</v>
      </c>
      <c r="G13" s="21" t="s">
        <v>65</v>
      </c>
      <c r="H13" s="22">
        <f>'CUOTA ARTESANAL'!E17</f>
        <v>25.6</v>
      </c>
      <c r="I13" s="22">
        <f>'CUOTA ARTESANAL'!F17</f>
        <v>0</v>
      </c>
      <c r="J13" s="22">
        <f>'CUOTA ARTESANAL'!G17</f>
        <v>25.6</v>
      </c>
      <c r="K13" s="22">
        <f>'CUOTA ARTESANAL'!H17</f>
        <v>0</v>
      </c>
      <c r="L13" s="22">
        <f>'CUOTA ARTESANAL'!I17</f>
        <v>25.6</v>
      </c>
      <c r="M13" s="47">
        <f>'CUOTA ARTESANAL'!J17</f>
        <v>0</v>
      </c>
      <c r="N13" s="24" t="str">
        <f>'CUOTA ARTESANAL'!K17</f>
        <v>-</v>
      </c>
      <c r="O13" s="24">
        <f>RESUMEN!$B$3</f>
        <v>43913</v>
      </c>
      <c r="P13" s="21">
        <v>2020</v>
      </c>
      <c r="Q13" s="21"/>
    </row>
    <row r="14" spans="1:17" x14ac:dyDescent="0.25">
      <c r="A14" s="21" t="s">
        <v>114</v>
      </c>
      <c r="B14" s="21" t="s">
        <v>115</v>
      </c>
      <c r="C14" s="21" t="s">
        <v>116</v>
      </c>
      <c r="D14" s="21" t="s">
        <v>120</v>
      </c>
      <c r="E14" s="21" t="str">
        <f>'CUOTA ARTESANAL'!C18</f>
        <v>AG CHILOE</v>
      </c>
      <c r="F14" s="21" t="s">
        <v>54</v>
      </c>
      <c r="G14" s="21" t="s">
        <v>65</v>
      </c>
      <c r="H14" s="22">
        <f>'CUOTA ARTESANAL'!E18</f>
        <v>136.30000000000001</v>
      </c>
      <c r="I14" s="22">
        <f>'CUOTA ARTESANAL'!F18</f>
        <v>-0.35299999999999998</v>
      </c>
      <c r="J14" s="22">
        <f>'CUOTA ARTESANAL'!G18</f>
        <v>135.947</v>
      </c>
      <c r="K14" s="22">
        <f>'CUOTA ARTESANAL'!H18</f>
        <v>2.6459999999999999</v>
      </c>
      <c r="L14" s="22">
        <f>'CUOTA ARTESANAL'!I18</f>
        <v>133.30100000000002</v>
      </c>
      <c r="M14" s="47">
        <f>'CUOTA ARTESANAL'!J18</f>
        <v>1.9463467380670407E-2</v>
      </c>
      <c r="N14" s="24" t="str">
        <f>'CUOTA ARTESANAL'!K18</f>
        <v>-</v>
      </c>
      <c r="O14" s="24">
        <f>RESUMEN!$B$3</f>
        <v>43913</v>
      </c>
      <c r="P14" s="21">
        <v>2020</v>
      </c>
      <c r="Q14" s="21"/>
    </row>
    <row r="15" spans="1:17" x14ac:dyDescent="0.25">
      <c r="A15" s="21" t="s">
        <v>114</v>
      </c>
      <c r="B15" s="21" t="s">
        <v>115</v>
      </c>
      <c r="C15" s="21" t="s">
        <v>116</v>
      </c>
      <c r="D15" s="21" t="s">
        <v>123</v>
      </c>
      <c r="E15" s="21" t="str">
        <f>'CUOTA ARTESANAL'!C19</f>
        <v>RESIDUAL</v>
      </c>
      <c r="F15" s="21" t="s">
        <v>54</v>
      </c>
      <c r="G15" s="21" t="s">
        <v>65</v>
      </c>
      <c r="H15" s="22">
        <f>'CUOTA ARTESANAL'!E19</f>
        <v>17.7</v>
      </c>
      <c r="I15" s="22">
        <f>'CUOTA ARTESANAL'!F19</f>
        <v>0</v>
      </c>
      <c r="J15" s="22">
        <f>'CUOTA ARTESANAL'!G19</f>
        <v>17.7</v>
      </c>
      <c r="K15" s="22">
        <f>'CUOTA ARTESANAL'!H19</f>
        <v>31.131</v>
      </c>
      <c r="L15" s="22">
        <f>'CUOTA ARTESANAL'!I19</f>
        <v>-13.431000000000001</v>
      </c>
      <c r="M15" s="47">
        <f>'CUOTA ARTESANAL'!J19</f>
        <v>1.758813559322034</v>
      </c>
      <c r="N15" s="24">
        <f>'CUOTA ARTESANAL'!K19</f>
        <v>43845</v>
      </c>
      <c r="O15" s="24">
        <f>RESUMEN!$B$3</f>
        <v>43913</v>
      </c>
      <c r="P15" s="21">
        <v>2020</v>
      </c>
      <c r="Q15" s="21"/>
    </row>
    <row r="16" spans="1:17" x14ac:dyDescent="0.25">
      <c r="A16" s="21" t="s">
        <v>114</v>
      </c>
      <c r="B16" s="21" t="s">
        <v>115</v>
      </c>
      <c r="C16" s="21" t="s">
        <v>116</v>
      </c>
      <c r="D16" s="21" t="s">
        <v>125</v>
      </c>
      <c r="E16" s="21" t="str">
        <f>'CUOTA ARTESANAL'!C20</f>
        <v xml:space="preserve">FAUNA ACOMPAÑANTE </v>
      </c>
      <c r="F16" s="21" t="s">
        <v>54</v>
      </c>
      <c r="G16" s="21" t="s">
        <v>65</v>
      </c>
      <c r="H16" s="22">
        <f>'CUOTA ARTESANAL'!E20</f>
        <v>17.100000000000001</v>
      </c>
      <c r="I16" s="22">
        <f>'CUOTA ARTESANAL'!F20</f>
        <v>0</v>
      </c>
      <c r="J16" s="22">
        <f>'CUOTA ARTESANAL'!G20</f>
        <v>17.100000000000001</v>
      </c>
      <c r="K16" s="22">
        <f>'CUOTA ARTESANAL'!H20</f>
        <v>0</v>
      </c>
      <c r="L16" s="22">
        <f>'CUOTA ARTESANAL'!I20</f>
        <v>17.100000000000001</v>
      </c>
      <c r="M16" s="47">
        <f>'CUOTA ARTESANAL'!J20</f>
        <v>0</v>
      </c>
      <c r="N16" s="24" t="str">
        <f>'CUOTA ARTESANAL'!K20</f>
        <v>-</v>
      </c>
      <c r="O16" s="24">
        <f>RESUMEN!$B$3</f>
        <v>43913</v>
      </c>
      <c r="P16" s="21">
        <v>2020</v>
      </c>
      <c r="Q16" s="21"/>
    </row>
    <row r="17" spans="1:17" x14ac:dyDescent="0.25">
      <c r="A17" s="21" t="s">
        <v>118</v>
      </c>
      <c r="B17" s="21" t="s">
        <v>115</v>
      </c>
      <c r="C17" s="21" t="s">
        <v>119</v>
      </c>
      <c r="D17" s="21" t="s">
        <v>117</v>
      </c>
      <c r="E17" s="21" t="str">
        <f>'CUOTA ARTESANAL'!C21</f>
        <v>UNIDAD DE PESQUERIA NORTE</v>
      </c>
      <c r="F17" s="21" t="s">
        <v>54</v>
      </c>
      <c r="G17" s="21" t="s">
        <v>55</v>
      </c>
      <c r="H17" s="22">
        <f>'CUOTA ARTESANAL'!E21</f>
        <v>2.5</v>
      </c>
      <c r="I17" s="22">
        <f>'CUOTA ARTESANAL'!F21</f>
        <v>0</v>
      </c>
      <c r="J17" s="22">
        <f>'CUOTA ARTESANAL'!G21</f>
        <v>2.5</v>
      </c>
      <c r="K17" s="22">
        <f>'CUOTA ARTESANAL'!H21</f>
        <v>10.798999999999999</v>
      </c>
      <c r="L17" s="22">
        <f>'CUOTA ARTESANAL'!I21</f>
        <v>-8.2989999999999995</v>
      </c>
      <c r="M17" s="47">
        <f>'CUOTA ARTESANAL'!J21</f>
        <v>4.3195999999999994</v>
      </c>
      <c r="N17" s="24">
        <f>'CUOTA ARTESANAL'!K21</f>
        <v>43843</v>
      </c>
      <c r="O17" s="24">
        <f>RESUMEN!$B$3</f>
        <v>43913</v>
      </c>
      <c r="P17" s="21">
        <v>2020</v>
      </c>
      <c r="Q17" s="21"/>
    </row>
    <row r="18" spans="1:17" x14ac:dyDescent="0.25">
      <c r="A18" s="21" t="s">
        <v>118</v>
      </c>
      <c r="B18" s="21" t="s">
        <v>115</v>
      </c>
      <c r="C18" s="21" t="s">
        <v>119</v>
      </c>
      <c r="D18" s="21" t="s">
        <v>117</v>
      </c>
      <c r="E18" s="21" t="str">
        <f>'CUOTA ARTESANAL'!C21</f>
        <v>UNIDAD DE PESQUERIA NORTE</v>
      </c>
      <c r="F18" s="21" t="s">
        <v>56</v>
      </c>
      <c r="G18" s="21" t="s">
        <v>61</v>
      </c>
      <c r="H18" s="22">
        <f>'CUOTA ARTESANAL'!E22</f>
        <v>80</v>
      </c>
      <c r="I18" s="22">
        <f>'CUOTA ARTESANAL'!F22</f>
        <v>0</v>
      </c>
      <c r="J18" s="22">
        <f>'CUOTA ARTESANAL'!G22</f>
        <v>71.700999999999993</v>
      </c>
      <c r="K18" s="22">
        <f>'CUOTA ARTESANAL'!H22</f>
        <v>68.426000000000002</v>
      </c>
      <c r="L18" s="22">
        <f>'CUOTA ARTESANAL'!I22</f>
        <v>3.2749999999999915</v>
      </c>
      <c r="M18" s="47">
        <f>'CUOTA ARTESANAL'!J22</f>
        <v>0.95432420747269919</v>
      </c>
      <c r="N18" s="24" t="str">
        <f>'CUOTA ARTESANAL'!K22</f>
        <v>-</v>
      </c>
      <c r="O18" s="24">
        <f>RESUMEN!$B$3</f>
        <v>43913</v>
      </c>
      <c r="P18" s="21">
        <v>2020</v>
      </c>
      <c r="Q18" s="21"/>
    </row>
    <row r="19" spans="1:17" x14ac:dyDescent="0.25">
      <c r="A19" s="21" t="s">
        <v>118</v>
      </c>
      <c r="B19" s="21" t="s">
        <v>115</v>
      </c>
      <c r="C19" s="21" t="s">
        <v>119</v>
      </c>
      <c r="D19" s="21" t="s">
        <v>117</v>
      </c>
      <c r="E19" s="21" t="str">
        <f>'CUOTA ARTESANAL'!C21</f>
        <v>UNIDAD DE PESQUERIA NORTE</v>
      </c>
      <c r="F19" s="21" t="s">
        <v>62</v>
      </c>
      <c r="G19" s="21" t="s">
        <v>65</v>
      </c>
      <c r="H19" s="22">
        <f>'CUOTA ARTESANAL'!E23</f>
        <v>82.5</v>
      </c>
      <c r="I19" s="22">
        <f>'CUOTA ARTESANAL'!F23</f>
        <v>0</v>
      </c>
      <c r="J19" s="22">
        <f>'CUOTA ARTESANAL'!G23</f>
        <v>85.774999999999991</v>
      </c>
      <c r="K19" s="22">
        <f>'CUOTA ARTESANAL'!H23</f>
        <v>0</v>
      </c>
      <c r="L19" s="22">
        <f>'CUOTA ARTESANAL'!I23</f>
        <v>85.774999999999991</v>
      </c>
      <c r="M19" s="47">
        <f>'CUOTA ARTESANAL'!J23</f>
        <v>0</v>
      </c>
      <c r="N19" s="24" t="str">
        <f>'CUOTA ARTESANAL'!K23</f>
        <v>-</v>
      </c>
      <c r="O19" s="24">
        <f>RESUMEN!$B$3</f>
        <v>43913</v>
      </c>
      <c r="P19" s="21">
        <v>2020</v>
      </c>
      <c r="Q19" s="21"/>
    </row>
    <row r="20" spans="1:17" x14ac:dyDescent="0.25">
      <c r="A20" s="21" t="s">
        <v>118</v>
      </c>
      <c r="B20" s="21" t="s">
        <v>115</v>
      </c>
      <c r="C20" s="21" t="s">
        <v>119</v>
      </c>
      <c r="D20" s="21" t="s">
        <v>117</v>
      </c>
      <c r="E20" s="21" t="str">
        <f>'CUOTA ARTESANAL'!C21</f>
        <v>UNIDAD DE PESQUERIA NORTE</v>
      </c>
      <c r="F20" s="21" t="s">
        <v>54</v>
      </c>
      <c r="G20" s="21" t="s">
        <v>65</v>
      </c>
      <c r="H20" s="22">
        <f>'CUOTA ARTESANAL'!L21</f>
        <v>165</v>
      </c>
      <c r="I20" s="22">
        <f>'CUOTA ARTESANAL'!M21</f>
        <v>0</v>
      </c>
      <c r="J20" s="22">
        <f>'CUOTA ARTESANAL'!N21</f>
        <v>165</v>
      </c>
      <c r="K20" s="22">
        <f>'CUOTA ARTESANAL'!O21</f>
        <v>79.224999999999994</v>
      </c>
      <c r="L20" s="22">
        <f>'CUOTA ARTESANAL'!P21</f>
        <v>85.775000000000006</v>
      </c>
      <c r="M20" s="47">
        <f>'CUOTA ARTESANAL'!Q21</f>
        <v>0.48015151515151511</v>
      </c>
      <c r="N20" s="24" t="s">
        <v>48</v>
      </c>
      <c r="O20" s="24">
        <f>RESUMEN!$B$3</f>
        <v>43913</v>
      </c>
      <c r="P20" s="21">
        <v>2020</v>
      </c>
      <c r="Q20" s="21"/>
    </row>
    <row r="21" spans="1:17" x14ac:dyDescent="0.25">
      <c r="A21" s="21" t="s">
        <v>118</v>
      </c>
      <c r="B21" s="21" t="s">
        <v>115</v>
      </c>
      <c r="C21" s="21" t="s">
        <v>119</v>
      </c>
      <c r="D21" s="21" t="s">
        <v>91</v>
      </c>
      <c r="E21" s="21" t="s">
        <v>23</v>
      </c>
      <c r="F21" s="21" t="s">
        <v>54</v>
      </c>
      <c r="G21" s="21" t="s">
        <v>65</v>
      </c>
      <c r="H21" s="22">
        <f>'CUOTA ARTESANAL'!E24</f>
        <v>18.3</v>
      </c>
      <c r="I21" s="22">
        <f>'CUOTA ARTESANAL'!F24</f>
        <v>0</v>
      </c>
      <c r="J21" s="22">
        <f>'CUOTA ARTESANAL'!G24</f>
        <v>18.3</v>
      </c>
      <c r="K21" s="22">
        <f>'CUOTA ARTESANAL'!H24</f>
        <v>2.2959999999999998</v>
      </c>
      <c r="L21" s="22">
        <f>'CUOTA ARTESANAL'!I24</f>
        <v>16.004000000000001</v>
      </c>
      <c r="M21" s="47">
        <f>'CUOTA ARTESANAL'!J24</f>
        <v>0.12546448087431691</v>
      </c>
      <c r="N21" s="24" t="str">
        <f>'CUOTA ARTESANAL'!K24</f>
        <v>-</v>
      </c>
      <c r="O21" s="24">
        <f>RESUMEN!$B$3</f>
        <v>43913</v>
      </c>
      <c r="P21" s="21">
        <v>2020</v>
      </c>
      <c r="Q21" s="21"/>
    </row>
    <row r="22" spans="1:17" x14ac:dyDescent="0.25">
      <c r="A22" s="21" t="s">
        <v>118</v>
      </c>
      <c r="B22" s="21" t="s">
        <v>115</v>
      </c>
      <c r="C22" s="21" t="s">
        <v>119</v>
      </c>
      <c r="D22" s="21" t="s">
        <v>117</v>
      </c>
      <c r="E22" s="21" t="str">
        <f>'CUOTA ARTESANAL'!C25</f>
        <v>UNIDAD DE PESQUERIA SUR</v>
      </c>
      <c r="F22" s="21" t="s">
        <v>54</v>
      </c>
      <c r="G22" s="21" t="s">
        <v>59</v>
      </c>
      <c r="H22" s="22">
        <f>'CUOTA ARTESANAL'!E25</f>
        <v>14.8</v>
      </c>
      <c r="I22" s="22">
        <f>'CUOTA ARTESANAL'!F25</f>
        <v>0</v>
      </c>
      <c r="J22" s="22">
        <f>'CUOTA ARTESANAL'!G25</f>
        <v>14.8</v>
      </c>
      <c r="K22" s="22">
        <f>'CUOTA ARTESANAL'!H25</f>
        <v>15.564</v>
      </c>
      <c r="L22" s="22">
        <f>'CUOTA ARTESANAL'!I25</f>
        <v>-0.76399999999999935</v>
      </c>
      <c r="M22" s="47">
        <f>'CUOTA ARTESANAL'!J25</f>
        <v>1.0516216216216216</v>
      </c>
      <c r="N22" s="24" t="str">
        <f>'CUOTA ARTESANAL'!K25</f>
        <v>-</v>
      </c>
      <c r="O22" s="24">
        <f>RESUMEN!$B$3</f>
        <v>43913</v>
      </c>
      <c r="P22" s="21">
        <v>2020</v>
      </c>
      <c r="Q22" s="21"/>
    </row>
    <row r="23" spans="1:17" x14ac:dyDescent="0.25">
      <c r="A23" s="21" t="s">
        <v>118</v>
      </c>
      <c r="B23" s="21" t="s">
        <v>115</v>
      </c>
      <c r="C23" s="21" t="s">
        <v>119</v>
      </c>
      <c r="D23" s="21" t="s">
        <v>117</v>
      </c>
      <c r="E23" s="21" t="str">
        <f>'CUOTA ARTESANAL'!C25</f>
        <v>UNIDAD DE PESQUERIA SUR</v>
      </c>
      <c r="F23" s="21" t="s">
        <v>60</v>
      </c>
      <c r="G23" s="21" t="s">
        <v>65</v>
      </c>
      <c r="H23" s="22">
        <f>'CUOTA ARTESANAL'!E26</f>
        <v>14.8</v>
      </c>
      <c r="I23" s="22">
        <f>'CUOTA ARTESANAL'!F26</f>
        <v>0</v>
      </c>
      <c r="J23" s="22">
        <f>'CUOTA ARTESANAL'!G26</f>
        <v>14.036000000000001</v>
      </c>
      <c r="K23" s="22">
        <f>'CUOTA ARTESANAL'!H26</f>
        <v>0</v>
      </c>
      <c r="L23" s="22">
        <f>'CUOTA ARTESANAL'!I26</f>
        <v>14.036000000000001</v>
      </c>
      <c r="M23" s="47">
        <f>'CUOTA ARTESANAL'!J26</f>
        <v>0</v>
      </c>
      <c r="N23" s="24" t="str">
        <f>'CUOTA ARTESANAL'!K26</f>
        <v>-</v>
      </c>
      <c r="O23" s="24">
        <f>RESUMEN!$B$3</f>
        <v>43913</v>
      </c>
      <c r="P23" s="21">
        <v>2020</v>
      </c>
      <c r="Q23" s="21"/>
    </row>
    <row r="24" spans="1:17" x14ac:dyDescent="0.25">
      <c r="A24" s="21" t="s">
        <v>118</v>
      </c>
      <c r="B24" s="21" t="s">
        <v>115</v>
      </c>
      <c r="C24" s="21" t="s">
        <v>119</v>
      </c>
      <c r="D24" s="21" t="s">
        <v>117</v>
      </c>
      <c r="E24" s="21" t="str">
        <f>'CUOTA ARTESANAL'!C25</f>
        <v>UNIDAD DE PESQUERIA SUR</v>
      </c>
      <c r="F24" s="21" t="s">
        <v>54</v>
      </c>
      <c r="G24" s="21" t="s">
        <v>65</v>
      </c>
      <c r="H24" s="22">
        <f>'CUOTA ARTESANAL'!L25</f>
        <v>29.6</v>
      </c>
      <c r="I24" s="22">
        <f>'CUOTA ARTESANAL'!M25</f>
        <v>0</v>
      </c>
      <c r="J24" s="22">
        <f>'CUOTA ARTESANAL'!N25</f>
        <v>29.6</v>
      </c>
      <c r="K24" s="22">
        <f>'CUOTA ARTESANAL'!O25</f>
        <v>15.564</v>
      </c>
      <c r="L24" s="22">
        <f>'CUOTA ARTESANAL'!P25</f>
        <v>14.036000000000001</v>
      </c>
      <c r="M24" s="47">
        <f>'CUOTA ARTESANAL'!Q25</f>
        <v>0.52581081081081082</v>
      </c>
      <c r="N24" s="24" t="s">
        <v>48</v>
      </c>
      <c r="O24" s="24">
        <f>RESUMEN!$B$3</f>
        <v>43913</v>
      </c>
      <c r="P24" s="21">
        <v>2020</v>
      </c>
      <c r="Q24" s="21"/>
    </row>
    <row r="25" spans="1:17" x14ac:dyDescent="0.25">
      <c r="A25" s="21" t="s">
        <v>127</v>
      </c>
      <c r="B25" s="21" t="s">
        <v>115</v>
      </c>
      <c r="C25" s="21" t="s">
        <v>119</v>
      </c>
      <c r="D25" s="21" t="s">
        <v>126</v>
      </c>
      <c r="E25" s="21" t="s">
        <v>23</v>
      </c>
      <c r="F25" s="21" t="s">
        <v>54</v>
      </c>
      <c r="G25" s="21" t="s">
        <v>65</v>
      </c>
      <c r="H25" s="22">
        <f>'CUOTA ARTESANAL'!E27</f>
        <v>3.3</v>
      </c>
      <c r="I25" s="22">
        <f>'CUOTA ARTESANAL'!F27</f>
        <v>0</v>
      </c>
      <c r="J25" s="22">
        <f>'CUOTA ARTESANAL'!G27</f>
        <v>3.3</v>
      </c>
      <c r="K25" s="22">
        <f>'CUOTA ARTESANAL'!H27</f>
        <v>0</v>
      </c>
      <c r="L25" s="22">
        <f>'CUOTA ARTESANAL'!I27</f>
        <v>3.3</v>
      </c>
      <c r="M25" s="47">
        <f>'CUOTA ARTESANAL'!J27</f>
        <v>0</v>
      </c>
      <c r="N25" s="24" t="str">
        <f>'CUOTA ARTESANAL'!K27</f>
        <v>-</v>
      </c>
      <c r="O25" s="24">
        <f>RESUMEN!$B$3</f>
        <v>43913</v>
      </c>
      <c r="P25" s="21">
        <v>2020</v>
      </c>
      <c r="Q25" s="21"/>
    </row>
    <row r="26" spans="1:17" x14ac:dyDescent="0.25">
      <c r="A26" s="21" t="s">
        <v>118</v>
      </c>
      <c r="B26" s="21" t="s">
        <v>115</v>
      </c>
      <c r="C26" s="21" t="s">
        <v>128</v>
      </c>
      <c r="D26" s="21" t="s">
        <v>121</v>
      </c>
      <c r="E26" s="21" t="s">
        <v>129</v>
      </c>
      <c r="F26" s="21" t="s">
        <v>54</v>
      </c>
      <c r="G26" s="21" t="s">
        <v>54</v>
      </c>
      <c r="H26" s="22">
        <f>'CUOTA ARTESANAL'!E28</f>
        <v>22.2</v>
      </c>
      <c r="I26" s="22">
        <f>'CUOTA ARTESANAL'!F28</f>
        <v>0</v>
      </c>
      <c r="J26" s="22">
        <f>'CUOTA ARTESANAL'!G28</f>
        <v>22.2</v>
      </c>
      <c r="K26" s="22">
        <f>'CUOTA ARTESANAL'!H28</f>
        <v>4.1440000000000001</v>
      </c>
      <c r="L26" s="22">
        <f>'CUOTA ARTESANAL'!I28</f>
        <v>18.055999999999997</v>
      </c>
      <c r="M26" s="47">
        <f>'CUOTA ARTESANAL'!J28</f>
        <v>0.18666666666666668</v>
      </c>
      <c r="N26" s="24" t="str">
        <f>'CUOTA ARTESANAL'!K28</f>
        <v>-</v>
      </c>
      <c r="O26" s="24">
        <f>RESUMEN!$B$3</f>
        <v>43913</v>
      </c>
      <c r="P26" s="21">
        <v>2020</v>
      </c>
      <c r="Q26" s="21"/>
    </row>
    <row r="27" spans="1:17" x14ac:dyDescent="0.25">
      <c r="A27" s="21" t="s">
        <v>118</v>
      </c>
      <c r="B27" s="21" t="s">
        <v>115</v>
      </c>
      <c r="C27" s="21" t="s">
        <v>128</v>
      </c>
      <c r="D27" s="21" t="s">
        <v>121</v>
      </c>
      <c r="E27" s="21" t="s">
        <v>129</v>
      </c>
      <c r="F27" s="21" t="s">
        <v>55</v>
      </c>
      <c r="G27" s="21" t="s">
        <v>55</v>
      </c>
      <c r="H27" s="22">
        <f>'CUOTA ARTESANAL'!E29</f>
        <v>22.2</v>
      </c>
      <c r="I27" s="22">
        <f>'CUOTA ARTESANAL'!F29</f>
        <v>0</v>
      </c>
      <c r="J27" s="22">
        <f>'CUOTA ARTESANAL'!G29</f>
        <v>40.256</v>
      </c>
      <c r="K27" s="22">
        <f>'CUOTA ARTESANAL'!H29</f>
        <v>2.1110000000000002</v>
      </c>
      <c r="L27" s="22">
        <f>'CUOTA ARTESANAL'!I29</f>
        <v>38.145000000000003</v>
      </c>
      <c r="M27" s="47">
        <f>'CUOTA ARTESANAL'!J29</f>
        <v>5.2439387917329099E-2</v>
      </c>
      <c r="N27" s="24" t="str">
        <f>'CUOTA ARTESANAL'!K29</f>
        <v>-</v>
      </c>
      <c r="O27" s="24">
        <f>RESUMEN!$B$3</f>
        <v>43913</v>
      </c>
      <c r="P27" s="21">
        <v>2020</v>
      </c>
      <c r="Q27" s="21"/>
    </row>
    <row r="28" spans="1:17" x14ac:dyDescent="0.25">
      <c r="A28" s="21" t="s">
        <v>118</v>
      </c>
      <c r="B28" s="21" t="s">
        <v>115</v>
      </c>
      <c r="C28" s="21" t="s">
        <v>128</v>
      </c>
      <c r="D28" s="21" t="s">
        <v>121</v>
      </c>
      <c r="E28" s="21" t="s">
        <v>129</v>
      </c>
      <c r="F28" s="21" t="s">
        <v>56</v>
      </c>
      <c r="G28" s="21" t="s">
        <v>56</v>
      </c>
      <c r="H28" s="22">
        <f>'CUOTA ARTESANAL'!E30</f>
        <v>22.2</v>
      </c>
      <c r="I28" s="22">
        <f>'CUOTA ARTESANAL'!F30</f>
        <v>0</v>
      </c>
      <c r="J28" s="22">
        <f>'CUOTA ARTESANAL'!G30</f>
        <v>60.344999999999999</v>
      </c>
      <c r="K28" s="22">
        <f>'CUOTA ARTESANAL'!H30</f>
        <v>3.339</v>
      </c>
      <c r="L28" s="22">
        <f>'CUOTA ARTESANAL'!I30</f>
        <v>57.006</v>
      </c>
      <c r="M28" s="47">
        <f>'CUOTA ARTESANAL'!J30</f>
        <v>5.533184190902312E-2</v>
      </c>
      <c r="N28" s="24" t="str">
        <f>'CUOTA ARTESANAL'!K30</f>
        <v>-</v>
      </c>
      <c r="O28" s="24">
        <f>RESUMEN!$B$3</f>
        <v>43913</v>
      </c>
      <c r="P28" s="21">
        <v>2020</v>
      </c>
      <c r="Q28" s="21"/>
    </row>
    <row r="29" spans="1:17" x14ac:dyDescent="0.25">
      <c r="A29" s="21" t="s">
        <v>118</v>
      </c>
      <c r="B29" s="21" t="s">
        <v>115</v>
      </c>
      <c r="C29" s="21" t="s">
        <v>128</v>
      </c>
      <c r="D29" s="21" t="s">
        <v>121</v>
      </c>
      <c r="E29" s="21" t="s">
        <v>129</v>
      </c>
      <c r="F29" s="21" t="s">
        <v>57</v>
      </c>
      <c r="G29" s="21" t="s">
        <v>57</v>
      </c>
      <c r="H29" s="22">
        <f>'CUOTA ARTESANAL'!E31</f>
        <v>22.2</v>
      </c>
      <c r="I29" s="22">
        <f>'CUOTA ARTESANAL'!F31</f>
        <v>0</v>
      </c>
      <c r="J29" s="22">
        <f>'CUOTA ARTESANAL'!G31</f>
        <v>79.206000000000003</v>
      </c>
      <c r="K29" s="22">
        <f>'CUOTA ARTESANAL'!H31</f>
        <v>0</v>
      </c>
      <c r="L29" s="22">
        <f>'CUOTA ARTESANAL'!I31</f>
        <v>79.206000000000003</v>
      </c>
      <c r="M29" s="47">
        <f>'CUOTA ARTESANAL'!J31</f>
        <v>0</v>
      </c>
      <c r="N29" s="24" t="str">
        <f>'CUOTA ARTESANAL'!K31</f>
        <v>-</v>
      </c>
      <c r="O29" s="24">
        <f>RESUMEN!$B$3</f>
        <v>43913</v>
      </c>
      <c r="P29" s="21">
        <v>2020</v>
      </c>
      <c r="Q29" s="21"/>
    </row>
    <row r="30" spans="1:17" x14ac:dyDescent="0.25">
      <c r="A30" s="21" t="s">
        <v>118</v>
      </c>
      <c r="B30" s="21" t="s">
        <v>115</v>
      </c>
      <c r="C30" s="21" t="s">
        <v>128</v>
      </c>
      <c r="D30" s="21" t="s">
        <v>121</v>
      </c>
      <c r="E30" s="21" t="s">
        <v>129</v>
      </c>
      <c r="F30" s="21" t="s">
        <v>58</v>
      </c>
      <c r="G30" s="21" t="s">
        <v>58</v>
      </c>
      <c r="H30" s="22">
        <f>'CUOTA ARTESANAL'!E32</f>
        <v>22.2</v>
      </c>
      <c r="I30" s="22">
        <f>'CUOTA ARTESANAL'!F32</f>
        <v>0</v>
      </c>
      <c r="J30" s="22">
        <f>'CUOTA ARTESANAL'!G32</f>
        <v>101.40600000000001</v>
      </c>
      <c r="K30" s="22">
        <f>'CUOTA ARTESANAL'!H32</f>
        <v>0</v>
      </c>
      <c r="L30" s="22">
        <f>'CUOTA ARTESANAL'!I32</f>
        <v>101.40600000000001</v>
      </c>
      <c r="M30" s="47">
        <f>'CUOTA ARTESANAL'!J32</f>
        <v>0</v>
      </c>
      <c r="N30" s="24" t="str">
        <f>'CUOTA ARTESANAL'!K32</f>
        <v>-</v>
      </c>
      <c r="O30" s="24">
        <f>RESUMEN!$B$3</f>
        <v>43913</v>
      </c>
      <c r="P30" s="21">
        <v>2020</v>
      </c>
      <c r="Q30" s="21"/>
    </row>
    <row r="31" spans="1:17" x14ac:dyDescent="0.25">
      <c r="A31" s="21" t="s">
        <v>118</v>
      </c>
      <c r="B31" s="21" t="s">
        <v>115</v>
      </c>
      <c r="C31" s="21" t="s">
        <v>128</v>
      </c>
      <c r="D31" s="21" t="s">
        <v>121</v>
      </c>
      <c r="E31" s="21" t="s">
        <v>129</v>
      </c>
      <c r="F31" s="21" t="s">
        <v>59</v>
      </c>
      <c r="G31" s="21" t="s">
        <v>59</v>
      </c>
      <c r="H31" s="22">
        <f>'CUOTA ARTESANAL'!E33</f>
        <v>22.2</v>
      </c>
      <c r="I31" s="22">
        <f>'CUOTA ARTESANAL'!F33</f>
        <v>0</v>
      </c>
      <c r="J31" s="22">
        <f>'CUOTA ARTESANAL'!G33</f>
        <v>123.60600000000001</v>
      </c>
      <c r="K31" s="22">
        <f>'CUOTA ARTESANAL'!H33</f>
        <v>0</v>
      </c>
      <c r="L31" s="22">
        <f>'CUOTA ARTESANAL'!I33</f>
        <v>123.60600000000001</v>
      </c>
      <c r="M31" s="47">
        <f>'CUOTA ARTESANAL'!J33</f>
        <v>0</v>
      </c>
      <c r="N31" s="24" t="str">
        <f>'CUOTA ARTESANAL'!K33</f>
        <v>-</v>
      </c>
      <c r="O31" s="24">
        <f>RESUMEN!$B$3</f>
        <v>43913</v>
      </c>
      <c r="P31" s="21">
        <v>2020</v>
      </c>
      <c r="Q31" s="21"/>
    </row>
    <row r="32" spans="1:17" x14ac:dyDescent="0.25">
      <c r="A32" s="21" t="s">
        <v>118</v>
      </c>
      <c r="B32" s="21" t="s">
        <v>115</v>
      </c>
      <c r="C32" s="21" t="s">
        <v>128</v>
      </c>
      <c r="D32" s="21" t="s">
        <v>121</v>
      </c>
      <c r="E32" s="21" t="s">
        <v>129</v>
      </c>
      <c r="F32" s="21" t="s">
        <v>60</v>
      </c>
      <c r="G32" s="21" t="s">
        <v>60</v>
      </c>
      <c r="H32" s="22">
        <f>'CUOTA ARTESANAL'!E34</f>
        <v>22.2</v>
      </c>
      <c r="I32" s="22">
        <f>'CUOTA ARTESANAL'!F34</f>
        <v>0</v>
      </c>
      <c r="J32" s="22">
        <f>'CUOTA ARTESANAL'!G34</f>
        <v>145.80600000000001</v>
      </c>
      <c r="K32" s="22">
        <f>'CUOTA ARTESANAL'!H34</f>
        <v>0</v>
      </c>
      <c r="L32" s="22">
        <f>'CUOTA ARTESANAL'!I34</f>
        <v>145.80600000000001</v>
      </c>
      <c r="M32" s="47">
        <f>'CUOTA ARTESANAL'!J34</f>
        <v>0</v>
      </c>
      <c r="N32" s="24" t="str">
        <f>'CUOTA ARTESANAL'!K34</f>
        <v>-</v>
      </c>
      <c r="O32" s="24">
        <f>RESUMEN!$B$3</f>
        <v>43913</v>
      </c>
      <c r="P32" s="21">
        <v>2020</v>
      </c>
      <c r="Q32" s="21"/>
    </row>
    <row r="33" spans="1:17" x14ac:dyDescent="0.25">
      <c r="A33" s="21" t="s">
        <v>118</v>
      </c>
      <c r="B33" s="21" t="s">
        <v>115</v>
      </c>
      <c r="C33" s="21" t="s">
        <v>128</v>
      </c>
      <c r="D33" s="21" t="s">
        <v>121</v>
      </c>
      <c r="E33" s="21" t="s">
        <v>129</v>
      </c>
      <c r="F33" s="21" t="s">
        <v>61</v>
      </c>
      <c r="G33" s="21" t="s">
        <v>61</v>
      </c>
      <c r="H33" s="22">
        <f>'CUOTA ARTESANAL'!E35</f>
        <v>22.2</v>
      </c>
      <c r="I33" s="22">
        <f>'CUOTA ARTESANAL'!F35</f>
        <v>0</v>
      </c>
      <c r="J33" s="22">
        <f>'CUOTA ARTESANAL'!G35</f>
        <v>168.006</v>
      </c>
      <c r="K33" s="22">
        <f>'CUOTA ARTESANAL'!H35</f>
        <v>0</v>
      </c>
      <c r="L33" s="22">
        <f>'CUOTA ARTESANAL'!I35</f>
        <v>168.006</v>
      </c>
      <c r="M33" s="47">
        <f>'CUOTA ARTESANAL'!J35</f>
        <v>0</v>
      </c>
      <c r="N33" s="24" t="str">
        <f>'CUOTA ARTESANAL'!K35</f>
        <v>-</v>
      </c>
      <c r="O33" s="24">
        <f>RESUMEN!$B$3</f>
        <v>43913</v>
      </c>
      <c r="P33" s="21">
        <v>2020</v>
      </c>
      <c r="Q33" s="21"/>
    </row>
    <row r="34" spans="1:17" x14ac:dyDescent="0.25">
      <c r="A34" s="21" t="s">
        <v>118</v>
      </c>
      <c r="B34" s="21" t="s">
        <v>115</v>
      </c>
      <c r="C34" s="21" t="s">
        <v>128</v>
      </c>
      <c r="D34" s="21" t="s">
        <v>121</v>
      </c>
      <c r="E34" s="21" t="s">
        <v>129</v>
      </c>
      <c r="F34" s="21" t="s">
        <v>62</v>
      </c>
      <c r="G34" s="21" t="s">
        <v>62</v>
      </c>
      <c r="H34" s="22">
        <f>'CUOTA ARTESANAL'!E36</f>
        <v>22.2</v>
      </c>
      <c r="I34" s="22">
        <f>'CUOTA ARTESANAL'!F36</f>
        <v>0</v>
      </c>
      <c r="J34" s="22">
        <f>'CUOTA ARTESANAL'!G36</f>
        <v>190.20599999999999</v>
      </c>
      <c r="K34" s="22">
        <f>'CUOTA ARTESANAL'!H36</f>
        <v>0</v>
      </c>
      <c r="L34" s="22">
        <f>'CUOTA ARTESANAL'!I36</f>
        <v>190.20599999999999</v>
      </c>
      <c r="M34" s="47">
        <f>'CUOTA ARTESANAL'!J36</f>
        <v>0</v>
      </c>
      <c r="N34" s="24" t="str">
        <f>'CUOTA ARTESANAL'!K36</f>
        <v>-</v>
      </c>
      <c r="O34" s="24">
        <f>RESUMEN!$B$3</f>
        <v>43913</v>
      </c>
      <c r="P34" s="21">
        <v>2020</v>
      </c>
      <c r="Q34" s="21"/>
    </row>
    <row r="35" spans="1:17" x14ac:dyDescent="0.25">
      <c r="A35" s="21" t="s">
        <v>118</v>
      </c>
      <c r="B35" s="21" t="s">
        <v>115</v>
      </c>
      <c r="C35" s="21" t="s">
        <v>128</v>
      </c>
      <c r="D35" s="21" t="s">
        <v>121</v>
      </c>
      <c r="E35" s="21" t="s">
        <v>129</v>
      </c>
      <c r="F35" s="21" t="s">
        <v>63</v>
      </c>
      <c r="G35" s="21" t="s">
        <v>63</v>
      </c>
      <c r="H35" s="22">
        <f>'CUOTA ARTESANAL'!E37</f>
        <v>22.2</v>
      </c>
      <c r="I35" s="22">
        <f>'CUOTA ARTESANAL'!F37</f>
        <v>0</v>
      </c>
      <c r="J35" s="22">
        <f>'CUOTA ARTESANAL'!G37</f>
        <v>212.40599999999998</v>
      </c>
      <c r="K35" s="22">
        <f>'CUOTA ARTESANAL'!H37</f>
        <v>0</v>
      </c>
      <c r="L35" s="22">
        <f>'CUOTA ARTESANAL'!I37</f>
        <v>212.40599999999998</v>
      </c>
      <c r="M35" s="47">
        <f>'CUOTA ARTESANAL'!J37</f>
        <v>0</v>
      </c>
      <c r="N35" s="24" t="str">
        <f>'CUOTA ARTESANAL'!K37</f>
        <v>-</v>
      </c>
      <c r="O35" s="24">
        <f>RESUMEN!$B$3</f>
        <v>43913</v>
      </c>
      <c r="P35" s="21">
        <v>2020</v>
      </c>
      <c r="Q35" s="21"/>
    </row>
    <row r="36" spans="1:17" x14ac:dyDescent="0.25">
      <c r="A36" s="21" t="s">
        <v>118</v>
      </c>
      <c r="B36" s="21" t="s">
        <v>115</v>
      </c>
      <c r="C36" s="21" t="s">
        <v>128</v>
      </c>
      <c r="D36" s="21" t="s">
        <v>121</v>
      </c>
      <c r="E36" s="21" t="s">
        <v>129</v>
      </c>
      <c r="F36" s="21" t="s">
        <v>64</v>
      </c>
      <c r="G36" s="21" t="s">
        <v>64</v>
      </c>
      <c r="H36" s="22">
        <f>'CUOTA ARTESANAL'!E38</f>
        <v>22.2</v>
      </c>
      <c r="I36" s="22">
        <f>'CUOTA ARTESANAL'!F38</f>
        <v>0</v>
      </c>
      <c r="J36" s="22">
        <f>'CUOTA ARTESANAL'!G38</f>
        <v>234.60599999999997</v>
      </c>
      <c r="K36" s="22">
        <f>'CUOTA ARTESANAL'!H38</f>
        <v>0</v>
      </c>
      <c r="L36" s="22">
        <f>'CUOTA ARTESANAL'!I38</f>
        <v>234.60599999999997</v>
      </c>
      <c r="M36" s="47">
        <f>'CUOTA ARTESANAL'!J38</f>
        <v>0</v>
      </c>
      <c r="N36" s="24" t="str">
        <f>'CUOTA ARTESANAL'!K38</f>
        <v>-</v>
      </c>
      <c r="O36" s="24">
        <f>RESUMEN!$B$3</f>
        <v>43913</v>
      </c>
      <c r="P36" s="21">
        <v>2020</v>
      </c>
      <c r="Q36" s="21"/>
    </row>
    <row r="37" spans="1:17" x14ac:dyDescent="0.25">
      <c r="A37" s="21" t="s">
        <v>118</v>
      </c>
      <c r="B37" s="21" t="s">
        <v>115</v>
      </c>
      <c r="C37" s="21" t="s">
        <v>128</v>
      </c>
      <c r="D37" s="21" t="s">
        <v>121</v>
      </c>
      <c r="E37" s="21" t="s">
        <v>129</v>
      </c>
      <c r="F37" s="21" t="s">
        <v>65</v>
      </c>
      <c r="G37" s="21" t="s">
        <v>65</v>
      </c>
      <c r="H37" s="22">
        <f>'CUOTA ARTESANAL'!E39</f>
        <v>22.2</v>
      </c>
      <c r="I37" s="22">
        <f>'CUOTA ARTESANAL'!F39</f>
        <v>0</v>
      </c>
      <c r="J37" s="22">
        <f>'CUOTA ARTESANAL'!G39</f>
        <v>256.80599999999998</v>
      </c>
      <c r="K37" s="22">
        <f>'CUOTA ARTESANAL'!H39</f>
        <v>0</v>
      </c>
      <c r="L37" s="22">
        <f>'CUOTA ARTESANAL'!I39</f>
        <v>256.80599999999998</v>
      </c>
      <c r="M37" s="47">
        <f>'CUOTA ARTESANAL'!J39</f>
        <v>0</v>
      </c>
      <c r="N37" s="24" t="str">
        <f>'CUOTA ARTESANAL'!K39</f>
        <v>-</v>
      </c>
      <c r="O37" s="24">
        <f>RESUMEN!$B$3</f>
        <v>43913</v>
      </c>
      <c r="P37" s="21">
        <v>2020</v>
      </c>
      <c r="Q37" s="21"/>
    </row>
    <row r="38" spans="1:17" x14ac:dyDescent="0.25">
      <c r="A38" s="21" t="s">
        <v>118</v>
      </c>
      <c r="B38" s="21" t="s">
        <v>115</v>
      </c>
      <c r="C38" s="21" t="s">
        <v>128</v>
      </c>
      <c r="D38" s="21" t="s">
        <v>121</v>
      </c>
      <c r="E38" s="21" t="s">
        <v>129</v>
      </c>
      <c r="F38" s="21" t="s">
        <v>54</v>
      </c>
      <c r="G38" s="21" t="s">
        <v>65</v>
      </c>
      <c r="H38" s="22">
        <f>'CUOTA ARTESANAL'!L28</f>
        <v>266.39999999999992</v>
      </c>
      <c r="I38" s="22">
        <f>'CUOTA ARTESANAL'!M28</f>
        <v>0</v>
      </c>
      <c r="J38" s="22">
        <f>'CUOTA ARTESANAL'!N28</f>
        <v>266.39999999999992</v>
      </c>
      <c r="K38" s="22">
        <f>'CUOTA ARTESANAL'!O28</f>
        <v>9.5940000000000012</v>
      </c>
      <c r="L38" s="22">
        <f>'CUOTA ARTESANAL'!P28</f>
        <v>256.80599999999993</v>
      </c>
      <c r="M38" s="47">
        <f>'CUOTA ARTESANAL'!Q28</f>
        <v>3.6013513513513527E-2</v>
      </c>
      <c r="N38" s="24" t="s">
        <v>48</v>
      </c>
      <c r="O38" s="24">
        <f>RESUMEN!$B$3</f>
        <v>43913</v>
      </c>
      <c r="P38" s="21">
        <v>2020</v>
      </c>
      <c r="Q38" s="21"/>
    </row>
    <row r="39" spans="1:17" x14ac:dyDescent="0.25">
      <c r="A39" s="21" t="s">
        <v>130</v>
      </c>
      <c r="B39" s="21" t="s">
        <v>115</v>
      </c>
      <c r="C39" s="21" t="s">
        <v>131</v>
      </c>
      <c r="D39" s="21" t="s">
        <v>132</v>
      </c>
      <c r="E39" s="21" t="s">
        <v>133</v>
      </c>
      <c r="F39" s="21" t="s">
        <v>54</v>
      </c>
      <c r="G39" s="21" t="s">
        <v>65</v>
      </c>
      <c r="H39" s="22">
        <f>'CUOTA ARTESANAL'!E41</f>
        <v>940.00000000000045</v>
      </c>
      <c r="I39" s="22">
        <f>'CUOTA ARTESANAL'!F41</f>
        <v>-11.923</v>
      </c>
      <c r="J39" s="22">
        <f>'CUOTA ARTESANAL'!G41</f>
        <v>928.07700000000045</v>
      </c>
      <c r="K39" s="22">
        <f>'CUOTA ARTESANAL'!H41</f>
        <v>237.45500000000001</v>
      </c>
      <c r="L39" s="22">
        <f>'CUOTA ARTESANAL'!I41</f>
        <v>690.62200000000041</v>
      </c>
      <c r="M39" s="47">
        <f>'CUOTA ARTESANAL'!J41</f>
        <v>0.25585700324434274</v>
      </c>
      <c r="N39" s="24" t="s">
        <v>48</v>
      </c>
      <c r="O39" s="24">
        <f>RESUMEN!$B$3</f>
        <v>43913</v>
      </c>
      <c r="P39" s="21">
        <v>2020</v>
      </c>
      <c r="Q39" s="21"/>
    </row>
    <row r="40" spans="1:17" x14ac:dyDescent="0.25">
      <c r="A40" s="21" t="s">
        <v>134</v>
      </c>
      <c r="B40" s="21" t="s">
        <v>115</v>
      </c>
      <c r="C40" s="21" t="s">
        <v>135</v>
      </c>
      <c r="D40" s="21" t="s">
        <v>136</v>
      </c>
      <c r="E40" s="21" t="str">
        <f>'CUOTA INDUSTRIAL'!C6</f>
        <v>EMDEPES S.A.</v>
      </c>
      <c r="F40" s="21" t="s">
        <v>54</v>
      </c>
      <c r="G40" s="21" t="s">
        <v>55</v>
      </c>
      <c r="H40" s="22">
        <f>'CUOTA INDUSTRIAL'!E6</f>
        <v>10.2605</v>
      </c>
      <c r="I40" s="22">
        <f>'CUOTA INDUSTRIAL'!F6</f>
        <v>0</v>
      </c>
      <c r="J40" s="22">
        <f>'CUOTA INDUSTRIAL'!G6</f>
        <v>10.2605</v>
      </c>
      <c r="K40" s="22">
        <f>'CUOTA INDUSTRIAL'!H6</f>
        <v>0</v>
      </c>
      <c r="L40" s="22">
        <f>'CUOTA INDUSTRIAL'!I6</f>
        <v>10.2605</v>
      </c>
      <c r="M40" s="47">
        <f>'CUOTA INDUSTRIAL'!J6</f>
        <v>0</v>
      </c>
      <c r="N40" s="24" t="s">
        <v>48</v>
      </c>
      <c r="O40" s="24">
        <f>RESUMEN!$B$3</f>
        <v>43913</v>
      </c>
      <c r="P40" s="21">
        <v>2020</v>
      </c>
      <c r="Q40" s="21"/>
    </row>
    <row r="41" spans="1:17" x14ac:dyDescent="0.25">
      <c r="A41" s="21" t="s">
        <v>134</v>
      </c>
      <c r="B41" s="21" t="s">
        <v>115</v>
      </c>
      <c r="C41" s="21" t="s">
        <v>135</v>
      </c>
      <c r="D41" s="21" t="s">
        <v>136</v>
      </c>
      <c r="E41" s="21" t="str">
        <f>'CUOTA INDUSTRIAL'!C6</f>
        <v>EMDEPES S.A.</v>
      </c>
      <c r="F41" s="21" t="s">
        <v>56</v>
      </c>
      <c r="G41" s="21" t="s">
        <v>65</v>
      </c>
      <c r="H41" s="22">
        <f>'CUOTA INDUSTRIAL'!E7</f>
        <v>10.294</v>
      </c>
      <c r="I41" s="22">
        <f>'CUOTA INDUSTRIAL'!F7</f>
        <v>0</v>
      </c>
      <c r="J41" s="22">
        <f>'CUOTA INDUSTRIAL'!G7</f>
        <v>20.554500000000001</v>
      </c>
      <c r="K41" s="22">
        <f>'CUOTA INDUSTRIAL'!H7</f>
        <v>0</v>
      </c>
      <c r="L41" s="22">
        <f>'CUOTA INDUSTRIAL'!I7</f>
        <v>20.554500000000001</v>
      </c>
      <c r="M41" s="47">
        <f>'CUOTA INDUSTRIAL'!J7</f>
        <v>0</v>
      </c>
      <c r="N41" s="24" t="s">
        <v>48</v>
      </c>
      <c r="O41" s="24">
        <f>RESUMEN!$B$3</f>
        <v>43913</v>
      </c>
      <c r="P41" s="21">
        <v>2020</v>
      </c>
      <c r="Q41" s="21"/>
    </row>
    <row r="42" spans="1:17" x14ac:dyDescent="0.25">
      <c r="A42" s="21" t="s">
        <v>134</v>
      </c>
      <c r="B42" s="21" t="s">
        <v>115</v>
      </c>
      <c r="C42" s="21" t="s">
        <v>135</v>
      </c>
      <c r="D42" s="21" t="s">
        <v>136</v>
      </c>
      <c r="E42" s="21" t="str">
        <f>'CUOTA INDUSTRIAL'!C6</f>
        <v>EMDEPES S.A.</v>
      </c>
      <c r="F42" s="21" t="s">
        <v>54</v>
      </c>
      <c r="G42" s="21" t="s">
        <v>65</v>
      </c>
      <c r="H42" s="22">
        <f>'CUOTA INDUSTRIAL'!K6</f>
        <v>20.554500000000001</v>
      </c>
      <c r="I42" s="22">
        <f>'CUOTA INDUSTRIAL'!L6</f>
        <v>0</v>
      </c>
      <c r="J42" s="22">
        <f>'CUOTA INDUSTRIAL'!M6</f>
        <v>20.554500000000001</v>
      </c>
      <c r="K42" s="22">
        <f>'CUOTA INDUSTRIAL'!N6</f>
        <v>0</v>
      </c>
      <c r="L42" s="22">
        <f>'CUOTA INDUSTRIAL'!O6</f>
        <v>20.554500000000001</v>
      </c>
      <c r="M42" s="47">
        <f>'CUOTA INDUSTRIAL'!P6</f>
        <v>0</v>
      </c>
      <c r="N42" s="24" t="s">
        <v>48</v>
      </c>
      <c r="O42" s="24">
        <f>RESUMEN!$B$3</f>
        <v>43913</v>
      </c>
      <c r="P42" s="21">
        <v>2020</v>
      </c>
      <c r="Q42" s="21"/>
    </row>
    <row r="43" spans="1:17" x14ac:dyDescent="0.25">
      <c r="A43" s="21" t="s">
        <v>134</v>
      </c>
      <c r="B43" s="21" t="s">
        <v>115</v>
      </c>
      <c r="C43" s="21" t="s">
        <v>135</v>
      </c>
      <c r="D43" s="21" t="s">
        <v>136</v>
      </c>
      <c r="E43" s="21" t="str">
        <f>'CUOTA INDUSTRIAL'!C8</f>
        <v>GRIMAR S.A. PESQ.</v>
      </c>
      <c r="F43" s="21" t="s">
        <v>54</v>
      </c>
      <c r="G43" s="21" t="s">
        <v>55</v>
      </c>
      <c r="H43" s="22">
        <f>'CUOTA INDUSTRIAL'!E8</f>
        <v>23.66</v>
      </c>
      <c r="I43" s="22">
        <f>'CUOTA INDUSTRIAL'!F8</f>
        <v>0</v>
      </c>
      <c r="J43" s="22">
        <f>'CUOTA INDUSTRIAL'!G8</f>
        <v>23.66</v>
      </c>
      <c r="K43" s="22">
        <f>'CUOTA INDUSTRIAL'!H8</f>
        <v>0.215</v>
      </c>
      <c r="L43" s="22">
        <f>'CUOTA INDUSTRIAL'!I8</f>
        <v>23.445</v>
      </c>
      <c r="M43" s="47">
        <f>'CUOTA INDUSTRIAL'!J8</f>
        <v>9.0870667793744708E-3</v>
      </c>
      <c r="N43" s="24" t="s">
        <v>48</v>
      </c>
      <c r="O43" s="24">
        <f>RESUMEN!$B$3</f>
        <v>43913</v>
      </c>
      <c r="P43" s="21">
        <v>2020</v>
      </c>
      <c r="Q43" s="21"/>
    </row>
    <row r="44" spans="1:17" x14ac:dyDescent="0.25">
      <c r="A44" s="21" t="s">
        <v>134</v>
      </c>
      <c r="B44" s="21" t="s">
        <v>115</v>
      </c>
      <c r="C44" s="21" t="s">
        <v>135</v>
      </c>
      <c r="D44" s="21" t="s">
        <v>136</v>
      </c>
      <c r="E44" s="21" t="str">
        <f>'CUOTA INDUSTRIAL'!C8</f>
        <v>GRIMAR S.A. PESQ.</v>
      </c>
      <c r="F44" s="21" t="s">
        <v>56</v>
      </c>
      <c r="G44" s="21" t="s">
        <v>65</v>
      </c>
      <c r="H44" s="22">
        <f>'CUOTA INDUSTRIAL'!E9</f>
        <v>23.738</v>
      </c>
      <c r="I44" s="22">
        <f>'CUOTA INDUSTRIAL'!F9</f>
        <v>0</v>
      </c>
      <c r="J44" s="22">
        <f>'CUOTA INDUSTRIAL'!G9</f>
        <v>47.183</v>
      </c>
      <c r="K44" s="22">
        <f>'CUOTA INDUSTRIAL'!H9</f>
        <v>0</v>
      </c>
      <c r="L44" s="22">
        <f>'CUOTA INDUSTRIAL'!I9</f>
        <v>47.183</v>
      </c>
      <c r="M44" s="47">
        <f>'CUOTA INDUSTRIAL'!J9</f>
        <v>0</v>
      </c>
      <c r="N44" s="24" t="s">
        <v>48</v>
      </c>
      <c r="O44" s="24">
        <f>RESUMEN!$B$3</f>
        <v>43913</v>
      </c>
      <c r="P44" s="21">
        <v>2020</v>
      </c>
      <c r="Q44" s="21"/>
    </row>
    <row r="45" spans="1:17" x14ac:dyDescent="0.25">
      <c r="A45" s="21" t="s">
        <v>134</v>
      </c>
      <c r="B45" s="21" t="s">
        <v>115</v>
      </c>
      <c r="C45" s="21" t="s">
        <v>135</v>
      </c>
      <c r="D45" s="21" t="s">
        <v>136</v>
      </c>
      <c r="E45" s="21" t="str">
        <f>'CUOTA INDUSTRIAL'!C8</f>
        <v>GRIMAR S.A. PESQ.</v>
      </c>
      <c r="F45" s="21" t="s">
        <v>54</v>
      </c>
      <c r="G45" s="21" t="s">
        <v>65</v>
      </c>
      <c r="H45" s="22">
        <f>'CUOTA INDUSTRIAL'!K8</f>
        <v>47.397999999999996</v>
      </c>
      <c r="I45" s="22">
        <f>'CUOTA INDUSTRIAL'!L8</f>
        <v>0</v>
      </c>
      <c r="J45" s="22">
        <f>'CUOTA INDUSTRIAL'!M8</f>
        <v>47.397999999999996</v>
      </c>
      <c r="K45" s="22">
        <f>'CUOTA INDUSTRIAL'!N8</f>
        <v>0.215</v>
      </c>
      <c r="L45" s="22">
        <f>'CUOTA INDUSTRIAL'!O8</f>
        <v>47.182999999999993</v>
      </c>
      <c r="M45" s="47">
        <f>'CUOTA INDUSTRIAL'!P8</f>
        <v>4.5360563736866538E-3</v>
      </c>
      <c r="N45" s="24" t="s">
        <v>48</v>
      </c>
      <c r="O45" s="24">
        <f>RESUMEN!$B$3</f>
        <v>43913</v>
      </c>
      <c r="P45" s="21">
        <v>2020</v>
      </c>
      <c r="Q45" s="21"/>
    </row>
    <row r="46" spans="1:17" x14ac:dyDescent="0.25">
      <c r="A46" s="21" t="s">
        <v>134</v>
      </c>
      <c r="B46" s="21" t="s">
        <v>115</v>
      </c>
      <c r="C46" s="21" t="s">
        <v>135</v>
      </c>
      <c r="D46" s="21" t="s">
        <v>136</v>
      </c>
      <c r="E46" s="21" t="str">
        <f>'CUOTA INDUSTRIAL'!C10</f>
        <v>DERIS S.A.</v>
      </c>
      <c r="F46" s="21" t="s">
        <v>54</v>
      </c>
      <c r="G46" s="21" t="s">
        <v>55</v>
      </c>
      <c r="H46" s="22">
        <f>'CUOTA INDUSTRIAL'!E10</f>
        <v>200.72800000000001</v>
      </c>
      <c r="I46" s="22">
        <f>'CUOTA INDUSTRIAL'!F10</f>
        <v>0</v>
      </c>
      <c r="J46" s="22">
        <f>'CUOTA INDUSTRIAL'!G10</f>
        <v>200.72800000000001</v>
      </c>
      <c r="K46" s="22">
        <f>'CUOTA INDUSTRIAL'!H10</f>
        <v>37.607999999999997</v>
      </c>
      <c r="L46" s="22">
        <f>'CUOTA INDUSTRIAL'!I10</f>
        <v>163.12</v>
      </c>
      <c r="M46" s="47">
        <f>'CUOTA INDUSTRIAL'!J10</f>
        <v>0.18735801681877962</v>
      </c>
      <c r="N46" s="24" t="s">
        <v>48</v>
      </c>
      <c r="O46" s="24">
        <f>RESUMEN!$B$3</f>
        <v>43913</v>
      </c>
      <c r="P46" s="21">
        <v>2020</v>
      </c>
      <c r="Q46" s="21"/>
    </row>
    <row r="47" spans="1:17" x14ac:dyDescent="0.25">
      <c r="A47" s="21" t="s">
        <v>134</v>
      </c>
      <c r="B47" s="21" t="s">
        <v>115</v>
      </c>
      <c r="C47" s="21" t="s">
        <v>135</v>
      </c>
      <c r="D47" s="21" t="s">
        <v>136</v>
      </c>
      <c r="E47" s="21" t="str">
        <f>'CUOTA INDUSTRIAL'!C10</f>
        <v>DERIS S.A.</v>
      </c>
      <c r="F47" s="21" t="s">
        <v>56</v>
      </c>
      <c r="G47" s="21" t="s">
        <v>65</v>
      </c>
      <c r="H47" s="22">
        <f>'CUOTA INDUSTRIAL'!E11</f>
        <v>201.386</v>
      </c>
      <c r="I47" s="22">
        <f>'CUOTA INDUSTRIAL'!F11</f>
        <v>0</v>
      </c>
      <c r="J47" s="22">
        <f>'CUOTA INDUSTRIAL'!G11</f>
        <v>364.50599999999997</v>
      </c>
      <c r="K47" s="22">
        <f>'CUOTA INDUSTRIAL'!H11</f>
        <v>0</v>
      </c>
      <c r="L47" s="22">
        <f>'CUOTA INDUSTRIAL'!I11</f>
        <v>364.50599999999997</v>
      </c>
      <c r="M47" s="47">
        <f>'CUOTA INDUSTRIAL'!J11</f>
        <v>0</v>
      </c>
      <c r="N47" s="24" t="s">
        <v>48</v>
      </c>
      <c r="O47" s="24">
        <f>RESUMEN!$B$3</f>
        <v>43913</v>
      </c>
      <c r="P47" s="21">
        <v>2020</v>
      </c>
      <c r="Q47" s="21"/>
    </row>
    <row r="48" spans="1:17" x14ac:dyDescent="0.25">
      <c r="A48" s="21" t="s">
        <v>134</v>
      </c>
      <c r="B48" s="21" t="s">
        <v>115</v>
      </c>
      <c r="C48" s="21" t="s">
        <v>135</v>
      </c>
      <c r="D48" s="21" t="s">
        <v>136</v>
      </c>
      <c r="E48" s="21" t="str">
        <f>'CUOTA INDUSTRIAL'!C10</f>
        <v>DERIS S.A.</v>
      </c>
      <c r="F48" s="21" t="s">
        <v>54</v>
      </c>
      <c r="G48" s="21" t="s">
        <v>65</v>
      </c>
      <c r="H48" s="22">
        <f>'CUOTA INDUSTRIAL'!K10</f>
        <v>402.11400000000003</v>
      </c>
      <c r="I48" s="22">
        <f>'CUOTA INDUSTRIAL'!L10</f>
        <v>0</v>
      </c>
      <c r="J48" s="22">
        <f>'CUOTA INDUSTRIAL'!M10</f>
        <v>402.11400000000003</v>
      </c>
      <c r="K48" s="22">
        <f>'CUOTA INDUSTRIAL'!N10</f>
        <v>37.607999999999997</v>
      </c>
      <c r="L48" s="22">
        <f>'CUOTA INDUSTRIAL'!O10</f>
        <v>364.50600000000003</v>
      </c>
      <c r="M48" s="47">
        <f>'CUOTA INDUSTRIAL'!P10</f>
        <v>9.3525716587833291E-2</v>
      </c>
      <c r="N48" s="24" t="s">
        <v>48</v>
      </c>
      <c r="O48" s="24">
        <f>RESUMEN!$B$3</f>
        <v>43913</v>
      </c>
      <c r="P48" s="21">
        <v>2020</v>
      </c>
      <c r="Q48" s="21"/>
    </row>
    <row r="49" spans="1:17" x14ac:dyDescent="0.25">
      <c r="A49" s="21" t="s">
        <v>134</v>
      </c>
      <c r="B49" s="21" t="s">
        <v>115</v>
      </c>
      <c r="C49" s="21" t="s">
        <v>135</v>
      </c>
      <c r="D49" s="21" t="s">
        <v>136</v>
      </c>
      <c r="E49" s="21" t="str">
        <f>'CUOTA INDUSTRIAL'!C12</f>
        <v>PESCA CISNE S.A.</v>
      </c>
      <c r="F49" s="21" t="s">
        <v>54</v>
      </c>
      <c r="G49" s="21" t="s">
        <v>55</v>
      </c>
      <c r="H49" s="22">
        <f>'CUOTA INDUSTRIAL'!E12</f>
        <v>4.4995000000000003</v>
      </c>
      <c r="I49" s="22">
        <f>'CUOTA INDUSTRIAL'!F12</f>
        <v>0</v>
      </c>
      <c r="J49" s="22">
        <f>'CUOTA INDUSTRIAL'!G12</f>
        <v>4.4995000000000003</v>
      </c>
      <c r="K49" s="22">
        <f>'CUOTA INDUSTRIAL'!H12</f>
        <v>0</v>
      </c>
      <c r="L49" s="22">
        <f>'CUOTA INDUSTRIAL'!I12</f>
        <v>4.4995000000000003</v>
      </c>
      <c r="M49" s="47">
        <f>'CUOTA INDUSTRIAL'!J12</f>
        <v>0</v>
      </c>
      <c r="N49" s="24" t="s">
        <v>48</v>
      </c>
      <c r="O49" s="24">
        <f>RESUMEN!$B$3</f>
        <v>43913</v>
      </c>
      <c r="P49" s="21">
        <v>2020</v>
      </c>
      <c r="Q49" s="21"/>
    </row>
    <row r="50" spans="1:17" x14ac:dyDescent="0.25">
      <c r="A50" s="21" t="s">
        <v>134</v>
      </c>
      <c r="B50" s="21" t="s">
        <v>115</v>
      </c>
      <c r="C50" s="21" t="s">
        <v>135</v>
      </c>
      <c r="D50" s="21" t="s">
        <v>136</v>
      </c>
      <c r="E50" s="21" t="str">
        <f>'CUOTA INDUSTRIAL'!C12</f>
        <v>PESCA CISNE S.A.</v>
      </c>
      <c r="F50" s="21" t="s">
        <v>56</v>
      </c>
      <c r="G50" s="21" t="s">
        <v>65</v>
      </c>
      <c r="H50" s="22">
        <f>'CUOTA INDUSTRIAL'!E13</f>
        <v>4.5140000000000002</v>
      </c>
      <c r="I50" s="22">
        <f>'CUOTA INDUSTRIAL'!F13</f>
        <v>0</v>
      </c>
      <c r="J50" s="22">
        <f>'CUOTA INDUSTRIAL'!G13</f>
        <v>9.0135000000000005</v>
      </c>
      <c r="K50" s="22">
        <f>'CUOTA INDUSTRIAL'!H13</f>
        <v>0</v>
      </c>
      <c r="L50" s="22">
        <f>'CUOTA INDUSTRIAL'!I13</f>
        <v>9.0135000000000005</v>
      </c>
      <c r="M50" s="47">
        <f>'CUOTA INDUSTRIAL'!J13</f>
        <v>0</v>
      </c>
      <c r="N50" s="24" t="s">
        <v>48</v>
      </c>
      <c r="O50" s="24">
        <f>RESUMEN!$B$3</f>
        <v>43913</v>
      </c>
      <c r="P50" s="21">
        <v>2020</v>
      </c>
      <c r="Q50" s="21"/>
    </row>
    <row r="51" spans="1:17" x14ac:dyDescent="0.25">
      <c r="A51" s="21" t="s">
        <v>134</v>
      </c>
      <c r="B51" s="21" t="s">
        <v>115</v>
      </c>
      <c r="C51" s="21" t="s">
        <v>135</v>
      </c>
      <c r="D51" s="21" t="s">
        <v>136</v>
      </c>
      <c r="E51" s="21" t="str">
        <f>'CUOTA INDUSTRIAL'!C12</f>
        <v>PESCA CISNE S.A.</v>
      </c>
      <c r="F51" s="21" t="s">
        <v>54</v>
      </c>
      <c r="G51" s="21" t="s">
        <v>65</v>
      </c>
      <c r="H51" s="22">
        <f>'CUOTA INDUSTRIAL'!K12</f>
        <v>9.0135000000000005</v>
      </c>
      <c r="I51" s="22">
        <f>'CUOTA INDUSTRIAL'!L12</f>
        <v>0</v>
      </c>
      <c r="J51" s="22">
        <f>'CUOTA INDUSTRIAL'!M12</f>
        <v>9.0135000000000005</v>
      </c>
      <c r="K51" s="22">
        <f>'CUOTA INDUSTRIAL'!N12</f>
        <v>0</v>
      </c>
      <c r="L51" s="22">
        <f>'CUOTA INDUSTRIAL'!O12</f>
        <v>9.0135000000000005</v>
      </c>
      <c r="M51" s="47">
        <f>'CUOTA INDUSTRIAL'!P12</f>
        <v>0</v>
      </c>
      <c r="N51" s="24" t="s">
        <v>48</v>
      </c>
      <c r="O51" s="24">
        <f>RESUMEN!$B$3</f>
        <v>43913</v>
      </c>
      <c r="P51" s="21">
        <v>2020</v>
      </c>
      <c r="Q51" s="21"/>
    </row>
    <row r="52" spans="1:17" x14ac:dyDescent="0.25">
      <c r="A52" s="21" t="s">
        <v>134</v>
      </c>
      <c r="B52" s="21" t="s">
        <v>115</v>
      </c>
      <c r="C52" s="21" t="s">
        <v>135</v>
      </c>
      <c r="D52" s="21" t="s">
        <v>136</v>
      </c>
      <c r="E52" s="21" t="str">
        <f>'CUOTA INDUSTRIAL'!C14</f>
        <v>SUR AUSTRAL S.A. PESQ.</v>
      </c>
      <c r="F52" s="21" t="s">
        <v>54</v>
      </c>
      <c r="G52" s="21" t="s">
        <v>55</v>
      </c>
      <c r="H52" s="22">
        <f>'CUOTA INDUSTRIAL'!E14</f>
        <v>42.948999999999998</v>
      </c>
      <c r="I52" s="22">
        <f>'CUOTA INDUSTRIAL'!F14</f>
        <v>0</v>
      </c>
      <c r="J52" s="22">
        <f>'CUOTA INDUSTRIAL'!G14</f>
        <v>42.948999999999998</v>
      </c>
      <c r="K52" s="22">
        <f>'CUOTA INDUSTRIAL'!H14</f>
        <v>0.10504000000000024</v>
      </c>
      <c r="L52" s="22">
        <f>'CUOTA INDUSTRIAL'!I14</f>
        <v>42.843959999999996</v>
      </c>
      <c r="M52" s="47">
        <f>'CUOTA INDUSTRIAL'!J14</f>
        <v>2.4456914014296081E-3</v>
      </c>
      <c r="N52" s="24" t="s">
        <v>48</v>
      </c>
      <c r="O52" s="24">
        <f>RESUMEN!$B$3</f>
        <v>43913</v>
      </c>
      <c r="P52" s="21">
        <v>2020</v>
      </c>
      <c r="Q52" s="21"/>
    </row>
    <row r="53" spans="1:17" x14ac:dyDescent="0.25">
      <c r="A53" s="21" t="s">
        <v>134</v>
      </c>
      <c r="B53" s="21" t="s">
        <v>115</v>
      </c>
      <c r="C53" s="21" t="s">
        <v>135</v>
      </c>
      <c r="D53" s="21" t="s">
        <v>136</v>
      </c>
      <c r="E53" s="21" t="str">
        <f>'CUOTA INDUSTRIAL'!C14</f>
        <v>SUR AUSTRAL S.A. PESQ.</v>
      </c>
      <c r="F53" s="21" t="s">
        <v>56</v>
      </c>
      <c r="G53" s="21" t="s">
        <v>65</v>
      </c>
      <c r="H53" s="22">
        <f>'CUOTA INDUSTRIAL'!E15</f>
        <v>43.09</v>
      </c>
      <c r="I53" s="22">
        <f>'CUOTA INDUSTRIAL'!F15</f>
        <v>0</v>
      </c>
      <c r="J53" s="22">
        <f>'CUOTA INDUSTRIAL'!G15</f>
        <v>85.933959999999999</v>
      </c>
      <c r="K53" s="22">
        <f>'CUOTA INDUSTRIAL'!H15</f>
        <v>0</v>
      </c>
      <c r="L53" s="22">
        <f>'CUOTA INDUSTRIAL'!I15</f>
        <v>85.933959999999999</v>
      </c>
      <c r="M53" s="47">
        <f>'CUOTA INDUSTRIAL'!J15</f>
        <v>0</v>
      </c>
      <c r="N53" s="24" t="s">
        <v>48</v>
      </c>
      <c r="O53" s="24">
        <f>RESUMEN!$B$3</f>
        <v>43913</v>
      </c>
      <c r="P53" s="21">
        <v>2020</v>
      </c>
      <c r="Q53" s="21"/>
    </row>
    <row r="54" spans="1:17" x14ac:dyDescent="0.25">
      <c r="A54" s="21" t="s">
        <v>134</v>
      </c>
      <c r="B54" s="21" t="s">
        <v>115</v>
      </c>
      <c r="C54" s="21" t="s">
        <v>135</v>
      </c>
      <c r="D54" s="21" t="s">
        <v>136</v>
      </c>
      <c r="E54" s="21" t="str">
        <f>'CUOTA INDUSTRIAL'!C14</f>
        <v>SUR AUSTRAL S.A. PESQ.</v>
      </c>
      <c r="F54" s="21" t="s">
        <v>54</v>
      </c>
      <c r="G54" s="21" t="s">
        <v>65</v>
      </c>
      <c r="H54" s="22">
        <f>'CUOTA INDUSTRIAL'!K14</f>
        <v>86.039000000000001</v>
      </c>
      <c r="I54" s="22">
        <f>'CUOTA INDUSTRIAL'!L14</f>
        <v>0</v>
      </c>
      <c r="J54" s="22">
        <f>'CUOTA INDUSTRIAL'!M14</f>
        <v>86.039000000000001</v>
      </c>
      <c r="K54" s="22">
        <f>'CUOTA INDUSTRIAL'!N14</f>
        <v>0.10504000000000024</v>
      </c>
      <c r="L54" s="22">
        <f>'CUOTA INDUSTRIAL'!O14</f>
        <v>85.933959999999999</v>
      </c>
      <c r="M54" s="47">
        <f>'CUOTA INDUSTRIAL'!P14</f>
        <v>1.2208417113169637E-3</v>
      </c>
      <c r="N54" s="24" t="s">
        <v>48</v>
      </c>
      <c r="O54" s="24">
        <f>RESUMEN!$B$3</f>
        <v>43913</v>
      </c>
      <c r="P54" s="21">
        <v>2020</v>
      </c>
      <c r="Q54" s="21"/>
    </row>
    <row r="55" spans="1:17" x14ac:dyDescent="0.25">
      <c r="A55" s="21" t="s">
        <v>134</v>
      </c>
      <c r="B55" s="21" t="s">
        <v>115</v>
      </c>
      <c r="C55" s="21" t="s">
        <v>135</v>
      </c>
      <c r="D55" s="21" t="s">
        <v>136</v>
      </c>
      <c r="E55" s="21" t="str">
        <f>'CUOTA INDUSTRIAL'!C16</f>
        <v>ISLA QUIHUA S.A. PESQ.</v>
      </c>
      <c r="F55" s="21" t="s">
        <v>54</v>
      </c>
      <c r="G55" s="21" t="s">
        <v>55</v>
      </c>
      <c r="H55" s="22">
        <f>'CUOTA INDUSTRIAL'!E16</f>
        <v>2.7E-2</v>
      </c>
      <c r="I55" s="22">
        <f>'CUOTA INDUSTRIAL'!F16</f>
        <v>0</v>
      </c>
      <c r="J55" s="22">
        <f>'CUOTA INDUSTRIAL'!G16</f>
        <v>2.7E-2</v>
      </c>
      <c r="K55" s="22">
        <f>'CUOTA INDUSTRIAL'!H16</f>
        <v>0</v>
      </c>
      <c r="L55" s="22">
        <f>'CUOTA INDUSTRIAL'!I16</f>
        <v>2.7E-2</v>
      </c>
      <c r="M55" s="47">
        <f>'CUOTA INDUSTRIAL'!J16</f>
        <v>0</v>
      </c>
      <c r="N55" s="24" t="s">
        <v>48</v>
      </c>
      <c r="O55" s="24">
        <f>RESUMEN!$B$3</f>
        <v>43913</v>
      </c>
      <c r="P55" s="21">
        <v>2020</v>
      </c>
      <c r="Q55" s="21"/>
    </row>
    <row r="56" spans="1:17" x14ac:dyDescent="0.25">
      <c r="A56" s="21" t="s">
        <v>134</v>
      </c>
      <c r="B56" s="21" t="s">
        <v>115</v>
      </c>
      <c r="C56" s="21" t="s">
        <v>135</v>
      </c>
      <c r="D56" s="21" t="s">
        <v>136</v>
      </c>
      <c r="E56" s="21" t="str">
        <f>'CUOTA INDUSTRIAL'!C16</f>
        <v>ISLA QUIHUA S.A. PESQ.</v>
      </c>
      <c r="F56" s="21" t="s">
        <v>56</v>
      </c>
      <c r="G56" s="21" t="s">
        <v>65</v>
      </c>
      <c r="H56" s="22">
        <f>'CUOTA INDUSTRIAL'!E17</f>
        <v>2.8000000000000001E-2</v>
      </c>
      <c r="I56" s="22">
        <f>'CUOTA INDUSTRIAL'!F17</f>
        <v>0</v>
      </c>
      <c r="J56" s="22">
        <f>'CUOTA INDUSTRIAL'!G17</f>
        <v>5.5E-2</v>
      </c>
      <c r="K56" s="22">
        <f>'CUOTA INDUSTRIAL'!H17</f>
        <v>0</v>
      </c>
      <c r="L56" s="22">
        <f>'CUOTA INDUSTRIAL'!I17</f>
        <v>5.5E-2</v>
      </c>
      <c r="M56" s="47">
        <f>'CUOTA INDUSTRIAL'!J17</f>
        <v>0</v>
      </c>
      <c r="N56" s="24" t="s">
        <v>48</v>
      </c>
      <c r="O56" s="24">
        <f>RESUMEN!$B$3</f>
        <v>43913</v>
      </c>
      <c r="P56" s="21">
        <v>2020</v>
      </c>
      <c r="Q56" s="21"/>
    </row>
    <row r="57" spans="1:17" x14ac:dyDescent="0.25">
      <c r="A57" s="21" t="s">
        <v>134</v>
      </c>
      <c r="B57" s="21" t="s">
        <v>115</v>
      </c>
      <c r="C57" s="21" t="s">
        <v>135</v>
      </c>
      <c r="D57" s="21" t="s">
        <v>136</v>
      </c>
      <c r="E57" s="21" t="str">
        <f>'CUOTA INDUSTRIAL'!C16</f>
        <v>ISLA QUIHUA S.A. PESQ.</v>
      </c>
      <c r="F57" s="21" t="s">
        <v>54</v>
      </c>
      <c r="G57" s="21" t="s">
        <v>65</v>
      </c>
      <c r="H57" s="22">
        <f>'CUOTA INDUSTRIAL'!K16</f>
        <v>5.5E-2</v>
      </c>
      <c r="I57" s="22">
        <f>'CUOTA INDUSTRIAL'!L16</f>
        <v>0</v>
      </c>
      <c r="J57" s="22">
        <f>'CUOTA INDUSTRIAL'!M16</f>
        <v>5.5E-2</v>
      </c>
      <c r="K57" s="22">
        <f>'CUOTA INDUSTRIAL'!N16</f>
        <v>0</v>
      </c>
      <c r="L57" s="22">
        <f>'CUOTA INDUSTRIAL'!O16</f>
        <v>5.5E-2</v>
      </c>
      <c r="M57" s="47">
        <f>'CUOTA INDUSTRIAL'!P16</f>
        <v>0</v>
      </c>
      <c r="N57" s="24" t="s">
        <v>48</v>
      </c>
      <c r="O57" s="24">
        <f>RESUMEN!$B$3</f>
        <v>43913</v>
      </c>
      <c r="P57" s="21">
        <v>2020</v>
      </c>
      <c r="Q57" s="21"/>
    </row>
    <row r="58" spans="1:17" x14ac:dyDescent="0.25">
      <c r="A58" s="21" t="s">
        <v>134</v>
      </c>
      <c r="B58" s="21" t="s">
        <v>115</v>
      </c>
      <c r="C58" s="21" t="s">
        <v>135</v>
      </c>
      <c r="D58" s="21" t="s">
        <v>136</v>
      </c>
      <c r="E58" s="21" t="str">
        <f>'CUOTA INDUSTRIAL'!C18</f>
        <v>CANAL AUSTRAL LTDA.</v>
      </c>
      <c r="F58" s="21" t="s">
        <v>54</v>
      </c>
      <c r="G58" s="21" t="s">
        <v>55</v>
      </c>
      <c r="H58" s="22">
        <f>'CUOTA INDUSTRIAL'!E18</f>
        <v>5.7189000000000005</v>
      </c>
      <c r="I58" s="22">
        <f>'CUOTA INDUSTRIAL'!F18</f>
        <v>0</v>
      </c>
      <c r="J58" s="22">
        <f>'CUOTA INDUSTRIAL'!G18</f>
        <v>5.7189000000000005</v>
      </c>
      <c r="K58" s="22">
        <f>'CUOTA INDUSTRIAL'!H18</f>
        <v>0</v>
      </c>
      <c r="L58" s="22">
        <f>'CUOTA INDUSTRIAL'!I18</f>
        <v>5.7189000000000005</v>
      </c>
      <c r="M58" s="47">
        <f>'CUOTA INDUSTRIAL'!J18</f>
        <v>0</v>
      </c>
      <c r="N58" s="24" t="s">
        <v>48</v>
      </c>
      <c r="O58" s="24">
        <f>RESUMEN!$B$3</f>
        <v>43913</v>
      </c>
      <c r="P58" s="21">
        <v>2020</v>
      </c>
      <c r="Q58" s="21"/>
    </row>
    <row r="59" spans="1:17" x14ac:dyDescent="0.25">
      <c r="A59" s="21" t="s">
        <v>134</v>
      </c>
      <c r="B59" s="21" t="s">
        <v>115</v>
      </c>
      <c r="C59" s="21" t="s">
        <v>135</v>
      </c>
      <c r="D59" s="21" t="s">
        <v>136</v>
      </c>
      <c r="E59" s="21" t="str">
        <f>'CUOTA INDUSTRIAL'!C18</f>
        <v>CANAL AUSTRAL LTDA.</v>
      </c>
      <c r="F59" s="21" t="s">
        <v>56</v>
      </c>
      <c r="G59" s="21" t="s">
        <v>65</v>
      </c>
      <c r="H59" s="22">
        <f>'CUOTA INDUSTRIAL'!E19</f>
        <v>5.7375000000000007</v>
      </c>
      <c r="I59" s="22">
        <f>'CUOTA INDUSTRIAL'!F19</f>
        <v>0</v>
      </c>
      <c r="J59" s="22">
        <f>'CUOTA INDUSTRIAL'!G19</f>
        <v>11.456400000000002</v>
      </c>
      <c r="K59" s="22">
        <f>'CUOTA INDUSTRIAL'!H19</f>
        <v>0</v>
      </c>
      <c r="L59" s="22">
        <f>'CUOTA INDUSTRIAL'!I19</f>
        <v>11.456400000000002</v>
      </c>
      <c r="M59" s="47">
        <f>'CUOTA INDUSTRIAL'!J19</f>
        <v>0</v>
      </c>
      <c r="N59" s="24" t="s">
        <v>48</v>
      </c>
      <c r="O59" s="24">
        <f>RESUMEN!$B$3</f>
        <v>43913</v>
      </c>
      <c r="P59" s="21">
        <v>2020</v>
      </c>
      <c r="Q59" s="21"/>
    </row>
    <row r="60" spans="1:17" x14ac:dyDescent="0.25">
      <c r="A60" s="21" t="s">
        <v>134</v>
      </c>
      <c r="B60" s="21" t="s">
        <v>115</v>
      </c>
      <c r="C60" s="21" t="s">
        <v>135</v>
      </c>
      <c r="D60" s="21" t="s">
        <v>136</v>
      </c>
      <c r="E60" s="21" t="str">
        <f>'CUOTA INDUSTRIAL'!C18</f>
        <v>CANAL AUSTRAL LTDA.</v>
      </c>
      <c r="F60" s="21" t="s">
        <v>54</v>
      </c>
      <c r="G60" s="21" t="s">
        <v>65</v>
      </c>
      <c r="H60" s="22">
        <f>'CUOTA INDUSTRIAL'!K18</f>
        <v>11.456400000000002</v>
      </c>
      <c r="I60" s="22">
        <f>'CUOTA INDUSTRIAL'!L18</f>
        <v>0</v>
      </c>
      <c r="J60" s="22">
        <f>'CUOTA INDUSTRIAL'!M18</f>
        <v>11.456400000000002</v>
      </c>
      <c r="K60" s="22">
        <f>'CUOTA INDUSTRIAL'!N18</f>
        <v>0</v>
      </c>
      <c r="L60" s="22">
        <f>'CUOTA INDUSTRIAL'!O18</f>
        <v>11.456400000000002</v>
      </c>
      <c r="M60" s="47">
        <f>'CUOTA INDUSTRIAL'!P18</f>
        <v>0</v>
      </c>
      <c r="N60" s="24" t="s">
        <v>48</v>
      </c>
      <c r="O60" s="24">
        <f>RESUMEN!$B$3</f>
        <v>43913</v>
      </c>
      <c r="P60" s="21">
        <v>2020</v>
      </c>
      <c r="Q60" s="21"/>
    </row>
    <row r="61" spans="1:17" x14ac:dyDescent="0.25">
      <c r="A61" s="21" t="s">
        <v>134</v>
      </c>
      <c r="B61" s="21" t="s">
        <v>115</v>
      </c>
      <c r="C61" s="21" t="s">
        <v>135</v>
      </c>
      <c r="D61" s="21" t="s">
        <v>136</v>
      </c>
      <c r="E61" s="21" t="str">
        <f>'CUOTA INDUSTRIAL'!C20</f>
        <v>MARCO SALINAS CARRASCO</v>
      </c>
      <c r="F61" s="21" t="s">
        <v>54</v>
      </c>
      <c r="G61" s="21" t="s">
        <v>55</v>
      </c>
      <c r="H61" s="22">
        <f>'CUOTA INDUSTRIAL'!E20</f>
        <v>1.9063000000000001</v>
      </c>
      <c r="I61" s="22">
        <f>'CUOTA INDUSTRIAL'!F20</f>
        <v>0</v>
      </c>
      <c r="J61" s="22">
        <f>'CUOTA INDUSTRIAL'!G20</f>
        <v>1.9063000000000001</v>
      </c>
      <c r="K61" s="22">
        <f>'CUOTA INDUSTRIAL'!H20</f>
        <v>0</v>
      </c>
      <c r="L61" s="22">
        <f>'CUOTA INDUSTRIAL'!I20</f>
        <v>1.9063000000000001</v>
      </c>
      <c r="M61" s="47">
        <f>'CUOTA INDUSTRIAL'!J20</f>
        <v>0</v>
      </c>
      <c r="N61" s="24" t="s">
        <v>48</v>
      </c>
      <c r="O61" s="24">
        <f>RESUMEN!$B$3</f>
        <v>43913</v>
      </c>
      <c r="P61" s="21">
        <v>2020</v>
      </c>
      <c r="Q61" s="21"/>
    </row>
    <row r="62" spans="1:17" x14ac:dyDescent="0.25">
      <c r="A62" s="21" t="s">
        <v>134</v>
      </c>
      <c r="B62" s="21" t="s">
        <v>115</v>
      </c>
      <c r="C62" s="21" t="s">
        <v>135</v>
      </c>
      <c r="D62" s="21" t="s">
        <v>136</v>
      </c>
      <c r="E62" s="21" t="str">
        <f>'CUOTA INDUSTRIAL'!C20</f>
        <v>MARCO SALINAS CARRASCO</v>
      </c>
      <c r="F62" s="21" t="s">
        <v>56</v>
      </c>
      <c r="G62" s="21" t="s">
        <v>65</v>
      </c>
      <c r="H62" s="22">
        <f>'CUOTA INDUSTRIAL'!E21</f>
        <v>1.9125000000000001</v>
      </c>
      <c r="I62" s="22">
        <f>'CUOTA INDUSTRIAL'!F21</f>
        <v>0</v>
      </c>
      <c r="J62" s="22">
        <f>'CUOTA INDUSTRIAL'!G21</f>
        <v>3.8188000000000004</v>
      </c>
      <c r="K62" s="22">
        <f>'CUOTA INDUSTRIAL'!H21</f>
        <v>0</v>
      </c>
      <c r="L62" s="22">
        <f>'CUOTA INDUSTRIAL'!I21</f>
        <v>3.8188000000000004</v>
      </c>
      <c r="M62" s="47">
        <f>'CUOTA INDUSTRIAL'!J21</f>
        <v>0</v>
      </c>
      <c r="N62" s="24" t="s">
        <v>48</v>
      </c>
      <c r="O62" s="24">
        <f>RESUMEN!$B$3</f>
        <v>43913</v>
      </c>
      <c r="P62" s="21">
        <v>2020</v>
      </c>
      <c r="Q62" s="21"/>
    </row>
    <row r="63" spans="1:17" x14ac:dyDescent="0.25">
      <c r="A63" s="21" t="s">
        <v>134</v>
      </c>
      <c r="B63" s="21" t="s">
        <v>115</v>
      </c>
      <c r="C63" s="21" t="s">
        <v>135</v>
      </c>
      <c r="D63" s="21" t="s">
        <v>136</v>
      </c>
      <c r="E63" s="21" t="str">
        <f>'CUOTA INDUSTRIAL'!C20</f>
        <v>MARCO SALINAS CARRASCO</v>
      </c>
      <c r="F63" s="21" t="s">
        <v>54</v>
      </c>
      <c r="G63" s="21" t="s">
        <v>65</v>
      </c>
      <c r="H63" s="22">
        <f>'CUOTA INDUSTRIAL'!K20</f>
        <v>3.8188000000000004</v>
      </c>
      <c r="I63" s="22">
        <f>'CUOTA INDUSTRIAL'!L20</f>
        <v>0</v>
      </c>
      <c r="J63" s="22">
        <f>'CUOTA INDUSTRIAL'!M20</f>
        <v>3.8188000000000004</v>
      </c>
      <c r="K63" s="22">
        <f>'CUOTA INDUSTRIAL'!N20</f>
        <v>0</v>
      </c>
      <c r="L63" s="22">
        <f>'CUOTA INDUSTRIAL'!O20</f>
        <v>3.8188000000000004</v>
      </c>
      <c r="M63" s="47">
        <f>'CUOTA INDUSTRIAL'!P20</f>
        <v>0</v>
      </c>
      <c r="N63" s="24" t="s">
        <v>48</v>
      </c>
      <c r="O63" s="24">
        <f>RESUMEN!$B$3</f>
        <v>43913</v>
      </c>
      <c r="P63" s="21">
        <v>2020</v>
      </c>
      <c r="Q63" s="21"/>
    </row>
    <row r="64" spans="1:17" x14ac:dyDescent="0.25">
      <c r="A64" s="21" t="s">
        <v>137</v>
      </c>
      <c r="B64" s="21" t="s">
        <v>115</v>
      </c>
      <c r="C64" s="21" t="s">
        <v>138</v>
      </c>
      <c r="D64" s="21" t="s">
        <v>136</v>
      </c>
      <c r="E64" s="21" t="str">
        <f>'CUOTA INDUSTRIAL'!C27</f>
        <v>EMDEPES S.A.</v>
      </c>
      <c r="F64" s="21" t="s">
        <v>54</v>
      </c>
      <c r="G64" s="21" t="s">
        <v>55</v>
      </c>
      <c r="H64" s="22">
        <f>'CUOTA INDUSTRIAL'!E27</f>
        <v>19.568300000000001</v>
      </c>
      <c r="I64" s="22">
        <f>'CUOTA INDUSTRIAL'!F27</f>
        <v>0</v>
      </c>
      <c r="J64" s="22">
        <f>'CUOTA INDUSTRIAL'!G27</f>
        <v>19.568300000000001</v>
      </c>
      <c r="K64" s="22">
        <f>'CUOTA INDUSTRIAL'!H27</f>
        <v>0</v>
      </c>
      <c r="L64" s="22">
        <f>'CUOTA INDUSTRIAL'!I27</f>
        <v>19.568300000000001</v>
      </c>
      <c r="M64" s="47">
        <f>'CUOTA INDUSTRIAL'!J27</f>
        <v>0</v>
      </c>
      <c r="N64" s="24" t="s">
        <v>48</v>
      </c>
      <c r="O64" s="24">
        <f>RESUMEN!$B$3</f>
        <v>43913</v>
      </c>
      <c r="P64" s="21">
        <v>2020</v>
      </c>
      <c r="Q64" s="21"/>
    </row>
    <row r="65" spans="1:17" x14ac:dyDescent="0.25">
      <c r="A65" s="21" t="s">
        <v>137</v>
      </c>
      <c r="B65" s="21" t="s">
        <v>115</v>
      </c>
      <c r="C65" s="21" t="s">
        <v>138</v>
      </c>
      <c r="D65" s="21" t="s">
        <v>136</v>
      </c>
      <c r="E65" s="21" t="str">
        <f>'CUOTA INDUSTRIAL'!C27</f>
        <v>EMDEPES S.A.</v>
      </c>
      <c r="F65" s="21" t="s">
        <v>56</v>
      </c>
      <c r="G65" s="21" t="s">
        <v>65</v>
      </c>
      <c r="H65" s="22">
        <f>'CUOTA INDUSTRIAL'!E28</f>
        <v>19.568300000000001</v>
      </c>
      <c r="I65" s="22">
        <f>'CUOTA INDUSTRIAL'!F28</f>
        <v>0</v>
      </c>
      <c r="J65" s="22">
        <f>'CUOTA INDUSTRIAL'!G28</f>
        <v>39.136600000000001</v>
      </c>
      <c r="K65" s="22">
        <f>'CUOTA INDUSTRIAL'!H28</f>
        <v>0</v>
      </c>
      <c r="L65" s="22">
        <f>'CUOTA INDUSTRIAL'!I28</f>
        <v>39.136600000000001</v>
      </c>
      <c r="M65" s="47">
        <f>'CUOTA INDUSTRIAL'!J28</f>
        <v>0</v>
      </c>
      <c r="N65" s="24" t="s">
        <v>48</v>
      </c>
      <c r="O65" s="24">
        <f>RESUMEN!$B$3</f>
        <v>43913</v>
      </c>
      <c r="P65" s="21">
        <v>2020</v>
      </c>
      <c r="Q65" s="21"/>
    </row>
    <row r="66" spans="1:17" x14ac:dyDescent="0.25">
      <c r="A66" s="21" t="s">
        <v>137</v>
      </c>
      <c r="B66" s="21" t="s">
        <v>115</v>
      </c>
      <c r="C66" s="21" t="s">
        <v>138</v>
      </c>
      <c r="D66" s="21" t="s">
        <v>136</v>
      </c>
      <c r="E66" s="21" t="str">
        <f>'CUOTA INDUSTRIAL'!C27</f>
        <v>EMDEPES S.A.</v>
      </c>
      <c r="F66" s="21" t="s">
        <v>54</v>
      </c>
      <c r="G66" s="21" t="s">
        <v>65</v>
      </c>
      <c r="H66" s="22">
        <f>'CUOTA INDUSTRIAL'!K27</f>
        <v>39.136600000000001</v>
      </c>
      <c r="I66" s="22">
        <f>'CUOTA INDUSTRIAL'!L27</f>
        <v>0</v>
      </c>
      <c r="J66" s="22">
        <f>'CUOTA INDUSTRIAL'!M27</f>
        <v>39.136600000000001</v>
      </c>
      <c r="K66" s="22">
        <f>'CUOTA INDUSTRIAL'!N27</f>
        <v>0</v>
      </c>
      <c r="L66" s="22">
        <f>'CUOTA INDUSTRIAL'!O27</f>
        <v>39.136600000000001</v>
      </c>
      <c r="M66" s="47">
        <f>'CUOTA INDUSTRIAL'!P27</f>
        <v>0</v>
      </c>
      <c r="N66" s="24" t="s">
        <v>48</v>
      </c>
      <c r="O66" s="24">
        <f>RESUMEN!$B$3</f>
        <v>43913</v>
      </c>
      <c r="P66" s="21">
        <v>2020</v>
      </c>
      <c r="Q66" s="21"/>
    </row>
    <row r="67" spans="1:17" x14ac:dyDescent="0.25">
      <c r="A67" s="21" t="s">
        <v>137</v>
      </c>
      <c r="B67" s="21" t="s">
        <v>115</v>
      </c>
      <c r="C67" s="21" t="s">
        <v>138</v>
      </c>
      <c r="D67" s="21" t="s">
        <v>136</v>
      </c>
      <c r="E67" s="21" t="str">
        <f>'CUOTA INDUSTRIAL'!C29</f>
        <v>GRIMAR S.A. PESQ.</v>
      </c>
      <c r="F67" s="21" t="s">
        <v>54</v>
      </c>
      <c r="G67" s="21" t="s">
        <v>55</v>
      </c>
      <c r="H67" s="22">
        <f>'CUOTA INDUSTRIAL'!E29</f>
        <v>0.48099999999999998</v>
      </c>
      <c r="I67" s="22">
        <f>'CUOTA INDUSTRIAL'!F29</f>
        <v>0</v>
      </c>
      <c r="J67" s="22">
        <f>'CUOTA INDUSTRIAL'!G29</f>
        <v>0.48099999999999998</v>
      </c>
      <c r="K67" s="22">
        <f>'CUOTA INDUSTRIAL'!H29</f>
        <v>0</v>
      </c>
      <c r="L67" s="22">
        <f>'CUOTA INDUSTRIAL'!I29</f>
        <v>0.48099999999999998</v>
      </c>
      <c r="M67" s="47">
        <f>'CUOTA INDUSTRIAL'!J29</f>
        <v>0</v>
      </c>
      <c r="N67" s="24" t="s">
        <v>48</v>
      </c>
      <c r="O67" s="24">
        <f>RESUMEN!$B$3</f>
        <v>43913</v>
      </c>
      <c r="P67" s="21">
        <v>2020</v>
      </c>
      <c r="Q67" s="21"/>
    </row>
    <row r="68" spans="1:17" x14ac:dyDescent="0.25">
      <c r="A68" s="21" t="s">
        <v>137</v>
      </c>
      <c r="B68" s="21" t="s">
        <v>115</v>
      </c>
      <c r="C68" s="21" t="s">
        <v>138</v>
      </c>
      <c r="D68" s="21" t="s">
        <v>136</v>
      </c>
      <c r="E68" s="21" t="str">
        <f>'CUOTA INDUSTRIAL'!C29</f>
        <v>GRIMAR S.A. PESQ.</v>
      </c>
      <c r="F68" s="21" t="s">
        <v>56</v>
      </c>
      <c r="G68" s="21" t="s">
        <v>65</v>
      </c>
      <c r="H68" s="22">
        <f>'CUOTA INDUSTRIAL'!E30</f>
        <v>0.48099999999999998</v>
      </c>
      <c r="I68" s="22">
        <f>'CUOTA INDUSTRIAL'!F30</f>
        <v>0</v>
      </c>
      <c r="J68" s="22">
        <f>'CUOTA INDUSTRIAL'!G30</f>
        <v>0.96199999999999997</v>
      </c>
      <c r="K68" s="22">
        <f>'CUOTA INDUSTRIAL'!H30</f>
        <v>0</v>
      </c>
      <c r="L68" s="22">
        <f>'CUOTA INDUSTRIAL'!I30</f>
        <v>0.96199999999999997</v>
      </c>
      <c r="M68" s="47">
        <f>'CUOTA INDUSTRIAL'!J30</f>
        <v>0</v>
      </c>
      <c r="N68" s="24" t="s">
        <v>48</v>
      </c>
      <c r="O68" s="24">
        <f>RESUMEN!$B$3</f>
        <v>43913</v>
      </c>
      <c r="P68" s="21">
        <v>2020</v>
      </c>
      <c r="Q68" s="21"/>
    </row>
    <row r="69" spans="1:17" x14ac:dyDescent="0.25">
      <c r="A69" s="21" t="s">
        <v>137</v>
      </c>
      <c r="B69" s="21" t="s">
        <v>115</v>
      </c>
      <c r="C69" s="21" t="s">
        <v>138</v>
      </c>
      <c r="D69" s="21" t="s">
        <v>136</v>
      </c>
      <c r="E69" s="21" t="str">
        <f>'CUOTA INDUSTRIAL'!C29</f>
        <v>GRIMAR S.A. PESQ.</v>
      </c>
      <c r="F69" s="21" t="s">
        <v>54</v>
      </c>
      <c r="G69" s="21" t="s">
        <v>65</v>
      </c>
      <c r="H69" s="22">
        <f>'CUOTA INDUSTRIAL'!K29</f>
        <v>0.96199999999999997</v>
      </c>
      <c r="I69" s="22">
        <f>'CUOTA INDUSTRIAL'!L29</f>
        <v>0</v>
      </c>
      <c r="J69" s="22">
        <f>'CUOTA INDUSTRIAL'!M29</f>
        <v>0.96199999999999997</v>
      </c>
      <c r="K69" s="22">
        <f>'CUOTA INDUSTRIAL'!N29</f>
        <v>0</v>
      </c>
      <c r="L69" s="22">
        <f>'CUOTA INDUSTRIAL'!O29</f>
        <v>0.96199999999999997</v>
      </c>
      <c r="M69" s="47">
        <f>'CUOTA INDUSTRIAL'!P29</f>
        <v>0</v>
      </c>
      <c r="N69" s="24" t="s">
        <v>48</v>
      </c>
      <c r="O69" s="24">
        <f>RESUMEN!$B$3</f>
        <v>43913</v>
      </c>
      <c r="P69" s="21">
        <v>2020</v>
      </c>
      <c r="Q69" s="21"/>
    </row>
    <row r="70" spans="1:17" x14ac:dyDescent="0.25">
      <c r="A70" s="21" t="s">
        <v>137</v>
      </c>
      <c r="B70" s="21" t="s">
        <v>115</v>
      </c>
      <c r="C70" s="21" t="s">
        <v>138</v>
      </c>
      <c r="D70" s="21" t="s">
        <v>136</v>
      </c>
      <c r="E70" s="21" t="str">
        <f>'CUOTA INDUSTRIAL'!C31</f>
        <v>DERIS S.A.</v>
      </c>
      <c r="F70" s="21" t="s">
        <v>54</v>
      </c>
      <c r="G70" s="21" t="s">
        <v>55</v>
      </c>
      <c r="H70" s="22">
        <f>'CUOTA INDUSTRIAL'!E31</f>
        <v>95.626000000000005</v>
      </c>
      <c r="I70" s="22">
        <f>'CUOTA INDUSTRIAL'!F31</f>
        <v>0</v>
      </c>
      <c r="J70" s="22">
        <f>'CUOTA INDUSTRIAL'!G31</f>
        <v>95.626000000000005</v>
      </c>
      <c r="K70" s="22">
        <f>'CUOTA INDUSTRIAL'!H31</f>
        <v>25.67</v>
      </c>
      <c r="L70" s="22">
        <f>'CUOTA INDUSTRIAL'!I31</f>
        <v>69.956000000000003</v>
      </c>
      <c r="M70" s="47">
        <f>'CUOTA INDUSTRIAL'!J31</f>
        <v>0.268441637211637</v>
      </c>
      <c r="N70" s="24" t="s">
        <v>48</v>
      </c>
      <c r="O70" s="24">
        <f>RESUMEN!$B$3</f>
        <v>43913</v>
      </c>
      <c r="P70" s="21">
        <v>2020</v>
      </c>
      <c r="Q70" s="21"/>
    </row>
    <row r="71" spans="1:17" x14ac:dyDescent="0.25">
      <c r="A71" s="21" t="s">
        <v>137</v>
      </c>
      <c r="B71" s="21" t="s">
        <v>115</v>
      </c>
      <c r="C71" s="21" t="s">
        <v>138</v>
      </c>
      <c r="D71" s="21" t="s">
        <v>136</v>
      </c>
      <c r="E71" s="21" t="str">
        <f>'CUOTA INDUSTRIAL'!C31</f>
        <v>DERIS S.A.</v>
      </c>
      <c r="F71" s="21" t="s">
        <v>56</v>
      </c>
      <c r="G71" s="21" t="s">
        <v>65</v>
      </c>
      <c r="H71" s="22">
        <f>'CUOTA INDUSTRIAL'!E32</f>
        <v>95.626000000000005</v>
      </c>
      <c r="I71" s="22">
        <f>'CUOTA INDUSTRIAL'!F32</f>
        <v>0</v>
      </c>
      <c r="J71" s="22">
        <f>'CUOTA INDUSTRIAL'!G32</f>
        <v>165.58199999999999</v>
      </c>
      <c r="K71" s="22">
        <f>'CUOTA INDUSTRIAL'!H32</f>
        <v>0</v>
      </c>
      <c r="L71" s="22">
        <f>'CUOTA INDUSTRIAL'!I32</f>
        <v>165.58199999999999</v>
      </c>
      <c r="M71" s="47">
        <f>'CUOTA INDUSTRIAL'!J32</f>
        <v>0</v>
      </c>
      <c r="N71" s="24" t="s">
        <v>48</v>
      </c>
      <c r="O71" s="24">
        <f>RESUMEN!$B$3</f>
        <v>43913</v>
      </c>
      <c r="P71" s="21">
        <v>2020</v>
      </c>
      <c r="Q71" s="21"/>
    </row>
    <row r="72" spans="1:17" x14ac:dyDescent="0.25">
      <c r="A72" s="21" t="s">
        <v>137</v>
      </c>
      <c r="B72" s="21" t="s">
        <v>115</v>
      </c>
      <c r="C72" s="21" t="s">
        <v>138</v>
      </c>
      <c r="D72" s="21" t="s">
        <v>136</v>
      </c>
      <c r="E72" s="21" t="str">
        <f>'CUOTA INDUSTRIAL'!C31</f>
        <v>DERIS S.A.</v>
      </c>
      <c r="F72" s="21" t="s">
        <v>54</v>
      </c>
      <c r="G72" s="21" t="s">
        <v>65</v>
      </c>
      <c r="H72" s="22">
        <f>'CUOTA INDUSTRIAL'!K31</f>
        <v>191.25200000000001</v>
      </c>
      <c r="I72" s="22">
        <f>'CUOTA INDUSTRIAL'!L31</f>
        <v>0</v>
      </c>
      <c r="J72" s="22">
        <f>'CUOTA INDUSTRIAL'!M31</f>
        <v>191.25200000000001</v>
      </c>
      <c r="K72" s="22">
        <f>'CUOTA INDUSTRIAL'!N31</f>
        <v>25.67</v>
      </c>
      <c r="L72" s="22">
        <f>'CUOTA INDUSTRIAL'!O31</f>
        <v>165.58199999999999</v>
      </c>
      <c r="M72" s="47">
        <f>'CUOTA INDUSTRIAL'!P31</f>
        <v>0.1342208186058185</v>
      </c>
      <c r="N72" s="24" t="s">
        <v>48</v>
      </c>
      <c r="O72" s="24">
        <f>RESUMEN!$B$3</f>
        <v>43913</v>
      </c>
      <c r="P72" s="21">
        <v>2020</v>
      </c>
      <c r="Q72" s="21"/>
    </row>
    <row r="73" spans="1:17" x14ac:dyDescent="0.25">
      <c r="A73" s="21" t="s">
        <v>137</v>
      </c>
      <c r="B73" s="21" t="s">
        <v>115</v>
      </c>
      <c r="C73" s="21" t="s">
        <v>138</v>
      </c>
      <c r="D73" s="21" t="s">
        <v>136</v>
      </c>
      <c r="E73" s="21" t="str">
        <f>'CUOTA INDUSTRIAL'!C33</f>
        <v>PESCA CISNE S.A.</v>
      </c>
      <c r="F73" s="21" t="s">
        <v>54</v>
      </c>
      <c r="G73" s="21" t="s">
        <v>55</v>
      </c>
      <c r="H73" s="22">
        <f>'CUOTA INDUSTRIAL'!E33</f>
        <v>36.251300000000001</v>
      </c>
      <c r="I73" s="22">
        <f>'CUOTA INDUSTRIAL'!F33</f>
        <v>0</v>
      </c>
      <c r="J73" s="22">
        <f>'CUOTA INDUSTRIAL'!G33</f>
        <v>36.251300000000001</v>
      </c>
      <c r="K73" s="22">
        <f>'CUOTA INDUSTRIAL'!H33</f>
        <v>39.624000000000002</v>
      </c>
      <c r="L73" s="22">
        <f>'CUOTA INDUSTRIAL'!I33</f>
        <v>-3.3727000000000018</v>
      </c>
      <c r="M73" s="47">
        <f>'CUOTA INDUSTRIAL'!J33</f>
        <v>1.0930366635127569</v>
      </c>
      <c r="N73" s="24" t="s">
        <v>48</v>
      </c>
      <c r="O73" s="24">
        <f>RESUMEN!$B$3</f>
        <v>43913</v>
      </c>
      <c r="P73" s="21">
        <v>2020</v>
      </c>
      <c r="Q73" s="21"/>
    </row>
    <row r="74" spans="1:17" x14ac:dyDescent="0.25">
      <c r="A74" s="21" t="s">
        <v>137</v>
      </c>
      <c r="B74" s="21" t="s">
        <v>115</v>
      </c>
      <c r="C74" s="21" t="s">
        <v>138</v>
      </c>
      <c r="D74" s="21" t="s">
        <v>136</v>
      </c>
      <c r="E74" s="21" t="str">
        <f>'CUOTA INDUSTRIAL'!C33</f>
        <v>PESCA CISNE S.A.</v>
      </c>
      <c r="F74" s="21" t="s">
        <v>56</v>
      </c>
      <c r="G74" s="21" t="s">
        <v>65</v>
      </c>
      <c r="H74" s="22">
        <f>'CUOTA INDUSTRIAL'!E34</f>
        <v>36.251300000000001</v>
      </c>
      <c r="I74" s="22">
        <f>'CUOTA INDUSTRIAL'!F34</f>
        <v>0</v>
      </c>
      <c r="J74" s="22">
        <f>'CUOTA INDUSTRIAL'!G34</f>
        <v>32.878599999999999</v>
      </c>
      <c r="K74" s="22">
        <f>'CUOTA INDUSTRIAL'!H34</f>
        <v>0</v>
      </c>
      <c r="L74" s="22">
        <f>'CUOTA INDUSTRIAL'!I34</f>
        <v>32.878599999999999</v>
      </c>
      <c r="M74" s="47">
        <f>'CUOTA INDUSTRIAL'!J34</f>
        <v>0</v>
      </c>
      <c r="N74" s="24" t="s">
        <v>48</v>
      </c>
      <c r="O74" s="24">
        <f>RESUMEN!$B$3</f>
        <v>43913</v>
      </c>
      <c r="P74" s="21">
        <v>2020</v>
      </c>
      <c r="Q74" s="21"/>
    </row>
    <row r="75" spans="1:17" x14ac:dyDescent="0.25">
      <c r="A75" s="21" t="s">
        <v>137</v>
      </c>
      <c r="B75" s="21" t="s">
        <v>115</v>
      </c>
      <c r="C75" s="21" t="s">
        <v>138</v>
      </c>
      <c r="D75" s="21" t="s">
        <v>136</v>
      </c>
      <c r="E75" s="21" t="str">
        <f>'CUOTA INDUSTRIAL'!C33</f>
        <v>PESCA CISNE S.A.</v>
      </c>
      <c r="F75" s="21" t="s">
        <v>54</v>
      </c>
      <c r="G75" s="21" t="s">
        <v>65</v>
      </c>
      <c r="H75" s="22">
        <f>'CUOTA INDUSTRIAL'!K33</f>
        <v>72.502600000000001</v>
      </c>
      <c r="I75" s="22">
        <f>'CUOTA INDUSTRIAL'!L33</f>
        <v>0</v>
      </c>
      <c r="J75" s="22">
        <f>'CUOTA INDUSTRIAL'!M33</f>
        <v>72.502600000000001</v>
      </c>
      <c r="K75" s="22">
        <f>'CUOTA INDUSTRIAL'!N33</f>
        <v>39.624000000000002</v>
      </c>
      <c r="L75" s="22">
        <f>'CUOTA INDUSTRIAL'!O33</f>
        <v>32.878599999999999</v>
      </c>
      <c r="M75" s="47">
        <f>'CUOTA INDUSTRIAL'!P33</f>
        <v>0.54651833175637843</v>
      </c>
      <c r="N75" s="24" t="s">
        <v>48</v>
      </c>
      <c r="O75" s="24">
        <f>RESUMEN!$B$3</f>
        <v>43913</v>
      </c>
      <c r="P75" s="21">
        <v>2020</v>
      </c>
      <c r="Q75" s="21"/>
    </row>
    <row r="76" spans="1:17" x14ac:dyDescent="0.25">
      <c r="A76" s="21" t="s">
        <v>137</v>
      </c>
      <c r="B76" s="21" t="s">
        <v>115</v>
      </c>
      <c r="C76" s="21" t="s">
        <v>138</v>
      </c>
      <c r="D76" s="21" t="s">
        <v>136</v>
      </c>
      <c r="E76" s="21" t="str">
        <f>'CUOTA INDUSTRIAL'!C35</f>
        <v>SUR AUSTRAL S.A. PESQ.</v>
      </c>
      <c r="F76" s="21" t="s">
        <v>54</v>
      </c>
      <c r="G76" s="21" t="s">
        <v>55</v>
      </c>
      <c r="H76" s="22">
        <f>'CUOTA INDUSTRIAL'!E35</f>
        <v>0.23599999999999999</v>
      </c>
      <c r="I76" s="22">
        <f>'CUOTA INDUSTRIAL'!F35</f>
        <v>0</v>
      </c>
      <c r="J76" s="22">
        <f>'CUOTA INDUSTRIAL'!G35</f>
        <v>0.23599999999999999</v>
      </c>
      <c r="K76" s="22">
        <f>'CUOTA INDUSTRIAL'!H35</f>
        <v>0</v>
      </c>
      <c r="L76" s="22">
        <f>'CUOTA INDUSTRIAL'!I35</f>
        <v>0.23599999999999999</v>
      </c>
      <c r="M76" s="47">
        <f>'CUOTA INDUSTRIAL'!J35</f>
        <v>0</v>
      </c>
      <c r="N76" s="24" t="s">
        <v>48</v>
      </c>
      <c r="O76" s="24">
        <f>RESUMEN!$B$3</f>
        <v>43913</v>
      </c>
      <c r="P76" s="21">
        <v>2020</v>
      </c>
      <c r="Q76" s="21"/>
    </row>
    <row r="77" spans="1:17" x14ac:dyDescent="0.25">
      <c r="A77" s="21" t="s">
        <v>137</v>
      </c>
      <c r="B77" s="21" t="s">
        <v>115</v>
      </c>
      <c r="C77" s="21" t="s">
        <v>138</v>
      </c>
      <c r="D77" s="21" t="s">
        <v>136</v>
      </c>
      <c r="E77" s="21" t="str">
        <f>'CUOTA INDUSTRIAL'!C35</f>
        <v>SUR AUSTRAL S.A. PESQ.</v>
      </c>
      <c r="F77" s="21" t="s">
        <v>56</v>
      </c>
      <c r="G77" s="21" t="s">
        <v>65</v>
      </c>
      <c r="H77" s="22">
        <f>'CUOTA INDUSTRIAL'!E36</f>
        <v>0.23599999999999999</v>
      </c>
      <c r="I77" s="22">
        <f>'CUOTA INDUSTRIAL'!F36</f>
        <v>0</v>
      </c>
      <c r="J77" s="22">
        <f>'CUOTA INDUSTRIAL'!G36</f>
        <v>0.47199999999999998</v>
      </c>
      <c r="K77" s="22">
        <f>'CUOTA INDUSTRIAL'!H36</f>
        <v>0</v>
      </c>
      <c r="L77" s="22">
        <f>'CUOTA INDUSTRIAL'!I36</f>
        <v>0.47199999999999998</v>
      </c>
      <c r="M77" s="47">
        <f>'CUOTA INDUSTRIAL'!J36</f>
        <v>0</v>
      </c>
      <c r="N77" s="24" t="s">
        <v>48</v>
      </c>
      <c r="O77" s="24">
        <f>RESUMEN!$B$3</f>
        <v>43913</v>
      </c>
      <c r="P77" s="21">
        <v>2020</v>
      </c>
      <c r="Q77" s="21"/>
    </row>
    <row r="78" spans="1:17" x14ac:dyDescent="0.25">
      <c r="A78" s="21" t="s">
        <v>137</v>
      </c>
      <c r="B78" s="21" t="s">
        <v>115</v>
      </c>
      <c r="C78" s="21" t="s">
        <v>138</v>
      </c>
      <c r="D78" s="21" t="s">
        <v>136</v>
      </c>
      <c r="E78" s="21" t="str">
        <f>'CUOTA INDUSTRIAL'!C35</f>
        <v>SUR AUSTRAL S.A. PESQ.</v>
      </c>
      <c r="F78" s="21" t="s">
        <v>54</v>
      </c>
      <c r="G78" s="21" t="s">
        <v>65</v>
      </c>
      <c r="H78" s="22">
        <f>'CUOTA INDUSTRIAL'!K35</f>
        <v>0.47199999999999998</v>
      </c>
      <c r="I78" s="22">
        <f>'CUOTA INDUSTRIAL'!L35</f>
        <v>0</v>
      </c>
      <c r="J78" s="22">
        <f>'CUOTA INDUSTRIAL'!M35</f>
        <v>0.47199999999999998</v>
      </c>
      <c r="K78" s="22">
        <f>'CUOTA INDUSTRIAL'!N35</f>
        <v>0</v>
      </c>
      <c r="L78" s="22">
        <f>'CUOTA INDUSTRIAL'!O35</f>
        <v>0.47199999999999998</v>
      </c>
      <c r="M78" s="47">
        <f>'CUOTA INDUSTRIAL'!P35</f>
        <v>0</v>
      </c>
      <c r="N78" s="24" t="s">
        <v>48</v>
      </c>
      <c r="O78" s="24">
        <f>RESUMEN!$B$3</f>
        <v>43913</v>
      </c>
      <c r="P78" s="21">
        <v>2020</v>
      </c>
      <c r="Q78" s="21"/>
    </row>
    <row r="79" spans="1:17" x14ac:dyDescent="0.25">
      <c r="A79" s="21" t="s">
        <v>137</v>
      </c>
      <c r="B79" s="21" t="s">
        <v>115</v>
      </c>
      <c r="C79" s="21" t="s">
        <v>138</v>
      </c>
      <c r="D79" s="21" t="s">
        <v>136</v>
      </c>
      <c r="E79" s="21" t="str">
        <f>'CUOTA INDUSTRIAL'!C37</f>
        <v>CANAL AUSTRAL LTDA.</v>
      </c>
      <c r="F79" s="21" t="s">
        <v>54</v>
      </c>
      <c r="G79" s="21" t="s">
        <v>55</v>
      </c>
      <c r="H79" s="22">
        <f>'CUOTA INDUSTRIAL'!E37</f>
        <v>2.0562999999999998</v>
      </c>
      <c r="I79" s="22">
        <f>'CUOTA INDUSTRIAL'!F37</f>
        <v>0</v>
      </c>
      <c r="J79" s="22">
        <f>'CUOTA INDUSTRIAL'!G37</f>
        <v>2.0562999999999998</v>
      </c>
      <c r="K79" s="22">
        <f>'CUOTA INDUSTRIAL'!H37</f>
        <v>0</v>
      </c>
      <c r="L79" s="22">
        <f>'CUOTA INDUSTRIAL'!I37</f>
        <v>2.0562999999999998</v>
      </c>
      <c r="M79" s="47">
        <f>'CUOTA INDUSTRIAL'!J37</f>
        <v>0</v>
      </c>
      <c r="N79" s="24" t="s">
        <v>48</v>
      </c>
      <c r="O79" s="24">
        <f>RESUMEN!$B$3</f>
        <v>43913</v>
      </c>
      <c r="P79" s="21">
        <v>2020</v>
      </c>
      <c r="Q79" s="21"/>
    </row>
    <row r="80" spans="1:17" x14ac:dyDescent="0.25">
      <c r="A80" s="21" t="s">
        <v>137</v>
      </c>
      <c r="B80" s="21" t="s">
        <v>115</v>
      </c>
      <c r="C80" s="21" t="s">
        <v>138</v>
      </c>
      <c r="D80" s="21" t="s">
        <v>136</v>
      </c>
      <c r="E80" s="21" t="str">
        <f>'CUOTA INDUSTRIAL'!C37</f>
        <v>CANAL AUSTRAL LTDA.</v>
      </c>
      <c r="F80" s="21" t="s">
        <v>56</v>
      </c>
      <c r="G80" s="21" t="s">
        <v>65</v>
      </c>
      <c r="H80" s="22">
        <f>'CUOTA INDUSTRIAL'!E38</f>
        <v>2.0562999999999998</v>
      </c>
      <c r="I80" s="22">
        <f>'CUOTA INDUSTRIAL'!F38</f>
        <v>0</v>
      </c>
      <c r="J80" s="22">
        <f>'CUOTA INDUSTRIAL'!G38</f>
        <v>4.1125999999999996</v>
      </c>
      <c r="K80" s="22">
        <f>'CUOTA INDUSTRIAL'!H38</f>
        <v>0</v>
      </c>
      <c r="L80" s="22">
        <f>'CUOTA INDUSTRIAL'!I38</f>
        <v>4.1125999999999996</v>
      </c>
      <c r="M80" s="47">
        <f>'CUOTA INDUSTRIAL'!J38</f>
        <v>0</v>
      </c>
      <c r="N80" s="24" t="s">
        <v>48</v>
      </c>
      <c r="O80" s="24">
        <f>RESUMEN!$B$3</f>
        <v>43913</v>
      </c>
      <c r="P80" s="21">
        <v>2020</v>
      </c>
      <c r="Q80" s="21"/>
    </row>
    <row r="81" spans="1:17" x14ac:dyDescent="0.25">
      <c r="A81" s="21" t="s">
        <v>137</v>
      </c>
      <c r="B81" s="21" t="s">
        <v>115</v>
      </c>
      <c r="C81" s="21" t="s">
        <v>138</v>
      </c>
      <c r="D81" s="21" t="s">
        <v>136</v>
      </c>
      <c r="E81" s="21" t="str">
        <f>'CUOTA INDUSTRIAL'!C37</f>
        <v>CANAL AUSTRAL LTDA.</v>
      </c>
      <c r="F81" s="21" t="s">
        <v>54</v>
      </c>
      <c r="G81" s="21" t="s">
        <v>65</v>
      </c>
      <c r="H81" s="22">
        <f>'CUOTA INDUSTRIAL'!K37</f>
        <v>4.1125999999999996</v>
      </c>
      <c r="I81" s="22">
        <f>'CUOTA INDUSTRIAL'!L37</f>
        <v>0</v>
      </c>
      <c r="J81" s="22">
        <f>'CUOTA INDUSTRIAL'!M37</f>
        <v>4.1125999999999996</v>
      </c>
      <c r="K81" s="22">
        <f>'CUOTA INDUSTRIAL'!N37</f>
        <v>0</v>
      </c>
      <c r="L81" s="22">
        <f>'CUOTA INDUSTRIAL'!O37</f>
        <v>4.1125999999999996</v>
      </c>
      <c r="M81" s="47">
        <f>'CUOTA INDUSTRIAL'!P37</f>
        <v>0</v>
      </c>
      <c r="N81" s="24" t="s">
        <v>48</v>
      </c>
      <c r="O81" s="24">
        <f>RESUMEN!$B$3</f>
        <v>43913</v>
      </c>
      <c r="P81" s="21">
        <v>2020</v>
      </c>
      <c r="Q81" s="21"/>
    </row>
    <row r="82" spans="1:17" x14ac:dyDescent="0.25">
      <c r="A82" s="21" t="s">
        <v>137</v>
      </c>
      <c r="B82" s="21" t="s">
        <v>115</v>
      </c>
      <c r="C82" s="21" t="s">
        <v>138</v>
      </c>
      <c r="D82" s="21" t="s">
        <v>136</v>
      </c>
      <c r="E82" s="21" t="str">
        <f>'CUOTA INDUSTRIAL'!C39</f>
        <v>MARCO SALINAS CARRASCO</v>
      </c>
      <c r="F82" s="21" t="s">
        <v>54</v>
      </c>
      <c r="G82" s="21" t="s">
        <v>55</v>
      </c>
      <c r="H82" s="22">
        <f>'CUOTA INDUSTRIAL'!E39</f>
        <v>2.0562999999999998</v>
      </c>
      <c r="I82" s="22">
        <f>'CUOTA INDUSTRIAL'!F39</f>
        <v>0</v>
      </c>
      <c r="J82" s="22">
        <f>'CUOTA INDUSTRIAL'!G39</f>
        <v>2.0562999999999998</v>
      </c>
      <c r="K82" s="22">
        <f>'CUOTA INDUSTRIAL'!H39</f>
        <v>0</v>
      </c>
      <c r="L82" s="22">
        <f>'CUOTA INDUSTRIAL'!I39</f>
        <v>2.0562999999999998</v>
      </c>
      <c r="M82" s="47">
        <f>'CUOTA INDUSTRIAL'!J39</f>
        <v>0</v>
      </c>
      <c r="N82" s="24" t="s">
        <v>48</v>
      </c>
      <c r="O82" s="24">
        <f>RESUMEN!$B$3</f>
        <v>43913</v>
      </c>
      <c r="P82" s="21">
        <v>2020</v>
      </c>
      <c r="Q82" s="21"/>
    </row>
    <row r="83" spans="1:17" x14ac:dyDescent="0.25">
      <c r="A83" s="21" t="s">
        <v>137</v>
      </c>
      <c r="B83" s="21" t="s">
        <v>115</v>
      </c>
      <c r="C83" s="21" t="s">
        <v>138</v>
      </c>
      <c r="D83" s="21" t="s">
        <v>136</v>
      </c>
      <c r="E83" s="21" t="str">
        <f>'CUOTA INDUSTRIAL'!C39</f>
        <v>MARCO SALINAS CARRASCO</v>
      </c>
      <c r="F83" s="21" t="s">
        <v>56</v>
      </c>
      <c r="G83" s="21" t="s">
        <v>65</v>
      </c>
      <c r="H83" s="22">
        <f>'CUOTA INDUSTRIAL'!E40</f>
        <v>2.0562999999999998</v>
      </c>
      <c r="I83" s="22">
        <f>'CUOTA INDUSTRIAL'!F40</f>
        <v>0</v>
      </c>
      <c r="J83" s="22">
        <f>'CUOTA INDUSTRIAL'!G40</f>
        <v>4.1125999999999996</v>
      </c>
      <c r="K83" s="22">
        <f>'CUOTA INDUSTRIAL'!H40</f>
        <v>0</v>
      </c>
      <c r="L83" s="22">
        <f>'CUOTA INDUSTRIAL'!I40</f>
        <v>4.1125999999999996</v>
      </c>
      <c r="M83" s="47">
        <f>'CUOTA INDUSTRIAL'!J40</f>
        <v>0</v>
      </c>
      <c r="N83" s="24" t="s">
        <v>48</v>
      </c>
      <c r="O83" s="24">
        <f>RESUMEN!$B$3</f>
        <v>43913</v>
      </c>
      <c r="P83" s="21">
        <v>2020</v>
      </c>
      <c r="Q83" s="21"/>
    </row>
    <row r="84" spans="1:17" x14ac:dyDescent="0.25">
      <c r="A84" s="21" t="s">
        <v>137</v>
      </c>
      <c r="B84" s="21" t="s">
        <v>115</v>
      </c>
      <c r="C84" s="21" t="s">
        <v>138</v>
      </c>
      <c r="D84" s="21" t="s">
        <v>136</v>
      </c>
      <c r="E84" s="21" t="str">
        <f>'CUOTA INDUSTRIAL'!C39</f>
        <v>MARCO SALINAS CARRASCO</v>
      </c>
      <c r="F84" s="21" t="s">
        <v>54</v>
      </c>
      <c r="G84" s="21" t="s">
        <v>65</v>
      </c>
      <c r="H84" s="22">
        <f>'CUOTA INDUSTRIAL'!K39</f>
        <v>4.1125999999999996</v>
      </c>
      <c r="I84" s="22">
        <f>'CUOTA INDUSTRIAL'!L39</f>
        <v>0</v>
      </c>
      <c r="J84" s="22">
        <f>'CUOTA INDUSTRIAL'!M39</f>
        <v>4.1125999999999996</v>
      </c>
      <c r="K84" s="22">
        <f>'CUOTA INDUSTRIAL'!N39</f>
        <v>0</v>
      </c>
      <c r="L84" s="22">
        <f>'CUOTA INDUSTRIAL'!O39</f>
        <v>4.1125999999999996</v>
      </c>
      <c r="M84" s="47">
        <f>'CUOTA INDUSTRIAL'!P39</f>
        <v>0</v>
      </c>
      <c r="N84" s="24" t="s">
        <v>48</v>
      </c>
      <c r="O84" s="24">
        <f>RESUMEN!$B$3</f>
        <v>43913</v>
      </c>
      <c r="P84" s="21">
        <v>2020</v>
      </c>
      <c r="Q84" s="21"/>
    </row>
    <row r="85" spans="1:17" x14ac:dyDescent="0.25">
      <c r="A85" s="21" t="s">
        <v>137</v>
      </c>
      <c r="B85" s="21" t="s">
        <v>115</v>
      </c>
      <c r="C85" s="21" t="s">
        <v>139</v>
      </c>
      <c r="D85" s="21" t="s">
        <v>141</v>
      </c>
      <c r="E85" s="21" t="s">
        <v>140</v>
      </c>
      <c r="F85" s="21" t="s">
        <v>54</v>
      </c>
      <c r="G85" s="21" t="s">
        <v>65</v>
      </c>
      <c r="H85" s="22">
        <f>'CUOTA INDUSTRIAL'!E22+'CUOTA INDUSTRIAL'!E41</f>
        <v>892.9996000000001</v>
      </c>
      <c r="I85" s="22">
        <f>'CUOTA INDUSTRIAL'!F22+'CUOTA INDUSTRIAL'!F41</f>
        <v>0</v>
      </c>
      <c r="J85" s="22">
        <f>'CUOTA INDUSTRIAL'!G22+'CUOTA INDUSTRIAL'!G41</f>
        <v>892.9996000000001</v>
      </c>
      <c r="K85" s="22">
        <f>'CUOTA INDUSTRIAL'!H22+'CUOTA INDUSTRIAL'!H41</f>
        <v>103.22204000000002</v>
      </c>
      <c r="L85" s="22">
        <f>'CUOTA INDUSTRIAL'!I22+'CUOTA INDUSTRIAL'!I41</f>
        <v>789.77756000000011</v>
      </c>
      <c r="M85" s="47">
        <f>'CUOTA INDUSTRIAL'!J22+'CUOTA INDUSTRIAL'!J41</f>
        <v>0.27424967318494498</v>
      </c>
      <c r="N85" s="24" t="s">
        <v>48</v>
      </c>
      <c r="O85" s="24">
        <f>RESUMEN!$B$3</f>
        <v>43913</v>
      </c>
      <c r="P85" s="21">
        <v>2020</v>
      </c>
      <c r="Q85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CUOTA ARTESANAL</vt:lpstr>
      <vt:lpstr>CUOTA INDUSTRIAL</vt:lpstr>
      <vt:lpstr>FUERA UNIDAD DE PESQUERIA</vt:lpstr>
      <vt:lpstr>PAG.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Mario Cea</cp:lastModifiedBy>
  <dcterms:created xsi:type="dcterms:W3CDTF">2019-10-04T13:28:19Z</dcterms:created>
  <dcterms:modified xsi:type="dcterms:W3CDTF">2020-03-26T15:31:24Z</dcterms:modified>
</cp:coreProperties>
</file>