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cea\Desktop\2022 controles\"/>
    </mc:Choice>
  </mc:AlternateContent>
  <bookViews>
    <workbookView xWindow="-105" yWindow="-105" windowWidth="23250" windowHeight="12450" tabRatio="762"/>
  </bookViews>
  <sheets>
    <sheet name="RESUMEN" sheetId="1" r:id="rId1"/>
    <sheet name="CUOTA ARTESANAL" sheetId="2" r:id="rId2"/>
    <sheet name="FUERA UNIDAD DE PESQUERIA" sheetId="4" r:id="rId3"/>
    <sheet name="CUOTA INDUSTRIAL" sheetId="3" r:id="rId4"/>
    <sheet name="PAG. WEB" sheetId="5" r:id="rId5"/>
    <sheet name="COEFICIENTES" sheetId="6" r:id="rId6"/>
  </sheets>
  <definedNames>
    <definedName name="_xlnm._FilterDatabase" localSheetId="4" hidden="1">'PAG. WEB'!$A$1:$Q$83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6" i="1" l="1"/>
  <c r="F9" i="3" l="1"/>
  <c r="C33" i="1"/>
  <c r="H18" i="4" l="1"/>
  <c r="H11" i="3"/>
  <c r="G26" i="2" l="1"/>
  <c r="G25" i="2"/>
  <c r="Q34" i="2" l="1"/>
  <c r="I34" i="2" l="1"/>
  <c r="I33" i="2"/>
  <c r="I32" i="2"/>
  <c r="I30" i="2"/>
  <c r="I29" i="2"/>
  <c r="I28" i="2"/>
  <c r="I26" i="2"/>
  <c r="I25" i="2"/>
  <c r="H19" i="4" l="1"/>
  <c r="G24" i="2" l="1"/>
  <c r="G15" i="2"/>
  <c r="G26" i="1" l="1"/>
  <c r="N16" i="5"/>
  <c r="D27" i="1" l="1"/>
  <c r="D26" i="1"/>
  <c r="F19" i="4"/>
  <c r="I19" i="4"/>
  <c r="J18" i="4"/>
  <c r="J16" i="4"/>
  <c r="J15" i="4"/>
  <c r="J14" i="4"/>
  <c r="J13" i="4"/>
  <c r="J12" i="4"/>
  <c r="J11" i="4"/>
  <c r="G18" i="4"/>
  <c r="G17" i="4"/>
  <c r="K17" i="4" s="1"/>
  <c r="G16" i="4"/>
  <c r="G15" i="4"/>
  <c r="G14" i="4"/>
  <c r="K14" i="4" s="1"/>
  <c r="G13" i="4"/>
  <c r="G12" i="4"/>
  <c r="G11" i="4"/>
  <c r="K11" i="4" s="1"/>
  <c r="L15" i="4" l="1"/>
  <c r="K18" i="4"/>
  <c r="L11" i="4"/>
  <c r="K15" i="4"/>
  <c r="L14" i="4"/>
  <c r="L18" i="4"/>
  <c r="K13" i="4"/>
  <c r="K12" i="4"/>
  <c r="L13" i="4"/>
  <c r="K16" i="4"/>
  <c r="L17" i="4"/>
  <c r="L12" i="4"/>
  <c r="L16" i="4"/>
  <c r="H31" i="5"/>
  <c r="O27" i="5"/>
  <c r="I27" i="5"/>
  <c r="K27" i="5"/>
  <c r="N27" i="5"/>
  <c r="H27" i="5"/>
  <c r="E27" i="5"/>
  <c r="N22" i="5"/>
  <c r="O22" i="5"/>
  <c r="K22" i="5"/>
  <c r="I22" i="5"/>
  <c r="H22" i="5"/>
  <c r="E22" i="5"/>
  <c r="J50" i="6"/>
  <c r="J49" i="6"/>
  <c r="J48" i="6"/>
  <c r="J47" i="6"/>
  <c r="J46" i="6"/>
  <c r="J45" i="6"/>
  <c r="J44" i="6"/>
  <c r="J15" i="6" l="1"/>
  <c r="J14" i="6"/>
  <c r="J13" i="6"/>
  <c r="J20" i="6"/>
  <c r="J17" i="6"/>
  <c r="J16" i="6"/>
  <c r="J18" i="6"/>
  <c r="E28" i="3" l="1"/>
  <c r="E27" i="3"/>
  <c r="E32" i="3"/>
  <c r="E31" i="3"/>
  <c r="E34" i="3"/>
  <c r="E33" i="3"/>
  <c r="E21" i="3"/>
  <c r="E20" i="3"/>
  <c r="E9" i="3"/>
  <c r="E8" i="3"/>
  <c r="E13" i="3"/>
  <c r="E12" i="3"/>
  <c r="E7" i="3"/>
  <c r="E6" i="3"/>
  <c r="E18" i="3"/>
  <c r="E17" i="3"/>
  <c r="E16" i="3"/>
  <c r="M29" i="2"/>
  <c r="O29" i="2"/>
  <c r="M25" i="2"/>
  <c r="O25" i="2"/>
  <c r="O33" i="2"/>
  <c r="Q33" i="2" s="1"/>
  <c r="M33" i="2"/>
  <c r="L33" i="2"/>
  <c r="H32" i="5" s="1"/>
  <c r="L29" i="2"/>
  <c r="L25" i="2"/>
  <c r="G30" i="2"/>
  <c r="J27" i="5" s="1"/>
  <c r="L27" i="5"/>
  <c r="J30" i="2" l="1"/>
  <c r="M27" i="5" s="1"/>
  <c r="J26" i="2"/>
  <c r="M22" i="5" s="1"/>
  <c r="J22" i="5"/>
  <c r="C4" i="6"/>
  <c r="E36" i="6" s="1"/>
  <c r="C6" i="6"/>
  <c r="C3" i="6"/>
  <c r="C5" i="6"/>
  <c r="L22" i="5"/>
  <c r="E25" i="6" l="1"/>
  <c r="E26" i="6"/>
  <c r="L17" i="6"/>
  <c r="E13" i="6"/>
  <c r="E29" i="6"/>
  <c r="E30" i="6"/>
  <c r="E27" i="6"/>
  <c r="E28" i="6"/>
  <c r="E33" i="6"/>
  <c r="E34" i="6"/>
  <c r="E31" i="6"/>
  <c r="E32" i="6"/>
  <c r="E37" i="6"/>
  <c r="E38" i="6"/>
  <c r="E35" i="6"/>
  <c r="E63" i="6"/>
  <c r="E59" i="6"/>
  <c r="E55" i="6"/>
  <c r="E48" i="6"/>
  <c r="E62" i="6"/>
  <c r="E58" i="6"/>
  <c r="E47" i="6"/>
  <c r="E61" i="6"/>
  <c r="E57" i="6"/>
  <c r="E46" i="6"/>
  <c r="E64" i="6"/>
  <c r="E60" i="6"/>
  <c r="E56" i="6"/>
  <c r="E45" i="6"/>
  <c r="E44" i="6"/>
  <c r="L46" i="6"/>
  <c r="L45" i="6"/>
  <c r="L44" i="6"/>
  <c r="D61" i="6"/>
  <c r="D57" i="6"/>
  <c r="D64" i="6"/>
  <c r="D60" i="6"/>
  <c r="D56" i="6"/>
  <c r="D63" i="6"/>
  <c r="D59" i="6"/>
  <c r="D55" i="6"/>
  <c r="D62" i="6"/>
  <c r="D58" i="6"/>
  <c r="D48" i="6"/>
  <c r="D44" i="6"/>
  <c r="K50" i="6"/>
  <c r="K46" i="6"/>
  <c r="D47" i="6"/>
  <c r="K49" i="6"/>
  <c r="K45" i="6"/>
  <c r="D46" i="6"/>
  <c r="K48" i="6"/>
  <c r="K44" i="6"/>
  <c r="D45" i="6"/>
  <c r="K47" i="6"/>
  <c r="D17" i="6"/>
  <c r="D26" i="6"/>
  <c r="D30" i="6"/>
  <c r="D34" i="6"/>
  <c r="D38" i="6"/>
  <c r="K13" i="6"/>
  <c r="D14" i="6"/>
  <c r="D18" i="6"/>
  <c r="D27" i="6"/>
  <c r="D31" i="6"/>
  <c r="D35" i="6"/>
  <c r="D25" i="6"/>
  <c r="D15" i="6"/>
  <c r="D19" i="6"/>
  <c r="D28" i="6"/>
  <c r="D32" i="6"/>
  <c r="D36" i="6"/>
  <c r="D16" i="6"/>
  <c r="D13" i="6"/>
  <c r="D29" i="6"/>
  <c r="D33" i="6"/>
  <c r="D37" i="6"/>
  <c r="G15" i="1"/>
  <c r="E39" i="6" l="1"/>
  <c r="F35" i="6"/>
  <c r="D20" i="6"/>
  <c r="F62" i="6"/>
  <c r="D39" i="6"/>
  <c r="M46" i="6"/>
  <c r="H35" i="2"/>
  <c r="F41" i="3"/>
  <c r="J8" i="4"/>
  <c r="J7" i="4"/>
  <c r="L14" i="6"/>
  <c r="E22" i="3"/>
  <c r="O15" i="5"/>
  <c r="N15" i="5"/>
  <c r="H15" i="5"/>
  <c r="I15" i="5"/>
  <c r="K15" i="5"/>
  <c r="E15" i="5"/>
  <c r="O9" i="5"/>
  <c r="H9" i="5"/>
  <c r="I9" i="5"/>
  <c r="K9" i="5"/>
  <c r="N9" i="5"/>
  <c r="E9" i="5"/>
  <c r="L19" i="2"/>
  <c r="M19" i="2"/>
  <c r="O19" i="2"/>
  <c r="L13" i="2"/>
  <c r="M13" i="2"/>
  <c r="O13" i="2"/>
  <c r="L9" i="2"/>
  <c r="M9" i="2"/>
  <c r="O9" i="2"/>
  <c r="L10" i="2"/>
  <c r="M10" i="2"/>
  <c r="O10" i="2"/>
  <c r="H5" i="5"/>
  <c r="I5" i="5"/>
  <c r="K5" i="5"/>
  <c r="O5" i="5"/>
  <c r="H6" i="5"/>
  <c r="I6" i="5"/>
  <c r="K6" i="5"/>
  <c r="O6" i="5"/>
  <c r="E5" i="5"/>
  <c r="E6" i="5"/>
  <c r="G7" i="2"/>
  <c r="J7" i="2" s="1"/>
  <c r="M3" i="5" s="1"/>
  <c r="G8" i="2"/>
  <c r="J8" i="2" s="1"/>
  <c r="M4" i="5" s="1"/>
  <c r="G9" i="2"/>
  <c r="J5" i="5" s="1"/>
  <c r="G10" i="2"/>
  <c r="J6" i="5" s="1"/>
  <c r="G11" i="2"/>
  <c r="J11" i="2" s="1"/>
  <c r="M7" i="5" s="1"/>
  <c r="G12" i="2"/>
  <c r="J12" i="2" s="1"/>
  <c r="M8" i="5" s="1"/>
  <c r="G13" i="2"/>
  <c r="J9" i="5" s="1"/>
  <c r="G14" i="2"/>
  <c r="J14" i="2" s="1"/>
  <c r="M10" i="5" s="1"/>
  <c r="J15" i="2"/>
  <c r="M11" i="5" s="1"/>
  <c r="G16" i="2"/>
  <c r="I16" i="2" s="1"/>
  <c r="L12" i="5" s="1"/>
  <c r="G17" i="2"/>
  <c r="I17" i="2" s="1"/>
  <c r="L13" i="5" s="1"/>
  <c r="G18" i="2"/>
  <c r="I18" i="2" s="1"/>
  <c r="L14" i="5" s="1"/>
  <c r="G19" i="2"/>
  <c r="J15" i="5" s="1"/>
  <c r="G20" i="2"/>
  <c r="J20" i="2" s="1"/>
  <c r="M16" i="5" s="1"/>
  <c r="G21" i="2"/>
  <c r="I21" i="2" s="1"/>
  <c r="L17" i="5" s="1"/>
  <c r="J10" i="2"/>
  <c r="M6" i="5" s="1"/>
  <c r="I19" i="2"/>
  <c r="L15" i="5" s="1"/>
  <c r="O56" i="5"/>
  <c r="O57" i="5"/>
  <c r="O58" i="5"/>
  <c r="I56" i="5"/>
  <c r="K56" i="5"/>
  <c r="I57" i="5"/>
  <c r="K57" i="5"/>
  <c r="H57" i="5"/>
  <c r="H56" i="5"/>
  <c r="E58" i="5"/>
  <c r="E57" i="5"/>
  <c r="E56" i="5"/>
  <c r="L20" i="3"/>
  <c r="I58" i="5" s="1"/>
  <c r="N20" i="3"/>
  <c r="K58" i="5" s="1"/>
  <c r="K20" i="3"/>
  <c r="H58" i="5" s="1"/>
  <c r="G20" i="3"/>
  <c r="B3" i="3"/>
  <c r="H41" i="3"/>
  <c r="H22" i="3"/>
  <c r="O33" i="5"/>
  <c r="I33" i="5"/>
  <c r="K33" i="5"/>
  <c r="N33" i="5"/>
  <c r="H33" i="5"/>
  <c r="K32" i="5"/>
  <c r="E35" i="2"/>
  <c r="H34" i="5" s="1"/>
  <c r="K24" i="5"/>
  <c r="N33" i="2"/>
  <c r="J32" i="5" s="1"/>
  <c r="C65" i="6"/>
  <c r="F63" i="6"/>
  <c r="F60" i="6"/>
  <c r="F56" i="6"/>
  <c r="L49" i="6"/>
  <c r="C49" i="6"/>
  <c r="D49" i="6" s="1"/>
  <c r="F46" i="6"/>
  <c r="C39" i="6"/>
  <c r="F33" i="6"/>
  <c r="F28" i="6"/>
  <c r="C20" i="6"/>
  <c r="J19" i="6"/>
  <c r="E19" i="6"/>
  <c r="F19" i="6" s="1"/>
  <c r="E18" i="6"/>
  <c r="E17" i="6"/>
  <c r="E16" i="6"/>
  <c r="L15" i="6"/>
  <c r="E15" i="6"/>
  <c r="E14" i="6"/>
  <c r="F13" i="6"/>
  <c r="D5" i="6"/>
  <c r="F4" i="6" s="1"/>
  <c r="F45" i="6"/>
  <c r="F44" i="6"/>
  <c r="L13" i="6"/>
  <c r="F36" i="6"/>
  <c r="L18" i="6"/>
  <c r="G22" i="2"/>
  <c r="I22" i="2" s="1"/>
  <c r="L18" i="5" s="1"/>
  <c r="G23" i="2"/>
  <c r="J24" i="2"/>
  <c r="M20" i="5" s="1"/>
  <c r="G28" i="2"/>
  <c r="N28" i="2" s="1"/>
  <c r="F11" i="1" s="1"/>
  <c r="G29" i="2"/>
  <c r="G32" i="2"/>
  <c r="N32" i="2" s="1"/>
  <c r="F13" i="1" s="1"/>
  <c r="G33" i="2"/>
  <c r="J31" i="5" s="1"/>
  <c r="G34" i="2"/>
  <c r="J33" i="5" s="1"/>
  <c r="L6" i="2"/>
  <c r="M6" i="2"/>
  <c r="O6" i="2"/>
  <c r="L7" i="2"/>
  <c r="M7" i="2"/>
  <c r="O7" i="2"/>
  <c r="L8" i="2"/>
  <c r="M8" i="2"/>
  <c r="O8" i="2"/>
  <c r="L11" i="2"/>
  <c r="M11" i="2"/>
  <c r="O11" i="2"/>
  <c r="L12" i="2"/>
  <c r="M12" i="2"/>
  <c r="O12" i="2"/>
  <c r="L14" i="2"/>
  <c r="M14" i="2"/>
  <c r="O14" i="2"/>
  <c r="L15" i="2"/>
  <c r="M15" i="2"/>
  <c r="O15" i="2"/>
  <c r="L16" i="2"/>
  <c r="M16" i="2"/>
  <c r="O16" i="2"/>
  <c r="L17" i="2"/>
  <c r="M17" i="2"/>
  <c r="O17" i="2"/>
  <c r="L18" i="2"/>
  <c r="M18" i="2"/>
  <c r="O18" i="2"/>
  <c r="L20" i="2"/>
  <c r="M20" i="2"/>
  <c r="O20" i="2"/>
  <c r="Q20" i="2" s="1"/>
  <c r="L21" i="2"/>
  <c r="D7" i="1" s="1"/>
  <c r="M21" i="2"/>
  <c r="E7" i="1" s="1"/>
  <c r="O21" i="2"/>
  <c r="L22" i="2"/>
  <c r="M22" i="2"/>
  <c r="O22" i="2"/>
  <c r="L23" i="2"/>
  <c r="M23" i="2"/>
  <c r="O23" i="2"/>
  <c r="L24" i="2"/>
  <c r="D9" i="1" s="1"/>
  <c r="M24" i="2"/>
  <c r="O24" i="2"/>
  <c r="L28" i="2"/>
  <c r="D11" i="1" s="1"/>
  <c r="M28" i="2"/>
  <c r="E11" i="1" s="1"/>
  <c r="O28" i="2"/>
  <c r="E12" i="1"/>
  <c r="L32" i="2"/>
  <c r="D13" i="1" s="1"/>
  <c r="M32" i="2"/>
  <c r="O32" i="2"/>
  <c r="L34" i="2"/>
  <c r="D15" i="1" s="1"/>
  <c r="M34" i="2"/>
  <c r="E15" i="1" s="1"/>
  <c r="O34" i="2"/>
  <c r="F35" i="2"/>
  <c r="B3" i="4"/>
  <c r="O81" i="5"/>
  <c r="O82" i="5"/>
  <c r="O83" i="5"/>
  <c r="N82" i="5"/>
  <c r="N81" i="5"/>
  <c r="H82" i="5"/>
  <c r="H81" i="5"/>
  <c r="G10" i="3"/>
  <c r="O3" i="5"/>
  <c r="O4" i="5"/>
  <c r="O7" i="5"/>
  <c r="O8" i="5"/>
  <c r="O10" i="5"/>
  <c r="O11" i="5"/>
  <c r="O12" i="5"/>
  <c r="O13" i="5"/>
  <c r="O14" i="5"/>
  <c r="O16" i="5"/>
  <c r="O17" i="5"/>
  <c r="O18" i="5"/>
  <c r="O19" i="5"/>
  <c r="O20" i="5"/>
  <c r="O21" i="5"/>
  <c r="O23" i="5"/>
  <c r="O24" i="5"/>
  <c r="O25" i="5"/>
  <c r="O26" i="5"/>
  <c r="O28" i="5"/>
  <c r="O29" i="5"/>
  <c r="O30" i="5"/>
  <c r="O31" i="5"/>
  <c r="O32" i="5"/>
  <c r="O34" i="5"/>
  <c r="O35" i="5"/>
  <c r="O36" i="5"/>
  <c r="O37" i="5"/>
  <c r="O38" i="5"/>
  <c r="O39" i="5"/>
  <c r="O40" i="5"/>
  <c r="O41" i="5"/>
  <c r="O42" i="5"/>
  <c r="O43" i="5"/>
  <c r="O44" i="5"/>
  <c r="O45" i="5"/>
  <c r="O46" i="5"/>
  <c r="O47" i="5"/>
  <c r="O48" i="5"/>
  <c r="O49" i="5"/>
  <c r="O50" i="5"/>
  <c r="O51" i="5"/>
  <c r="O52" i="5"/>
  <c r="O53" i="5"/>
  <c r="O54" i="5"/>
  <c r="O55" i="5"/>
  <c r="O59" i="5"/>
  <c r="O60" i="5"/>
  <c r="O61" i="5"/>
  <c r="O62" i="5"/>
  <c r="O63" i="5"/>
  <c r="O64" i="5"/>
  <c r="O65" i="5"/>
  <c r="O66" i="5"/>
  <c r="O67" i="5"/>
  <c r="O68" i="5"/>
  <c r="O69" i="5"/>
  <c r="O70" i="5"/>
  <c r="O71" i="5"/>
  <c r="O72" i="5"/>
  <c r="O73" i="5"/>
  <c r="O74" i="5"/>
  <c r="O75" i="5"/>
  <c r="O76" i="5"/>
  <c r="O77" i="5"/>
  <c r="O78" i="5"/>
  <c r="O79" i="5"/>
  <c r="O80" i="5"/>
  <c r="O2" i="5"/>
  <c r="E79" i="5"/>
  <c r="E78" i="5"/>
  <c r="E76" i="5"/>
  <c r="E75" i="5"/>
  <c r="E73" i="5"/>
  <c r="E72" i="5"/>
  <c r="E70" i="5"/>
  <c r="E69" i="5"/>
  <c r="E67" i="5"/>
  <c r="E66" i="5"/>
  <c r="E64" i="5"/>
  <c r="E63" i="5"/>
  <c r="E61" i="5"/>
  <c r="E60" i="5"/>
  <c r="I59" i="5"/>
  <c r="K59" i="5"/>
  <c r="I60" i="5"/>
  <c r="K60" i="5"/>
  <c r="I62" i="5"/>
  <c r="K62" i="5"/>
  <c r="I63" i="5"/>
  <c r="K63" i="5"/>
  <c r="I65" i="5"/>
  <c r="K65" i="5"/>
  <c r="I66" i="5"/>
  <c r="K66" i="5"/>
  <c r="I68" i="5"/>
  <c r="K68" i="5"/>
  <c r="I69" i="5"/>
  <c r="K69" i="5"/>
  <c r="I71" i="5"/>
  <c r="K71" i="5"/>
  <c r="I72" i="5"/>
  <c r="K72" i="5"/>
  <c r="I74" i="5"/>
  <c r="K74" i="5"/>
  <c r="I75" i="5"/>
  <c r="K75" i="5"/>
  <c r="I77" i="5"/>
  <c r="K77" i="5"/>
  <c r="I78" i="5"/>
  <c r="K78" i="5"/>
  <c r="E62" i="5"/>
  <c r="E65" i="5"/>
  <c r="E68" i="5"/>
  <c r="E71" i="5"/>
  <c r="E74" i="5"/>
  <c r="E77" i="5"/>
  <c r="E59" i="5"/>
  <c r="E55" i="5"/>
  <c r="E54" i="5"/>
  <c r="E52" i="5"/>
  <c r="E51" i="5"/>
  <c r="E49" i="5"/>
  <c r="E48" i="5"/>
  <c r="E46" i="5"/>
  <c r="E45" i="5"/>
  <c r="E43" i="5"/>
  <c r="E42" i="5"/>
  <c r="E40" i="5"/>
  <c r="E39" i="5"/>
  <c r="E37" i="5"/>
  <c r="E36" i="5"/>
  <c r="I35" i="5"/>
  <c r="K35" i="5"/>
  <c r="I36" i="5"/>
  <c r="K36" i="5"/>
  <c r="I38" i="5"/>
  <c r="K38" i="5"/>
  <c r="I39" i="5"/>
  <c r="K39" i="5"/>
  <c r="I41" i="5"/>
  <c r="K41" i="5"/>
  <c r="I42" i="5"/>
  <c r="K42" i="5"/>
  <c r="I44" i="5"/>
  <c r="K44" i="5"/>
  <c r="I45" i="5"/>
  <c r="K45" i="5"/>
  <c r="I47" i="5"/>
  <c r="K47" i="5"/>
  <c r="I48" i="5"/>
  <c r="K48" i="5"/>
  <c r="I50" i="5"/>
  <c r="K50" i="5"/>
  <c r="I51" i="5"/>
  <c r="K51" i="5"/>
  <c r="I53" i="5"/>
  <c r="K53" i="5"/>
  <c r="I54" i="5"/>
  <c r="K54" i="5"/>
  <c r="H38" i="5"/>
  <c r="H39" i="5"/>
  <c r="H41" i="5"/>
  <c r="H42" i="5"/>
  <c r="H44" i="5"/>
  <c r="H45" i="5"/>
  <c r="H47" i="5"/>
  <c r="H48" i="5"/>
  <c r="H53" i="5"/>
  <c r="H54" i="5"/>
  <c r="E53" i="5"/>
  <c r="E38" i="5"/>
  <c r="E41" i="5"/>
  <c r="E44" i="5"/>
  <c r="E47" i="5"/>
  <c r="E50" i="5"/>
  <c r="E35" i="5"/>
  <c r="I31" i="5"/>
  <c r="K31" i="5"/>
  <c r="N31" i="5"/>
  <c r="I30" i="5"/>
  <c r="K30" i="5"/>
  <c r="N30" i="5"/>
  <c r="H30" i="5"/>
  <c r="I26" i="5"/>
  <c r="K26" i="5"/>
  <c r="N26" i="5"/>
  <c r="I28" i="5"/>
  <c r="K28" i="5"/>
  <c r="N28" i="5"/>
  <c r="H28" i="5"/>
  <c r="H26" i="5"/>
  <c r="E29" i="5"/>
  <c r="E28" i="5"/>
  <c r="I25" i="5"/>
  <c r="K25" i="5"/>
  <c r="N25" i="5"/>
  <c r="H25" i="5"/>
  <c r="I21" i="5"/>
  <c r="K21" i="5"/>
  <c r="N21" i="5"/>
  <c r="I23" i="5"/>
  <c r="K23" i="5"/>
  <c r="N23" i="5"/>
  <c r="H23" i="5"/>
  <c r="H21" i="5"/>
  <c r="E24" i="5"/>
  <c r="E23" i="5"/>
  <c r="E26" i="5"/>
  <c r="E21" i="5"/>
  <c r="K18" i="5"/>
  <c r="N18" i="5"/>
  <c r="I19" i="5"/>
  <c r="K19" i="5"/>
  <c r="N19" i="5"/>
  <c r="I20" i="5"/>
  <c r="K20" i="5"/>
  <c r="N20" i="5"/>
  <c r="H19" i="5"/>
  <c r="H20" i="5"/>
  <c r="H18" i="5"/>
  <c r="E20" i="5"/>
  <c r="E19" i="5"/>
  <c r="E18" i="5"/>
  <c r="I2" i="5"/>
  <c r="K2" i="5"/>
  <c r="N2" i="5"/>
  <c r="I3" i="5"/>
  <c r="K3" i="5"/>
  <c r="N3" i="5"/>
  <c r="I4" i="5"/>
  <c r="K4" i="5"/>
  <c r="N4" i="5"/>
  <c r="K7" i="5"/>
  <c r="N7" i="5"/>
  <c r="K8" i="5"/>
  <c r="N8" i="5"/>
  <c r="K10" i="5"/>
  <c r="N10" i="5"/>
  <c r="K11" i="5"/>
  <c r="N11" i="5"/>
  <c r="I12" i="5"/>
  <c r="K12" i="5"/>
  <c r="N12" i="5"/>
  <c r="K13" i="5"/>
  <c r="N13" i="5"/>
  <c r="I14" i="5"/>
  <c r="K14" i="5"/>
  <c r="N14" i="5"/>
  <c r="I16" i="5"/>
  <c r="K16" i="5"/>
  <c r="I17" i="5"/>
  <c r="K17" i="5"/>
  <c r="N17" i="5"/>
  <c r="H3" i="5"/>
  <c r="H4" i="5"/>
  <c r="H7" i="5"/>
  <c r="H8" i="5"/>
  <c r="H10" i="5"/>
  <c r="H11" i="5"/>
  <c r="H12" i="5"/>
  <c r="H13" i="5"/>
  <c r="H14" i="5"/>
  <c r="H16" i="5"/>
  <c r="H17" i="5"/>
  <c r="H2" i="5"/>
  <c r="E3" i="5"/>
  <c r="E4" i="5"/>
  <c r="E7" i="5"/>
  <c r="E8" i="5"/>
  <c r="E10" i="5"/>
  <c r="E11" i="5"/>
  <c r="E12" i="5"/>
  <c r="E13" i="5"/>
  <c r="E14" i="5"/>
  <c r="E16" i="5"/>
  <c r="E17" i="5"/>
  <c r="E2" i="5"/>
  <c r="B3" i="2"/>
  <c r="B23" i="1"/>
  <c r="D28" i="1"/>
  <c r="F28" i="1" s="1"/>
  <c r="H83" i="5"/>
  <c r="F18" i="1"/>
  <c r="E13" i="1"/>
  <c r="I29" i="5"/>
  <c r="I24" i="5"/>
  <c r="E9" i="1"/>
  <c r="E14" i="1"/>
  <c r="D14" i="1"/>
  <c r="E10" i="1"/>
  <c r="I8" i="5"/>
  <c r="I18" i="5"/>
  <c r="I10" i="5"/>
  <c r="I11" i="5"/>
  <c r="I7" i="5"/>
  <c r="I13" i="5"/>
  <c r="J9" i="4"/>
  <c r="J10" i="4"/>
  <c r="G10" i="4"/>
  <c r="G9" i="4"/>
  <c r="G7" i="4"/>
  <c r="K10" i="3"/>
  <c r="H43" i="5" s="1"/>
  <c r="H69" i="5"/>
  <c r="H60" i="5"/>
  <c r="H59" i="5"/>
  <c r="H78" i="5"/>
  <c r="H77" i="5"/>
  <c r="H75" i="5"/>
  <c r="H72" i="5"/>
  <c r="H71" i="5"/>
  <c r="H66" i="5"/>
  <c r="H65" i="5"/>
  <c r="H63" i="5"/>
  <c r="N39" i="3"/>
  <c r="K79" i="5" s="1"/>
  <c r="N37" i="3"/>
  <c r="K76" i="5" s="1"/>
  <c r="N35" i="3"/>
  <c r="K73" i="5" s="1"/>
  <c r="N33" i="3"/>
  <c r="K70" i="5" s="1"/>
  <c r="N31" i="3"/>
  <c r="K67" i="5" s="1"/>
  <c r="N29" i="3"/>
  <c r="N27" i="3"/>
  <c r="L39" i="3"/>
  <c r="I79" i="5" s="1"/>
  <c r="L37" i="3"/>
  <c r="I76" i="5" s="1"/>
  <c r="L35" i="3"/>
  <c r="I73" i="5" s="1"/>
  <c r="L33" i="3"/>
  <c r="I70" i="5" s="1"/>
  <c r="L31" i="3"/>
  <c r="I67" i="5" s="1"/>
  <c r="L29" i="3"/>
  <c r="L27" i="3"/>
  <c r="G27" i="3"/>
  <c r="J59" i="5" s="1"/>
  <c r="G39" i="3"/>
  <c r="H36" i="5"/>
  <c r="H35" i="5"/>
  <c r="H50" i="5"/>
  <c r="K8" i="3"/>
  <c r="L8" i="3"/>
  <c r="I40" i="5" s="1"/>
  <c r="N8" i="3"/>
  <c r="K40" i="5" s="1"/>
  <c r="L10" i="3"/>
  <c r="N10" i="3"/>
  <c r="K43" i="5" s="1"/>
  <c r="K12" i="3"/>
  <c r="H46" i="5" s="1"/>
  <c r="L12" i="3"/>
  <c r="I46" i="5" s="1"/>
  <c r="N12" i="3"/>
  <c r="K14" i="3"/>
  <c r="H49" i="5" s="1"/>
  <c r="L14" i="3"/>
  <c r="N14" i="3"/>
  <c r="K49" i="5" s="1"/>
  <c r="L16" i="3"/>
  <c r="I52" i="5" s="1"/>
  <c r="N16" i="3"/>
  <c r="K52" i="5" s="1"/>
  <c r="K18" i="3"/>
  <c r="H55" i="5" s="1"/>
  <c r="L18" i="3"/>
  <c r="I55" i="5" s="1"/>
  <c r="N18" i="3"/>
  <c r="K55" i="5" s="1"/>
  <c r="N6" i="3"/>
  <c r="K37" i="5" s="1"/>
  <c r="L6" i="3"/>
  <c r="G18" i="3"/>
  <c r="J53" i="5" s="1"/>
  <c r="G14" i="3"/>
  <c r="I14" i="3" s="1"/>
  <c r="L47" i="5" s="1"/>
  <c r="G12" i="3"/>
  <c r="I12" i="3" s="1"/>
  <c r="G8" i="3"/>
  <c r="J8" i="3" s="1"/>
  <c r="M38" i="5" s="1"/>
  <c r="G6" i="3"/>
  <c r="I6" i="3" s="1"/>
  <c r="G7" i="3" s="1"/>
  <c r="H74" i="5"/>
  <c r="E41" i="3"/>
  <c r="G37" i="3"/>
  <c r="J74" i="5" s="1"/>
  <c r="G35" i="3"/>
  <c r="J71" i="5" s="1"/>
  <c r="K31" i="3"/>
  <c r="H67" i="5" s="1"/>
  <c r="K6" i="3"/>
  <c r="H37" i="5" s="1"/>
  <c r="K16" i="3"/>
  <c r="H51" i="5"/>
  <c r="K35" i="3"/>
  <c r="G16" i="3"/>
  <c r="J16" i="3" s="1"/>
  <c r="M50" i="5" s="1"/>
  <c r="G31" i="3"/>
  <c r="I31" i="3" s="1"/>
  <c r="K37" i="3"/>
  <c r="H76" i="5" s="1"/>
  <c r="K27" i="3"/>
  <c r="H61" i="5" s="1"/>
  <c r="K29" i="3"/>
  <c r="H64" i="5" s="1"/>
  <c r="K39" i="3"/>
  <c r="G29" i="3"/>
  <c r="J62" i="5" s="1"/>
  <c r="H62" i="5"/>
  <c r="G33" i="3"/>
  <c r="J68" i="5" s="1"/>
  <c r="H68" i="5"/>
  <c r="K33" i="3"/>
  <c r="J17" i="5"/>
  <c r="G6" i="2"/>
  <c r="J6" i="2" s="1"/>
  <c r="M2" i="5" s="1"/>
  <c r="J11" i="5"/>
  <c r="L33" i="5"/>
  <c r="G13" i="1" l="1"/>
  <c r="Q32" i="2"/>
  <c r="G11" i="1"/>
  <c r="Q28" i="2"/>
  <c r="N18" i="2"/>
  <c r="I35" i="3"/>
  <c r="L71" i="5" s="1"/>
  <c r="J20" i="5"/>
  <c r="J9" i="2"/>
  <c r="M5" i="5" s="1"/>
  <c r="N22" i="2"/>
  <c r="E49" i="6"/>
  <c r="J30" i="5"/>
  <c r="I10" i="2"/>
  <c r="L6" i="5" s="1"/>
  <c r="J19" i="4"/>
  <c r="E8" i="1"/>
  <c r="K81" i="5"/>
  <c r="L35" i="2"/>
  <c r="G31" i="2"/>
  <c r="I31" i="2" s="1"/>
  <c r="K7" i="4"/>
  <c r="G8" i="4" s="1"/>
  <c r="M33" i="3"/>
  <c r="P33" i="3" s="1"/>
  <c r="M70" i="5" s="1"/>
  <c r="M39" i="3"/>
  <c r="J79" i="5" s="1"/>
  <c r="H79" i="5"/>
  <c r="J18" i="3"/>
  <c r="M53" i="5" s="1"/>
  <c r="M16" i="3"/>
  <c r="J52" i="5" s="1"/>
  <c r="G15" i="3"/>
  <c r="I15" i="3" s="1"/>
  <c r="L48" i="5" s="1"/>
  <c r="J47" i="5"/>
  <c r="M35" i="3"/>
  <c r="J73" i="5" s="1"/>
  <c r="G41" i="3"/>
  <c r="J41" i="3" s="1"/>
  <c r="E20" i="6"/>
  <c r="M29" i="3"/>
  <c r="J64" i="5" s="1"/>
  <c r="L10" i="4"/>
  <c r="L48" i="6"/>
  <c r="M48" i="6" s="1"/>
  <c r="L19" i="6"/>
  <c r="L47" i="6"/>
  <c r="M47" i="6" s="1"/>
  <c r="M49" i="6"/>
  <c r="F59" i="6"/>
  <c r="F61" i="6"/>
  <c r="M45" i="6"/>
  <c r="J21" i="6"/>
  <c r="L20" i="6"/>
  <c r="F64" i="6"/>
  <c r="L50" i="6"/>
  <c r="M50" i="6" s="1"/>
  <c r="F32" i="6"/>
  <c r="F34" i="6"/>
  <c r="L16" i="6"/>
  <c r="F25" i="6"/>
  <c r="F27" i="6"/>
  <c r="F31" i="6"/>
  <c r="F38" i="6"/>
  <c r="F37" i="6"/>
  <c r="I33" i="3"/>
  <c r="L68" i="5" s="1"/>
  <c r="H52" i="5"/>
  <c r="I16" i="3"/>
  <c r="G17" i="3" s="1"/>
  <c r="J51" i="5" s="1"/>
  <c r="H73" i="5"/>
  <c r="J35" i="3"/>
  <c r="M71" i="5" s="1"/>
  <c r="J33" i="3"/>
  <c r="M68" i="5" s="1"/>
  <c r="H80" i="5"/>
  <c r="J27" i="3"/>
  <c r="M59" i="5" s="1"/>
  <c r="K22" i="3"/>
  <c r="J12" i="3"/>
  <c r="M44" i="5" s="1"/>
  <c r="M6" i="3"/>
  <c r="J37" i="5" s="1"/>
  <c r="J12" i="5"/>
  <c r="J32" i="2"/>
  <c r="I24" i="2"/>
  <c r="L20" i="5" s="1"/>
  <c r="N17" i="2"/>
  <c r="Q17" i="2" s="1"/>
  <c r="J19" i="2"/>
  <c r="M15" i="5" s="1"/>
  <c r="J7" i="5"/>
  <c r="J4" i="5"/>
  <c r="J14" i="5"/>
  <c r="N14" i="2"/>
  <c r="Q14" i="2" s="1"/>
  <c r="N7" i="2"/>
  <c r="P7" i="2" s="1"/>
  <c r="P32" i="2"/>
  <c r="H13" i="1" s="1"/>
  <c r="J3" i="5"/>
  <c r="N20" i="2"/>
  <c r="N15" i="2"/>
  <c r="Q15" i="2" s="1"/>
  <c r="E6" i="1"/>
  <c r="J16" i="2"/>
  <c r="M12" i="5" s="1"/>
  <c r="J26" i="5"/>
  <c r="D12" i="1"/>
  <c r="H29" i="5"/>
  <c r="J29" i="2"/>
  <c r="J25" i="5"/>
  <c r="J21" i="5"/>
  <c r="J25" i="2"/>
  <c r="J21" i="2"/>
  <c r="M17" i="5" s="1"/>
  <c r="Q22" i="2"/>
  <c r="J18" i="5"/>
  <c r="N16" i="2"/>
  <c r="Q16" i="2" s="1"/>
  <c r="I14" i="2"/>
  <c r="L10" i="5" s="1"/>
  <c r="J10" i="5"/>
  <c r="I8" i="2"/>
  <c r="L4" i="5" s="1"/>
  <c r="I7" i="2"/>
  <c r="L3" i="5" s="1"/>
  <c r="G36" i="3"/>
  <c r="J72" i="5" s="1"/>
  <c r="I37" i="3"/>
  <c r="G38" i="3" s="1"/>
  <c r="J75" i="5" s="1"/>
  <c r="K41" i="3"/>
  <c r="D17" i="1" s="1"/>
  <c r="I27" i="3"/>
  <c r="H70" i="5"/>
  <c r="J29" i="3"/>
  <c r="M62" i="5" s="1"/>
  <c r="I29" i="3"/>
  <c r="G30" i="3" s="1"/>
  <c r="I30" i="3" s="1"/>
  <c r="L63" i="5" s="1"/>
  <c r="J37" i="3"/>
  <c r="M74" i="5" s="1"/>
  <c r="M27" i="3"/>
  <c r="J61" i="5" s="1"/>
  <c r="J7" i="3"/>
  <c r="M36" i="5" s="1"/>
  <c r="J36" i="5"/>
  <c r="I7" i="3"/>
  <c r="L36" i="5" s="1"/>
  <c r="J35" i="5"/>
  <c r="J14" i="3"/>
  <c r="M47" i="5" s="1"/>
  <c r="M18" i="3"/>
  <c r="J6" i="3"/>
  <c r="M35" i="5" s="1"/>
  <c r="I18" i="3"/>
  <c r="M20" i="3"/>
  <c r="J58" i="5" s="1"/>
  <c r="K10" i="4"/>
  <c r="G28" i="1"/>
  <c r="H28" i="1" s="1"/>
  <c r="L7" i="4"/>
  <c r="M81" i="5" s="1"/>
  <c r="J81" i="5"/>
  <c r="I20" i="2"/>
  <c r="L16" i="5" s="1"/>
  <c r="J16" i="5"/>
  <c r="J28" i="2"/>
  <c r="J13" i="5"/>
  <c r="J22" i="2"/>
  <c r="M18" i="5" s="1"/>
  <c r="I9" i="2"/>
  <c r="L5" i="5" s="1"/>
  <c r="J18" i="2"/>
  <c r="M14" i="5" s="1"/>
  <c r="J8" i="5"/>
  <c r="P28" i="2"/>
  <c r="H11" i="1" s="1"/>
  <c r="I12" i="2"/>
  <c r="L8" i="5" s="1"/>
  <c r="M12" i="3"/>
  <c r="J46" i="5" s="1"/>
  <c r="M31" i="3"/>
  <c r="J67" i="5" s="1"/>
  <c r="G13" i="3"/>
  <c r="L44" i="5"/>
  <c r="G32" i="3"/>
  <c r="L65" i="5"/>
  <c r="J65" i="5"/>
  <c r="F14" i="1"/>
  <c r="N34" i="2"/>
  <c r="F15" i="1" s="1"/>
  <c r="I15" i="1" s="1"/>
  <c r="N21" i="2"/>
  <c r="F7" i="1" s="1"/>
  <c r="N12" i="2"/>
  <c r="Q12" i="2" s="1"/>
  <c r="N11" i="2"/>
  <c r="P11" i="2" s="1"/>
  <c r="F16" i="6"/>
  <c r="E65" i="6"/>
  <c r="J13" i="2"/>
  <c r="M9" i="5" s="1"/>
  <c r="I11" i="2"/>
  <c r="L7" i="5" s="1"/>
  <c r="N13" i="2"/>
  <c r="P13" i="2" s="1"/>
  <c r="I6" i="2"/>
  <c r="L2" i="5" s="1"/>
  <c r="J34" i="2"/>
  <c r="M33" i="5" s="1"/>
  <c r="J2" i="5"/>
  <c r="L35" i="5"/>
  <c r="J31" i="3"/>
  <c r="M65" i="5" s="1"/>
  <c r="J44" i="5"/>
  <c r="I61" i="5"/>
  <c r="L9" i="4"/>
  <c r="F15" i="6"/>
  <c r="F29" i="6"/>
  <c r="F47" i="6"/>
  <c r="F48" i="6"/>
  <c r="F57" i="6"/>
  <c r="K80" i="5"/>
  <c r="I13" i="2"/>
  <c r="L9" i="5" s="1"/>
  <c r="J17" i="2"/>
  <c r="M13" i="5" s="1"/>
  <c r="I15" i="2"/>
  <c r="L11" i="5" s="1"/>
  <c r="F26" i="1"/>
  <c r="J83" i="5" s="1"/>
  <c r="P22" i="2"/>
  <c r="N24" i="2"/>
  <c r="F9" i="1" s="1"/>
  <c r="N8" i="2"/>
  <c r="Q8" i="2" s="1"/>
  <c r="F17" i="6"/>
  <c r="F18" i="6"/>
  <c r="F30" i="6"/>
  <c r="I32" i="5"/>
  <c r="N19" i="2"/>
  <c r="Q19" i="2" s="1"/>
  <c r="G6" i="1"/>
  <c r="L21" i="5"/>
  <c r="G35" i="2"/>
  <c r="I35" i="2" s="1"/>
  <c r="L34" i="5" s="1"/>
  <c r="I34" i="5"/>
  <c r="J23" i="2"/>
  <c r="M19" i="5" s="1"/>
  <c r="I23" i="2"/>
  <c r="L19" i="5" s="1"/>
  <c r="D65" i="6"/>
  <c r="F55" i="6"/>
  <c r="J50" i="5"/>
  <c r="I64" i="5"/>
  <c r="L41" i="3"/>
  <c r="M35" i="2"/>
  <c r="N6" i="2"/>
  <c r="Q6" i="2" s="1"/>
  <c r="K64" i="5"/>
  <c r="I43" i="5"/>
  <c r="M10" i="3"/>
  <c r="M8" i="3"/>
  <c r="P8" i="3" s="1"/>
  <c r="M40" i="5" s="1"/>
  <c r="H40" i="5"/>
  <c r="J77" i="5"/>
  <c r="I39" i="3"/>
  <c r="D6" i="1"/>
  <c r="F27" i="1"/>
  <c r="D29" i="1"/>
  <c r="F29" i="1" s="1"/>
  <c r="J41" i="5"/>
  <c r="I10" i="3"/>
  <c r="L41" i="5" s="1"/>
  <c r="J10" i="3"/>
  <c r="M41" i="5" s="1"/>
  <c r="F58" i="6"/>
  <c r="J51" i="6"/>
  <c r="N9" i="2"/>
  <c r="Q9" i="2" s="1"/>
  <c r="I49" i="5"/>
  <c r="M14" i="3"/>
  <c r="K29" i="5"/>
  <c r="G12" i="1"/>
  <c r="F26" i="6"/>
  <c r="J33" i="2"/>
  <c r="M31" i="5" s="1"/>
  <c r="J19" i="5"/>
  <c r="M37" i="3"/>
  <c r="P37" i="3" s="1"/>
  <c r="M76" i="5" s="1"/>
  <c r="J39" i="3"/>
  <c r="M77" i="5" s="1"/>
  <c r="I8" i="3"/>
  <c r="J38" i="5"/>
  <c r="L22" i="3"/>
  <c r="E16" i="1" s="1"/>
  <c r="I37" i="5"/>
  <c r="K9" i="4"/>
  <c r="I18" i="1"/>
  <c r="H18" i="1"/>
  <c r="P20" i="2"/>
  <c r="D8" i="1"/>
  <c r="N23" i="2"/>
  <c r="G7" i="1"/>
  <c r="M44" i="6"/>
  <c r="F14" i="6"/>
  <c r="H24" i="5"/>
  <c r="D10" i="1"/>
  <c r="J56" i="5"/>
  <c r="I20" i="3"/>
  <c r="J20" i="3"/>
  <c r="M56" i="5" s="1"/>
  <c r="N10" i="2"/>
  <c r="P10" i="2" s="1"/>
  <c r="K82" i="5"/>
  <c r="F22" i="3"/>
  <c r="I80" i="5" s="1"/>
  <c r="I13" i="1"/>
  <c r="I11" i="1"/>
  <c r="Q18" i="2"/>
  <c r="P33" i="2"/>
  <c r="H14" i="1" s="1"/>
  <c r="M32" i="5"/>
  <c r="P34" i="2"/>
  <c r="H15" i="1" s="1"/>
  <c r="K61" i="5"/>
  <c r="N41" i="3"/>
  <c r="K34" i="5"/>
  <c r="G14" i="1"/>
  <c r="G10" i="1"/>
  <c r="G8" i="1"/>
  <c r="P18" i="2"/>
  <c r="G9" i="1"/>
  <c r="O35" i="2"/>
  <c r="G27" i="1"/>
  <c r="K46" i="5"/>
  <c r="N22" i="3"/>
  <c r="Q7" i="2" l="1"/>
  <c r="P39" i="3"/>
  <c r="M79" i="5" s="1"/>
  <c r="J31" i="2"/>
  <c r="M28" i="5" s="1"/>
  <c r="J70" i="5"/>
  <c r="O33" i="3"/>
  <c r="L70" i="5" s="1"/>
  <c r="P21" i="2"/>
  <c r="H7" i="1" s="1"/>
  <c r="O39" i="3"/>
  <c r="L79" i="5" s="1"/>
  <c r="O35" i="3"/>
  <c r="L73" i="5" s="1"/>
  <c r="Q11" i="2"/>
  <c r="F8" i="1"/>
  <c r="J48" i="5"/>
  <c r="P17" i="2"/>
  <c r="P14" i="2"/>
  <c r="L26" i="5"/>
  <c r="N35" i="2"/>
  <c r="P35" i="2" s="1"/>
  <c r="L25" i="5"/>
  <c r="P29" i="3"/>
  <c r="M64" i="5" s="1"/>
  <c r="Q10" i="2"/>
  <c r="P15" i="2"/>
  <c r="M26" i="5"/>
  <c r="N29" i="2"/>
  <c r="G27" i="2"/>
  <c r="I27" i="2" s="1"/>
  <c r="O16" i="3"/>
  <c r="L52" i="5" s="1"/>
  <c r="M21" i="5"/>
  <c r="L81" i="5"/>
  <c r="I28" i="1"/>
  <c r="P35" i="3"/>
  <c r="M73" i="5" s="1"/>
  <c r="F20" i="6"/>
  <c r="P16" i="3"/>
  <c r="J15" i="3"/>
  <c r="M48" i="5" s="1"/>
  <c r="I41" i="3"/>
  <c r="G34" i="3"/>
  <c r="J34" i="3" s="1"/>
  <c r="M69" i="5" s="1"/>
  <c r="F39" i="6"/>
  <c r="P27" i="3"/>
  <c r="M61" i="5" s="1"/>
  <c r="O29" i="3"/>
  <c r="L64" i="5" s="1"/>
  <c r="F65" i="6"/>
  <c r="F49" i="6"/>
  <c r="H26" i="1"/>
  <c r="L83" i="5" s="1"/>
  <c r="L21" i="6"/>
  <c r="L51" i="6"/>
  <c r="O6" i="3"/>
  <c r="L37" i="5" s="1"/>
  <c r="P6" i="3"/>
  <c r="M37" i="5" s="1"/>
  <c r="O20" i="3"/>
  <c r="L58" i="5" s="1"/>
  <c r="J17" i="3"/>
  <c r="I17" i="3"/>
  <c r="L51" i="5" s="1"/>
  <c r="L50" i="5"/>
  <c r="I36" i="3"/>
  <c r="L72" i="5" s="1"/>
  <c r="O27" i="3"/>
  <c r="L61" i="5" s="1"/>
  <c r="G11" i="3"/>
  <c r="J11" i="3" s="1"/>
  <c r="M42" i="5" s="1"/>
  <c r="P12" i="3"/>
  <c r="M46" i="5" s="1"/>
  <c r="P20" i="3"/>
  <c r="M58" i="5" s="1"/>
  <c r="O12" i="3"/>
  <c r="L46" i="5" s="1"/>
  <c r="Q13" i="2"/>
  <c r="M30" i="5"/>
  <c r="P24" i="2"/>
  <c r="H9" i="1" s="1"/>
  <c r="L30" i="5"/>
  <c r="M25" i="5"/>
  <c r="I7" i="1"/>
  <c r="Q24" i="2"/>
  <c r="I9" i="1"/>
  <c r="Q21" i="2"/>
  <c r="I8" i="1"/>
  <c r="P16" i="2"/>
  <c r="P9" i="2"/>
  <c r="J38" i="3"/>
  <c r="M75" i="5" s="1"/>
  <c r="L74" i="5"/>
  <c r="J36" i="3"/>
  <c r="M72" i="5" s="1"/>
  <c r="G28" i="3"/>
  <c r="L59" i="5"/>
  <c r="L62" i="5"/>
  <c r="O31" i="3"/>
  <c r="L67" i="5" s="1"/>
  <c r="J30" i="3"/>
  <c r="M63" i="5" s="1"/>
  <c r="I38" i="3"/>
  <c r="L75" i="5" s="1"/>
  <c r="J63" i="5"/>
  <c r="P31" i="3"/>
  <c r="M67" i="5" s="1"/>
  <c r="G19" i="3"/>
  <c r="L53" i="5"/>
  <c r="J55" i="5"/>
  <c r="P18" i="3"/>
  <c r="M55" i="5" s="1"/>
  <c r="O18" i="3"/>
  <c r="L55" i="5" s="1"/>
  <c r="J28" i="5"/>
  <c r="I14" i="1"/>
  <c r="P8" i="2"/>
  <c r="P12" i="2"/>
  <c r="J45" i="5"/>
  <c r="J13" i="3"/>
  <c r="M45" i="5" s="1"/>
  <c r="I13" i="3"/>
  <c r="L45" i="5" s="1"/>
  <c r="L28" i="5"/>
  <c r="L32" i="5"/>
  <c r="P19" i="2"/>
  <c r="L8" i="4"/>
  <c r="M82" i="5" s="1"/>
  <c r="K8" i="4"/>
  <c r="K19" i="4" s="1"/>
  <c r="J82" i="5"/>
  <c r="G19" i="4"/>
  <c r="L19" i="4" s="1"/>
  <c r="G22" i="3"/>
  <c r="J22" i="3" s="1"/>
  <c r="M80" i="5" s="1"/>
  <c r="I32" i="3"/>
  <c r="L66" i="5" s="1"/>
  <c r="J66" i="5"/>
  <c r="J32" i="3"/>
  <c r="M66" i="5" s="1"/>
  <c r="J42" i="5"/>
  <c r="L56" i="5"/>
  <c r="G21" i="3"/>
  <c r="E17" i="1"/>
  <c r="E19" i="1" s="1"/>
  <c r="M41" i="3"/>
  <c r="F17" i="1" s="1"/>
  <c r="Q23" i="2"/>
  <c r="L38" i="5"/>
  <c r="G9" i="3"/>
  <c r="G40" i="3"/>
  <c r="L77" i="5"/>
  <c r="J43" i="5"/>
  <c r="P10" i="3"/>
  <c r="M43" i="5" s="1"/>
  <c r="O10" i="3"/>
  <c r="L43" i="5" s="1"/>
  <c r="P6" i="2"/>
  <c r="F6" i="1"/>
  <c r="I6" i="1" s="1"/>
  <c r="I26" i="1"/>
  <c r="M83" i="5" s="1"/>
  <c r="K83" i="5"/>
  <c r="O37" i="3"/>
  <c r="L76" i="5" s="1"/>
  <c r="J76" i="5"/>
  <c r="L31" i="5"/>
  <c r="M22" i="3"/>
  <c r="P22" i="3" s="1"/>
  <c r="M51" i="6"/>
  <c r="D19" i="1"/>
  <c r="O8" i="3"/>
  <c r="L40" i="5" s="1"/>
  <c r="J40" i="5"/>
  <c r="P23" i="2"/>
  <c r="H8" i="1" s="1"/>
  <c r="K51" i="6"/>
  <c r="P14" i="3"/>
  <c r="M49" i="5" s="1"/>
  <c r="J49" i="5"/>
  <c r="O14" i="3"/>
  <c r="L49" i="5" s="1"/>
  <c r="J35" i="2"/>
  <c r="M34" i="5" s="1"/>
  <c r="J34" i="5"/>
  <c r="G17" i="1"/>
  <c r="I27" i="1"/>
  <c r="G29" i="1"/>
  <c r="H27" i="1"/>
  <c r="G16" i="1"/>
  <c r="F12" i="1" l="1"/>
  <c r="I12" i="1" s="1"/>
  <c r="Q29" i="2"/>
  <c r="M29" i="5" s="1"/>
  <c r="J29" i="5"/>
  <c r="Q35" i="2"/>
  <c r="F16" i="1"/>
  <c r="I16" i="1" s="1"/>
  <c r="P29" i="2"/>
  <c r="J27" i="2"/>
  <c r="N25" i="2"/>
  <c r="Q25" i="2" s="1"/>
  <c r="J23" i="5"/>
  <c r="L82" i="5"/>
  <c r="I11" i="3"/>
  <c r="L42" i="5" s="1"/>
  <c r="J69" i="5"/>
  <c r="I34" i="3"/>
  <c r="L69" i="5" s="1"/>
  <c r="I28" i="3"/>
  <c r="L60" i="5" s="1"/>
  <c r="J28" i="3"/>
  <c r="M60" i="5" s="1"/>
  <c r="J60" i="5"/>
  <c r="I19" i="3"/>
  <c r="L54" i="5" s="1"/>
  <c r="J54" i="5"/>
  <c r="J19" i="3"/>
  <c r="M54" i="5" s="1"/>
  <c r="O22" i="3"/>
  <c r="H16" i="1" s="1"/>
  <c r="H6" i="1"/>
  <c r="P41" i="3"/>
  <c r="J80" i="5"/>
  <c r="I22" i="3"/>
  <c r="L80" i="5" s="1"/>
  <c r="J39" i="5"/>
  <c r="I9" i="3"/>
  <c r="L39" i="5" s="1"/>
  <c r="J9" i="3"/>
  <c r="M39" i="5" s="1"/>
  <c r="I17" i="1"/>
  <c r="I40" i="3"/>
  <c r="L78" i="5" s="1"/>
  <c r="J78" i="5"/>
  <c r="J40" i="3"/>
  <c r="M78" i="5" s="1"/>
  <c r="I21" i="3"/>
  <c r="L57" i="5" s="1"/>
  <c r="J21" i="3"/>
  <c r="M57" i="5" s="1"/>
  <c r="J57" i="5"/>
  <c r="O41" i="3"/>
  <c r="H17" i="1" s="1"/>
  <c r="F19" i="1"/>
  <c r="H29" i="1"/>
  <c r="I29" i="1"/>
  <c r="G19" i="1"/>
  <c r="J24" i="5" l="1"/>
  <c r="F10" i="1"/>
  <c r="I10" i="1" s="1"/>
  <c r="L23" i="5"/>
  <c r="P25" i="2"/>
  <c r="M23" i="5"/>
  <c r="M24" i="5"/>
  <c r="L29" i="5"/>
  <c r="H12" i="1"/>
  <c r="H19" i="1"/>
  <c r="I19" i="1"/>
  <c r="C7" i="6"/>
  <c r="D3" i="6"/>
  <c r="K19" i="6"/>
  <c r="M19" i="6" s="1"/>
  <c r="K18" i="6"/>
  <c r="M18" i="6" s="1"/>
  <c r="K15" i="6"/>
  <c r="M15" i="6" s="1"/>
  <c r="K20" i="6"/>
  <c r="M20" i="6" s="1"/>
  <c r="K17" i="6"/>
  <c r="M17" i="6" s="1"/>
  <c r="K14" i="6"/>
  <c r="M13" i="6"/>
  <c r="K16" i="6"/>
  <c r="M16" i="6" s="1"/>
  <c r="L24" i="5" l="1"/>
  <c r="H10" i="1"/>
  <c r="K21" i="6"/>
  <c r="M21" i="6" s="1"/>
  <c r="M14" i="6"/>
</calcChain>
</file>

<file path=xl/comments1.xml><?xml version="1.0" encoding="utf-8"?>
<comments xmlns="http://schemas.openxmlformats.org/spreadsheetml/2006/main">
  <authors>
    <author>CEA TELLO, MARIO ANDRES</author>
    <author>Autor</author>
    <author>SBENALCAZAR</author>
    <author>CARLOS FELIPE VALDIVIA PINO</author>
  </authors>
  <commentList>
    <comment ref="K9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CIERRE CUOTA RES. Ex. 523-22</t>
        </r>
      </text>
    </comment>
    <comment ref="K10" authorId="1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Rex ex n° 140/2022</t>
        </r>
      </text>
    </comment>
    <comment ref="K11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Rex Ex N° 636/2022</t>
        </r>
      </text>
    </comment>
    <comment ref="K12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CIERRE CUOTA RES. Ex. 526-22</t>
        </r>
      </text>
    </comment>
    <comment ref="K17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CIERRE CUOTA RES. Ex. 650-22</t>
        </r>
      </text>
    </comment>
    <comment ref="K20" authorId="2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CIERRE RES 25-2022</t>
        </r>
      </text>
    </comment>
    <comment ref="K23" authorId="3" shapeId="0">
      <text>
        <r>
          <rPr>
            <b/>
            <sz val="9"/>
            <color indexed="81"/>
            <rFont val="Tahoma"/>
            <family val="2"/>
          </rPr>
          <t>CARLOS FELIPE VALDIVIA PINO:</t>
        </r>
        <r>
          <rPr>
            <sz val="9"/>
            <color indexed="81"/>
            <rFont val="Tahoma"/>
            <family val="2"/>
          </rPr>
          <t xml:space="preserve">
Res. 92-2022</t>
        </r>
      </text>
    </comment>
    <comment ref="K25" authorId="2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CIERRE RES 12-2022</t>
        </r>
      </text>
    </comment>
  </commentList>
</comments>
</file>

<file path=xl/comments2.xml><?xml version="1.0" encoding="utf-8"?>
<comments xmlns="http://schemas.openxmlformats.org/spreadsheetml/2006/main">
  <authors>
    <author>CEA TELLO, MARIO ANDRES</author>
    <author>CARLOS FELIPE VALDIVIA PINO</author>
    <author>SBENALCAZAR</author>
  </authors>
  <commentList>
    <comment ref="M9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Cierre de Cuota Res. Ex. N°943-22</t>
        </r>
      </text>
    </comment>
    <comment ref="C11" authorId="1" shapeId="0">
      <text>
        <r>
          <rPr>
            <b/>
            <sz val="9"/>
            <color indexed="81"/>
            <rFont val="Tahoma"/>
            <family val="2"/>
          </rPr>
          <t>CARLOS FELIPE VALDIVIA PINO:</t>
        </r>
        <r>
          <rPr>
            <sz val="9"/>
            <color indexed="81"/>
            <rFont val="Tahoma"/>
            <family val="2"/>
          </rPr>
          <t xml:space="preserve">
RES. 25-22
</t>
        </r>
      </text>
    </comment>
    <comment ref="M13" authorId="0" shapeId="0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Cierre de Cuota Res. Ex. N°306-22</t>
        </r>
      </text>
    </comment>
    <comment ref="M15" authorId="2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CIERRE RES 13-2022</t>
        </r>
      </text>
    </comment>
    <comment ref="M16" authorId="2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CIERRE RES 13-2022</t>
        </r>
      </text>
    </comment>
    <comment ref="M17" authorId="1" shapeId="0">
      <text>
        <r>
          <rPr>
            <b/>
            <sz val="9"/>
            <color indexed="81"/>
            <rFont val="Tahoma"/>
            <family val="2"/>
          </rPr>
          <t>CARLOS FELIPE VALDIVIA PINO:</t>
        </r>
        <r>
          <rPr>
            <sz val="9"/>
            <color indexed="81"/>
            <rFont val="Tahoma"/>
            <family val="2"/>
          </rPr>
          <t xml:space="preserve">
Res. 21-2022 Cierre de Cuota</t>
        </r>
      </text>
    </comment>
  </commentList>
</comments>
</file>

<file path=xl/comments3.xml><?xml version="1.0" encoding="utf-8"?>
<comments xmlns="http://schemas.openxmlformats.org/spreadsheetml/2006/main">
  <authors>
    <author>CEA TELLO, MARIO ANDRES</author>
  </authors>
  <commentList>
    <comment ref="F9" authorId="0" shapeId="0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Res. Ex 2562-22 Otorga LTP A de 20 Ton a Pesca Chile S.A. NE</t>
        </r>
      </text>
    </comment>
    <comment ref="F11" authorId="0" shapeId="0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Res. Ex 2562-22 Otorga LTP A de 20 Ton desde Grimar S.A. NE</t>
        </r>
      </text>
    </comment>
    <comment ref="H11" authorId="0" shapeId="0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Se dscta 30,368 Ton. correspondientes al año 2021.</t>
        </r>
      </text>
    </comment>
  </commentList>
</comments>
</file>

<file path=xl/sharedStrings.xml><?xml version="1.0" encoding="utf-8"?>
<sst xmlns="http://schemas.openxmlformats.org/spreadsheetml/2006/main" count="933" uniqueCount="186">
  <si>
    <t>SECTOR</t>
  </si>
  <si>
    <t>FRACCIONAMIENTO</t>
  </si>
  <si>
    <t>CUOTA ASIGNADA (TON)</t>
  </si>
  <si>
    <t>MOVIMIENTO (TON)</t>
  </si>
  <si>
    <t>CUOTA EFECTIVA (TON)</t>
  </si>
  <si>
    <t>CAPTURA (TON)</t>
  </si>
  <si>
    <t>SALDO (TON)</t>
  </si>
  <si>
    <t>% CONSUMIDO</t>
  </si>
  <si>
    <t>X REGION DE LOS LAGOS (≤ 12 MTS. DE ESLORA)</t>
  </si>
  <si>
    <t>ARTESANAL</t>
  </si>
  <si>
    <t>X REGION DE LOS LAGOS (&gt; 12 MTS. DE ESLORA)</t>
  </si>
  <si>
    <t>XI DE AYSEN UP NORTE</t>
  </si>
  <si>
    <t>XI DE AYSEN UP SUR</t>
  </si>
  <si>
    <t>XII DE MAGALLANES</t>
  </si>
  <si>
    <t>FAUNA ACOMPAÑANTE X REGION (≤ 12 MTS. DE ESLORA)</t>
  </si>
  <si>
    <t>FAUNA ACOMPAÑANTE X REGION (&gt; 12 MTS. DE ESLORA)</t>
  </si>
  <si>
    <t>FAUNA ACOMAÑANTE XI UP NORTE</t>
  </si>
  <si>
    <t>FAUNA ACOMPAÑANTE XII</t>
  </si>
  <si>
    <t>47° al 57° L.S. (SE)</t>
  </si>
  <si>
    <t>INDUSTRIAL</t>
  </si>
  <si>
    <t>TOTALES</t>
  </si>
  <si>
    <t>FAUNA ACOMPAÑANTE XI UP SUR</t>
  </si>
  <si>
    <t>FUERA UNIDAD PESQUERIA</t>
  </si>
  <si>
    <t>FAUNA ACOMPAÑANTE</t>
  </si>
  <si>
    <t>INVESTIGACION</t>
  </si>
  <si>
    <t>ARTESANAL - INDUSTRIAL</t>
  </si>
  <si>
    <t>41°28,6' al 47° L.S. (NE)</t>
  </si>
  <si>
    <t>REGIÓN</t>
  </si>
  <si>
    <t>ASIGNATARIO</t>
  </si>
  <si>
    <t>PERIODO</t>
  </si>
  <si>
    <t>FECHA CIERRE</t>
  </si>
  <si>
    <t>% CONSUMO</t>
  </si>
  <si>
    <t>CALBUCO A</t>
  </si>
  <si>
    <t>CALBUCO B</t>
  </si>
  <si>
    <t>CALBUCO C</t>
  </si>
  <si>
    <t>CHILOE B</t>
  </si>
  <si>
    <t>CHILOE C</t>
  </si>
  <si>
    <t>HUALAIHUE</t>
  </si>
  <si>
    <t>PUERTO MONTT A</t>
  </si>
  <si>
    <t>PUERTO MONTT B</t>
  </si>
  <si>
    <t>PALENA</t>
  </si>
  <si>
    <t>PATAGONIA</t>
  </si>
  <si>
    <t>RESIDUAL</t>
  </si>
  <si>
    <t>ENE-JUN</t>
  </si>
  <si>
    <t>JUL-DIC</t>
  </si>
  <si>
    <t>ENE-DIC</t>
  </si>
  <si>
    <t>-</t>
  </si>
  <si>
    <t>AG CHILOE</t>
  </si>
  <si>
    <t>UNIDAD DE PESQUERIA NORTE</t>
  </si>
  <si>
    <t>UNIDAD DE PESQUERIA SUR</t>
  </si>
  <si>
    <t xml:space="preserve">XI REGION DE AYSEN </t>
  </si>
  <si>
    <t>ENERO</t>
  </si>
  <si>
    <t>FEBRERO</t>
  </si>
  <si>
    <t>MARZO</t>
  </si>
  <si>
    <t>JUNIO</t>
  </si>
  <si>
    <t>JULIO</t>
  </si>
  <si>
    <t>DICIEMBRE</t>
  </si>
  <si>
    <t>UNIDAD DE PESQUERIA</t>
  </si>
  <si>
    <t>TITULAR DE CUOTA LTP</t>
  </si>
  <si>
    <t>EMDEPES S.A.</t>
  </si>
  <si>
    <t>GRIMAR S.A. PESQ.</t>
  </si>
  <si>
    <t>PESCA CISNE S.A.</t>
  </si>
  <si>
    <t>SUR AUSTRAL S.A. PESQ.</t>
  </si>
  <si>
    <t>ISLA QUIHUA S.A. PESQ.</t>
  </si>
  <si>
    <t>ENE-FEB</t>
  </si>
  <si>
    <t>MAR-DIC</t>
  </si>
  <si>
    <t>CANAL AUSTRAL LTDA.</t>
  </si>
  <si>
    <t>MARCO SALINAS CARRASCO</t>
  </si>
  <si>
    <t>TOTAL</t>
  </si>
  <si>
    <t>FRACCIÓN</t>
  </si>
  <si>
    <t>CUOTA ASIGNADA</t>
  </si>
  <si>
    <t>CAPTURA TOTAL</t>
  </si>
  <si>
    <t>SALDO</t>
  </si>
  <si>
    <t>CONSUMO</t>
  </si>
  <si>
    <t>CONGRIO DORADO FUERA UNIDAD DE PESQUERIA 41°28,6´ L.S. AL NORTE</t>
  </si>
  <si>
    <t>INVESTIGACIÓN</t>
  </si>
  <si>
    <t>CAPTURA</t>
  </si>
  <si>
    <t>CUOTA EFECTIVA</t>
  </si>
  <si>
    <t xml:space="preserve">FAUNA ACOMPAÑANTE </t>
  </si>
  <si>
    <t>FAUNA ACOMPAÑANTE UPN</t>
  </si>
  <si>
    <t>FAUNA ACOMAÑANTE UPS</t>
  </si>
  <si>
    <t>X REGION DE LOS LAGOS                                                                     (≤ 12 MTS. DE ESLORA)</t>
  </si>
  <si>
    <t>X REGION DE LOS LAGOS                                                                  (&gt; 12 MTS. DE ESLORA)</t>
  </si>
  <si>
    <t>unidad</t>
  </si>
  <si>
    <t>recurso</t>
  </si>
  <si>
    <t>zona</t>
  </si>
  <si>
    <t>tipo_asignatario</t>
  </si>
  <si>
    <t>organizacion_titular_area</t>
  </si>
  <si>
    <t>periodo_inicio</t>
  </si>
  <si>
    <t>periodo_final</t>
  </si>
  <si>
    <t>cuota</t>
  </si>
  <si>
    <t>cesiones_descuentos</t>
  </si>
  <si>
    <t>cuota_efectiva</t>
  </si>
  <si>
    <t>captura</t>
  </si>
  <si>
    <t>saldo</t>
  </si>
  <si>
    <t>consumo_porcentaje</t>
  </si>
  <si>
    <t>cierre</t>
  </si>
  <si>
    <t>preliminar</t>
  </si>
  <si>
    <t>año</t>
  </si>
  <si>
    <t>mensaje</t>
  </si>
  <si>
    <t>CONGRIO DORADO X</t>
  </si>
  <si>
    <t>CONGRIO DORADO</t>
  </si>
  <si>
    <t>X</t>
  </si>
  <si>
    <t>AREA</t>
  </si>
  <si>
    <t>CONGRIO DORADO XI</t>
  </si>
  <si>
    <t>XI</t>
  </si>
  <si>
    <t>ORGANIZACIÓN</t>
  </si>
  <si>
    <t>REGION</t>
  </si>
  <si>
    <t xml:space="preserve">BOLSON RESIDUAL MENORES O IGUAL A 12 METROS </t>
  </si>
  <si>
    <t>BOLSON RESIDUAL MAYORES A 12 METROS</t>
  </si>
  <si>
    <t xml:space="preserve">FAUNA ACOMPAÑANTE MENORES O IGUAL A 12 METROS </t>
  </si>
  <si>
    <t>FAUNA ACOMPAÑANTE MAYORES A 12 METROS</t>
  </si>
  <si>
    <t>FAUNA ACOMPAÑANTE UPS</t>
  </si>
  <si>
    <t>CONGRIO DORADO XII</t>
  </si>
  <si>
    <t>XII</t>
  </si>
  <si>
    <t>ARTESANALES XII</t>
  </si>
  <si>
    <t>CONGRIO DORADO X-XII</t>
  </si>
  <si>
    <t>X-XII</t>
  </si>
  <si>
    <t>TOTAL ARTESANAL</t>
  </si>
  <si>
    <t>TOTAL ASIGNATARIO ARTESANAL</t>
  </si>
  <si>
    <t>CONGRIO DORADO 41°28,6LS-47°LS</t>
  </si>
  <si>
    <t>41°28,6LS-47°LS</t>
  </si>
  <si>
    <t>TITULAR LTP</t>
  </si>
  <si>
    <t>CONGRIO DORADO 47°LS-57°LS</t>
  </si>
  <si>
    <t>47°LS-57°LS</t>
  </si>
  <si>
    <t>41°28,6LS-57°LS</t>
  </si>
  <si>
    <t>TOTAL ASIGNATARIO LTP</t>
  </si>
  <si>
    <t>TOTAL LTP</t>
  </si>
  <si>
    <t>Congrio Dorado paralelo 41°28,6 al 47° L.S.</t>
  </si>
  <si>
    <t>Congrio Dorado paralelo 47° al 57° L.S.</t>
  </si>
  <si>
    <t>XII REGION DE MAGALLANES</t>
  </si>
  <si>
    <t>CONGRIO DORADO 41°28,6´ L.S. AL NORTE</t>
  </si>
  <si>
    <t>41°28,6´ L.S. AL NORTE</t>
  </si>
  <si>
    <t>FUERA UNIDAD DE PESQUERIA</t>
  </si>
  <si>
    <t>PESCA CHILE S.A.</t>
  </si>
  <si>
    <t>TONELADAS</t>
  </si>
  <si>
    <t>NORTE</t>
  </si>
  <si>
    <t>Ene-Feb</t>
  </si>
  <si>
    <t>Mar-Dic</t>
  </si>
  <si>
    <t>SUR</t>
  </si>
  <si>
    <t>Congrio dorado NORTE LTP A</t>
  </si>
  <si>
    <t>Congrio dorado NORTE A Y B</t>
  </si>
  <si>
    <t xml:space="preserve">TITULAR LTP </t>
  </si>
  <si>
    <t>COEFICIENTE</t>
  </si>
  <si>
    <t>TOTAL CUOTA</t>
  </si>
  <si>
    <t>EMDEPES S.A</t>
  </si>
  <si>
    <t>GRIMAR S.A</t>
  </si>
  <si>
    <t>PESCA CHILE S.A</t>
  </si>
  <si>
    <t>SUR AUSTRAL S.A</t>
  </si>
  <si>
    <t>ISLA QUIHUA S.A</t>
  </si>
  <si>
    <t>CANAL AUSTRAL LTDA</t>
  </si>
  <si>
    <t>MARCOS SALINAS CARRASCO</t>
  </si>
  <si>
    <t>Congrio dorado NORTE LTP B</t>
  </si>
  <si>
    <t>Congrio dorado SUR LTP A</t>
  </si>
  <si>
    <t>Congrio dorado SUR  A Y B</t>
  </si>
  <si>
    <t>PESCA CISNE S.A</t>
  </si>
  <si>
    <t>SUR AUSTRAL</t>
  </si>
  <si>
    <t>Congrio dorado SUR LTP B</t>
  </si>
  <si>
    <t>FAUNA ACOMPAÑANTE MAGALLANES</t>
  </si>
  <si>
    <t>PESCA CISNE</t>
  </si>
  <si>
    <t>CALBUCO D</t>
  </si>
  <si>
    <t>CHILOE A</t>
  </si>
  <si>
    <t>PUERTO MONTT C</t>
  </si>
  <si>
    <t>CHILOE D</t>
  </si>
  <si>
    <t>CONTROL CUOTA CONGRIO DORADO FRACCION ARTESANAL AÑO 2022</t>
  </si>
  <si>
    <t>CONTROL CUOTA GLOBAL CONGRIO DORADO AÑO 2022</t>
  </si>
  <si>
    <t>CONTROL CUOTA CONGRIO DORADO FUERA UNIDAD DE PESQUERIA AÑO 2022</t>
  </si>
  <si>
    <t>CONTROL CUOTA CONGRIO DORADO FRACCION INDUSTRIAL AÑO 2022</t>
  </si>
  <si>
    <t>ENE-MAR</t>
  </si>
  <si>
    <t>ABR-AGO</t>
  </si>
  <si>
    <t>SEPT-DIC</t>
  </si>
  <si>
    <t>EMPEDES S.A</t>
  </si>
  <si>
    <t xml:space="preserve">ABRIL </t>
  </si>
  <si>
    <t>AGOSTO</t>
  </si>
  <si>
    <t>SEPTIEMBRE</t>
  </si>
  <si>
    <t>FAUNA ACOMPAÑANTE INDUSTRIAL</t>
  </si>
  <si>
    <t>CUOTA OBJETIVO</t>
  </si>
  <si>
    <t>MAULE</t>
  </si>
  <si>
    <t>ÑUBLE</t>
  </si>
  <si>
    <t>ARAUCANÍA</t>
  </si>
  <si>
    <t>LOS RÍOS</t>
  </si>
  <si>
    <t>VALPARAÍSO</t>
  </si>
  <si>
    <t>O´HIGGINS</t>
  </si>
  <si>
    <t>BIOBÍO</t>
  </si>
  <si>
    <t>FAUNA ACOMPAÑANTE ARTESANAL</t>
  </si>
  <si>
    <t>INFORMACIÓN PRELIMINAR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</si>
</sst>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_-;\-* #,##0.00_-;_-* &quot;-&quot;??_-;_-@_-"/>
    <numFmt numFmtId="165" formatCode="[$-F800]dddd\,\ mmmm\ dd\,\ yyyy"/>
    <numFmt numFmtId="166" formatCode="0.000"/>
    <numFmt numFmtId="167" formatCode="0.000%"/>
    <numFmt numFmtId="168" formatCode="0.0"/>
    <numFmt numFmtId="169" formatCode="0.00000"/>
    <numFmt numFmtId="170" formatCode="0.0000000"/>
    <numFmt numFmtId="171" formatCode="0.0000"/>
    <numFmt numFmtId="172" formatCode="0.0%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000000"/>
      <name val="Calibri"/>
      <family val="2"/>
    </font>
    <font>
      <b/>
      <sz val="9"/>
      <name val="Calibri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Verdana"/>
      <family val="2"/>
    </font>
    <font>
      <sz val="9"/>
      <name val="Verdana"/>
      <family val="2"/>
    </font>
    <font>
      <u/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6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1" fillId="0" borderId="0"/>
    <xf numFmtId="0" fontId="1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78">
    <xf numFmtId="0" fontId="0" fillId="0" borderId="0" xfId="0"/>
    <xf numFmtId="0" fontId="3" fillId="0" borderId="1" xfId="0" applyFont="1" applyBorder="1" applyAlignment="1">
      <alignment horizontal="center" vertical="center"/>
    </xf>
    <xf numFmtId="166" fontId="3" fillId="0" borderId="1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166" fontId="2" fillId="0" borderId="0" xfId="0" applyNumberFormat="1" applyFont="1" applyAlignment="1">
      <alignment horizontal="center"/>
    </xf>
    <xf numFmtId="14" fontId="4" fillId="0" borderId="1" xfId="0" applyNumberFormat="1" applyFont="1" applyBorder="1" applyAlignment="1">
      <alignment horizontal="center" vertical="center"/>
    </xf>
    <xf numFmtId="14" fontId="2" fillId="0" borderId="0" xfId="0" applyNumberFormat="1" applyFont="1" applyAlignment="1">
      <alignment horizontal="center"/>
    </xf>
    <xf numFmtId="9" fontId="3" fillId="0" borderId="1" xfId="1" applyFont="1" applyFill="1" applyBorder="1" applyAlignment="1">
      <alignment horizontal="center" vertical="center"/>
    </xf>
    <xf numFmtId="9" fontId="2" fillId="0" borderId="0" xfId="1" applyFont="1" applyAlignment="1">
      <alignment horizontal="center"/>
    </xf>
    <xf numFmtId="0" fontId="6" fillId="0" borderId="0" xfId="0" applyFont="1"/>
    <xf numFmtId="0" fontId="5" fillId="7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66" fontId="6" fillId="0" borderId="1" xfId="0" applyNumberFormat="1" applyFont="1" applyBorder="1" applyAlignment="1">
      <alignment horizontal="center" vertical="center"/>
    </xf>
    <xf numFmtId="167" fontId="6" fillId="0" borderId="1" xfId="1" applyNumberFormat="1" applyFont="1" applyBorder="1" applyAlignment="1">
      <alignment horizontal="center" vertical="center"/>
    </xf>
    <xf numFmtId="0" fontId="5" fillId="8" borderId="1" xfId="0" applyFont="1" applyFill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167" fontId="0" fillId="0" borderId="1" xfId="1" applyNumberFormat="1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167" fontId="0" fillId="0" borderId="1" xfId="1" applyNumberFormat="1" applyFont="1" applyFill="1" applyBorder="1" applyAlignment="1">
      <alignment horizontal="center" vertical="center"/>
    </xf>
    <xf numFmtId="0" fontId="7" fillId="11" borderId="1" xfId="0" applyFont="1" applyFill="1" applyBorder="1" applyAlignment="1">
      <alignment horizontal="left" vertical="center"/>
    </xf>
    <xf numFmtId="9" fontId="0" fillId="0" borderId="0" xfId="1" applyFont="1" applyAlignment="1">
      <alignment horizontal="center" vertical="center"/>
    </xf>
    <xf numFmtId="166" fontId="7" fillId="2" borderId="1" xfId="0" applyNumberFormat="1" applyFont="1" applyFill="1" applyBorder="1" applyAlignment="1">
      <alignment horizontal="center" vertical="center"/>
    </xf>
    <xf numFmtId="167" fontId="7" fillId="2" borderId="1" xfId="1" applyNumberFormat="1" applyFont="1" applyFill="1" applyBorder="1" applyAlignment="1">
      <alignment horizontal="center" vertical="center"/>
    </xf>
    <xf numFmtId="14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9" fontId="7" fillId="2" borderId="1" xfId="1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/>
    </xf>
    <xf numFmtId="166" fontId="5" fillId="8" borderId="1" xfId="0" applyNumberFormat="1" applyFont="1" applyFill="1" applyBorder="1" applyAlignment="1">
      <alignment horizontal="center" vertical="center"/>
    </xf>
    <xf numFmtId="167" fontId="5" fillId="8" borderId="1" xfId="1" applyNumberFormat="1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7" fillId="9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6" fontId="0" fillId="0" borderId="1" xfId="0" applyNumberFormat="1" applyBorder="1" applyAlignment="1">
      <alignment horizontal="center" vertical="center" wrapText="1"/>
    </xf>
    <xf numFmtId="167" fontId="0" fillId="0" borderId="1" xfId="1" applyNumberFormat="1" applyFont="1" applyBorder="1" applyAlignment="1">
      <alignment horizontal="center" vertical="center" wrapText="1"/>
    </xf>
    <xf numFmtId="0" fontId="7" fillId="10" borderId="2" xfId="0" applyFont="1" applyFill="1" applyBorder="1" applyAlignment="1">
      <alignment vertical="center" wrapText="1"/>
    </xf>
    <xf numFmtId="166" fontId="7" fillId="10" borderId="1" xfId="0" applyNumberFormat="1" applyFont="1" applyFill="1" applyBorder="1" applyAlignment="1">
      <alignment horizontal="center" vertical="center" wrapText="1"/>
    </xf>
    <xf numFmtId="167" fontId="7" fillId="10" borderId="1" xfId="1" applyNumberFormat="1" applyFont="1" applyFill="1" applyBorder="1" applyAlignment="1">
      <alignment horizontal="center" vertical="center" wrapText="1"/>
    </xf>
    <xf numFmtId="0" fontId="7" fillId="10" borderId="1" xfId="0" applyFont="1" applyFill="1" applyBorder="1" applyAlignment="1">
      <alignment vertical="center" wrapText="1"/>
    </xf>
    <xf numFmtId="0" fontId="7" fillId="10" borderId="1" xfId="0" applyFont="1" applyFill="1" applyBorder="1" applyAlignment="1">
      <alignment horizontal="center" vertical="center" wrapText="1"/>
    </xf>
    <xf numFmtId="166" fontId="0" fillId="0" borderId="0" xfId="0" applyNumberFormat="1"/>
    <xf numFmtId="0" fontId="0" fillId="0" borderId="1" xfId="0" applyBorder="1"/>
    <xf numFmtId="0" fontId="8" fillId="11" borderId="1" xfId="0" applyFont="1" applyFill="1" applyBorder="1" applyAlignment="1">
      <alignment horizontal="center" vertical="center" wrapText="1"/>
    </xf>
    <xf numFmtId="0" fontId="9" fillId="12" borderId="1" xfId="0" applyFont="1" applyFill="1" applyBorder="1" applyAlignment="1">
      <alignment horizontal="center"/>
    </xf>
    <xf numFmtId="168" fontId="8" fillId="12" borderId="1" xfId="0" applyNumberFormat="1" applyFont="1" applyFill="1" applyBorder="1" applyAlignment="1">
      <alignment horizontal="center"/>
    </xf>
    <xf numFmtId="168" fontId="7" fillId="11" borderId="1" xfId="0" applyNumberFormat="1" applyFont="1" applyFill="1" applyBorder="1"/>
    <xf numFmtId="168" fontId="0" fillId="0" borderId="1" xfId="0" applyNumberFormat="1" applyBorder="1"/>
    <xf numFmtId="0" fontId="7" fillId="11" borderId="1" xfId="0" applyFont="1" applyFill="1" applyBorder="1" applyAlignment="1">
      <alignment horizontal="center" vertical="center"/>
    </xf>
    <xf numFmtId="169" fontId="0" fillId="0" borderId="1" xfId="0" applyNumberFormat="1" applyBorder="1"/>
    <xf numFmtId="170" fontId="7" fillId="11" borderId="6" xfId="0" applyNumberFormat="1" applyFont="1" applyFill="1" applyBorder="1" applyAlignment="1">
      <alignment horizontal="center"/>
    </xf>
    <xf numFmtId="1" fontId="7" fillId="11" borderId="6" xfId="0" applyNumberFormat="1" applyFont="1" applyFill="1" applyBorder="1"/>
    <xf numFmtId="0" fontId="7" fillId="0" borderId="1" xfId="0" applyFont="1" applyBorder="1"/>
    <xf numFmtId="2" fontId="7" fillId="13" borderId="1" xfId="0" applyNumberFormat="1" applyFont="1" applyFill="1" applyBorder="1"/>
    <xf numFmtId="0" fontId="7" fillId="0" borderId="0" xfId="0" applyFont="1"/>
    <xf numFmtId="171" fontId="0" fillId="0" borderId="1" xfId="0" applyNumberFormat="1" applyBorder="1"/>
    <xf numFmtId="166" fontId="7" fillId="11" borderId="1" xfId="0" applyNumberFormat="1" applyFont="1" applyFill="1" applyBorder="1" applyAlignment="1">
      <alignment horizontal="center"/>
    </xf>
    <xf numFmtId="166" fontId="0" fillId="0" borderId="1" xfId="0" applyNumberFormat="1" applyBorder="1"/>
    <xf numFmtId="166" fontId="7" fillId="11" borderId="1" xfId="0" applyNumberFormat="1" applyFont="1" applyFill="1" applyBorder="1"/>
    <xf numFmtId="0" fontId="0" fillId="0" borderId="2" xfId="0" applyBorder="1"/>
    <xf numFmtId="166" fontId="7" fillId="0" borderId="0" xfId="0" applyNumberFormat="1" applyFont="1" applyAlignment="1">
      <alignment horizontal="center"/>
    </xf>
    <xf numFmtId="166" fontId="7" fillId="0" borderId="0" xfId="0" applyNumberFormat="1" applyFont="1"/>
    <xf numFmtId="168" fontId="7" fillId="13" borderId="6" xfId="0" applyNumberFormat="1" applyFont="1" applyFill="1" applyBorder="1"/>
    <xf numFmtId="171" fontId="7" fillId="0" borderId="1" xfId="0" applyNumberFormat="1" applyFont="1" applyBorder="1"/>
    <xf numFmtId="0" fontId="7" fillId="5" borderId="1" xfId="0" applyFont="1" applyFill="1" applyBorder="1" applyAlignment="1">
      <alignment vertical="center"/>
    </xf>
    <xf numFmtId="10" fontId="0" fillId="0" borderId="1" xfId="1" applyNumberFormat="1" applyFont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166" fontId="0" fillId="0" borderId="0" xfId="0" applyNumberFormat="1" applyAlignment="1">
      <alignment horizontal="center" vertical="center"/>
    </xf>
    <xf numFmtId="0" fontId="7" fillId="5" borderId="1" xfId="0" applyFont="1" applyFill="1" applyBorder="1" applyAlignment="1">
      <alignment horizontal="left" vertical="center"/>
    </xf>
    <xf numFmtId="166" fontId="7" fillId="5" borderId="1" xfId="0" applyNumberFormat="1" applyFont="1" applyFill="1" applyBorder="1" applyAlignment="1">
      <alignment horizontal="center" vertical="center"/>
    </xf>
    <xf numFmtId="10" fontId="7" fillId="5" borderId="1" xfId="1" applyNumberFormat="1" applyFont="1" applyFill="1" applyBorder="1" applyAlignment="1">
      <alignment horizontal="center" vertical="center"/>
    </xf>
    <xf numFmtId="9" fontId="5" fillId="7" borderId="1" xfId="1" applyFont="1" applyFill="1" applyBorder="1" applyAlignment="1">
      <alignment horizontal="center" vertical="center" wrapText="1"/>
    </xf>
    <xf numFmtId="0" fontId="0" fillId="13" borderId="1" xfId="0" applyFill="1" applyBorder="1"/>
    <xf numFmtId="167" fontId="0" fillId="0" borderId="1" xfId="1" applyNumberFormat="1" applyFont="1" applyFill="1" applyBorder="1" applyAlignment="1">
      <alignment horizontal="center" vertical="center" wrapText="1"/>
    </xf>
    <xf numFmtId="166" fontId="6" fillId="0" borderId="0" xfId="0" applyNumberFormat="1" applyFont="1"/>
    <xf numFmtId="0" fontId="7" fillId="5" borderId="1" xfId="0" applyFont="1" applyFill="1" applyBorder="1" applyAlignment="1">
      <alignment horizontal="center" vertical="center"/>
    </xf>
    <xf numFmtId="166" fontId="5" fillId="0" borderId="1" xfId="0" applyNumberFormat="1" applyFont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 wrapText="1"/>
    </xf>
    <xf numFmtId="0" fontId="7" fillId="10" borderId="2" xfId="0" applyFont="1" applyFill="1" applyBorder="1" applyAlignment="1">
      <alignment horizontal="center" vertical="center" wrapText="1"/>
    </xf>
    <xf numFmtId="0" fontId="7" fillId="10" borderId="16" xfId="0" applyFont="1" applyFill="1" applyBorder="1" applyAlignment="1">
      <alignment vertical="center" wrapText="1"/>
    </xf>
    <xf numFmtId="0" fontId="7" fillId="10" borderId="20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14" fontId="7" fillId="0" borderId="0" xfId="0" applyNumberFormat="1" applyFont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66" fontId="2" fillId="0" borderId="1" xfId="0" applyNumberFormat="1" applyFont="1" applyBorder="1" applyAlignment="1">
      <alignment horizontal="center"/>
    </xf>
    <xf numFmtId="9" fontId="2" fillId="0" borderId="1" xfId="1" applyFont="1" applyFill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14" fontId="2" fillId="0" borderId="1" xfId="1" applyNumberFormat="1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166" fontId="12" fillId="0" borderId="1" xfId="0" applyNumberFormat="1" applyFont="1" applyBorder="1" applyAlignment="1">
      <alignment horizontal="center"/>
    </xf>
    <xf numFmtId="9" fontId="12" fillId="0" borderId="1" xfId="1" applyFont="1" applyFill="1" applyBorder="1" applyAlignment="1">
      <alignment horizontal="center"/>
    </xf>
    <xf numFmtId="14" fontId="12" fillId="0" borderId="1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49" fontId="3" fillId="0" borderId="1" xfId="0" applyNumberFormat="1" applyFont="1" applyBorder="1" applyAlignment="1">
      <alignment horizontal="center" vertical="center"/>
    </xf>
    <xf numFmtId="166" fontId="0" fillId="0" borderId="1" xfId="0" applyNumberFormat="1" applyFill="1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166" fontId="0" fillId="14" borderId="1" xfId="0" applyNumberFormat="1" applyFill="1" applyBorder="1" applyAlignment="1">
      <alignment horizontal="center" vertical="center"/>
    </xf>
    <xf numFmtId="172" fontId="0" fillId="0" borderId="1" xfId="1" applyNumberFormat="1" applyFont="1" applyBorder="1" applyAlignment="1">
      <alignment horizontal="center" vertical="center"/>
    </xf>
    <xf numFmtId="172" fontId="7" fillId="2" borderId="1" xfId="1" applyNumberFormat="1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165" fontId="7" fillId="3" borderId="10" xfId="0" applyNumberFormat="1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165" fontId="7" fillId="3" borderId="10" xfId="0" applyNumberFormat="1" applyFont="1" applyFill="1" applyBorder="1" applyAlignment="1">
      <alignment horizontal="center" vertical="center"/>
    </xf>
    <xf numFmtId="165" fontId="7" fillId="3" borderId="11" xfId="0" applyNumberFormat="1" applyFont="1" applyFill="1" applyBorder="1" applyAlignment="1">
      <alignment horizontal="center" vertical="center"/>
    </xf>
    <xf numFmtId="165" fontId="7" fillId="3" borderId="12" xfId="0" applyNumberFormat="1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172" fontId="0" fillId="0" borderId="1" xfId="1" applyNumberFormat="1" applyFont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14" fontId="7" fillId="2" borderId="16" xfId="0" applyNumberFormat="1" applyFont="1" applyFill="1" applyBorder="1" applyAlignment="1">
      <alignment horizontal="center" vertical="center"/>
    </xf>
    <xf numFmtId="14" fontId="7" fillId="2" borderId="17" xfId="0" applyNumberFormat="1" applyFont="1" applyFill="1" applyBorder="1" applyAlignment="1">
      <alignment horizontal="center" vertical="center"/>
    </xf>
    <xf numFmtId="14" fontId="7" fillId="2" borderId="18" xfId="0" applyNumberFormat="1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left" vertical="center" wrapText="1"/>
    </xf>
    <xf numFmtId="0" fontId="7" fillId="10" borderId="5" xfId="0" applyFont="1" applyFill="1" applyBorder="1" applyAlignment="1">
      <alignment horizontal="center" vertical="center" wrapText="1"/>
    </xf>
    <xf numFmtId="0" fontId="7" fillId="10" borderId="4" xfId="0" applyFont="1" applyFill="1" applyBorder="1" applyAlignment="1">
      <alignment horizontal="center" vertical="center" wrapText="1"/>
    </xf>
    <xf numFmtId="0" fontId="7" fillId="10" borderId="6" xfId="0" applyFont="1" applyFill="1" applyBorder="1" applyAlignment="1">
      <alignment horizontal="center" vertical="center" wrapText="1"/>
    </xf>
    <xf numFmtId="0" fontId="7" fillId="9" borderId="13" xfId="0" applyFont="1" applyFill="1" applyBorder="1" applyAlignment="1">
      <alignment horizontal="center" vertical="center" wrapText="1"/>
    </xf>
    <xf numFmtId="0" fontId="7" fillId="9" borderId="15" xfId="0" applyFont="1" applyFill="1" applyBorder="1" applyAlignment="1">
      <alignment horizontal="center" vertical="center" wrapText="1"/>
    </xf>
    <xf numFmtId="0" fontId="7" fillId="9" borderId="16" xfId="0" applyFont="1" applyFill="1" applyBorder="1" applyAlignment="1">
      <alignment horizontal="center" vertical="center" wrapText="1"/>
    </xf>
    <xf numFmtId="0" fontId="7" fillId="9" borderId="18" xfId="0" applyFont="1" applyFill="1" applyBorder="1" applyAlignment="1">
      <alignment horizontal="center" vertical="center" wrapText="1"/>
    </xf>
    <xf numFmtId="0" fontId="7" fillId="9" borderId="13" xfId="0" applyFont="1" applyFill="1" applyBorder="1" applyAlignment="1">
      <alignment horizontal="center" wrapText="1"/>
    </xf>
    <xf numFmtId="0" fontId="7" fillId="9" borderId="14" xfId="0" applyFont="1" applyFill="1" applyBorder="1" applyAlignment="1">
      <alignment horizontal="center" wrapText="1"/>
    </xf>
    <xf numFmtId="0" fontId="7" fillId="9" borderId="15" xfId="0" applyFont="1" applyFill="1" applyBorder="1" applyAlignment="1">
      <alignment horizontal="center" wrapText="1"/>
    </xf>
    <xf numFmtId="14" fontId="7" fillId="9" borderId="16" xfId="0" applyNumberFormat="1" applyFont="1" applyFill="1" applyBorder="1" applyAlignment="1">
      <alignment horizontal="center" wrapText="1"/>
    </xf>
    <xf numFmtId="14" fontId="7" fillId="9" borderId="17" xfId="0" applyNumberFormat="1" applyFont="1" applyFill="1" applyBorder="1" applyAlignment="1">
      <alignment horizontal="center" wrapText="1"/>
    </xf>
    <xf numFmtId="14" fontId="7" fillId="9" borderId="18" xfId="0" applyNumberFormat="1" applyFont="1" applyFill="1" applyBorder="1" applyAlignment="1">
      <alignment horizontal="center" wrapText="1"/>
    </xf>
    <xf numFmtId="0" fontId="7" fillId="9" borderId="4" xfId="0" applyFont="1" applyFill="1" applyBorder="1" applyAlignment="1">
      <alignment horizontal="center" vertical="center" wrapText="1"/>
    </xf>
    <xf numFmtId="0" fontId="7" fillId="9" borderId="6" xfId="0" applyFont="1" applyFill="1" applyBorder="1" applyAlignment="1">
      <alignment horizontal="center" vertical="center" wrapText="1"/>
    </xf>
    <xf numFmtId="0" fontId="7" fillId="9" borderId="2" xfId="0" applyFont="1" applyFill="1" applyBorder="1" applyAlignment="1">
      <alignment horizontal="center" wrapText="1"/>
    </xf>
    <xf numFmtId="0" fontId="7" fillId="9" borderId="3" xfId="0" applyFont="1" applyFill="1" applyBorder="1" applyAlignment="1">
      <alignment horizontal="center" wrapText="1"/>
    </xf>
    <xf numFmtId="166" fontId="6" fillId="0" borderId="4" xfId="0" applyNumberFormat="1" applyFont="1" applyBorder="1" applyAlignment="1">
      <alignment horizontal="center" vertical="center"/>
    </xf>
    <xf numFmtId="166" fontId="6" fillId="0" borderId="6" xfId="0" applyNumberFormat="1" applyFont="1" applyBorder="1" applyAlignment="1">
      <alignment horizontal="center" vertical="center"/>
    </xf>
    <xf numFmtId="0" fontId="5" fillId="7" borderId="13" xfId="0" applyFont="1" applyFill="1" applyBorder="1" applyAlignment="1">
      <alignment horizontal="center"/>
    </xf>
    <xf numFmtId="0" fontId="5" fillId="7" borderId="14" xfId="0" applyFont="1" applyFill="1" applyBorder="1" applyAlignment="1">
      <alignment horizontal="center"/>
    </xf>
    <xf numFmtId="0" fontId="5" fillId="7" borderId="15" xfId="0" applyFont="1" applyFill="1" applyBorder="1" applyAlignment="1">
      <alignment horizontal="center"/>
    </xf>
    <xf numFmtId="14" fontId="5" fillId="7" borderId="16" xfId="0" applyNumberFormat="1" applyFont="1" applyFill="1" applyBorder="1" applyAlignment="1">
      <alignment horizontal="center"/>
    </xf>
    <xf numFmtId="14" fontId="5" fillId="7" borderId="17" xfId="0" applyNumberFormat="1" applyFont="1" applyFill="1" applyBorder="1" applyAlignment="1">
      <alignment horizontal="center"/>
    </xf>
    <xf numFmtId="14" fontId="5" fillId="7" borderId="18" xfId="0" applyNumberFormat="1" applyFont="1" applyFill="1" applyBorder="1" applyAlignment="1">
      <alignment horizontal="center"/>
    </xf>
    <xf numFmtId="0" fontId="5" fillId="8" borderId="4" xfId="0" applyFont="1" applyFill="1" applyBorder="1" applyAlignment="1">
      <alignment horizontal="left" vertical="center" wrapText="1"/>
    </xf>
    <xf numFmtId="0" fontId="5" fillId="8" borderId="6" xfId="0" applyFont="1" applyFill="1" applyBorder="1" applyAlignment="1">
      <alignment horizontal="left" vertical="center" wrapText="1"/>
    </xf>
    <xf numFmtId="0" fontId="5" fillId="8" borderId="4" xfId="0" applyFont="1" applyFill="1" applyBorder="1" applyAlignment="1">
      <alignment horizontal="center" vertical="center" textRotation="90"/>
    </xf>
    <xf numFmtId="0" fontId="5" fillId="8" borderId="5" xfId="0" applyFont="1" applyFill="1" applyBorder="1" applyAlignment="1">
      <alignment horizontal="center" vertical="center" textRotation="90"/>
    </xf>
    <xf numFmtId="0" fontId="5" fillId="8" borderId="6" xfId="0" applyFont="1" applyFill="1" applyBorder="1" applyAlignment="1">
      <alignment horizontal="center" vertical="center" textRotation="90"/>
    </xf>
    <xf numFmtId="0" fontId="5" fillId="8" borderId="4" xfId="0" applyFont="1" applyFill="1" applyBorder="1" applyAlignment="1">
      <alignment horizontal="left" vertical="center"/>
    </xf>
    <xf numFmtId="0" fontId="5" fillId="8" borderId="6" xfId="0" applyFont="1" applyFill="1" applyBorder="1" applyAlignment="1">
      <alignment horizontal="left" vertical="center"/>
    </xf>
    <xf numFmtId="167" fontId="6" fillId="0" borderId="4" xfId="1" applyNumberFormat="1" applyFont="1" applyBorder="1" applyAlignment="1">
      <alignment horizontal="center" vertical="center"/>
    </xf>
    <xf numFmtId="167" fontId="6" fillId="0" borderId="6" xfId="1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/>
    </xf>
    <xf numFmtId="168" fontId="7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166" fontId="5" fillId="15" borderId="1" xfId="0" applyNumberFormat="1" applyFont="1" applyFill="1" applyBorder="1" applyAlignment="1">
      <alignment horizontal="center" vertical="center"/>
    </xf>
    <xf numFmtId="166" fontId="0" fillId="15" borderId="1" xfId="0" applyNumberFormat="1" applyFill="1" applyBorder="1" applyAlignment="1">
      <alignment horizontal="center" vertical="center" wrapText="1"/>
    </xf>
    <xf numFmtId="166" fontId="0" fillId="15" borderId="1" xfId="0" applyNumberFormat="1" applyFill="1" applyBorder="1" applyAlignment="1">
      <alignment horizontal="center" vertical="center"/>
    </xf>
  </cellXfs>
  <cellStyles count="8">
    <cellStyle name="Millares 2" xfId="3"/>
    <cellStyle name="Millares 3" xfId="6"/>
    <cellStyle name="Millares 4" xfId="7"/>
    <cellStyle name="Normal" xfId="0" builtinId="0"/>
    <cellStyle name="Normal 10" xfId="5"/>
    <cellStyle name="Normal 2" xfId="2"/>
    <cellStyle name="Normal 2 2" xfId="4"/>
    <cellStyle name="Porcentaje" xfId="1" builtinId="5"/>
  </cellStyles>
  <dxfs count="2">
    <dxf>
      <font>
        <b/>
        <i val="0"/>
        <color rgb="FFFF0000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1:I33"/>
  <sheetViews>
    <sheetView showGridLines="0" tabSelected="1" topLeftCell="B1" zoomScaleNormal="100" workbookViewId="0">
      <selection activeCell="D16" sqref="D16"/>
    </sheetView>
  </sheetViews>
  <sheetFormatPr baseColWidth="10" defaultColWidth="11.42578125" defaultRowHeight="15" x14ac:dyDescent="0.25"/>
  <cols>
    <col min="1" max="1" width="11.42578125" style="18"/>
    <col min="2" max="2" width="20" style="18" bestFit="1" customWidth="1"/>
    <col min="3" max="3" width="52.28515625" style="18" bestFit="1" customWidth="1"/>
    <col min="4" max="4" width="24" style="18" customWidth="1"/>
    <col min="5" max="5" width="19.5703125" style="18" customWidth="1"/>
    <col min="6" max="6" width="22.140625" style="18" customWidth="1"/>
    <col min="7" max="7" width="17" style="18" customWidth="1"/>
    <col min="8" max="8" width="12.7109375" style="18" customWidth="1"/>
    <col min="9" max="9" width="14.7109375" style="18" customWidth="1"/>
    <col min="10" max="16384" width="11.42578125" style="18"/>
  </cols>
  <sheetData>
    <row r="1" spans="2:9" ht="15.75" thickBot="1" x14ac:dyDescent="0.3"/>
    <row r="2" spans="2:9" x14ac:dyDescent="0.25">
      <c r="B2" s="114" t="s">
        <v>165</v>
      </c>
      <c r="C2" s="115"/>
      <c r="D2" s="115"/>
      <c r="E2" s="115"/>
      <c r="F2" s="115"/>
      <c r="G2" s="115"/>
      <c r="H2" s="115"/>
      <c r="I2" s="116"/>
    </row>
    <row r="3" spans="2:9" ht="15.75" thickBot="1" x14ac:dyDescent="0.3">
      <c r="B3" s="120">
        <v>44926</v>
      </c>
      <c r="C3" s="121"/>
      <c r="D3" s="121"/>
      <c r="E3" s="121"/>
      <c r="F3" s="121"/>
      <c r="G3" s="121"/>
      <c r="H3" s="121"/>
      <c r="I3" s="122"/>
    </row>
    <row r="4" spans="2:9" x14ac:dyDescent="0.25">
      <c r="B4" s="124" t="s">
        <v>185</v>
      </c>
      <c r="C4" s="124"/>
      <c r="D4" s="124"/>
      <c r="E4" s="124"/>
      <c r="F4" s="124"/>
      <c r="G4" s="124"/>
      <c r="H4" s="124"/>
      <c r="I4" s="124"/>
    </row>
    <row r="5" spans="2:9" x14ac:dyDescent="0.25">
      <c r="B5" s="84" t="s">
        <v>0</v>
      </c>
      <c r="C5" s="84" t="s">
        <v>1</v>
      </c>
      <c r="D5" s="86" t="s">
        <v>2</v>
      </c>
      <c r="E5" s="86" t="s">
        <v>3</v>
      </c>
      <c r="F5" s="86" t="s">
        <v>4</v>
      </c>
      <c r="G5" s="86" t="s">
        <v>5</v>
      </c>
      <c r="H5" s="86" t="s">
        <v>6</v>
      </c>
      <c r="I5" s="86" t="s">
        <v>7</v>
      </c>
    </row>
    <row r="6" spans="2:9" x14ac:dyDescent="0.25">
      <c r="B6" s="123" t="s">
        <v>9</v>
      </c>
      <c r="C6" s="70" t="s">
        <v>8</v>
      </c>
      <c r="D6" s="104">
        <f>SUM('CUOTA ARTESANAL'!L6:L20)</f>
        <v>273.45</v>
      </c>
      <c r="E6" s="22">
        <f>SUM('CUOTA ARTESANAL'!M6:M20)</f>
        <v>0</v>
      </c>
      <c r="F6" s="22">
        <f>SUM('CUOTA ARTESANAL'!N6:N20)</f>
        <v>273.45</v>
      </c>
      <c r="G6" s="22">
        <f>SUM('CUOTA ARTESANAL'!O6:O20)</f>
        <v>258.48</v>
      </c>
      <c r="H6" s="22">
        <f>SUM('CUOTA ARTESANAL'!P6:P20)</f>
        <v>14.970000000000013</v>
      </c>
      <c r="I6" s="71">
        <f>G6/F6</f>
        <v>0.94525507405375764</v>
      </c>
    </row>
    <row r="7" spans="2:9" x14ac:dyDescent="0.25">
      <c r="B7" s="123"/>
      <c r="C7" s="70" t="s">
        <v>14</v>
      </c>
      <c r="D7" s="104">
        <f>'CUOTA ARTESANAL'!L21</f>
        <v>9</v>
      </c>
      <c r="E7" s="22">
        <f>'CUOTA ARTESANAL'!M21</f>
        <v>0</v>
      </c>
      <c r="F7" s="22">
        <f>'CUOTA ARTESANAL'!N21</f>
        <v>9</v>
      </c>
      <c r="G7" s="22">
        <f>'CUOTA ARTESANAL'!O21</f>
        <v>0</v>
      </c>
      <c r="H7" s="22">
        <f>'CUOTA ARTESANAL'!P21</f>
        <v>9</v>
      </c>
      <c r="I7" s="71">
        <f t="shared" ref="I7:I18" si="0">G7/F7</f>
        <v>0</v>
      </c>
    </row>
    <row r="8" spans="2:9" x14ac:dyDescent="0.25">
      <c r="B8" s="123"/>
      <c r="C8" s="70" t="s">
        <v>10</v>
      </c>
      <c r="D8" s="104">
        <f>SUM('CUOTA ARTESANAL'!L22:L23)</f>
        <v>182.29999999999998</v>
      </c>
      <c r="E8" s="22">
        <f>SUM('CUOTA ARTESANAL'!M22:M23)</f>
        <v>0</v>
      </c>
      <c r="F8" s="22">
        <f>SUM('CUOTA ARTESANAL'!N22:N23)</f>
        <v>182.29999999999998</v>
      </c>
      <c r="G8" s="22">
        <f>SUM('CUOTA ARTESANAL'!O22:O23)</f>
        <v>175.48200000000003</v>
      </c>
      <c r="H8" s="22">
        <f>SUM('CUOTA ARTESANAL'!P22:P23)</f>
        <v>6.8179999999999659</v>
      </c>
      <c r="I8" s="71">
        <f t="shared" si="0"/>
        <v>0.96260010970927068</v>
      </c>
    </row>
    <row r="9" spans="2:9" x14ac:dyDescent="0.25">
      <c r="B9" s="123"/>
      <c r="C9" s="70" t="s">
        <v>15</v>
      </c>
      <c r="D9" s="104">
        <f>'CUOTA ARTESANAL'!L24</f>
        <v>6</v>
      </c>
      <c r="E9" s="22">
        <f>'CUOTA ARTESANAL'!M24</f>
        <v>0</v>
      </c>
      <c r="F9" s="22">
        <f>'CUOTA ARTESANAL'!N24</f>
        <v>6</v>
      </c>
      <c r="G9" s="22">
        <f>'CUOTA ARTESANAL'!O24</f>
        <v>0</v>
      </c>
      <c r="H9" s="22">
        <f>'CUOTA ARTESANAL'!P24</f>
        <v>6</v>
      </c>
      <c r="I9" s="71">
        <f t="shared" si="0"/>
        <v>0</v>
      </c>
    </row>
    <row r="10" spans="2:9" x14ac:dyDescent="0.25">
      <c r="B10" s="123"/>
      <c r="C10" s="70" t="s">
        <v>11</v>
      </c>
      <c r="D10" s="104">
        <f>'CUOTA ARTESANAL'!L25</f>
        <v>197.25</v>
      </c>
      <c r="E10" s="22">
        <f>'CUOTA ARTESANAL'!M25</f>
        <v>0</v>
      </c>
      <c r="F10" s="22">
        <f>'CUOTA ARTESANAL'!N25</f>
        <v>188.96800000000002</v>
      </c>
      <c r="G10" s="22">
        <f>'CUOTA ARTESANAL'!O25</f>
        <v>223.029</v>
      </c>
      <c r="H10" s="22">
        <f>'CUOTA ARTESANAL'!P25</f>
        <v>-34.061000000000007</v>
      </c>
      <c r="I10" s="71">
        <f t="shared" si="0"/>
        <v>1.1802474493035857</v>
      </c>
    </row>
    <row r="11" spans="2:9" x14ac:dyDescent="0.25">
      <c r="B11" s="123"/>
      <c r="C11" s="70" t="s">
        <v>16</v>
      </c>
      <c r="D11" s="104">
        <f>'CUOTA ARTESANAL'!L28</f>
        <v>4.5</v>
      </c>
      <c r="E11" s="22">
        <f>'CUOTA ARTESANAL'!M28</f>
        <v>0</v>
      </c>
      <c r="F11" s="22">
        <f>'CUOTA ARTESANAL'!N28</f>
        <v>4.5</v>
      </c>
      <c r="G11" s="22">
        <f>'CUOTA ARTESANAL'!O28</f>
        <v>5.4710000000000001</v>
      </c>
      <c r="H11" s="22">
        <f>'CUOTA ARTESANAL'!P28</f>
        <v>-0.97100000000000009</v>
      </c>
      <c r="I11" s="71">
        <f t="shared" si="0"/>
        <v>1.2157777777777778</v>
      </c>
    </row>
    <row r="12" spans="2:9" x14ac:dyDescent="0.25">
      <c r="B12" s="123"/>
      <c r="C12" s="70" t="s">
        <v>12</v>
      </c>
      <c r="D12" s="104">
        <f>'CUOTA ARTESANAL'!L29</f>
        <v>38</v>
      </c>
      <c r="E12" s="22">
        <f>'CUOTA ARTESANAL'!M29</f>
        <v>0</v>
      </c>
      <c r="F12" s="22">
        <f>'CUOTA ARTESANAL'!N29</f>
        <v>38.358000000000004</v>
      </c>
      <c r="G12" s="22">
        <f>'CUOTA ARTESANAL'!O29</f>
        <v>29.847999999999999</v>
      </c>
      <c r="H12" s="22">
        <f>'CUOTA ARTESANAL'!P29</f>
        <v>8.5100000000000016</v>
      </c>
      <c r="I12" s="71">
        <f t="shared" si="0"/>
        <v>0.77814276031075647</v>
      </c>
    </row>
    <row r="13" spans="2:9" x14ac:dyDescent="0.25">
      <c r="B13" s="123"/>
      <c r="C13" s="70" t="s">
        <v>21</v>
      </c>
      <c r="D13" s="104">
        <f>'CUOTA ARTESANAL'!L32</f>
        <v>2</v>
      </c>
      <c r="E13" s="22">
        <f>'CUOTA ARTESANAL'!M32</f>
        <v>0</v>
      </c>
      <c r="F13" s="22">
        <f>'CUOTA ARTESANAL'!N32</f>
        <v>2</v>
      </c>
      <c r="G13" s="22">
        <f>'CUOTA ARTESANAL'!O32</f>
        <v>0</v>
      </c>
      <c r="H13" s="22">
        <f>'CUOTA ARTESANAL'!P32</f>
        <v>2</v>
      </c>
      <c r="I13" s="71">
        <f t="shared" si="0"/>
        <v>0</v>
      </c>
    </row>
    <row r="14" spans="2:9" x14ac:dyDescent="0.25">
      <c r="B14" s="123"/>
      <c r="C14" s="70" t="s">
        <v>13</v>
      </c>
      <c r="D14" s="104">
        <f>'CUOTA ARTESANAL'!L33</f>
        <v>350</v>
      </c>
      <c r="E14" s="22">
        <f>'CUOTA ARTESANAL'!M33</f>
        <v>0</v>
      </c>
      <c r="F14" s="22">
        <f>'CUOTA ARTESANAL'!N33</f>
        <v>350</v>
      </c>
      <c r="G14" s="22">
        <f>'CUOTA ARTESANAL'!O33</f>
        <v>43.735999999999997</v>
      </c>
      <c r="H14" s="22">
        <f>'CUOTA ARTESANAL'!P33</f>
        <v>306.26400000000001</v>
      </c>
      <c r="I14" s="71">
        <f t="shared" si="0"/>
        <v>0.12495999999999999</v>
      </c>
    </row>
    <row r="15" spans="2:9" x14ac:dyDescent="0.25">
      <c r="B15" s="123"/>
      <c r="C15" s="70" t="s">
        <v>17</v>
      </c>
      <c r="D15" s="104">
        <f>'CUOTA ARTESANAL'!L34</f>
        <v>10</v>
      </c>
      <c r="E15" s="22">
        <f>'CUOTA ARTESANAL'!M34</f>
        <v>0</v>
      </c>
      <c r="F15" s="22">
        <f>'CUOTA ARTESANAL'!N34</f>
        <v>10</v>
      </c>
      <c r="G15" s="22">
        <f>+'CUOTA ARTESANAL'!H34</f>
        <v>0</v>
      </c>
      <c r="H15" s="22">
        <f>'CUOTA ARTESANAL'!P34</f>
        <v>10</v>
      </c>
      <c r="I15" s="71">
        <f t="shared" si="0"/>
        <v>0</v>
      </c>
    </row>
    <row r="16" spans="2:9" x14ac:dyDescent="0.25">
      <c r="B16" s="123" t="s">
        <v>19</v>
      </c>
      <c r="C16" s="70" t="s">
        <v>26</v>
      </c>
      <c r="D16" s="104">
        <f>'CUOTA INDUSTRIAL'!K22</f>
        <v>672.50025999999991</v>
      </c>
      <c r="E16" s="22">
        <f>'CUOTA INDUSTRIAL'!L22</f>
        <v>0</v>
      </c>
      <c r="F16" s="22">
        <f>SUM('CUOTA INDUSTRIAL'!M6:M22)</f>
        <v>1345.0005199999996</v>
      </c>
      <c r="G16" s="22">
        <f>'CUOTA INDUSTRIAL'!N22</f>
        <v>491.97</v>
      </c>
      <c r="H16" s="22">
        <f>SUM('CUOTA INDUSTRIAL'!O6:O22)</f>
        <v>361.06051999999988</v>
      </c>
      <c r="I16" s="71">
        <f t="shared" si="0"/>
        <v>0.36577681025729281</v>
      </c>
    </row>
    <row r="17" spans="2:9" x14ac:dyDescent="0.25">
      <c r="B17" s="123"/>
      <c r="C17" s="70" t="s">
        <v>18</v>
      </c>
      <c r="D17" s="104">
        <f>'CUOTA INDUSTRIAL'!K41</f>
        <v>400.00011999999998</v>
      </c>
      <c r="E17" s="22">
        <f>'CUOTA INDUSTRIAL'!L41</f>
        <v>0</v>
      </c>
      <c r="F17" s="22">
        <f>'CUOTA INDUSTRIAL'!M41</f>
        <v>400.00011999999998</v>
      </c>
      <c r="G17" s="22">
        <f>'CUOTA INDUSTRIAL'!N41</f>
        <v>221.25900000000001</v>
      </c>
      <c r="H17" s="22">
        <f>'CUOTA INDUSTRIAL'!O41</f>
        <v>178.74111999999997</v>
      </c>
      <c r="I17" s="71">
        <f>G17/F17</f>
        <v>0.55314733405579986</v>
      </c>
    </row>
    <row r="18" spans="2:9" x14ac:dyDescent="0.25">
      <c r="B18" s="72"/>
      <c r="C18" s="73" t="s">
        <v>24</v>
      </c>
      <c r="D18" s="104">
        <v>10</v>
      </c>
      <c r="E18" s="22">
        <v>0</v>
      </c>
      <c r="F18" s="22">
        <f>D18+E18</f>
        <v>10</v>
      </c>
      <c r="G18" s="22">
        <v>3.9E-2</v>
      </c>
      <c r="H18" s="22">
        <f>F18-G18</f>
        <v>9.9610000000000003</v>
      </c>
      <c r="I18" s="71">
        <f t="shared" si="0"/>
        <v>3.8999999999999998E-3</v>
      </c>
    </row>
    <row r="19" spans="2:9" x14ac:dyDescent="0.25">
      <c r="B19" s="112" t="s">
        <v>20</v>
      </c>
      <c r="C19" s="113"/>
      <c r="D19" s="78">
        <f>SUM(D6:D18)</f>
        <v>2155.00038</v>
      </c>
      <c r="E19" s="78">
        <f>SUM(E6:E17)</f>
        <v>0</v>
      </c>
      <c r="F19" s="78">
        <f t="shared" ref="F19" si="1">D19+E19</f>
        <v>2155.00038</v>
      </c>
      <c r="G19" s="78">
        <f>SUM(G6:G17)</f>
        <v>1449.2750000000001</v>
      </c>
      <c r="H19" s="78">
        <f>F19-G19</f>
        <v>705.72537999999986</v>
      </c>
      <c r="I19" s="79">
        <f>G19/F19</f>
        <v>0.67251728280437706</v>
      </c>
    </row>
    <row r="20" spans="2:9" x14ac:dyDescent="0.25">
      <c r="B20" s="74"/>
      <c r="C20" s="75"/>
      <c r="E20" s="76"/>
    </row>
    <row r="21" spans="2:9" ht="15.75" thickBot="1" x14ac:dyDescent="0.3">
      <c r="C21" s="75"/>
    </row>
    <row r="22" spans="2:9" x14ac:dyDescent="0.25">
      <c r="B22" s="114" t="s">
        <v>166</v>
      </c>
      <c r="C22" s="115"/>
      <c r="D22" s="115"/>
      <c r="E22" s="115"/>
      <c r="F22" s="115"/>
      <c r="G22" s="115"/>
      <c r="H22" s="115"/>
      <c r="I22" s="116"/>
    </row>
    <row r="23" spans="2:9" ht="15.75" thickBot="1" x14ac:dyDescent="0.3">
      <c r="B23" s="117">
        <f>B3</f>
        <v>44926</v>
      </c>
      <c r="C23" s="118"/>
      <c r="D23" s="118"/>
      <c r="E23" s="118"/>
      <c r="F23" s="118"/>
      <c r="G23" s="118"/>
      <c r="H23" s="118"/>
      <c r="I23" s="119"/>
    </row>
    <row r="24" spans="2:9" x14ac:dyDescent="0.25">
      <c r="C24" s="75"/>
    </row>
    <row r="25" spans="2:9" x14ac:dyDescent="0.25">
      <c r="B25" s="84" t="s">
        <v>0</v>
      </c>
      <c r="C25" s="84" t="s">
        <v>1</v>
      </c>
      <c r="D25" s="86" t="s">
        <v>2</v>
      </c>
      <c r="E25" s="84" t="s">
        <v>3</v>
      </c>
      <c r="F25" s="84" t="s">
        <v>4</v>
      </c>
      <c r="G25" s="84" t="s">
        <v>5</v>
      </c>
      <c r="H25" s="84" t="s">
        <v>6</v>
      </c>
      <c r="I25" s="84" t="s">
        <v>7</v>
      </c>
    </row>
    <row r="26" spans="2:9" x14ac:dyDescent="0.25">
      <c r="B26" s="109" t="s">
        <v>25</v>
      </c>
      <c r="C26" s="77" t="s">
        <v>22</v>
      </c>
      <c r="D26" s="22">
        <f>'FUERA UNIDAD DE PESQUERIA'!F7+'FUERA UNIDAD DE PESQUERIA'!F8+'FUERA UNIDAD DE PESQUERIA'!F11+'FUERA UNIDAD DE PESQUERIA'!F12+'FUERA UNIDAD DE PESQUERIA'!F13+'FUERA UNIDAD DE PESQUERIA'!F14+'FUERA UNIDAD DE PESQUERIA'!F15+'FUERA UNIDAD DE PESQUERIA'!F16+'FUERA UNIDAD DE PESQUERIA'!F17</f>
        <v>110</v>
      </c>
      <c r="E26" s="22">
        <v>0</v>
      </c>
      <c r="F26" s="22">
        <f>D26+E26</f>
        <v>110</v>
      </c>
      <c r="G26" s="22">
        <f>SUM('FUERA UNIDAD DE PESQUERIA'!H11:H18)</f>
        <v>108.167</v>
      </c>
      <c r="H26" s="22">
        <f>F26-G26</f>
        <v>1.8329999999999984</v>
      </c>
      <c r="I26" s="71">
        <f>G26/F26</f>
        <v>0.98333636363636368</v>
      </c>
    </row>
    <row r="27" spans="2:9" x14ac:dyDescent="0.25">
      <c r="B27" s="110"/>
      <c r="C27" s="77" t="s">
        <v>23</v>
      </c>
      <c r="D27" s="22">
        <f>'FUERA UNIDAD DE PESQUERIA'!F9+'FUERA UNIDAD DE PESQUERIA'!F18</f>
        <v>6</v>
      </c>
      <c r="E27" s="22">
        <v>0</v>
      </c>
      <c r="F27" s="22">
        <f>RESUMEN!D27+RESUMEN!E27</f>
        <v>6</v>
      </c>
      <c r="G27" s="22">
        <f>'FUERA UNIDAD DE PESQUERIA'!J9</f>
        <v>1.097</v>
      </c>
      <c r="H27" s="22">
        <f t="shared" ref="H27:H29" si="2">F27-G27</f>
        <v>4.9030000000000005</v>
      </c>
      <c r="I27" s="71">
        <f t="shared" ref="I27:I29" si="3">G27/F27</f>
        <v>0.18283333333333332</v>
      </c>
    </row>
    <row r="28" spans="2:9" x14ac:dyDescent="0.25">
      <c r="B28" s="111"/>
      <c r="C28" s="77" t="s">
        <v>24</v>
      </c>
      <c r="D28" s="22">
        <f>'FUERA UNIDAD DE PESQUERIA'!F10</f>
        <v>2</v>
      </c>
      <c r="E28" s="22">
        <v>0</v>
      </c>
      <c r="F28" s="22">
        <f>RESUMEN!D28+RESUMEN!E28</f>
        <v>2</v>
      </c>
      <c r="G28" s="22">
        <f>'FUERA UNIDAD DE PESQUERIA'!J10</f>
        <v>0</v>
      </c>
      <c r="H28" s="22">
        <f t="shared" si="2"/>
        <v>2</v>
      </c>
      <c r="I28" s="71">
        <f t="shared" si="3"/>
        <v>0</v>
      </c>
    </row>
    <row r="29" spans="2:9" x14ac:dyDescent="0.25">
      <c r="B29" s="112" t="s">
        <v>20</v>
      </c>
      <c r="C29" s="113"/>
      <c r="D29" s="78">
        <f>SUM(D26:D28)</f>
        <v>118</v>
      </c>
      <c r="E29" s="78">
        <v>0</v>
      </c>
      <c r="F29" s="78">
        <f>RESUMEN!D29+RESUMEN!E29</f>
        <v>118</v>
      </c>
      <c r="G29" s="78">
        <f>SUM(G26:G28)</f>
        <v>109.264</v>
      </c>
      <c r="H29" s="78">
        <f t="shared" si="2"/>
        <v>8.7360000000000042</v>
      </c>
      <c r="I29" s="79">
        <f t="shared" si="3"/>
        <v>0.92596610169491522</v>
      </c>
    </row>
    <row r="33" spans="3:3" x14ac:dyDescent="0.25">
      <c r="C33" s="76">
        <f>0.0297403*D16</f>
        <v>20.000359482477997</v>
      </c>
    </row>
  </sheetData>
  <mergeCells count="10">
    <mergeCell ref="B26:B28"/>
    <mergeCell ref="B29:C29"/>
    <mergeCell ref="B22:I22"/>
    <mergeCell ref="B23:I23"/>
    <mergeCell ref="B2:I2"/>
    <mergeCell ref="B3:I3"/>
    <mergeCell ref="B6:B15"/>
    <mergeCell ref="B16:B17"/>
    <mergeCell ref="B19:C19"/>
    <mergeCell ref="B4:I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/>
  </sheetPr>
  <dimension ref="B2:Q35"/>
  <sheetViews>
    <sheetView showGridLines="0" topLeftCell="A10" zoomScaleNormal="100" workbookViewId="0">
      <selection activeCell="H33" sqref="H33:H34"/>
    </sheetView>
  </sheetViews>
  <sheetFormatPr baseColWidth="10" defaultColWidth="11.42578125" defaultRowHeight="15" x14ac:dyDescent="0.25"/>
  <cols>
    <col min="1" max="1" width="1.42578125" style="18" customWidth="1"/>
    <col min="2" max="2" width="25.85546875" style="18" customWidth="1"/>
    <col min="3" max="3" width="23.7109375" style="18" bestFit="1" customWidth="1"/>
    <col min="4" max="4" width="10" style="18" bestFit="1" customWidth="1"/>
    <col min="5" max="5" width="17" style="18" customWidth="1"/>
    <col min="6" max="6" width="13.42578125" style="18" bestFit="1" customWidth="1"/>
    <col min="7" max="7" width="17" style="18" customWidth="1"/>
    <col min="8" max="8" width="9.42578125" style="18" bestFit="1" customWidth="1"/>
    <col min="9" max="9" width="10.5703125" style="18" bestFit="1" customWidth="1"/>
    <col min="10" max="10" width="12" style="27" bestFit="1" customWidth="1"/>
    <col min="11" max="11" width="11.140625" style="18" bestFit="1" customWidth="1"/>
    <col min="12" max="12" width="19" style="18" bestFit="1" customWidth="1"/>
    <col min="13" max="13" width="15.5703125" style="18" bestFit="1" customWidth="1"/>
    <col min="14" max="14" width="18" style="18" bestFit="1" customWidth="1"/>
    <col min="15" max="15" width="12.42578125" style="18" bestFit="1" customWidth="1"/>
    <col min="16" max="16" width="10.5703125" style="18" bestFit="1" customWidth="1"/>
    <col min="17" max="17" width="10.42578125" style="18" bestFit="1" customWidth="1"/>
    <col min="18" max="16384" width="11.42578125" style="18"/>
  </cols>
  <sheetData>
    <row r="2" spans="2:17" x14ac:dyDescent="0.25">
      <c r="B2" s="127" t="s">
        <v>164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9"/>
    </row>
    <row r="3" spans="2:17" x14ac:dyDescent="0.25">
      <c r="B3" s="130">
        <f>RESUMEN!B3</f>
        <v>44926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2"/>
    </row>
    <row r="5" spans="2:17" ht="48.75" customHeight="1" x14ac:dyDescent="0.25">
      <c r="B5" s="19" t="s">
        <v>27</v>
      </c>
      <c r="C5" s="19" t="s">
        <v>28</v>
      </c>
      <c r="D5" s="19" t="s">
        <v>29</v>
      </c>
      <c r="E5" s="31" t="s">
        <v>2</v>
      </c>
      <c r="F5" s="31" t="s">
        <v>3</v>
      </c>
      <c r="G5" s="31" t="s">
        <v>4</v>
      </c>
      <c r="H5" s="31" t="s">
        <v>5</v>
      </c>
      <c r="I5" s="31" t="s">
        <v>6</v>
      </c>
      <c r="J5" s="32" t="s">
        <v>7</v>
      </c>
      <c r="K5" s="31" t="s">
        <v>30</v>
      </c>
      <c r="L5" s="31" t="s">
        <v>2</v>
      </c>
      <c r="M5" s="31" t="s">
        <v>3</v>
      </c>
      <c r="N5" s="31" t="s">
        <v>4</v>
      </c>
      <c r="O5" s="31" t="s">
        <v>5</v>
      </c>
      <c r="P5" s="31" t="s">
        <v>6</v>
      </c>
      <c r="Q5" s="31" t="s">
        <v>31</v>
      </c>
    </row>
    <row r="6" spans="2:17" x14ac:dyDescent="0.25">
      <c r="B6" s="134" t="s">
        <v>81</v>
      </c>
      <c r="C6" s="20" t="s">
        <v>32</v>
      </c>
      <c r="D6" s="21" t="s">
        <v>45</v>
      </c>
      <c r="E6" s="22">
        <v>8.8770000000000007</v>
      </c>
      <c r="F6" s="22"/>
      <c r="G6" s="22">
        <f t="shared" ref="G6:G34" si="0">E6+F6</f>
        <v>8.8770000000000007</v>
      </c>
      <c r="H6" s="177">
        <v>1.2630000000000001</v>
      </c>
      <c r="I6" s="22">
        <f>G6-H6</f>
        <v>7.6140000000000008</v>
      </c>
      <c r="J6" s="23">
        <f>H6/G6</f>
        <v>0.1422777965528895</v>
      </c>
      <c r="K6" s="24" t="s">
        <v>46</v>
      </c>
      <c r="L6" s="22">
        <f>E6</f>
        <v>8.8770000000000007</v>
      </c>
      <c r="M6" s="22">
        <f>F6</f>
        <v>0</v>
      </c>
      <c r="N6" s="22">
        <f>L6+M6</f>
        <v>8.8770000000000007</v>
      </c>
      <c r="O6" s="22">
        <f>H6</f>
        <v>1.2630000000000001</v>
      </c>
      <c r="P6" s="22">
        <f>N6-O6</f>
        <v>7.6140000000000008</v>
      </c>
      <c r="Q6" s="107">
        <f>O6/N6</f>
        <v>0.1422777965528895</v>
      </c>
    </row>
    <row r="7" spans="2:17" x14ac:dyDescent="0.25">
      <c r="B7" s="134"/>
      <c r="C7" s="20" t="s">
        <v>33</v>
      </c>
      <c r="D7" s="21" t="s">
        <v>45</v>
      </c>
      <c r="E7" s="22">
        <v>3.6579999999999999</v>
      </c>
      <c r="F7" s="22"/>
      <c r="G7" s="22">
        <f t="shared" si="0"/>
        <v>3.6579999999999999</v>
      </c>
      <c r="H7" s="177">
        <v>0.82800000000000007</v>
      </c>
      <c r="I7" s="22">
        <f t="shared" ref="I7:I34" si="1">G7-H7</f>
        <v>2.83</v>
      </c>
      <c r="J7" s="23">
        <f t="shared" ref="J7:J24" si="2">H7/G7</f>
        <v>0.22635319846910881</v>
      </c>
      <c r="K7" s="24" t="s">
        <v>46</v>
      </c>
      <c r="L7" s="22">
        <f t="shared" ref="L7:M24" si="3">E7</f>
        <v>3.6579999999999999</v>
      </c>
      <c r="M7" s="22">
        <f t="shared" si="3"/>
        <v>0</v>
      </c>
      <c r="N7" s="22">
        <f t="shared" ref="N7:N24" si="4">L7+M7</f>
        <v>3.6579999999999999</v>
      </c>
      <c r="O7" s="22">
        <f t="shared" ref="O7:O24" si="5">H7</f>
        <v>0.82800000000000007</v>
      </c>
      <c r="P7" s="22">
        <f t="shared" ref="P7:P24" si="6">N7-O7</f>
        <v>2.83</v>
      </c>
      <c r="Q7" s="107">
        <f t="shared" ref="Q7:Q24" si="7">O7/N7</f>
        <v>0.22635319846910881</v>
      </c>
    </row>
    <row r="8" spans="2:17" x14ac:dyDescent="0.25">
      <c r="B8" s="134"/>
      <c r="C8" s="20" t="s">
        <v>34</v>
      </c>
      <c r="D8" s="21" t="s">
        <v>45</v>
      </c>
      <c r="E8" s="22">
        <v>5.883</v>
      </c>
      <c r="F8" s="22"/>
      <c r="G8" s="22">
        <f t="shared" si="0"/>
        <v>5.883</v>
      </c>
      <c r="H8" s="177">
        <v>2.7010000000000005</v>
      </c>
      <c r="I8" s="22">
        <f t="shared" si="1"/>
        <v>3.1819999999999995</v>
      </c>
      <c r="J8" s="23">
        <f t="shared" si="2"/>
        <v>0.45911949685534598</v>
      </c>
      <c r="K8" s="24" t="s">
        <v>46</v>
      </c>
      <c r="L8" s="22">
        <f t="shared" si="3"/>
        <v>5.883</v>
      </c>
      <c r="M8" s="22">
        <f t="shared" si="3"/>
        <v>0</v>
      </c>
      <c r="N8" s="22">
        <f t="shared" si="4"/>
        <v>5.883</v>
      </c>
      <c r="O8" s="22">
        <f t="shared" si="5"/>
        <v>2.7010000000000005</v>
      </c>
      <c r="P8" s="22">
        <f t="shared" si="6"/>
        <v>3.1819999999999995</v>
      </c>
      <c r="Q8" s="107">
        <f t="shared" si="7"/>
        <v>0.45911949685534598</v>
      </c>
    </row>
    <row r="9" spans="2:17" x14ac:dyDescent="0.25">
      <c r="B9" s="134"/>
      <c r="C9" s="20" t="s">
        <v>160</v>
      </c>
      <c r="D9" s="21" t="s">
        <v>45</v>
      </c>
      <c r="E9" s="22">
        <v>1.1080000000000001</v>
      </c>
      <c r="F9" s="22"/>
      <c r="G9" s="22">
        <f t="shared" si="0"/>
        <v>1.1080000000000001</v>
      </c>
      <c r="H9" s="177">
        <v>1.6</v>
      </c>
      <c r="I9" s="22">
        <f t="shared" si="1"/>
        <v>-0.49199999999999999</v>
      </c>
      <c r="J9" s="23">
        <f t="shared" si="2"/>
        <v>1.4440433212996389</v>
      </c>
      <c r="K9" s="24">
        <v>44834</v>
      </c>
      <c r="L9" s="22">
        <f t="shared" ref="L9:L10" si="8">E9</f>
        <v>1.1080000000000001</v>
      </c>
      <c r="M9" s="22">
        <f t="shared" ref="M9:M10" si="9">F9</f>
        <v>0</v>
      </c>
      <c r="N9" s="22">
        <f t="shared" ref="N9:N10" si="10">L9+M9</f>
        <v>1.1080000000000001</v>
      </c>
      <c r="O9" s="22">
        <f t="shared" ref="O9:O10" si="11">H9</f>
        <v>1.6</v>
      </c>
      <c r="P9" s="22">
        <f t="shared" ref="P9:P10" si="12">N9-O9</f>
        <v>-0.49199999999999999</v>
      </c>
      <c r="Q9" s="107">
        <f t="shared" ref="Q9:Q10" si="13">O9/N9</f>
        <v>1.4440433212996389</v>
      </c>
    </row>
    <row r="10" spans="2:17" x14ac:dyDescent="0.25">
      <c r="B10" s="134"/>
      <c r="C10" s="20" t="s">
        <v>161</v>
      </c>
      <c r="D10" s="21" t="s">
        <v>45</v>
      </c>
      <c r="E10" s="22">
        <v>4.444</v>
      </c>
      <c r="F10" s="22"/>
      <c r="G10" s="22">
        <f t="shared" si="0"/>
        <v>4.444</v>
      </c>
      <c r="H10" s="177">
        <v>5.2380000000000004</v>
      </c>
      <c r="I10" s="22">
        <f t="shared" si="1"/>
        <v>-0.79400000000000048</v>
      </c>
      <c r="J10" s="23">
        <f t="shared" si="2"/>
        <v>1.1786678667866788</v>
      </c>
      <c r="K10" s="92">
        <v>44629</v>
      </c>
      <c r="L10" s="22">
        <f t="shared" si="8"/>
        <v>4.444</v>
      </c>
      <c r="M10" s="22">
        <f t="shared" si="9"/>
        <v>0</v>
      </c>
      <c r="N10" s="22">
        <f t="shared" si="10"/>
        <v>4.444</v>
      </c>
      <c r="O10" s="22">
        <f t="shared" si="11"/>
        <v>5.2380000000000004</v>
      </c>
      <c r="P10" s="22">
        <f t="shared" si="12"/>
        <v>-0.79400000000000048</v>
      </c>
      <c r="Q10" s="107">
        <f t="shared" si="13"/>
        <v>1.1786678667866788</v>
      </c>
    </row>
    <row r="11" spans="2:17" x14ac:dyDescent="0.25">
      <c r="B11" s="134"/>
      <c r="C11" s="20" t="s">
        <v>35</v>
      </c>
      <c r="D11" s="21" t="s">
        <v>45</v>
      </c>
      <c r="E11" s="22">
        <v>24.655000000000001</v>
      </c>
      <c r="F11" s="22"/>
      <c r="G11" s="22">
        <f t="shared" si="0"/>
        <v>24.655000000000001</v>
      </c>
      <c r="H11" s="177">
        <v>24.776</v>
      </c>
      <c r="I11" s="22">
        <f t="shared" si="1"/>
        <v>-0.12099999999999866</v>
      </c>
      <c r="J11" s="23">
        <f t="shared" si="2"/>
        <v>1.0049077266274589</v>
      </c>
      <c r="K11" s="24">
        <v>44887</v>
      </c>
      <c r="L11" s="22">
        <f t="shared" si="3"/>
        <v>24.655000000000001</v>
      </c>
      <c r="M11" s="22">
        <f t="shared" si="3"/>
        <v>0</v>
      </c>
      <c r="N11" s="22">
        <f t="shared" si="4"/>
        <v>24.655000000000001</v>
      </c>
      <c r="O11" s="22">
        <f t="shared" si="5"/>
        <v>24.776</v>
      </c>
      <c r="P11" s="22">
        <f t="shared" si="6"/>
        <v>-0.12099999999999866</v>
      </c>
      <c r="Q11" s="107">
        <f t="shared" si="7"/>
        <v>1.0049077266274589</v>
      </c>
    </row>
    <row r="12" spans="2:17" x14ac:dyDescent="0.25">
      <c r="B12" s="134"/>
      <c r="C12" s="20" t="s">
        <v>36</v>
      </c>
      <c r="D12" s="21" t="s">
        <v>45</v>
      </c>
      <c r="E12" s="22">
        <v>46.073</v>
      </c>
      <c r="F12" s="22"/>
      <c r="G12" s="22">
        <f t="shared" si="0"/>
        <v>46.073</v>
      </c>
      <c r="H12" s="177">
        <v>51.387999999999998</v>
      </c>
      <c r="I12" s="22">
        <f t="shared" si="1"/>
        <v>-5.3149999999999977</v>
      </c>
      <c r="J12" s="23">
        <f t="shared" si="2"/>
        <v>1.1153604063117226</v>
      </c>
      <c r="K12" s="24">
        <v>44832</v>
      </c>
      <c r="L12" s="22">
        <f t="shared" si="3"/>
        <v>46.073</v>
      </c>
      <c r="M12" s="22">
        <f t="shared" si="3"/>
        <v>0</v>
      </c>
      <c r="N12" s="22">
        <f t="shared" si="4"/>
        <v>46.073</v>
      </c>
      <c r="O12" s="22">
        <f t="shared" si="5"/>
        <v>51.387999999999998</v>
      </c>
      <c r="P12" s="22">
        <f t="shared" si="6"/>
        <v>-5.3149999999999977</v>
      </c>
      <c r="Q12" s="107">
        <f t="shared" si="7"/>
        <v>1.1153604063117226</v>
      </c>
    </row>
    <row r="13" spans="2:17" ht="12.6" customHeight="1" x14ac:dyDescent="0.25">
      <c r="B13" s="134"/>
      <c r="C13" s="20" t="s">
        <v>163</v>
      </c>
      <c r="D13" s="21" t="s">
        <v>45</v>
      </c>
      <c r="E13" s="22">
        <v>1.825</v>
      </c>
      <c r="F13" s="22"/>
      <c r="G13" s="22">
        <f t="shared" si="0"/>
        <v>1.825</v>
      </c>
      <c r="H13" s="177">
        <v>0.38900000000000001</v>
      </c>
      <c r="I13" s="22">
        <f t="shared" si="1"/>
        <v>1.4359999999999999</v>
      </c>
      <c r="J13" s="23">
        <f t="shared" si="2"/>
        <v>0.21315068493150685</v>
      </c>
      <c r="K13" s="24" t="s">
        <v>46</v>
      </c>
      <c r="L13" s="22">
        <f t="shared" ref="L13" si="14">E13</f>
        <v>1.825</v>
      </c>
      <c r="M13" s="22">
        <f t="shared" ref="M13" si="15">F13</f>
        <v>0</v>
      </c>
      <c r="N13" s="22">
        <f t="shared" ref="N13" si="16">L13+M13</f>
        <v>1.825</v>
      </c>
      <c r="O13" s="22">
        <f t="shared" ref="O13" si="17">H13</f>
        <v>0.38900000000000001</v>
      </c>
      <c r="P13" s="22">
        <f t="shared" ref="P13" si="18">N13-O13</f>
        <v>1.4359999999999999</v>
      </c>
      <c r="Q13" s="107">
        <f t="shared" ref="Q13" si="19">O13/N13</f>
        <v>0.21315068493150685</v>
      </c>
    </row>
    <row r="14" spans="2:17" x14ac:dyDescent="0.25">
      <c r="B14" s="134"/>
      <c r="C14" s="20" t="s">
        <v>37</v>
      </c>
      <c r="D14" s="21" t="s">
        <v>45</v>
      </c>
      <c r="E14" s="22">
        <v>118.3</v>
      </c>
      <c r="F14" s="22"/>
      <c r="G14" s="22">
        <f t="shared" si="0"/>
        <v>118.3</v>
      </c>
      <c r="H14" s="177">
        <v>105.033</v>
      </c>
      <c r="I14" s="22">
        <f t="shared" si="1"/>
        <v>13.266999999999996</v>
      </c>
      <c r="J14" s="23">
        <f t="shared" si="2"/>
        <v>0.88785291631445484</v>
      </c>
      <c r="K14" s="24" t="s">
        <v>46</v>
      </c>
      <c r="L14" s="22">
        <f t="shared" si="3"/>
        <v>118.3</v>
      </c>
      <c r="M14" s="22">
        <f t="shared" si="3"/>
        <v>0</v>
      </c>
      <c r="N14" s="22">
        <f t="shared" si="4"/>
        <v>118.3</v>
      </c>
      <c r="O14" s="22">
        <f t="shared" si="5"/>
        <v>105.033</v>
      </c>
      <c r="P14" s="22">
        <f t="shared" si="6"/>
        <v>13.266999999999996</v>
      </c>
      <c r="Q14" s="107">
        <f t="shared" si="7"/>
        <v>0.88785291631445484</v>
      </c>
    </row>
    <row r="15" spans="2:17" x14ac:dyDescent="0.25">
      <c r="B15" s="134"/>
      <c r="C15" s="20" t="s">
        <v>40</v>
      </c>
      <c r="D15" s="21" t="s">
        <v>45</v>
      </c>
      <c r="E15" s="22">
        <v>0.38600000000000001</v>
      </c>
      <c r="F15" s="22"/>
      <c r="G15" s="22">
        <f>E15+F15</f>
        <v>0.38600000000000001</v>
      </c>
      <c r="H15" s="177">
        <v>0</v>
      </c>
      <c r="I15" s="22">
        <f t="shared" si="1"/>
        <v>0.38600000000000001</v>
      </c>
      <c r="J15" s="23">
        <f t="shared" si="2"/>
        <v>0</v>
      </c>
      <c r="K15" s="24" t="s">
        <v>46</v>
      </c>
      <c r="L15" s="22">
        <f t="shared" si="3"/>
        <v>0.38600000000000001</v>
      </c>
      <c r="M15" s="22">
        <f t="shared" si="3"/>
        <v>0</v>
      </c>
      <c r="N15" s="22">
        <f t="shared" si="4"/>
        <v>0.38600000000000001</v>
      </c>
      <c r="O15" s="22">
        <f t="shared" si="5"/>
        <v>0</v>
      </c>
      <c r="P15" s="22">
        <f t="shared" si="6"/>
        <v>0.38600000000000001</v>
      </c>
      <c r="Q15" s="107">
        <f t="shared" si="7"/>
        <v>0</v>
      </c>
    </row>
    <row r="16" spans="2:17" x14ac:dyDescent="0.25">
      <c r="B16" s="134"/>
      <c r="C16" s="20" t="s">
        <v>41</v>
      </c>
      <c r="D16" s="21" t="s">
        <v>45</v>
      </c>
      <c r="E16" s="22">
        <v>2.0870000000000002</v>
      </c>
      <c r="F16" s="22"/>
      <c r="G16" s="22">
        <f t="shared" si="0"/>
        <v>2.0870000000000002</v>
      </c>
      <c r="H16" s="177">
        <v>0.66300000000000003</v>
      </c>
      <c r="I16" s="22">
        <f t="shared" si="1"/>
        <v>1.4240000000000002</v>
      </c>
      <c r="J16" s="23">
        <f t="shared" si="2"/>
        <v>0.317680881648299</v>
      </c>
      <c r="K16" s="24" t="s">
        <v>46</v>
      </c>
      <c r="L16" s="22">
        <f t="shared" si="3"/>
        <v>2.0870000000000002</v>
      </c>
      <c r="M16" s="22">
        <f t="shared" si="3"/>
        <v>0</v>
      </c>
      <c r="N16" s="22">
        <f t="shared" si="4"/>
        <v>2.0870000000000002</v>
      </c>
      <c r="O16" s="22">
        <f t="shared" si="5"/>
        <v>0.66300000000000003</v>
      </c>
      <c r="P16" s="22">
        <f t="shared" si="6"/>
        <v>1.4240000000000002</v>
      </c>
      <c r="Q16" s="107">
        <f t="shared" si="7"/>
        <v>0.317680881648299</v>
      </c>
    </row>
    <row r="17" spans="2:17" x14ac:dyDescent="0.25">
      <c r="B17" s="134"/>
      <c r="C17" s="20" t="s">
        <v>38</v>
      </c>
      <c r="D17" s="21" t="s">
        <v>45</v>
      </c>
      <c r="E17" s="22">
        <v>11.503</v>
      </c>
      <c r="F17" s="22"/>
      <c r="G17" s="22">
        <f t="shared" si="0"/>
        <v>11.503</v>
      </c>
      <c r="H17" s="177">
        <v>13.399999999999999</v>
      </c>
      <c r="I17" s="22">
        <f t="shared" si="1"/>
        <v>-1.8969999999999985</v>
      </c>
      <c r="J17" s="23">
        <f t="shared" si="2"/>
        <v>1.1649135008258713</v>
      </c>
      <c r="K17" s="24">
        <v>44889</v>
      </c>
      <c r="L17" s="22">
        <f t="shared" si="3"/>
        <v>11.503</v>
      </c>
      <c r="M17" s="22">
        <f t="shared" si="3"/>
        <v>0</v>
      </c>
      <c r="N17" s="22">
        <f t="shared" si="4"/>
        <v>11.503</v>
      </c>
      <c r="O17" s="22">
        <f t="shared" si="5"/>
        <v>13.399999999999999</v>
      </c>
      <c r="P17" s="22">
        <f t="shared" si="6"/>
        <v>-1.8969999999999985</v>
      </c>
      <c r="Q17" s="107">
        <f t="shared" si="7"/>
        <v>1.1649135008258713</v>
      </c>
    </row>
    <row r="18" spans="2:17" x14ac:dyDescent="0.25">
      <c r="B18" s="134"/>
      <c r="C18" s="20" t="s">
        <v>39</v>
      </c>
      <c r="D18" s="21" t="s">
        <v>45</v>
      </c>
      <c r="E18" s="22">
        <v>9.532</v>
      </c>
      <c r="F18" s="22"/>
      <c r="G18" s="22">
        <f t="shared" si="0"/>
        <v>9.532</v>
      </c>
      <c r="H18" s="177">
        <v>4.8380000000000001</v>
      </c>
      <c r="I18" s="22">
        <f t="shared" si="1"/>
        <v>4.694</v>
      </c>
      <c r="J18" s="23">
        <f t="shared" si="2"/>
        <v>0.50755350398657151</v>
      </c>
      <c r="K18" s="24" t="s">
        <v>46</v>
      </c>
      <c r="L18" s="22">
        <f t="shared" si="3"/>
        <v>9.532</v>
      </c>
      <c r="M18" s="22">
        <f t="shared" si="3"/>
        <v>0</v>
      </c>
      <c r="N18" s="22">
        <f t="shared" si="4"/>
        <v>9.532</v>
      </c>
      <c r="O18" s="22">
        <f t="shared" si="5"/>
        <v>4.8380000000000001</v>
      </c>
      <c r="P18" s="22">
        <f t="shared" si="6"/>
        <v>4.694</v>
      </c>
      <c r="Q18" s="107">
        <f t="shared" si="7"/>
        <v>0.50755350398657151</v>
      </c>
    </row>
    <row r="19" spans="2:17" x14ac:dyDescent="0.25">
      <c r="B19" s="134"/>
      <c r="C19" s="20" t="s">
        <v>162</v>
      </c>
      <c r="D19" s="21" t="s">
        <v>45</v>
      </c>
      <c r="E19" s="22">
        <v>12.872</v>
      </c>
      <c r="F19" s="22"/>
      <c r="G19" s="22">
        <f t="shared" si="0"/>
        <v>12.872</v>
      </c>
      <c r="H19" s="177">
        <v>10.304</v>
      </c>
      <c r="I19" s="22">
        <f t="shared" si="1"/>
        <v>2.5679999999999996</v>
      </c>
      <c r="J19" s="23">
        <f t="shared" si="2"/>
        <v>0.80049720323182105</v>
      </c>
      <c r="K19" s="24" t="s">
        <v>46</v>
      </c>
      <c r="L19" s="22">
        <f t="shared" ref="L19" si="20">E19</f>
        <v>12.872</v>
      </c>
      <c r="M19" s="22">
        <f t="shared" ref="M19" si="21">F19</f>
        <v>0</v>
      </c>
      <c r="N19" s="22">
        <f t="shared" ref="N19" si="22">L19+M19</f>
        <v>12.872</v>
      </c>
      <c r="O19" s="22">
        <f t="shared" ref="O19" si="23">H19</f>
        <v>10.304</v>
      </c>
      <c r="P19" s="22">
        <f t="shared" ref="P19" si="24">N19-O19</f>
        <v>2.5679999999999996</v>
      </c>
      <c r="Q19" s="107">
        <f t="shared" ref="Q19" si="25">O19/N19</f>
        <v>0.80049720323182105</v>
      </c>
    </row>
    <row r="20" spans="2:17" x14ac:dyDescent="0.25">
      <c r="B20" s="134"/>
      <c r="C20" s="20" t="s">
        <v>42</v>
      </c>
      <c r="D20" s="21" t="s">
        <v>45</v>
      </c>
      <c r="E20" s="22">
        <v>22.247</v>
      </c>
      <c r="F20" s="22"/>
      <c r="G20" s="22">
        <f t="shared" si="0"/>
        <v>22.247</v>
      </c>
      <c r="H20" s="177">
        <v>36.058999999999983</v>
      </c>
      <c r="I20" s="22">
        <f t="shared" si="1"/>
        <v>-13.811999999999983</v>
      </c>
      <c r="J20" s="23">
        <f t="shared" si="2"/>
        <v>1.6208477547534492</v>
      </c>
      <c r="K20" s="24">
        <v>44575</v>
      </c>
      <c r="L20" s="22">
        <f t="shared" si="3"/>
        <v>22.247</v>
      </c>
      <c r="M20" s="22">
        <f t="shared" si="3"/>
        <v>0</v>
      </c>
      <c r="N20" s="22">
        <f t="shared" si="4"/>
        <v>22.247</v>
      </c>
      <c r="O20" s="22">
        <f t="shared" si="5"/>
        <v>36.058999999999983</v>
      </c>
      <c r="P20" s="22">
        <f t="shared" si="6"/>
        <v>-13.811999999999983</v>
      </c>
      <c r="Q20" s="107">
        <f>O20/N20</f>
        <v>1.6208477547534492</v>
      </c>
    </row>
    <row r="21" spans="2:17" x14ac:dyDescent="0.25">
      <c r="B21" s="134"/>
      <c r="C21" s="26" t="s">
        <v>78</v>
      </c>
      <c r="D21" s="21" t="s">
        <v>45</v>
      </c>
      <c r="E21" s="22">
        <v>9</v>
      </c>
      <c r="F21" s="22"/>
      <c r="G21" s="22">
        <f t="shared" si="0"/>
        <v>9</v>
      </c>
      <c r="H21" s="177">
        <v>0</v>
      </c>
      <c r="I21" s="22">
        <f t="shared" si="1"/>
        <v>9</v>
      </c>
      <c r="J21" s="23">
        <f t="shared" si="2"/>
        <v>0</v>
      </c>
      <c r="K21" s="24" t="s">
        <v>46</v>
      </c>
      <c r="L21" s="22">
        <f t="shared" si="3"/>
        <v>9</v>
      </c>
      <c r="M21" s="22">
        <f t="shared" si="3"/>
        <v>0</v>
      </c>
      <c r="N21" s="22">
        <f t="shared" si="4"/>
        <v>9</v>
      </c>
      <c r="O21" s="22">
        <f t="shared" si="5"/>
        <v>0</v>
      </c>
      <c r="P21" s="22">
        <f t="shared" si="6"/>
        <v>9</v>
      </c>
      <c r="Q21" s="107">
        <f t="shared" si="7"/>
        <v>0</v>
      </c>
    </row>
    <row r="22" spans="2:17" x14ac:dyDescent="0.25">
      <c r="B22" s="134" t="s">
        <v>82</v>
      </c>
      <c r="C22" s="20" t="s">
        <v>47</v>
      </c>
      <c r="D22" s="21" t="s">
        <v>45</v>
      </c>
      <c r="E22" s="22">
        <v>154.98599999999999</v>
      </c>
      <c r="F22" s="22"/>
      <c r="G22" s="22">
        <f t="shared" si="0"/>
        <v>154.98599999999999</v>
      </c>
      <c r="H22" s="177">
        <v>145.81400000000002</v>
      </c>
      <c r="I22" s="22">
        <f t="shared" si="1"/>
        <v>9.1719999999999686</v>
      </c>
      <c r="J22" s="23">
        <f t="shared" si="2"/>
        <v>0.9408204612029476</v>
      </c>
      <c r="K22" s="24" t="s">
        <v>46</v>
      </c>
      <c r="L22" s="22">
        <f t="shared" si="3"/>
        <v>154.98599999999999</v>
      </c>
      <c r="M22" s="22">
        <f t="shared" si="3"/>
        <v>0</v>
      </c>
      <c r="N22" s="22">
        <f t="shared" si="4"/>
        <v>154.98599999999999</v>
      </c>
      <c r="O22" s="22">
        <f t="shared" si="5"/>
        <v>145.81400000000002</v>
      </c>
      <c r="P22" s="22">
        <f t="shared" si="6"/>
        <v>9.1719999999999686</v>
      </c>
      <c r="Q22" s="107">
        <f t="shared" si="7"/>
        <v>0.9408204612029476</v>
      </c>
    </row>
    <row r="23" spans="2:17" x14ac:dyDescent="0.25">
      <c r="B23" s="134"/>
      <c r="C23" s="20" t="s">
        <v>42</v>
      </c>
      <c r="D23" s="21" t="s">
        <v>45</v>
      </c>
      <c r="E23" s="22">
        <v>27.314</v>
      </c>
      <c r="F23" s="22"/>
      <c r="G23" s="22">
        <f t="shared" si="0"/>
        <v>27.314</v>
      </c>
      <c r="H23" s="177">
        <v>29.668000000000003</v>
      </c>
      <c r="I23" s="22">
        <f t="shared" si="1"/>
        <v>-2.3540000000000028</v>
      </c>
      <c r="J23" s="23">
        <f t="shared" si="2"/>
        <v>1.086182909863074</v>
      </c>
      <c r="K23" s="91">
        <v>44601</v>
      </c>
      <c r="L23" s="22">
        <f t="shared" si="3"/>
        <v>27.314</v>
      </c>
      <c r="M23" s="22">
        <f t="shared" si="3"/>
        <v>0</v>
      </c>
      <c r="N23" s="22">
        <f t="shared" si="4"/>
        <v>27.314</v>
      </c>
      <c r="O23" s="22">
        <f t="shared" si="5"/>
        <v>29.668000000000003</v>
      </c>
      <c r="P23" s="22">
        <f t="shared" si="6"/>
        <v>-2.3540000000000028</v>
      </c>
      <c r="Q23" s="107">
        <f>O23/N23</f>
        <v>1.086182909863074</v>
      </c>
    </row>
    <row r="24" spans="2:17" x14ac:dyDescent="0.25">
      <c r="B24" s="134"/>
      <c r="C24" s="26" t="s">
        <v>78</v>
      </c>
      <c r="D24" s="21" t="s">
        <v>45</v>
      </c>
      <c r="E24" s="22">
        <v>6</v>
      </c>
      <c r="F24" s="22"/>
      <c r="G24" s="22">
        <f>E24+F24</f>
        <v>6</v>
      </c>
      <c r="H24" s="177">
        <v>0</v>
      </c>
      <c r="I24" s="22">
        <f t="shared" si="1"/>
        <v>6</v>
      </c>
      <c r="J24" s="23">
        <f t="shared" si="2"/>
        <v>0</v>
      </c>
      <c r="K24" s="24" t="s">
        <v>46</v>
      </c>
      <c r="L24" s="22">
        <f t="shared" si="3"/>
        <v>6</v>
      </c>
      <c r="M24" s="22">
        <f t="shared" si="3"/>
        <v>0</v>
      </c>
      <c r="N24" s="22">
        <f t="shared" si="4"/>
        <v>6</v>
      </c>
      <c r="O24" s="22">
        <f t="shared" si="5"/>
        <v>0</v>
      </c>
      <c r="P24" s="22">
        <f t="shared" si="6"/>
        <v>6</v>
      </c>
      <c r="Q24" s="107">
        <f t="shared" si="7"/>
        <v>0</v>
      </c>
    </row>
    <row r="25" spans="2:17" x14ac:dyDescent="0.25">
      <c r="B25" s="135" t="s">
        <v>50</v>
      </c>
      <c r="C25" s="136" t="s">
        <v>48</v>
      </c>
      <c r="D25" s="21" t="s">
        <v>168</v>
      </c>
      <c r="E25" s="22">
        <v>19.7</v>
      </c>
      <c r="F25" s="22"/>
      <c r="G25" s="22">
        <f>E25+F25</f>
        <v>19.7</v>
      </c>
      <c r="H25" s="106">
        <v>27.981999999999999</v>
      </c>
      <c r="I25" s="105">
        <f t="shared" si="1"/>
        <v>-8.282</v>
      </c>
      <c r="J25" s="25">
        <f>H25/G25</f>
        <v>1.4204060913705583</v>
      </c>
      <c r="K25" s="24">
        <v>44580</v>
      </c>
      <c r="L25" s="125">
        <f>E25+E26+E27</f>
        <v>197.25</v>
      </c>
      <c r="M25" s="125">
        <f t="shared" ref="M25:P25" si="26">F25+F26+F27</f>
        <v>0</v>
      </c>
      <c r="N25" s="125">
        <f t="shared" si="26"/>
        <v>188.96800000000002</v>
      </c>
      <c r="O25" s="125">
        <f t="shared" si="26"/>
        <v>223.029</v>
      </c>
      <c r="P25" s="125">
        <f t="shared" si="26"/>
        <v>-34.061000000000007</v>
      </c>
      <c r="Q25" s="126">
        <f>O25/N25</f>
        <v>1.1802474493035857</v>
      </c>
    </row>
    <row r="26" spans="2:17" x14ac:dyDescent="0.25">
      <c r="B26" s="135"/>
      <c r="C26" s="136"/>
      <c r="D26" s="21" t="s">
        <v>169</v>
      </c>
      <c r="E26" s="22">
        <v>59.1</v>
      </c>
      <c r="F26" s="22"/>
      <c r="G26" s="22">
        <f>E26+F26</f>
        <v>59.1</v>
      </c>
      <c r="H26" s="106">
        <v>69.061000000000007</v>
      </c>
      <c r="I26" s="105">
        <f t="shared" si="1"/>
        <v>-9.9610000000000056</v>
      </c>
      <c r="J26" s="25">
        <f>H26/G26</f>
        <v>1.1685448392554993</v>
      </c>
      <c r="K26" s="24">
        <v>44698</v>
      </c>
      <c r="L26" s="125"/>
      <c r="M26" s="125"/>
      <c r="N26" s="125"/>
      <c r="O26" s="125"/>
      <c r="P26" s="125"/>
      <c r="Q26" s="126"/>
    </row>
    <row r="27" spans="2:17" x14ac:dyDescent="0.25">
      <c r="B27" s="135"/>
      <c r="C27" s="136"/>
      <c r="D27" s="21" t="s">
        <v>170</v>
      </c>
      <c r="E27" s="22">
        <v>118.45</v>
      </c>
      <c r="F27" s="22"/>
      <c r="G27" s="22">
        <f>E27+F27+I25</f>
        <v>110.16800000000001</v>
      </c>
      <c r="H27" s="106">
        <v>125.986</v>
      </c>
      <c r="I27" s="105">
        <f t="shared" si="1"/>
        <v>-15.817999999999998</v>
      </c>
      <c r="J27" s="25">
        <f>H27/G27</f>
        <v>1.1435807130927311</v>
      </c>
      <c r="K27" s="24">
        <v>44876</v>
      </c>
      <c r="L27" s="125"/>
      <c r="M27" s="125"/>
      <c r="N27" s="125"/>
      <c r="O27" s="125"/>
      <c r="P27" s="125"/>
      <c r="Q27" s="126"/>
    </row>
    <row r="28" spans="2:17" x14ac:dyDescent="0.25">
      <c r="B28" s="135"/>
      <c r="C28" s="26" t="s">
        <v>79</v>
      </c>
      <c r="D28" s="21" t="s">
        <v>45</v>
      </c>
      <c r="E28" s="22">
        <v>4.5</v>
      </c>
      <c r="F28" s="22"/>
      <c r="G28" s="22">
        <f t="shared" si="0"/>
        <v>4.5</v>
      </c>
      <c r="H28" s="106">
        <v>5.4710000000000001</v>
      </c>
      <c r="I28" s="105">
        <f t="shared" si="1"/>
        <v>-0.97100000000000009</v>
      </c>
      <c r="J28" s="23">
        <f>H28/G28</f>
        <v>1.2157777777777778</v>
      </c>
      <c r="K28" s="24" t="s">
        <v>46</v>
      </c>
      <c r="L28" s="22">
        <f>E28</f>
        <v>4.5</v>
      </c>
      <c r="M28" s="22">
        <f t="shared" ref="M28:P28" si="27">F28</f>
        <v>0</v>
      </c>
      <c r="N28" s="22">
        <f t="shared" si="27"/>
        <v>4.5</v>
      </c>
      <c r="O28" s="22">
        <f t="shared" si="27"/>
        <v>5.4710000000000001</v>
      </c>
      <c r="P28" s="22">
        <f t="shared" si="27"/>
        <v>-0.97100000000000009</v>
      </c>
      <c r="Q28" s="107">
        <f>O28/N28</f>
        <v>1.2157777777777778</v>
      </c>
    </row>
    <row r="29" spans="2:17" x14ac:dyDescent="0.25">
      <c r="B29" s="135"/>
      <c r="C29" s="136" t="s">
        <v>49</v>
      </c>
      <c r="D29" s="21" t="s">
        <v>168</v>
      </c>
      <c r="E29" s="22">
        <v>3.8</v>
      </c>
      <c r="F29" s="22"/>
      <c r="G29" s="22">
        <f t="shared" si="0"/>
        <v>3.8</v>
      </c>
      <c r="H29" s="106">
        <v>3.4420000000000002</v>
      </c>
      <c r="I29" s="105">
        <f t="shared" si="1"/>
        <v>0.35799999999999965</v>
      </c>
      <c r="J29" s="23">
        <f t="shared" ref="J29:J34" si="28">H29/G29</f>
        <v>0.90578947368421059</v>
      </c>
      <c r="K29" s="24">
        <v>44601</v>
      </c>
      <c r="L29" s="125">
        <f>E29+E30+E31</f>
        <v>38</v>
      </c>
      <c r="M29" s="125">
        <f t="shared" ref="M29:P29" si="29">F29+F30+F31</f>
        <v>0</v>
      </c>
      <c r="N29" s="125">
        <f t="shared" si="29"/>
        <v>38.358000000000004</v>
      </c>
      <c r="O29" s="125">
        <f t="shared" si="29"/>
        <v>29.847999999999999</v>
      </c>
      <c r="P29" s="125">
        <f t="shared" si="29"/>
        <v>8.5100000000000016</v>
      </c>
      <c r="Q29" s="126">
        <f>O29/N29</f>
        <v>0.77814276031075647</v>
      </c>
    </row>
    <row r="30" spans="2:17" x14ac:dyDescent="0.25">
      <c r="B30" s="135"/>
      <c r="C30" s="136"/>
      <c r="D30" s="21" t="s">
        <v>169</v>
      </c>
      <c r="E30" s="22">
        <v>11.4</v>
      </c>
      <c r="F30" s="22"/>
      <c r="G30" s="22">
        <f t="shared" si="0"/>
        <v>11.4</v>
      </c>
      <c r="H30" s="106">
        <v>13.641999999999999</v>
      </c>
      <c r="I30" s="105">
        <f t="shared" si="1"/>
        <v>-2.2419999999999991</v>
      </c>
      <c r="J30" s="23">
        <f t="shared" si="28"/>
        <v>1.1966666666666665</v>
      </c>
      <c r="K30" s="24">
        <v>44784</v>
      </c>
      <c r="L30" s="125"/>
      <c r="M30" s="125"/>
      <c r="N30" s="125"/>
      <c r="O30" s="125"/>
      <c r="P30" s="125"/>
      <c r="Q30" s="126"/>
    </row>
    <row r="31" spans="2:17" x14ac:dyDescent="0.25">
      <c r="B31" s="135"/>
      <c r="C31" s="136"/>
      <c r="D31" s="21" t="s">
        <v>170</v>
      </c>
      <c r="E31" s="22">
        <v>22.8</v>
      </c>
      <c r="F31" s="22"/>
      <c r="G31" s="22">
        <f>E31+F31+I29</f>
        <v>23.158000000000001</v>
      </c>
      <c r="H31" s="106">
        <v>12.763999999999999</v>
      </c>
      <c r="I31" s="105">
        <f t="shared" si="1"/>
        <v>10.394000000000002</v>
      </c>
      <c r="J31" s="23">
        <f t="shared" si="28"/>
        <v>0.55117022195353649</v>
      </c>
      <c r="K31" s="24" t="s">
        <v>46</v>
      </c>
      <c r="L31" s="125"/>
      <c r="M31" s="125"/>
      <c r="N31" s="125"/>
      <c r="O31" s="125"/>
      <c r="P31" s="125"/>
      <c r="Q31" s="126"/>
    </row>
    <row r="32" spans="2:17" x14ac:dyDescent="0.25">
      <c r="B32" s="135"/>
      <c r="C32" s="26" t="s">
        <v>80</v>
      </c>
      <c r="D32" s="21" t="s">
        <v>45</v>
      </c>
      <c r="E32" s="22">
        <v>2</v>
      </c>
      <c r="F32" s="104"/>
      <c r="G32" s="22">
        <f t="shared" si="0"/>
        <v>2</v>
      </c>
      <c r="H32" s="106">
        <v>0</v>
      </c>
      <c r="I32" s="105">
        <f t="shared" si="1"/>
        <v>2</v>
      </c>
      <c r="J32" s="23">
        <f t="shared" si="28"/>
        <v>0</v>
      </c>
      <c r="K32" s="24" t="s">
        <v>46</v>
      </c>
      <c r="L32" s="22">
        <f>E32</f>
        <v>2</v>
      </c>
      <c r="M32" s="22">
        <f t="shared" ref="M32:P32" si="30">F32</f>
        <v>0</v>
      </c>
      <c r="N32" s="22">
        <f t="shared" si="30"/>
        <v>2</v>
      </c>
      <c r="O32" s="22">
        <f t="shared" si="30"/>
        <v>0</v>
      </c>
      <c r="P32" s="22">
        <f t="shared" si="30"/>
        <v>2</v>
      </c>
      <c r="Q32" s="107">
        <f>O32/N32</f>
        <v>0</v>
      </c>
    </row>
    <row r="33" spans="2:17" x14ac:dyDescent="0.25">
      <c r="B33" s="135" t="s">
        <v>130</v>
      </c>
      <c r="C33" s="20" t="s">
        <v>13</v>
      </c>
      <c r="D33" s="21" t="s">
        <v>45</v>
      </c>
      <c r="E33" s="22">
        <v>350</v>
      </c>
      <c r="F33" s="22"/>
      <c r="G33" s="22">
        <f t="shared" si="0"/>
        <v>350</v>
      </c>
      <c r="H33" s="177">
        <v>43.735999999999997</v>
      </c>
      <c r="I33" s="105">
        <f t="shared" si="1"/>
        <v>306.26400000000001</v>
      </c>
      <c r="J33" s="23">
        <f>H33/G33</f>
        <v>0.12495999999999999</v>
      </c>
      <c r="K33" s="24" t="s">
        <v>46</v>
      </c>
      <c r="L33" s="22">
        <f>+E33</f>
        <v>350</v>
      </c>
      <c r="M33" s="22">
        <f>+F33</f>
        <v>0</v>
      </c>
      <c r="N33" s="22">
        <f>L33+M33</f>
        <v>350</v>
      </c>
      <c r="O33" s="22">
        <f>+H33</f>
        <v>43.735999999999997</v>
      </c>
      <c r="P33" s="22">
        <f>N33-O33</f>
        <v>306.26400000000001</v>
      </c>
      <c r="Q33" s="107">
        <f t="shared" ref="Q33:Q34" si="31">O33/N33</f>
        <v>0.12495999999999999</v>
      </c>
    </row>
    <row r="34" spans="2:17" x14ac:dyDescent="0.25">
      <c r="B34" s="135"/>
      <c r="C34" s="26" t="s">
        <v>23</v>
      </c>
      <c r="D34" s="21" t="s">
        <v>45</v>
      </c>
      <c r="E34" s="22">
        <v>10</v>
      </c>
      <c r="F34" s="22"/>
      <c r="G34" s="22">
        <f t="shared" si="0"/>
        <v>10</v>
      </c>
      <c r="H34" s="177"/>
      <c r="I34" s="105">
        <f t="shared" si="1"/>
        <v>10</v>
      </c>
      <c r="J34" s="23">
        <f t="shared" si="28"/>
        <v>0</v>
      </c>
      <c r="K34" s="24" t="s">
        <v>46</v>
      </c>
      <c r="L34" s="22">
        <f>E34</f>
        <v>10</v>
      </c>
      <c r="M34" s="22">
        <f t="shared" ref="M34:P34" si="32">F34</f>
        <v>0</v>
      </c>
      <c r="N34" s="22">
        <f t="shared" si="32"/>
        <v>10</v>
      </c>
      <c r="O34" s="22">
        <f t="shared" si="32"/>
        <v>0</v>
      </c>
      <c r="P34" s="22">
        <f t="shared" si="32"/>
        <v>10</v>
      </c>
      <c r="Q34" s="107">
        <f t="shared" si="31"/>
        <v>0</v>
      </c>
    </row>
    <row r="35" spans="2:17" x14ac:dyDescent="0.25">
      <c r="B35" s="133" t="s">
        <v>68</v>
      </c>
      <c r="C35" s="133"/>
      <c r="D35" s="19" t="s">
        <v>45</v>
      </c>
      <c r="E35" s="28">
        <f>SUM(E6:E34)</f>
        <v>1072.5</v>
      </c>
      <c r="F35" s="28">
        <f>SUM(F6:F34)</f>
        <v>0</v>
      </c>
      <c r="G35" s="28">
        <f>E35+F35</f>
        <v>1072.5</v>
      </c>
      <c r="H35" s="28">
        <f>SUM(H6:H34)</f>
        <v>736.04600000000016</v>
      </c>
      <c r="I35" s="28">
        <f>G35-H35</f>
        <v>336.45399999999984</v>
      </c>
      <c r="J35" s="29">
        <f>H35/G35</f>
        <v>0.68628997668997682</v>
      </c>
      <c r="K35" s="30" t="s">
        <v>46</v>
      </c>
      <c r="L35" s="28">
        <f>SUM(L6:L34)</f>
        <v>1072.5</v>
      </c>
      <c r="M35" s="28">
        <f>SUM(M6:M34)</f>
        <v>0</v>
      </c>
      <c r="N35" s="28">
        <f>L35+M35</f>
        <v>1072.5</v>
      </c>
      <c r="O35" s="28">
        <f>SUM(O6:O34)</f>
        <v>736.04599999999994</v>
      </c>
      <c r="P35" s="28">
        <f>N35-O35</f>
        <v>336.45400000000006</v>
      </c>
      <c r="Q35" s="108">
        <f>O35/N35</f>
        <v>0.6862899766899766</v>
      </c>
    </row>
  </sheetData>
  <mergeCells count="21">
    <mergeCell ref="B2:Q2"/>
    <mergeCell ref="B3:Q3"/>
    <mergeCell ref="B35:C35"/>
    <mergeCell ref="B22:B24"/>
    <mergeCell ref="B6:B21"/>
    <mergeCell ref="B25:B32"/>
    <mergeCell ref="C25:C27"/>
    <mergeCell ref="C29:C31"/>
    <mergeCell ref="B33:B34"/>
    <mergeCell ref="L29:L31"/>
    <mergeCell ref="L25:L27"/>
    <mergeCell ref="P29:P31"/>
    <mergeCell ref="O29:O31"/>
    <mergeCell ref="N29:N31"/>
    <mergeCell ref="M29:M31"/>
    <mergeCell ref="Q29:Q31"/>
    <mergeCell ref="P25:P27"/>
    <mergeCell ref="O25:O27"/>
    <mergeCell ref="N25:N27"/>
    <mergeCell ref="M25:M27"/>
    <mergeCell ref="Q25:Q27"/>
  </mergeCells>
  <conditionalFormatting sqref="Q6:Q35">
    <cfRule type="cellIs" dxfId="1" priority="1" operator="greaterThan">
      <formula>0.9</formula>
    </cfRule>
  </conditionalFormatting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/>
  </sheetPr>
  <dimension ref="B2:M19"/>
  <sheetViews>
    <sheetView showGridLines="0" topLeftCell="D1" zoomScaleNormal="100" workbookViewId="0">
      <selection activeCell="H33" sqref="H33"/>
    </sheetView>
  </sheetViews>
  <sheetFormatPr baseColWidth="10" defaultColWidth="11.42578125" defaultRowHeight="15" x14ac:dyDescent="0.25"/>
  <cols>
    <col min="1" max="1" width="11.42578125" style="37"/>
    <col min="2" max="3" width="33.85546875" style="37" customWidth="1"/>
    <col min="4" max="4" width="35.28515625" style="37" customWidth="1"/>
    <col min="5" max="5" width="11.85546875" style="37" customWidth="1"/>
    <col min="6" max="13" width="11.28515625" style="37" customWidth="1"/>
    <col min="14" max="16384" width="11.42578125" style="37"/>
  </cols>
  <sheetData>
    <row r="2" spans="2:13" x14ac:dyDescent="0.25">
      <c r="B2" s="144" t="s">
        <v>166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6"/>
    </row>
    <row r="3" spans="2:13" x14ac:dyDescent="0.25">
      <c r="B3" s="147">
        <f>RESUMEN!B3</f>
        <v>44926</v>
      </c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9"/>
    </row>
    <row r="5" spans="2:13" ht="15" customHeight="1" x14ac:dyDescent="0.25">
      <c r="B5" s="150" t="s">
        <v>57</v>
      </c>
      <c r="C5" s="140" t="s">
        <v>69</v>
      </c>
      <c r="D5" s="141"/>
      <c r="E5" s="150" t="s">
        <v>29</v>
      </c>
      <c r="F5" s="150" t="s">
        <v>70</v>
      </c>
      <c r="G5" s="150" t="s">
        <v>77</v>
      </c>
      <c r="H5" s="152" t="s">
        <v>76</v>
      </c>
      <c r="I5" s="153"/>
      <c r="J5" s="150" t="s">
        <v>71</v>
      </c>
      <c r="K5" s="150" t="s">
        <v>72</v>
      </c>
      <c r="L5" s="150" t="s">
        <v>73</v>
      </c>
      <c r="M5" s="150" t="s">
        <v>30</v>
      </c>
    </row>
    <row r="6" spans="2:13" ht="30" x14ac:dyDescent="0.25">
      <c r="B6" s="151"/>
      <c r="C6" s="142"/>
      <c r="D6" s="143"/>
      <c r="E6" s="151"/>
      <c r="F6" s="151"/>
      <c r="G6" s="151"/>
      <c r="H6" s="38" t="s">
        <v>9</v>
      </c>
      <c r="I6" s="38" t="s">
        <v>19</v>
      </c>
      <c r="J6" s="151"/>
      <c r="K6" s="151"/>
      <c r="L6" s="151"/>
      <c r="M6" s="151"/>
    </row>
    <row r="7" spans="2:13" x14ac:dyDescent="0.25">
      <c r="B7" s="138" t="s">
        <v>74</v>
      </c>
      <c r="C7" s="138" t="s">
        <v>19</v>
      </c>
      <c r="D7" s="138" t="s">
        <v>176</v>
      </c>
      <c r="E7" s="39" t="s">
        <v>43</v>
      </c>
      <c r="F7" s="40">
        <v>1.6</v>
      </c>
      <c r="G7" s="40">
        <f>F7</f>
        <v>1.6</v>
      </c>
      <c r="H7" s="40"/>
      <c r="I7" s="176">
        <v>0.23699999999999999</v>
      </c>
      <c r="J7" s="40">
        <f>H7+I7</f>
        <v>0.23699999999999999</v>
      </c>
      <c r="K7" s="40">
        <f>G7-J7</f>
        <v>1.363</v>
      </c>
      <c r="L7" s="82">
        <f>J7/G7</f>
        <v>0.14812499999999998</v>
      </c>
      <c r="M7" s="39" t="s">
        <v>46</v>
      </c>
    </row>
    <row r="8" spans="2:13" x14ac:dyDescent="0.25">
      <c r="B8" s="137"/>
      <c r="C8" s="137"/>
      <c r="D8" s="139"/>
      <c r="E8" s="39" t="s">
        <v>44</v>
      </c>
      <c r="F8" s="40">
        <v>1.7</v>
      </c>
      <c r="G8" s="40">
        <f>F8+K7</f>
        <v>3.0629999999999997</v>
      </c>
      <c r="H8" s="40"/>
      <c r="I8" s="176">
        <v>1.179</v>
      </c>
      <c r="J8" s="40">
        <f>H8+I8</f>
        <v>1.179</v>
      </c>
      <c r="K8" s="40">
        <f>G8-J8</f>
        <v>1.8839999999999997</v>
      </c>
      <c r="L8" s="41">
        <f t="shared" ref="L8:L10" si="0">J8/G8</f>
        <v>0.38491674828599415</v>
      </c>
      <c r="M8" s="39" t="s">
        <v>46</v>
      </c>
    </row>
    <row r="9" spans="2:13" x14ac:dyDescent="0.25">
      <c r="B9" s="137"/>
      <c r="C9" s="139"/>
      <c r="D9" s="46" t="s">
        <v>175</v>
      </c>
      <c r="E9" s="39" t="s">
        <v>45</v>
      </c>
      <c r="F9" s="40">
        <v>0.48</v>
      </c>
      <c r="G9" s="40">
        <f>F9</f>
        <v>0.48</v>
      </c>
      <c r="H9" s="40"/>
      <c r="I9" s="176">
        <v>1.097</v>
      </c>
      <c r="J9" s="40">
        <f t="shared" ref="J9:J10" si="1">H9+I9</f>
        <v>1.097</v>
      </c>
      <c r="K9" s="40">
        <f t="shared" ref="K9:K10" si="2">G9-J9</f>
        <v>-0.61699999999999999</v>
      </c>
      <c r="L9" s="41">
        <f t="shared" si="0"/>
        <v>2.2854166666666669</v>
      </c>
      <c r="M9" s="90">
        <v>44686</v>
      </c>
    </row>
    <row r="10" spans="2:13" x14ac:dyDescent="0.25">
      <c r="B10" s="137"/>
      <c r="C10" s="45"/>
      <c r="D10" s="46" t="s">
        <v>75</v>
      </c>
      <c r="E10" s="39" t="s">
        <v>45</v>
      </c>
      <c r="F10" s="40">
        <v>2</v>
      </c>
      <c r="G10" s="40">
        <f>F10</f>
        <v>2</v>
      </c>
      <c r="H10" s="40"/>
      <c r="I10" s="40"/>
      <c r="J10" s="40">
        <f t="shared" si="1"/>
        <v>0</v>
      </c>
      <c r="K10" s="40">
        <f t="shared" si="2"/>
        <v>2</v>
      </c>
      <c r="L10" s="41">
        <f t="shared" si="0"/>
        <v>0</v>
      </c>
      <c r="M10" s="39" t="s">
        <v>46</v>
      </c>
    </row>
    <row r="11" spans="2:13" x14ac:dyDescent="0.25">
      <c r="B11" s="137"/>
      <c r="C11" s="137" t="s">
        <v>9</v>
      </c>
      <c r="D11" s="87" t="s">
        <v>181</v>
      </c>
      <c r="E11" s="39" t="s">
        <v>45</v>
      </c>
      <c r="F11" s="40">
        <v>3.2010000000000001</v>
      </c>
      <c r="G11" s="40">
        <f t="shared" ref="G11:G18" si="3">F11</f>
        <v>3.2010000000000001</v>
      </c>
      <c r="H11" s="40"/>
      <c r="I11" s="40"/>
      <c r="J11" s="40">
        <f t="shared" ref="J11:J18" si="4">H11+I11</f>
        <v>0</v>
      </c>
      <c r="K11" s="40">
        <f t="shared" ref="K11:K18" si="5">G11-J11</f>
        <v>3.2010000000000001</v>
      </c>
      <c r="L11" s="41">
        <f t="shared" ref="L11:L18" si="6">J11/G11</f>
        <v>0</v>
      </c>
      <c r="M11" s="39" t="s">
        <v>46</v>
      </c>
    </row>
    <row r="12" spans="2:13" x14ac:dyDescent="0.25">
      <c r="B12" s="137"/>
      <c r="C12" s="137"/>
      <c r="D12" s="87" t="s">
        <v>182</v>
      </c>
      <c r="E12" s="39" t="s">
        <v>45</v>
      </c>
      <c r="F12" s="40">
        <v>1.0669999999999999</v>
      </c>
      <c r="G12" s="40">
        <f t="shared" si="3"/>
        <v>1.0669999999999999</v>
      </c>
      <c r="H12" s="176">
        <v>0.6</v>
      </c>
      <c r="I12" s="40"/>
      <c r="J12" s="40">
        <f t="shared" si="4"/>
        <v>0.6</v>
      </c>
      <c r="K12" s="40">
        <f t="shared" si="5"/>
        <v>0.46699999999999997</v>
      </c>
      <c r="L12" s="41">
        <f t="shared" si="6"/>
        <v>0.5623242736644799</v>
      </c>
      <c r="M12" s="39" t="s">
        <v>46</v>
      </c>
    </row>
    <row r="13" spans="2:13" x14ac:dyDescent="0.25">
      <c r="B13" s="137"/>
      <c r="C13" s="137"/>
      <c r="D13" s="87" t="s">
        <v>177</v>
      </c>
      <c r="E13" s="39" t="s">
        <v>45</v>
      </c>
      <c r="F13" s="40">
        <v>1.0669999999999999</v>
      </c>
      <c r="G13" s="40">
        <f t="shared" si="3"/>
        <v>1.0669999999999999</v>
      </c>
      <c r="H13" s="176">
        <v>1.5609999999999999</v>
      </c>
      <c r="I13" s="40"/>
      <c r="J13" s="40">
        <f t="shared" si="4"/>
        <v>1.5609999999999999</v>
      </c>
      <c r="K13" s="40">
        <f t="shared" si="5"/>
        <v>-0.49399999999999999</v>
      </c>
      <c r="L13" s="41">
        <f t="shared" si="6"/>
        <v>1.4629803186504218</v>
      </c>
      <c r="M13" s="90">
        <v>44922</v>
      </c>
    </row>
    <row r="14" spans="2:13" x14ac:dyDescent="0.25">
      <c r="B14" s="137"/>
      <c r="C14" s="137"/>
      <c r="D14" s="87" t="s">
        <v>178</v>
      </c>
      <c r="E14" s="39" t="s">
        <v>45</v>
      </c>
      <c r="F14" s="40">
        <v>1.0669999999999999</v>
      </c>
      <c r="G14" s="40">
        <f t="shared" si="3"/>
        <v>1.0669999999999999</v>
      </c>
      <c r="H14" s="40"/>
      <c r="I14" s="40"/>
      <c r="J14" s="40">
        <f t="shared" si="4"/>
        <v>0</v>
      </c>
      <c r="K14" s="40">
        <f t="shared" si="5"/>
        <v>1.0669999999999999</v>
      </c>
      <c r="L14" s="41">
        <f t="shared" si="6"/>
        <v>0</v>
      </c>
      <c r="M14" s="39" t="s">
        <v>46</v>
      </c>
    </row>
    <row r="15" spans="2:13" x14ac:dyDescent="0.25">
      <c r="B15" s="137"/>
      <c r="C15" s="89"/>
      <c r="D15" s="87" t="s">
        <v>183</v>
      </c>
      <c r="E15" s="39" t="s">
        <v>45</v>
      </c>
      <c r="F15" s="40">
        <v>61.886000000000003</v>
      </c>
      <c r="G15" s="40">
        <f t="shared" si="3"/>
        <v>61.886000000000003</v>
      </c>
      <c r="H15" s="176">
        <v>59.292000000000002</v>
      </c>
      <c r="I15" s="40"/>
      <c r="J15" s="40">
        <f t="shared" si="4"/>
        <v>59.292000000000002</v>
      </c>
      <c r="K15" s="40">
        <f t="shared" si="5"/>
        <v>2.5940000000000012</v>
      </c>
      <c r="L15" s="41">
        <f>J15/G15</f>
        <v>0.95808421937110166</v>
      </c>
      <c r="M15" s="90">
        <v>44578</v>
      </c>
    </row>
    <row r="16" spans="2:13" x14ac:dyDescent="0.25">
      <c r="B16" s="137"/>
      <c r="C16" s="89"/>
      <c r="D16" s="87" t="s">
        <v>179</v>
      </c>
      <c r="E16" s="39" t="s">
        <v>45</v>
      </c>
      <c r="F16" s="40">
        <v>1.0669999999999999</v>
      </c>
      <c r="G16" s="40">
        <f t="shared" si="3"/>
        <v>1.0669999999999999</v>
      </c>
      <c r="H16" s="176">
        <v>6.516</v>
      </c>
      <c r="I16" s="40"/>
      <c r="J16" s="40">
        <f t="shared" si="4"/>
        <v>6.516</v>
      </c>
      <c r="K16" s="40">
        <f t="shared" si="5"/>
        <v>-5.4489999999999998</v>
      </c>
      <c r="L16" s="41">
        <f t="shared" si="6"/>
        <v>6.1068416119962512</v>
      </c>
      <c r="M16" s="90">
        <v>44575</v>
      </c>
    </row>
    <row r="17" spans="2:13" x14ac:dyDescent="0.25">
      <c r="B17" s="137"/>
      <c r="C17" s="89"/>
      <c r="D17" s="87" t="s">
        <v>180</v>
      </c>
      <c r="E17" s="39" t="s">
        <v>45</v>
      </c>
      <c r="F17" s="40">
        <v>37.344999999999999</v>
      </c>
      <c r="G17" s="40">
        <f t="shared" si="3"/>
        <v>37.344999999999999</v>
      </c>
      <c r="H17" s="176">
        <v>38.014000000000003</v>
      </c>
      <c r="I17" s="40"/>
      <c r="J17" s="40">
        <v>37.006999999999998</v>
      </c>
      <c r="K17" s="40">
        <f t="shared" si="5"/>
        <v>0.33800000000000097</v>
      </c>
      <c r="L17" s="41">
        <f t="shared" si="6"/>
        <v>0.99094925692863833</v>
      </c>
      <c r="M17" s="90">
        <v>44606</v>
      </c>
    </row>
    <row r="18" spans="2:13" x14ac:dyDescent="0.25">
      <c r="B18" s="137"/>
      <c r="C18" s="89"/>
      <c r="D18" s="87" t="s">
        <v>184</v>
      </c>
      <c r="E18" s="39" t="s">
        <v>45</v>
      </c>
      <c r="F18" s="40">
        <v>5.52</v>
      </c>
      <c r="G18" s="40">
        <f t="shared" si="3"/>
        <v>5.52</v>
      </c>
      <c r="H18" s="176">
        <f>1.954+0.23</f>
        <v>2.1840000000000002</v>
      </c>
      <c r="I18" s="40"/>
      <c r="J18" s="40">
        <f t="shared" si="4"/>
        <v>2.1840000000000002</v>
      </c>
      <c r="K18" s="40">
        <f t="shared" si="5"/>
        <v>3.3359999999999994</v>
      </c>
      <c r="L18" s="41">
        <f t="shared" si="6"/>
        <v>0.39565217391304353</v>
      </c>
      <c r="M18" s="39" t="s">
        <v>46</v>
      </c>
    </row>
    <row r="19" spans="2:13" x14ac:dyDescent="0.25">
      <c r="B19" s="139"/>
      <c r="C19" s="88"/>
      <c r="D19" s="42" t="s">
        <v>68</v>
      </c>
      <c r="E19" s="45" t="s">
        <v>45</v>
      </c>
      <c r="F19" s="43">
        <f>SUM(F7:F18)</f>
        <v>117.99999999999999</v>
      </c>
      <c r="G19" s="43">
        <f>SUM(G7:G10)</f>
        <v>7.1430000000000007</v>
      </c>
      <c r="H19" s="43">
        <f>SUM(H7:H18)</f>
        <v>108.167</v>
      </c>
      <c r="I19" s="43">
        <f>SUM(I7:I18)</f>
        <v>2.5129999999999999</v>
      </c>
      <c r="J19" s="43">
        <f>SUM(J7:J18)</f>
        <v>109.673</v>
      </c>
      <c r="K19" s="43">
        <f>SUM(K8:K18)</f>
        <v>8.3270000000000017</v>
      </c>
      <c r="L19" s="44">
        <f>J19/G19</f>
        <v>15.353912921741564</v>
      </c>
      <c r="M19" s="46" t="s">
        <v>46</v>
      </c>
    </row>
  </sheetData>
  <mergeCells count="16">
    <mergeCell ref="C11:C14"/>
    <mergeCell ref="B7:B19"/>
    <mergeCell ref="C5:D6"/>
    <mergeCell ref="B2:M2"/>
    <mergeCell ref="B3:M3"/>
    <mergeCell ref="J5:J6"/>
    <mergeCell ref="K5:K6"/>
    <mergeCell ref="L5:L6"/>
    <mergeCell ref="M5:M6"/>
    <mergeCell ref="D7:D8"/>
    <mergeCell ref="H5:I5"/>
    <mergeCell ref="B5:B6"/>
    <mergeCell ref="E5:E6"/>
    <mergeCell ref="F5:F6"/>
    <mergeCell ref="G5:G6"/>
    <mergeCell ref="C7:C9"/>
  </mergeCells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/>
  </sheetPr>
  <dimension ref="B2:P42"/>
  <sheetViews>
    <sheetView showGridLines="0" zoomScaleNormal="100" workbookViewId="0">
      <selection activeCell="G47" sqref="G47"/>
    </sheetView>
  </sheetViews>
  <sheetFormatPr baseColWidth="10" defaultColWidth="11.42578125" defaultRowHeight="12.75" x14ac:dyDescent="0.2"/>
  <cols>
    <col min="1" max="1" width="11.42578125" style="11"/>
    <col min="2" max="2" width="11" style="11" customWidth="1"/>
    <col min="3" max="3" width="24.7109375" style="11" customWidth="1"/>
    <col min="4" max="4" width="8" style="11" bestFit="1" customWidth="1"/>
    <col min="5" max="5" width="15.5703125" style="11" bestFit="1" customWidth="1"/>
    <col min="6" max="6" width="12" style="11" bestFit="1" customWidth="1"/>
    <col min="7" max="7" width="14" style="11" bestFit="1" customWidth="1"/>
    <col min="8" max="8" width="8.42578125" style="11" bestFit="1" customWidth="1"/>
    <col min="9" max="9" width="11.28515625" style="11" bestFit="1" customWidth="1"/>
    <col min="10" max="10" width="12.7109375" style="11" bestFit="1" customWidth="1"/>
    <col min="11" max="11" width="16" style="11" customWidth="1"/>
    <col min="12" max="12" width="12.42578125" style="11" customWidth="1"/>
    <col min="13" max="13" width="14.5703125" style="11" customWidth="1"/>
    <col min="14" max="14" width="8.28515625" style="11" bestFit="1" customWidth="1"/>
    <col min="15" max="15" width="8.140625" style="11" customWidth="1"/>
    <col min="16" max="16" width="9.42578125" style="11" bestFit="1" customWidth="1"/>
    <col min="17" max="16384" width="11.42578125" style="11"/>
  </cols>
  <sheetData>
    <row r="2" spans="2:16" x14ac:dyDescent="0.2">
      <c r="B2" s="156" t="s">
        <v>167</v>
      </c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8"/>
    </row>
    <row r="3" spans="2:16" x14ac:dyDescent="0.2">
      <c r="B3" s="159">
        <f>+RESUMEN!B3</f>
        <v>44926</v>
      </c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1"/>
    </row>
    <row r="5" spans="2:16" ht="43.15" customHeight="1" x14ac:dyDescent="0.2">
      <c r="B5" s="36" t="s">
        <v>57</v>
      </c>
      <c r="C5" s="36" t="s">
        <v>58</v>
      </c>
      <c r="D5" s="12" t="s">
        <v>29</v>
      </c>
      <c r="E5" s="36" t="s">
        <v>2</v>
      </c>
      <c r="F5" s="36" t="s">
        <v>3</v>
      </c>
      <c r="G5" s="36" t="s">
        <v>4</v>
      </c>
      <c r="H5" s="36" t="s">
        <v>5</v>
      </c>
      <c r="I5" s="36" t="s">
        <v>6</v>
      </c>
      <c r="J5" s="80" t="s">
        <v>7</v>
      </c>
      <c r="K5" s="36" t="s">
        <v>2</v>
      </c>
      <c r="L5" s="36" t="s">
        <v>3</v>
      </c>
      <c r="M5" s="36" t="s">
        <v>4</v>
      </c>
      <c r="N5" s="36" t="s">
        <v>5</v>
      </c>
      <c r="O5" s="36" t="s">
        <v>6</v>
      </c>
      <c r="P5" s="36" t="s">
        <v>31</v>
      </c>
    </row>
    <row r="6" spans="2:16" x14ac:dyDescent="0.2">
      <c r="B6" s="164" t="s">
        <v>128</v>
      </c>
      <c r="C6" s="167" t="s">
        <v>59</v>
      </c>
      <c r="D6" s="13" t="s">
        <v>64</v>
      </c>
      <c r="E6" s="14">
        <f>6.70905+4.2+6.72</f>
        <v>17.629049999999999</v>
      </c>
      <c r="F6" s="14"/>
      <c r="G6" s="14">
        <f>E6+F6</f>
        <v>17.629049999999999</v>
      </c>
      <c r="H6" s="14"/>
      <c r="I6" s="14">
        <f>G6-H6</f>
        <v>17.629049999999999</v>
      </c>
      <c r="J6" s="15">
        <f>H6/G6</f>
        <v>0</v>
      </c>
      <c r="K6" s="154">
        <f>E6+E7</f>
        <v>35.284379999999999</v>
      </c>
      <c r="L6" s="154">
        <f>F6+F7</f>
        <v>0</v>
      </c>
      <c r="M6" s="154">
        <f>K6+L6</f>
        <v>35.284379999999999</v>
      </c>
      <c r="N6" s="154">
        <f>H6+H7</f>
        <v>21.504999999999999</v>
      </c>
      <c r="O6" s="154">
        <f>M6-N6</f>
        <v>13.77938</v>
      </c>
      <c r="P6" s="169">
        <f>N6/M6</f>
        <v>0.6094764878963439</v>
      </c>
    </row>
    <row r="7" spans="2:16" x14ac:dyDescent="0.2">
      <c r="B7" s="165"/>
      <c r="C7" s="168"/>
      <c r="D7" s="13" t="s">
        <v>65</v>
      </c>
      <c r="E7" s="14">
        <f>6.71903+4.2063+6.73</f>
        <v>17.655329999999999</v>
      </c>
      <c r="F7" s="14"/>
      <c r="G7" s="14">
        <f>E7+F7+I6</f>
        <v>35.284379999999999</v>
      </c>
      <c r="H7" s="175">
        <v>21.504999999999999</v>
      </c>
      <c r="I7" s="14">
        <f t="shared" ref="I7:I19" si="0">G7-H7</f>
        <v>13.77938</v>
      </c>
      <c r="J7" s="15">
        <f t="shared" ref="J7:J21" si="1">H7/G7</f>
        <v>0.6094764878963439</v>
      </c>
      <c r="K7" s="155"/>
      <c r="L7" s="155"/>
      <c r="M7" s="155"/>
      <c r="N7" s="155"/>
      <c r="O7" s="155"/>
      <c r="P7" s="170"/>
    </row>
    <row r="8" spans="2:16" x14ac:dyDescent="0.2">
      <c r="B8" s="165"/>
      <c r="C8" s="167" t="s">
        <v>60</v>
      </c>
      <c r="D8" s="13" t="s">
        <v>64</v>
      </c>
      <c r="E8" s="14">
        <f>24.61697+12.98529+2.52+2.52+6.72</f>
        <v>49.362260000000006</v>
      </c>
      <c r="F8" s="14"/>
      <c r="G8" s="14">
        <f>E8+F8</f>
        <v>49.362260000000006</v>
      </c>
      <c r="H8" s="14">
        <v>1.46</v>
      </c>
      <c r="I8" s="14">
        <f t="shared" si="0"/>
        <v>47.902260000000005</v>
      </c>
      <c r="J8" s="15">
        <f t="shared" si="1"/>
        <v>2.9577251932954442E-2</v>
      </c>
      <c r="K8" s="154">
        <f t="shared" ref="K8" si="2">E8+E9</f>
        <v>98.798080000000013</v>
      </c>
      <c r="L8" s="154">
        <f t="shared" ref="L8" si="3">F8+F9</f>
        <v>-20</v>
      </c>
      <c r="M8" s="154">
        <f t="shared" ref="M8" si="4">K8+L8</f>
        <v>78.798080000000013</v>
      </c>
      <c r="N8" s="154">
        <f t="shared" ref="N8" si="5">H8+H9</f>
        <v>66.876999999999995</v>
      </c>
      <c r="O8" s="154">
        <f t="shared" ref="O8" si="6">M8-N8</f>
        <v>11.921080000000018</v>
      </c>
      <c r="P8" s="169">
        <f t="shared" ref="P8" si="7">N8/M8</f>
        <v>0.84871357271649239</v>
      </c>
    </row>
    <row r="9" spans="2:16" x14ac:dyDescent="0.2">
      <c r="B9" s="165"/>
      <c r="C9" s="168"/>
      <c r="D9" s="13" t="s">
        <v>65</v>
      </c>
      <c r="E9" s="14">
        <f>24.65361+13.00461+2.5238+2.5238+6.73</f>
        <v>49.435820000000007</v>
      </c>
      <c r="F9" s="14">
        <f>-20</f>
        <v>-20</v>
      </c>
      <c r="G9" s="14">
        <f>E9+F9+I8</f>
        <v>77.338080000000019</v>
      </c>
      <c r="H9" s="175">
        <v>65.417000000000002</v>
      </c>
      <c r="I9" s="14">
        <f t="shared" si="0"/>
        <v>11.921080000000018</v>
      </c>
      <c r="J9" s="15">
        <f t="shared" si="1"/>
        <v>0.84585756460465511</v>
      </c>
      <c r="K9" s="155"/>
      <c r="L9" s="155"/>
      <c r="M9" s="155"/>
      <c r="N9" s="155"/>
      <c r="O9" s="155"/>
      <c r="P9" s="170"/>
    </row>
    <row r="10" spans="2:16" x14ac:dyDescent="0.2">
      <c r="B10" s="165"/>
      <c r="C10" s="167" t="s">
        <v>134</v>
      </c>
      <c r="D10" s="13" t="s">
        <v>64</v>
      </c>
      <c r="E10" s="14">
        <v>210.96929</v>
      </c>
      <c r="F10" s="14"/>
      <c r="G10" s="14">
        <f>E10+F10</f>
        <v>210.96929</v>
      </c>
      <c r="H10" s="14">
        <v>35.808999999999997</v>
      </c>
      <c r="I10" s="14">
        <f t="shared" si="0"/>
        <v>175.16029</v>
      </c>
      <c r="J10" s="15">
        <f t="shared" si="1"/>
        <v>0.16973560464653409</v>
      </c>
      <c r="K10" s="154">
        <f>E10+E11</f>
        <v>422.25252999999998</v>
      </c>
      <c r="L10" s="154">
        <f t="shared" ref="L10" si="8">F10+F11</f>
        <v>20</v>
      </c>
      <c r="M10" s="154">
        <f t="shared" ref="M10" si="9">K10+L10</f>
        <v>442.25252999999998</v>
      </c>
      <c r="N10" s="154">
        <f t="shared" ref="N10" si="10">H10+H11</f>
        <v>382.43600000000004</v>
      </c>
      <c r="O10" s="154">
        <f t="shared" ref="O10" si="11">M10-N10</f>
        <v>59.816529999999943</v>
      </c>
      <c r="P10" s="169">
        <f t="shared" ref="P10" si="12">N10/M10</f>
        <v>0.86474575962290157</v>
      </c>
    </row>
    <row r="11" spans="2:16" x14ac:dyDescent="0.2">
      <c r="B11" s="165"/>
      <c r="C11" s="168"/>
      <c r="D11" s="13" t="s">
        <v>65</v>
      </c>
      <c r="E11" s="14">
        <v>211.28324000000001</v>
      </c>
      <c r="F11" s="14">
        <v>20</v>
      </c>
      <c r="G11" s="14">
        <f>E11+F11+I10</f>
        <v>406.44353000000001</v>
      </c>
      <c r="H11" s="175">
        <f>376.995-30.368</f>
        <v>346.62700000000001</v>
      </c>
      <c r="I11" s="14">
        <f t="shared" si="0"/>
        <v>59.81653</v>
      </c>
      <c r="J11" s="15">
        <f t="shared" si="1"/>
        <v>0.85282942011649199</v>
      </c>
      <c r="K11" s="155"/>
      <c r="L11" s="155"/>
      <c r="M11" s="155"/>
      <c r="N11" s="155"/>
      <c r="O11" s="155"/>
      <c r="P11" s="170"/>
    </row>
    <row r="12" spans="2:16" x14ac:dyDescent="0.2">
      <c r="B12" s="165"/>
      <c r="C12" s="162" t="s">
        <v>62</v>
      </c>
      <c r="D12" s="13" t="s">
        <v>64</v>
      </c>
      <c r="E12" s="14">
        <f>13.39565+2.52+2.52</f>
        <v>18.435649999999999</v>
      </c>
      <c r="F12" s="14"/>
      <c r="G12" s="14">
        <f>E12+F12</f>
        <v>18.435649999999999</v>
      </c>
      <c r="H12" s="14">
        <v>2.2989999999999999</v>
      </c>
      <c r="I12" s="14">
        <f t="shared" si="0"/>
        <v>16.136649999999999</v>
      </c>
      <c r="J12" s="15">
        <f t="shared" si="1"/>
        <v>0.12470403810009412</v>
      </c>
      <c r="K12" s="154">
        <f t="shared" ref="K12" si="13">E12+E13</f>
        <v>36.898830000000004</v>
      </c>
      <c r="L12" s="154">
        <f t="shared" ref="L12" si="14">F12+F13</f>
        <v>0</v>
      </c>
      <c r="M12" s="154">
        <f t="shared" ref="M12" si="15">K12+L12</f>
        <v>36.898830000000004</v>
      </c>
      <c r="N12" s="154">
        <f t="shared" ref="N12" si="16">H12+H13</f>
        <v>15.372999999999999</v>
      </c>
      <c r="O12" s="154">
        <f t="shared" ref="O12" si="17">M12-N12</f>
        <v>21.525830000000006</v>
      </c>
      <c r="P12" s="169">
        <f t="shared" ref="P12" si="18">N12/M12</f>
        <v>0.41662567620707752</v>
      </c>
    </row>
    <row r="13" spans="2:16" x14ac:dyDescent="0.2">
      <c r="B13" s="165"/>
      <c r="C13" s="163"/>
      <c r="D13" s="13" t="s">
        <v>65</v>
      </c>
      <c r="E13" s="14">
        <f>13.41558+2.5238+2.5238</f>
        <v>18.463180000000001</v>
      </c>
      <c r="F13" s="14"/>
      <c r="G13" s="14">
        <f>E13+F13+I12</f>
        <v>34.599829999999997</v>
      </c>
      <c r="H13" s="175">
        <v>13.074</v>
      </c>
      <c r="I13" s="14">
        <f t="shared" si="0"/>
        <v>21.525829999999999</v>
      </c>
      <c r="J13" s="15">
        <f t="shared" si="1"/>
        <v>0.37786312822924278</v>
      </c>
      <c r="K13" s="155"/>
      <c r="L13" s="155"/>
      <c r="M13" s="155"/>
      <c r="N13" s="155"/>
      <c r="O13" s="155"/>
      <c r="P13" s="170"/>
    </row>
    <row r="14" spans="2:16" x14ac:dyDescent="0.2">
      <c r="B14" s="165"/>
      <c r="C14" s="162" t="s">
        <v>63</v>
      </c>
      <c r="D14" s="13" t="s">
        <v>64</v>
      </c>
      <c r="E14" s="14">
        <v>2.8559999999999999E-2</v>
      </c>
      <c r="F14" s="14"/>
      <c r="G14" s="14">
        <f>E14+F14</f>
        <v>2.8559999999999999E-2</v>
      </c>
      <c r="H14" s="14"/>
      <c r="I14" s="14">
        <f t="shared" si="0"/>
        <v>2.8559999999999999E-2</v>
      </c>
      <c r="J14" s="15">
        <f t="shared" si="1"/>
        <v>0</v>
      </c>
      <c r="K14" s="154">
        <f t="shared" ref="K14" si="19">E14+E15</f>
        <v>5.7160000000000002E-2</v>
      </c>
      <c r="L14" s="154">
        <f t="shared" ref="L14" si="20">F14+F15</f>
        <v>0</v>
      </c>
      <c r="M14" s="154">
        <f t="shared" ref="M14" si="21">K14+L14</f>
        <v>5.7160000000000002E-2</v>
      </c>
      <c r="N14" s="154">
        <f t="shared" ref="N14" si="22">H14+H15</f>
        <v>0</v>
      </c>
      <c r="O14" s="154">
        <f t="shared" ref="O14" si="23">M14-N14</f>
        <v>5.7160000000000002E-2</v>
      </c>
      <c r="P14" s="169">
        <f t="shared" ref="P14" si="24">N14/M14</f>
        <v>0</v>
      </c>
    </row>
    <row r="15" spans="2:16" x14ac:dyDescent="0.2">
      <c r="B15" s="165"/>
      <c r="C15" s="163"/>
      <c r="D15" s="13" t="s">
        <v>65</v>
      </c>
      <c r="E15" s="14">
        <v>2.86E-2</v>
      </c>
      <c r="F15" s="14"/>
      <c r="G15" s="14">
        <f>E15+F15+I14</f>
        <v>5.7160000000000002E-2</v>
      </c>
      <c r="H15" s="85"/>
      <c r="I15" s="14">
        <f t="shared" si="0"/>
        <v>5.7160000000000002E-2</v>
      </c>
      <c r="J15" s="15">
        <f t="shared" si="1"/>
        <v>0</v>
      </c>
      <c r="K15" s="155"/>
      <c r="L15" s="155"/>
      <c r="M15" s="155"/>
      <c r="N15" s="155"/>
      <c r="O15" s="155"/>
      <c r="P15" s="170"/>
    </row>
    <row r="16" spans="2:16" x14ac:dyDescent="0.2">
      <c r="B16" s="165"/>
      <c r="C16" s="162" t="s">
        <v>66</v>
      </c>
      <c r="D16" s="13" t="s">
        <v>64</v>
      </c>
      <c r="E16" s="14">
        <f>2.1+2.1+2.1</f>
        <v>6.3000000000000007</v>
      </c>
      <c r="F16" s="14"/>
      <c r="G16" s="14">
        <f>E16+F16</f>
        <v>6.3000000000000007</v>
      </c>
      <c r="H16" s="14"/>
      <c r="I16" s="14">
        <f t="shared" si="0"/>
        <v>6.3000000000000007</v>
      </c>
      <c r="J16" s="15">
        <f t="shared" si="1"/>
        <v>0</v>
      </c>
      <c r="K16" s="154">
        <f t="shared" ref="K16" si="25">E16+E17</f>
        <v>12.609300000000001</v>
      </c>
      <c r="L16" s="154">
        <f t="shared" ref="L16" si="26">F16+F17</f>
        <v>0</v>
      </c>
      <c r="M16" s="154">
        <f t="shared" ref="M16" si="27">K16+L16</f>
        <v>12.609300000000001</v>
      </c>
      <c r="N16" s="154">
        <f t="shared" ref="N16" si="28">H16+H17</f>
        <v>0</v>
      </c>
      <c r="O16" s="154">
        <f t="shared" ref="O16" si="29">M16-N16</f>
        <v>12.609300000000001</v>
      </c>
      <c r="P16" s="169">
        <f t="shared" ref="P16" si="30">N16/M16</f>
        <v>0</v>
      </c>
    </row>
    <row r="17" spans="2:16" x14ac:dyDescent="0.2">
      <c r="B17" s="165"/>
      <c r="C17" s="163"/>
      <c r="D17" s="13" t="s">
        <v>65</v>
      </c>
      <c r="E17" s="14">
        <f>2.1031+2.1031+2.1031</f>
        <v>6.3093000000000004</v>
      </c>
      <c r="F17" s="14"/>
      <c r="G17" s="14">
        <f>E17+F17+I16</f>
        <v>12.609300000000001</v>
      </c>
      <c r="H17" s="85"/>
      <c r="I17" s="14">
        <f t="shared" si="0"/>
        <v>12.609300000000001</v>
      </c>
      <c r="J17" s="15">
        <f t="shared" si="1"/>
        <v>0</v>
      </c>
      <c r="K17" s="155"/>
      <c r="L17" s="155"/>
      <c r="M17" s="155"/>
      <c r="N17" s="155"/>
      <c r="O17" s="155"/>
      <c r="P17" s="170"/>
    </row>
    <row r="18" spans="2:16" x14ac:dyDescent="0.2">
      <c r="B18" s="165"/>
      <c r="C18" s="162" t="s">
        <v>67</v>
      </c>
      <c r="D18" s="13" t="s">
        <v>64</v>
      </c>
      <c r="E18" s="14">
        <f>2.1</f>
        <v>2.1</v>
      </c>
      <c r="F18" s="14"/>
      <c r="G18" s="14">
        <f>E18+F18</f>
        <v>2.1</v>
      </c>
      <c r="H18" s="14"/>
      <c r="I18" s="14">
        <f t="shared" si="0"/>
        <v>2.1</v>
      </c>
      <c r="J18" s="15">
        <f t="shared" si="1"/>
        <v>0</v>
      </c>
      <c r="K18" s="154">
        <f t="shared" ref="K18" si="31">E18+E19</f>
        <v>4.2031000000000001</v>
      </c>
      <c r="L18" s="154">
        <f t="shared" ref="L18" si="32">F18+F19</f>
        <v>0</v>
      </c>
      <c r="M18" s="154">
        <f t="shared" ref="M18" si="33">K18+L18</f>
        <v>4.2031000000000001</v>
      </c>
      <c r="N18" s="154">
        <f t="shared" ref="N18" si="34">H18+H19</f>
        <v>0</v>
      </c>
      <c r="O18" s="154">
        <f t="shared" ref="O18" si="35">M18-N18</f>
        <v>4.2031000000000001</v>
      </c>
      <c r="P18" s="169">
        <f t="shared" ref="P18" si="36">N18/M18</f>
        <v>0</v>
      </c>
    </row>
    <row r="19" spans="2:16" x14ac:dyDescent="0.2">
      <c r="B19" s="165"/>
      <c r="C19" s="163"/>
      <c r="D19" s="13" t="s">
        <v>65</v>
      </c>
      <c r="E19" s="14">
        <v>2.1031</v>
      </c>
      <c r="F19" s="14"/>
      <c r="G19" s="14">
        <f>E19+F19+I18</f>
        <v>4.2031000000000001</v>
      </c>
      <c r="H19" s="85"/>
      <c r="I19" s="14">
        <f t="shared" si="0"/>
        <v>4.2031000000000001</v>
      </c>
      <c r="J19" s="15">
        <f t="shared" si="1"/>
        <v>0</v>
      </c>
      <c r="K19" s="155"/>
      <c r="L19" s="155"/>
      <c r="M19" s="155"/>
      <c r="N19" s="155"/>
      <c r="O19" s="155"/>
      <c r="P19" s="170"/>
    </row>
    <row r="20" spans="2:16" x14ac:dyDescent="0.2">
      <c r="B20" s="165"/>
      <c r="C20" s="162" t="s">
        <v>159</v>
      </c>
      <c r="D20" s="13" t="s">
        <v>64</v>
      </c>
      <c r="E20" s="14">
        <f>16.89522+4.2+5.04+5.04</f>
        <v>31.175219999999996</v>
      </c>
      <c r="F20" s="14"/>
      <c r="G20" s="14">
        <f>+E20+F20</f>
        <v>31.175219999999996</v>
      </c>
      <c r="H20" s="14"/>
      <c r="I20" s="14">
        <f>+G20-H20</f>
        <v>31.175219999999996</v>
      </c>
      <c r="J20" s="15">
        <f t="shared" si="1"/>
        <v>0</v>
      </c>
      <c r="K20" s="154">
        <f>+E20+E21</f>
        <v>62.396879999999996</v>
      </c>
      <c r="L20" s="154">
        <f t="shared" ref="L20" si="37">F20+F21</f>
        <v>0</v>
      </c>
      <c r="M20" s="154">
        <f>K20+L20</f>
        <v>62.396879999999996</v>
      </c>
      <c r="N20" s="154">
        <f t="shared" ref="N20" si="38">H20+H21</f>
        <v>5.7789999999999999</v>
      </c>
      <c r="O20" s="154">
        <f t="shared" ref="O20" si="39">M20-N20</f>
        <v>56.61788</v>
      </c>
      <c r="P20" s="169">
        <f t="shared" ref="P20" si="40">N20/M20</f>
        <v>9.2616810327695878E-2</v>
      </c>
    </row>
    <row r="21" spans="2:16" x14ac:dyDescent="0.2">
      <c r="B21" s="165"/>
      <c r="C21" s="163"/>
      <c r="D21" s="13" t="s">
        <v>65</v>
      </c>
      <c r="E21" s="14">
        <f>16.92036+4.2063+5.0475+5.0475</f>
        <v>31.221659999999996</v>
      </c>
      <c r="F21" s="14"/>
      <c r="G21" s="14">
        <f>+I20+E21+F21</f>
        <v>62.396879999999996</v>
      </c>
      <c r="H21" s="175">
        <v>5.7789999999999999</v>
      </c>
      <c r="I21" s="14">
        <f>+G21-H21</f>
        <v>56.61788</v>
      </c>
      <c r="J21" s="15">
        <f t="shared" si="1"/>
        <v>9.2616810327695878E-2</v>
      </c>
      <c r="K21" s="155"/>
      <c r="L21" s="155"/>
      <c r="M21" s="155"/>
      <c r="N21" s="155"/>
      <c r="O21" s="155"/>
      <c r="P21" s="170"/>
    </row>
    <row r="22" spans="2:16" x14ac:dyDescent="0.2">
      <c r="B22" s="166"/>
      <c r="C22" s="16" t="s">
        <v>68</v>
      </c>
      <c r="D22" s="33" t="s">
        <v>45</v>
      </c>
      <c r="E22" s="34">
        <f>SUM(E6:E21)</f>
        <v>672.50026000000003</v>
      </c>
      <c r="F22" s="34">
        <f>SUM(F6:F21)</f>
        <v>0</v>
      </c>
      <c r="G22" s="34">
        <f>E22+F22</f>
        <v>672.50026000000003</v>
      </c>
      <c r="H22" s="34">
        <f>SUM(H6:H21)</f>
        <v>491.96999999999997</v>
      </c>
      <c r="I22" s="34">
        <f>G22-H22</f>
        <v>180.53026000000006</v>
      </c>
      <c r="J22" s="35">
        <f>H22/G22</f>
        <v>0.73155362051458528</v>
      </c>
      <c r="K22" s="34">
        <f>SUM(K6:K21)</f>
        <v>672.50025999999991</v>
      </c>
      <c r="L22" s="34">
        <f>SUM(L6:L21)</f>
        <v>0</v>
      </c>
      <c r="M22" s="34">
        <f>K22+L22</f>
        <v>672.50025999999991</v>
      </c>
      <c r="N22" s="34">
        <f>SUM(N6:N21)</f>
        <v>491.97</v>
      </c>
      <c r="O22" s="34">
        <f>M22-N22</f>
        <v>180.53025999999988</v>
      </c>
      <c r="P22" s="35">
        <f>N22/M22</f>
        <v>0.7315536205145855</v>
      </c>
    </row>
    <row r="23" spans="2:16" x14ac:dyDescent="0.2">
      <c r="D23" s="17"/>
    </row>
    <row r="24" spans="2:16" x14ac:dyDescent="0.2">
      <c r="D24" s="17"/>
      <c r="G24" s="83"/>
    </row>
    <row r="25" spans="2:16" x14ac:dyDescent="0.2">
      <c r="D25" s="17"/>
    </row>
    <row r="26" spans="2:16" ht="25.5" x14ac:dyDescent="0.2">
      <c r="B26" s="36" t="s">
        <v>57</v>
      </c>
      <c r="C26" s="36" t="s">
        <v>58</v>
      </c>
      <c r="D26" s="12" t="s">
        <v>29</v>
      </c>
      <c r="E26" s="36" t="s">
        <v>2</v>
      </c>
      <c r="F26" s="36" t="s">
        <v>3</v>
      </c>
      <c r="G26" s="36" t="s">
        <v>4</v>
      </c>
      <c r="H26" s="36" t="s">
        <v>5</v>
      </c>
      <c r="I26" s="36" t="s">
        <v>6</v>
      </c>
      <c r="J26" s="80" t="s">
        <v>7</v>
      </c>
      <c r="K26" s="36" t="s">
        <v>2</v>
      </c>
      <c r="L26" s="36" t="s">
        <v>3</v>
      </c>
      <c r="M26" s="36" t="s">
        <v>4</v>
      </c>
      <c r="N26" s="36" t="s">
        <v>5</v>
      </c>
      <c r="O26" s="36" t="s">
        <v>6</v>
      </c>
      <c r="P26" s="36" t="s">
        <v>31</v>
      </c>
    </row>
    <row r="27" spans="2:16" x14ac:dyDescent="0.2">
      <c r="B27" s="164" t="s">
        <v>129</v>
      </c>
      <c r="C27" s="167" t="s">
        <v>59</v>
      </c>
      <c r="D27" s="13" t="s">
        <v>64</v>
      </c>
      <c r="E27" s="14">
        <f>20.1081+2.5+4+4</f>
        <v>30.6081</v>
      </c>
      <c r="F27" s="14"/>
      <c r="G27" s="14">
        <f>E27+F27</f>
        <v>30.6081</v>
      </c>
      <c r="H27" s="14"/>
      <c r="I27" s="14">
        <f>G27-H27</f>
        <v>30.6081</v>
      </c>
      <c r="J27" s="15">
        <f>H27/G27</f>
        <v>0</v>
      </c>
      <c r="K27" s="154">
        <f>E27+E28</f>
        <v>61.216200000000001</v>
      </c>
      <c r="L27" s="154">
        <f>F27+F28</f>
        <v>0</v>
      </c>
      <c r="M27" s="154">
        <f>K27+L27</f>
        <v>61.216200000000001</v>
      </c>
      <c r="N27" s="154">
        <f>H27+H28</f>
        <v>7.3650000000000002</v>
      </c>
      <c r="O27" s="154">
        <f>M27-N27</f>
        <v>53.851199999999999</v>
      </c>
      <c r="P27" s="169">
        <f>N27/M27</f>
        <v>0.12031129014868613</v>
      </c>
    </row>
    <row r="28" spans="2:16" x14ac:dyDescent="0.2">
      <c r="B28" s="165"/>
      <c r="C28" s="168"/>
      <c r="D28" s="13" t="s">
        <v>65</v>
      </c>
      <c r="E28" s="14">
        <f>20.1081+2.5+4+4</f>
        <v>30.6081</v>
      </c>
      <c r="F28" s="14"/>
      <c r="G28" s="14">
        <f>E28+F28+I27</f>
        <v>61.216200000000001</v>
      </c>
      <c r="H28" s="175">
        <v>7.3650000000000002</v>
      </c>
      <c r="I28" s="14">
        <f t="shared" ref="I28:I40" si="41">G28-H28</f>
        <v>53.851199999999999</v>
      </c>
      <c r="J28" s="15">
        <f t="shared" ref="J28:J41" si="42">H28/G28</f>
        <v>0.12031129014868613</v>
      </c>
      <c r="K28" s="155"/>
      <c r="L28" s="155"/>
      <c r="M28" s="155"/>
      <c r="N28" s="155"/>
      <c r="O28" s="155"/>
      <c r="P28" s="170"/>
    </row>
    <row r="29" spans="2:16" x14ac:dyDescent="0.2">
      <c r="B29" s="165"/>
      <c r="C29" s="167" t="s">
        <v>60</v>
      </c>
      <c r="D29" s="13" t="s">
        <v>64</v>
      </c>
      <c r="E29" s="14">
        <v>0.55206</v>
      </c>
      <c r="F29" s="14"/>
      <c r="G29" s="14">
        <f>E29+F29</f>
        <v>0.55206</v>
      </c>
      <c r="H29" s="14"/>
      <c r="I29" s="14">
        <f t="shared" si="41"/>
        <v>0.55206</v>
      </c>
      <c r="J29" s="15">
        <f t="shared" si="42"/>
        <v>0</v>
      </c>
      <c r="K29" s="154">
        <f t="shared" ref="K29:L29" si="43">E29+E30</f>
        <v>1.10412</v>
      </c>
      <c r="L29" s="154">
        <f t="shared" si="43"/>
        <v>0</v>
      </c>
      <c r="M29" s="154">
        <f t="shared" ref="M29" si="44">K29+L29</f>
        <v>1.10412</v>
      </c>
      <c r="N29" s="154">
        <f t="shared" ref="N29" si="45">H29+H30</f>
        <v>0</v>
      </c>
      <c r="O29" s="154">
        <f t="shared" ref="O29" si="46">M29-N29</f>
        <v>1.10412</v>
      </c>
      <c r="P29" s="169">
        <f t="shared" ref="P29" si="47">N29/M29</f>
        <v>0</v>
      </c>
    </row>
    <row r="30" spans="2:16" x14ac:dyDescent="0.2">
      <c r="B30" s="165"/>
      <c r="C30" s="168"/>
      <c r="D30" s="13" t="s">
        <v>65</v>
      </c>
      <c r="E30" s="14">
        <v>0.55206</v>
      </c>
      <c r="F30" s="14"/>
      <c r="G30" s="14">
        <f>E30+F30+I29</f>
        <v>1.10412</v>
      </c>
      <c r="H30" s="85"/>
      <c r="I30" s="14">
        <f t="shared" si="41"/>
        <v>1.10412</v>
      </c>
      <c r="J30" s="15">
        <f t="shared" si="42"/>
        <v>0</v>
      </c>
      <c r="K30" s="155"/>
      <c r="L30" s="155"/>
      <c r="M30" s="155"/>
      <c r="N30" s="155"/>
      <c r="O30" s="155"/>
      <c r="P30" s="170"/>
    </row>
    <row r="31" spans="2:16" x14ac:dyDescent="0.2">
      <c r="B31" s="165"/>
      <c r="C31" s="167" t="s">
        <v>134</v>
      </c>
      <c r="D31" s="13" t="s">
        <v>64</v>
      </c>
      <c r="E31" s="14">
        <f>109.80408+2+2+4</f>
        <v>117.80408</v>
      </c>
      <c r="F31" s="14"/>
      <c r="G31" s="14">
        <f>E31+F31</f>
        <v>117.80408</v>
      </c>
      <c r="H31" s="14">
        <v>20.725000000000001</v>
      </c>
      <c r="I31" s="14">
        <f t="shared" si="41"/>
        <v>97.079080000000005</v>
      </c>
      <c r="J31" s="15">
        <f t="shared" si="42"/>
        <v>0.17592769282693776</v>
      </c>
      <c r="K31" s="154">
        <f t="shared" ref="K31:L31" si="48">E31+E32</f>
        <v>235.60816</v>
      </c>
      <c r="L31" s="154">
        <f t="shared" si="48"/>
        <v>0</v>
      </c>
      <c r="M31" s="154">
        <f t="shared" ref="M31" si="49">K31+L31</f>
        <v>235.60816</v>
      </c>
      <c r="N31" s="154">
        <f t="shared" ref="N31" si="50">H31+H32</f>
        <v>197.72200000000001</v>
      </c>
      <c r="O31" s="154">
        <f t="shared" ref="O31" si="51">M31-N31</f>
        <v>37.88615999999999</v>
      </c>
      <c r="P31" s="169">
        <f t="shared" ref="P31" si="52">N31/M31</f>
        <v>0.83919843862793209</v>
      </c>
    </row>
    <row r="32" spans="2:16" x14ac:dyDescent="0.2">
      <c r="B32" s="165"/>
      <c r="C32" s="168"/>
      <c r="D32" s="13" t="s">
        <v>65</v>
      </c>
      <c r="E32" s="14">
        <f>109.80408+2+2+4</f>
        <v>117.80408</v>
      </c>
      <c r="F32" s="14"/>
      <c r="G32" s="14">
        <f>E32+F32+I31</f>
        <v>214.88316</v>
      </c>
      <c r="H32" s="175">
        <v>176.99700000000001</v>
      </c>
      <c r="I32" s="14">
        <f t="shared" si="41"/>
        <v>37.88615999999999</v>
      </c>
      <c r="J32" s="15">
        <f t="shared" si="42"/>
        <v>0.82368948781281892</v>
      </c>
      <c r="K32" s="155"/>
      <c r="L32" s="155"/>
      <c r="M32" s="155"/>
      <c r="N32" s="155"/>
      <c r="O32" s="155"/>
      <c r="P32" s="170"/>
    </row>
    <row r="33" spans="2:16" x14ac:dyDescent="0.2">
      <c r="B33" s="165"/>
      <c r="C33" s="167" t="s">
        <v>61</v>
      </c>
      <c r="D33" s="13" t="s">
        <v>64</v>
      </c>
      <c r="E33" s="14">
        <f>39.26468+2.5+4</f>
        <v>45.764679999999998</v>
      </c>
      <c r="F33" s="14"/>
      <c r="G33" s="14">
        <f>E33+F33</f>
        <v>45.764679999999998</v>
      </c>
      <c r="H33" s="14"/>
      <c r="I33" s="14">
        <f t="shared" si="41"/>
        <v>45.764679999999998</v>
      </c>
      <c r="J33" s="15">
        <f t="shared" si="42"/>
        <v>0</v>
      </c>
      <c r="K33" s="154">
        <f t="shared" ref="K33:L33" si="53">E33+E34</f>
        <v>91.529359999999997</v>
      </c>
      <c r="L33" s="154">
        <f t="shared" si="53"/>
        <v>0</v>
      </c>
      <c r="M33" s="154">
        <f t="shared" ref="M33" si="54">K33+L33</f>
        <v>91.529359999999997</v>
      </c>
      <c r="N33" s="154">
        <f t="shared" ref="N33" si="55">H33+H34</f>
        <v>16.172000000000001</v>
      </c>
      <c r="O33" s="154">
        <f t="shared" ref="O33" si="56">M33-N33</f>
        <v>75.35736</v>
      </c>
      <c r="P33" s="169">
        <f t="shared" ref="P33" si="57">N33/M33</f>
        <v>0.17668647524684977</v>
      </c>
    </row>
    <row r="34" spans="2:16" x14ac:dyDescent="0.2">
      <c r="B34" s="165"/>
      <c r="C34" s="168"/>
      <c r="D34" s="13" t="s">
        <v>65</v>
      </c>
      <c r="E34" s="14">
        <f>39.26468+2.5+4</f>
        <v>45.764679999999998</v>
      </c>
      <c r="F34" s="14"/>
      <c r="G34" s="14">
        <f>E34+F34+I33</f>
        <v>91.529359999999997</v>
      </c>
      <c r="H34" s="175">
        <v>16.172000000000001</v>
      </c>
      <c r="I34" s="14">
        <f t="shared" si="41"/>
        <v>75.35736</v>
      </c>
      <c r="J34" s="15">
        <f t="shared" si="42"/>
        <v>0.17668647524684977</v>
      </c>
      <c r="K34" s="155"/>
      <c r="L34" s="155"/>
      <c r="M34" s="155"/>
      <c r="N34" s="155"/>
      <c r="O34" s="155"/>
      <c r="P34" s="170"/>
    </row>
    <row r="35" spans="2:16" x14ac:dyDescent="0.2">
      <c r="B35" s="165"/>
      <c r="C35" s="162" t="s">
        <v>62</v>
      </c>
      <c r="D35" s="13" t="s">
        <v>64</v>
      </c>
      <c r="E35" s="14">
        <v>0.27113999999999999</v>
      </c>
      <c r="F35" s="14"/>
      <c r="G35" s="14">
        <f>E35+F35</f>
        <v>0.27113999999999999</v>
      </c>
      <c r="H35" s="14"/>
      <c r="I35" s="14">
        <f t="shared" si="41"/>
        <v>0.27113999999999999</v>
      </c>
      <c r="J35" s="15">
        <f t="shared" si="42"/>
        <v>0</v>
      </c>
      <c r="K35" s="154">
        <f t="shared" ref="K35:L35" si="58">E35+E36</f>
        <v>0.54227999999999998</v>
      </c>
      <c r="L35" s="154">
        <f t="shared" si="58"/>
        <v>0</v>
      </c>
      <c r="M35" s="154">
        <f t="shared" ref="M35" si="59">K35+L35</f>
        <v>0.54227999999999998</v>
      </c>
      <c r="N35" s="154">
        <f t="shared" ref="N35" si="60">H35+H36</f>
        <v>0</v>
      </c>
      <c r="O35" s="154">
        <f t="shared" ref="O35" si="61">M35-N35</f>
        <v>0.54227999999999998</v>
      </c>
      <c r="P35" s="169">
        <f t="shared" ref="P35" si="62">N35/M35</f>
        <v>0</v>
      </c>
    </row>
    <row r="36" spans="2:16" x14ac:dyDescent="0.2">
      <c r="B36" s="165"/>
      <c r="C36" s="163"/>
      <c r="D36" s="13" t="s">
        <v>65</v>
      </c>
      <c r="E36" s="14">
        <v>0.27113999999999999</v>
      </c>
      <c r="F36" s="14"/>
      <c r="G36" s="14">
        <f>E36+F36+I35</f>
        <v>0.54227999999999998</v>
      </c>
      <c r="H36" s="85"/>
      <c r="I36" s="14">
        <f t="shared" si="41"/>
        <v>0.54227999999999998</v>
      </c>
      <c r="J36" s="15">
        <f t="shared" si="42"/>
        <v>0</v>
      </c>
      <c r="K36" s="155"/>
      <c r="L36" s="155"/>
      <c r="M36" s="155"/>
      <c r="N36" s="155"/>
      <c r="O36" s="155"/>
      <c r="P36" s="170"/>
    </row>
    <row r="37" spans="2:16" x14ac:dyDescent="0.2">
      <c r="B37" s="165"/>
      <c r="C37" s="162" t="s">
        <v>66</v>
      </c>
      <c r="D37" s="13" t="s">
        <v>64</v>
      </c>
      <c r="E37" s="14">
        <v>2.5</v>
      </c>
      <c r="F37" s="14"/>
      <c r="G37" s="14">
        <f>E37+F37</f>
        <v>2.5</v>
      </c>
      <c r="H37" s="14"/>
      <c r="I37" s="14">
        <f t="shared" si="41"/>
        <v>2.5</v>
      </c>
      <c r="J37" s="15">
        <f t="shared" si="42"/>
        <v>0</v>
      </c>
      <c r="K37" s="154">
        <f t="shared" ref="K37:L37" si="63">E37+E38</f>
        <v>5</v>
      </c>
      <c r="L37" s="154">
        <f t="shared" si="63"/>
        <v>0</v>
      </c>
      <c r="M37" s="154">
        <f t="shared" ref="M37" si="64">K37+L37</f>
        <v>5</v>
      </c>
      <c r="N37" s="154">
        <f t="shared" ref="N37" si="65">H37+H38</f>
        <v>0</v>
      </c>
      <c r="O37" s="154">
        <f t="shared" ref="O37" si="66">M37-N37</f>
        <v>5</v>
      </c>
      <c r="P37" s="169">
        <f t="shared" ref="P37" si="67">N37/M37</f>
        <v>0</v>
      </c>
    </row>
    <row r="38" spans="2:16" x14ac:dyDescent="0.2">
      <c r="B38" s="165"/>
      <c r="C38" s="163"/>
      <c r="D38" s="13" t="s">
        <v>65</v>
      </c>
      <c r="E38" s="14">
        <v>2.5</v>
      </c>
      <c r="F38" s="14"/>
      <c r="G38" s="14">
        <f>E38+F38+I37</f>
        <v>5</v>
      </c>
      <c r="H38" s="85"/>
      <c r="I38" s="14">
        <f t="shared" si="41"/>
        <v>5</v>
      </c>
      <c r="J38" s="15">
        <f t="shared" si="42"/>
        <v>0</v>
      </c>
      <c r="K38" s="155"/>
      <c r="L38" s="155"/>
      <c r="M38" s="155"/>
      <c r="N38" s="155"/>
      <c r="O38" s="155"/>
      <c r="P38" s="170"/>
    </row>
    <row r="39" spans="2:16" x14ac:dyDescent="0.2">
      <c r="B39" s="165"/>
      <c r="C39" s="162" t="s">
        <v>67</v>
      </c>
      <c r="D39" s="13" t="s">
        <v>64</v>
      </c>
      <c r="E39" s="14">
        <v>2.5</v>
      </c>
      <c r="F39" s="14"/>
      <c r="G39" s="14">
        <f>E39+F39</f>
        <v>2.5</v>
      </c>
      <c r="H39" s="14"/>
      <c r="I39" s="14">
        <f t="shared" si="41"/>
        <v>2.5</v>
      </c>
      <c r="J39" s="15">
        <f t="shared" si="42"/>
        <v>0</v>
      </c>
      <c r="K39" s="154">
        <f t="shared" ref="K39:L39" si="68">E39+E40</f>
        <v>5</v>
      </c>
      <c r="L39" s="154">
        <f t="shared" si="68"/>
        <v>0</v>
      </c>
      <c r="M39" s="154">
        <f t="shared" ref="M39" si="69">K39+L39</f>
        <v>5</v>
      </c>
      <c r="N39" s="154">
        <f t="shared" ref="N39" si="70">H39+H40</f>
        <v>0</v>
      </c>
      <c r="O39" s="154">
        <f t="shared" ref="O39" si="71">M39-N39</f>
        <v>5</v>
      </c>
      <c r="P39" s="169">
        <f t="shared" ref="P39" si="72">N39/M39</f>
        <v>0</v>
      </c>
    </row>
    <row r="40" spans="2:16" x14ac:dyDescent="0.2">
      <c r="B40" s="165"/>
      <c r="C40" s="163"/>
      <c r="D40" s="13" t="s">
        <v>65</v>
      </c>
      <c r="E40" s="14">
        <v>2.5</v>
      </c>
      <c r="F40" s="14"/>
      <c r="G40" s="14">
        <f>E40+F40+I39</f>
        <v>5</v>
      </c>
      <c r="H40" s="85"/>
      <c r="I40" s="14">
        <f t="shared" si="41"/>
        <v>5</v>
      </c>
      <c r="J40" s="15">
        <f t="shared" si="42"/>
        <v>0</v>
      </c>
      <c r="K40" s="155"/>
      <c r="L40" s="155"/>
      <c r="M40" s="155"/>
      <c r="N40" s="155"/>
      <c r="O40" s="155"/>
      <c r="P40" s="170"/>
    </row>
    <row r="41" spans="2:16" x14ac:dyDescent="0.2">
      <c r="B41" s="166"/>
      <c r="C41" s="16" t="s">
        <v>68</v>
      </c>
      <c r="D41" s="33" t="s">
        <v>45</v>
      </c>
      <c r="E41" s="34">
        <f>SUM(E27:E40)</f>
        <v>400.00011999999998</v>
      </c>
      <c r="F41" s="34">
        <f>SUM(F27:F40)</f>
        <v>0</v>
      </c>
      <c r="G41" s="34">
        <f>E41+F41</f>
        <v>400.00011999999998</v>
      </c>
      <c r="H41" s="34">
        <f>SUM(H27:H40)</f>
        <v>221.25900000000001</v>
      </c>
      <c r="I41" s="34">
        <f>G41-H41</f>
        <v>178.74111999999997</v>
      </c>
      <c r="J41" s="35">
        <f t="shared" si="42"/>
        <v>0.55314733405579986</v>
      </c>
      <c r="K41" s="34">
        <f>SUM(K27:K40)</f>
        <v>400.00011999999998</v>
      </c>
      <c r="L41" s="34">
        <f>SUM(L27:L40)</f>
        <v>0</v>
      </c>
      <c r="M41" s="34">
        <f>K41+L41</f>
        <v>400.00011999999998</v>
      </c>
      <c r="N41" s="34">
        <f>SUM(N27:N40)</f>
        <v>221.25900000000001</v>
      </c>
      <c r="O41" s="34">
        <f>M41-N41</f>
        <v>178.74111999999997</v>
      </c>
      <c r="P41" s="35">
        <f>N41/M41</f>
        <v>0.55314733405579986</v>
      </c>
    </row>
    <row r="42" spans="2:16" x14ac:dyDescent="0.2">
      <c r="D42" s="17"/>
    </row>
  </sheetData>
  <mergeCells count="109">
    <mergeCell ref="O20:O21"/>
    <mergeCell ref="P20:P21"/>
    <mergeCell ref="L35:L36"/>
    <mergeCell ref="O31:O32"/>
    <mergeCell ref="P31:P32"/>
    <mergeCell ref="O33:O34"/>
    <mergeCell ref="P33:P34"/>
    <mergeCell ref="O27:O28"/>
    <mergeCell ref="P27:P28"/>
    <mergeCell ref="N35:N36"/>
    <mergeCell ref="O35:O36"/>
    <mergeCell ref="P35:P36"/>
    <mergeCell ref="C20:C21"/>
    <mergeCell ref="L33:L34"/>
    <mergeCell ref="L29:L30"/>
    <mergeCell ref="M29:M30"/>
    <mergeCell ref="N29:N30"/>
    <mergeCell ref="L27:L28"/>
    <mergeCell ref="M27:M28"/>
    <mergeCell ref="N27:N28"/>
    <mergeCell ref="L31:L32"/>
    <mergeCell ref="M31:M32"/>
    <mergeCell ref="N31:N32"/>
    <mergeCell ref="C29:C30"/>
    <mergeCell ref="C31:C32"/>
    <mergeCell ref="C33:C34"/>
    <mergeCell ref="L20:L21"/>
    <mergeCell ref="M20:M21"/>
    <mergeCell ref="N20:N21"/>
    <mergeCell ref="O8:O9"/>
    <mergeCell ref="P8:P9"/>
    <mergeCell ref="K6:K7"/>
    <mergeCell ref="L6:L7"/>
    <mergeCell ref="M6:M7"/>
    <mergeCell ref="N6:N7"/>
    <mergeCell ref="O6:O7"/>
    <mergeCell ref="P6:P7"/>
    <mergeCell ref="L10:L11"/>
    <mergeCell ref="M10:M11"/>
    <mergeCell ref="N10:N11"/>
    <mergeCell ref="O10:O11"/>
    <mergeCell ref="P10:P11"/>
    <mergeCell ref="L8:L9"/>
    <mergeCell ref="M8:M9"/>
    <mergeCell ref="N8:N9"/>
    <mergeCell ref="O14:O15"/>
    <mergeCell ref="P14:P15"/>
    <mergeCell ref="L12:L13"/>
    <mergeCell ref="M12:M13"/>
    <mergeCell ref="N12:N13"/>
    <mergeCell ref="O12:O13"/>
    <mergeCell ref="P12:P13"/>
    <mergeCell ref="K31:K32"/>
    <mergeCell ref="K33:K34"/>
    <mergeCell ref="K27:K28"/>
    <mergeCell ref="K29:K30"/>
    <mergeCell ref="K20:K21"/>
    <mergeCell ref="L18:L19"/>
    <mergeCell ref="M18:M19"/>
    <mergeCell ref="N18:N19"/>
    <mergeCell ref="O18:O19"/>
    <mergeCell ref="P18:P19"/>
    <mergeCell ref="L16:L17"/>
    <mergeCell ref="M16:M17"/>
    <mergeCell ref="N16:N17"/>
    <mergeCell ref="O16:O17"/>
    <mergeCell ref="P16:P17"/>
    <mergeCell ref="M33:M34"/>
    <mergeCell ref="N33:N34"/>
    <mergeCell ref="L37:L38"/>
    <mergeCell ref="M37:M38"/>
    <mergeCell ref="N37:N38"/>
    <mergeCell ref="O37:O38"/>
    <mergeCell ref="P39:P40"/>
    <mergeCell ref="C27:C28"/>
    <mergeCell ref="O29:O30"/>
    <mergeCell ref="P29:P30"/>
    <mergeCell ref="C39:C40"/>
    <mergeCell ref="L39:L40"/>
    <mergeCell ref="M39:M40"/>
    <mergeCell ref="N39:N40"/>
    <mergeCell ref="K35:K36"/>
    <mergeCell ref="K37:K38"/>
    <mergeCell ref="K39:K40"/>
    <mergeCell ref="P37:P38"/>
    <mergeCell ref="L14:L15"/>
    <mergeCell ref="M14:M15"/>
    <mergeCell ref="N14:N15"/>
    <mergeCell ref="B2:P2"/>
    <mergeCell ref="B3:P3"/>
    <mergeCell ref="C37:C38"/>
    <mergeCell ref="B6:B22"/>
    <mergeCell ref="B27:B41"/>
    <mergeCell ref="C6:C7"/>
    <mergeCell ref="C8:C9"/>
    <mergeCell ref="C10:C11"/>
    <mergeCell ref="C12:C13"/>
    <mergeCell ref="C14:C15"/>
    <mergeCell ref="K18:K19"/>
    <mergeCell ref="K14:K15"/>
    <mergeCell ref="K8:K9"/>
    <mergeCell ref="K16:K17"/>
    <mergeCell ref="K10:K11"/>
    <mergeCell ref="K12:K13"/>
    <mergeCell ref="C16:C17"/>
    <mergeCell ref="C18:C19"/>
    <mergeCell ref="O39:O40"/>
    <mergeCell ref="C35:C36"/>
    <mergeCell ref="M35:M36"/>
  </mergeCells>
  <conditionalFormatting sqref="P6:P25 P27:P41">
    <cfRule type="cellIs" dxfId="0" priority="1" operator="greaterThan">
      <formula>100%</formula>
    </cfRule>
  </conditionalFormatting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3"/>
  <sheetViews>
    <sheetView zoomScaleNormal="100" workbookViewId="0">
      <selection activeCell="D28" sqref="D28"/>
    </sheetView>
  </sheetViews>
  <sheetFormatPr baseColWidth="10" defaultColWidth="11.42578125" defaultRowHeight="12" x14ac:dyDescent="0.2"/>
  <cols>
    <col min="1" max="1" width="26.5703125" style="5" customWidth="1"/>
    <col min="2" max="2" width="15" style="5" bestFit="1" customWidth="1"/>
    <col min="3" max="3" width="12.28515625" style="5" customWidth="1"/>
    <col min="4" max="4" width="40.28515625" style="5" bestFit="1" customWidth="1"/>
    <col min="5" max="5" width="25.7109375" style="5" bestFit="1" customWidth="1"/>
    <col min="6" max="6" width="7.42578125" style="5" customWidth="1"/>
    <col min="7" max="7" width="9.140625" style="5" customWidth="1"/>
    <col min="8" max="8" width="8" style="6" bestFit="1" customWidth="1"/>
    <col min="9" max="9" width="15.85546875" style="6" bestFit="1" customWidth="1"/>
    <col min="10" max="10" width="11.5703125" style="6" bestFit="1" customWidth="1"/>
    <col min="11" max="11" width="6.42578125" style="6" bestFit="1" customWidth="1"/>
    <col min="12" max="12" width="7.42578125" style="6" bestFit="1" customWidth="1"/>
    <col min="13" max="13" width="15.7109375" style="10" bestFit="1" customWidth="1"/>
    <col min="14" max="15" width="9" style="8" bestFit="1" customWidth="1"/>
    <col min="16" max="16" width="4.42578125" style="5" bestFit="1" customWidth="1"/>
    <col min="17" max="17" width="7" style="5" bestFit="1" customWidth="1"/>
    <col min="18" max="16384" width="11.42578125" style="5"/>
  </cols>
  <sheetData>
    <row r="1" spans="1:17" x14ac:dyDescent="0.2">
      <c r="A1" s="1" t="s">
        <v>83</v>
      </c>
      <c r="B1" s="1" t="s">
        <v>84</v>
      </c>
      <c r="C1" s="1" t="s">
        <v>85</v>
      </c>
      <c r="D1" s="103" t="s">
        <v>86</v>
      </c>
      <c r="E1" s="1" t="s">
        <v>87</v>
      </c>
      <c r="F1" s="1" t="s">
        <v>88</v>
      </c>
      <c r="G1" s="1" t="s">
        <v>89</v>
      </c>
      <c r="H1" s="2" t="s">
        <v>90</v>
      </c>
      <c r="I1" s="2" t="s">
        <v>91</v>
      </c>
      <c r="J1" s="2" t="s">
        <v>92</v>
      </c>
      <c r="K1" s="2" t="s">
        <v>93</v>
      </c>
      <c r="L1" s="2" t="s">
        <v>94</v>
      </c>
      <c r="M1" s="9" t="s">
        <v>95</v>
      </c>
      <c r="N1" s="3" t="s">
        <v>96</v>
      </c>
      <c r="O1" s="7" t="s">
        <v>97</v>
      </c>
      <c r="P1" s="4" t="s">
        <v>98</v>
      </c>
      <c r="Q1" s="4" t="s">
        <v>99</v>
      </c>
    </row>
    <row r="2" spans="1:17" x14ac:dyDescent="0.2">
      <c r="A2" s="93" t="s">
        <v>100</v>
      </c>
      <c r="B2" s="93" t="s">
        <v>101</v>
      </c>
      <c r="C2" s="93" t="s">
        <v>102</v>
      </c>
      <c r="D2" s="93" t="s">
        <v>103</v>
      </c>
      <c r="E2" s="93" t="str">
        <f>'CUOTA ARTESANAL'!C6</f>
        <v>CALBUCO A</v>
      </c>
      <c r="F2" s="93" t="s">
        <v>51</v>
      </c>
      <c r="G2" s="93" t="s">
        <v>56</v>
      </c>
      <c r="H2" s="94">
        <f>'CUOTA ARTESANAL'!E6</f>
        <v>8.8770000000000007</v>
      </c>
      <c r="I2" s="94">
        <f>'CUOTA ARTESANAL'!F6</f>
        <v>0</v>
      </c>
      <c r="J2" s="94">
        <f>'CUOTA ARTESANAL'!G6</f>
        <v>8.8770000000000007</v>
      </c>
      <c r="K2" s="94">
        <f>'CUOTA ARTESANAL'!H6</f>
        <v>1.2630000000000001</v>
      </c>
      <c r="L2" s="94">
        <f>'CUOTA ARTESANAL'!I6</f>
        <v>7.6140000000000008</v>
      </c>
      <c r="M2" s="95">
        <f>'CUOTA ARTESANAL'!J6</f>
        <v>0.1422777965528895</v>
      </c>
      <c r="N2" s="96" t="str">
        <f>'CUOTA ARTESANAL'!K6</f>
        <v>-</v>
      </c>
      <c r="O2" s="96">
        <f>RESUMEN!$B$3</f>
        <v>44926</v>
      </c>
      <c r="P2" s="93">
        <v>2022</v>
      </c>
      <c r="Q2" s="93"/>
    </row>
    <row r="3" spans="1:17" x14ac:dyDescent="0.2">
      <c r="A3" s="93" t="s">
        <v>100</v>
      </c>
      <c r="B3" s="93" t="s">
        <v>101</v>
      </c>
      <c r="C3" s="93" t="s">
        <v>102</v>
      </c>
      <c r="D3" s="93" t="s">
        <v>103</v>
      </c>
      <c r="E3" s="93" t="str">
        <f>'CUOTA ARTESANAL'!C7</f>
        <v>CALBUCO B</v>
      </c>
      <c r="F3" s="93" t="s">
        <v>51</v>
      </c>
      <c r="G3" s="93" t="s">
        <v>56</v>
      </c>
      <c r="H3" s="94">
        <f>'CUOTA ARTESANAL'!E7</f>
        <v>3.6579999999999999</v>
      </c>
      <c r="I3" s="94">
        <f>'CUOTA ARTESANAL'!F7</f>
        <v>0</v>
      </c>
      <c r="J3" s="94">
        <f>'CUOTA ARTESANAL'!G7</f>
        <v>3.6579999999999999</v>
      </c>
      <c r="K3" s="94">
        <f>'CUOTA ARTESANAL'!H7</f>
        <v>0.82800000000000007</v>
      </c>
      <c r="L3" s="94">
        <f>'CUOTA ARTESANAL'!I7</f>
        <v>2.83</v>
      </c>
      <c r="M3" s="95">
        <f>'CUOTA ARTESANAL'!J7</f>
        <v>0.22635319846910881</v>
      </c>
      <c r="N3" s="96" t="str">
        <f>'CUOTA ARTESANAL'!K7</f>
        <v>-</v>
      </c>
      <c r="O3" s="96">
        <f>RESUMEN!$B$3</f>
        <v>44926</v>
      </c>
      <c r="P3" s="93">
        <v>2022</v>
      </c>
      <c r="Q3" s="93"/>
    </row>
    <row r="4" spans="1:17" x14ac:dyDescent="0.2">
      <c r="A4" s="93" t="s">
        <v>100</v>
      </c>
      <c r="B4" s="93" t="s">
        <v>101</v>
      </c>
      <c r="C4" s="93" t="s">
        <v>102</v>
      </c>
      <c r="D4" s="93" t="s">
        <v>103</v>
      </c>
      <c r="E4" s="93" t="str">
        <f>'CUOTA ARTESANAL'!C8</f>
        <v>CALBUCO C</v>
      </c>
      <c r="F4" s="93" t="s">
        <v>51</v>
      </c>
      <c r="G4" s="93" t="s">
        <v>56</v>
      </c>
      <c r="H4" s="94">
        <f>'CUOTA ARTESANAL'!E8</f>
        <v>5.883</v>
      </c>
      <c r="I4" s="94">
        <f>'CUOTA ARTESANAL'!F8</f>
        <v>0</v>
      </c>
      <c r="J4" s="94">
        <f>'CUOTA ARTESANAL'!G8</f>
        <v>5.883</v>
      </c>
      <c r="K4" s="94">
        <f>'CUOTA ARTESANAL'!H8</f>
        <v>2.7010000000000005</v>
      </c>
      <c r="L4" s="94">
        <f>'CUOTA ARTESANAL'!I8</f>
        <v>3.1819999999999995</v>
      </c>
      <c r="M4" s="95">
        <f>'CUOTA ARTESANAL'!J8</f>
        <v>0.45911949685534598</v>
      </c>
      <c r="N4" s="96" t="str">
        <f>'CUOTA ARTESANAL'!K8</f>
        <v>-</v>
      </c>
      <c r="O4" s="96">
        <f>RESUMEN!$B$3</f>
        <v>44926</v>
      </c>
      <c r="P4" s="93">
        <v>2022</v>
      </c>
      <c r="Q4" s="93"/>
    </row>
    <row r="5" spans="1:17" x14ac:dyDescent="0.2">
      <c r="A5" s="93" t="s">
        <v>100</v>
      </c>
      <c r="B5" s="93" t="s">
        <v>101</v>
      </c>
      <c r="C5" s="93" t="s">
        <v>102</v>
      </c>
      <c r="D5" s="93" t="s">
        <v>103</v>
      </c>
      <c r="E5" s="93" t="str">
        <f>'CUOTA ARTESANAL'!C9</f>
        <v>CALBUCO D</v>
      </c>
      <c r="F5" s="93" t="s">
        <v>51</v>
      </c>
      <c r="G5" s="93" t="s">
        <v>56</v>
      </c>
      <c r="H5" s="94">
        <f>'CUOTA ARTESANAL'!E9</f>
        <v>1.1080000000000001</v>
      </c>
      <c r="I5" s="94">
        <f>'CUOTA ARTESANAL'!F9</f>
        <v>0</v>
      </c>
      <c r="J5" s="94">
        <f>'CUOTA ARTESANAL'!G9</f>
        <v>1.1080000000000001</v>
      </c>
      <c r="K5" s="94">
        <f>'CUOTA ARTESANAL'!H9</f>
        <v>1.6</v>
      </c>
      <c r="L5" s="94">
        <f>'CUOTA ARTESANAL'!I9</f>
        <v>-0.49199999999999999</v>
      </c>
      <c r="M5" s="95">
        <f>'CUOTA ARTESANAL'!J9</f>
        <v>1.4440433212996389</v>
      </c>
      <c r="N5" s="96" t="s">
        <v>46</v>
      </c>
      <c r="O5" s="96">
        <f>RESUMEN!$B$3</f>
        <v>44926</v>
      </c>
      <c r="P5" s="93">
        <v>2022</v>
      </c>
      <c r="Q5" s="93"/>
    </row>
    <row r="6" spans="1:17" x14ac:dyDescent="0.2">
      <c r="A6" s="93" t="s">
        <v>100</v>
      </c>
      <c r="B6" s="93" t="s">
        <v>101</v>
      </c>
      <c r="C6" s="93" t="s">
        <v>102</v>
      </c>
      <c r="D6" s="93" t="s">
        <v>103</v>
      </c>
      <c r="E6" s="93" t="str">
        <f>'CUOTA ARTESANAL'!C10</f>
        <v>CHILOE A</v>
      </c>
      <c r="F6" s="93" t="s">
        <v>51</v>
      </c>
      <c r="G6" s="93" t="s">
        <v>56</v>
      </c>
      <c r="H6" s="94">
        <f>'CUOTA ARTESANAL'!E10</f>
        <v>4.444</v>
      </c>
      <c r="I6" s="94">
        <f>'CUOTA ARTESANAL'!F10</f>
        <v>0</v>
      </c>
      <c r="J6" s="94">
        <f>'CUOTA ARTESANAL'!G10</f>
        <v>4.444</v>
      </c>
      <c r="K6" s="94">
        <f>'CUOTA ARTESANAL'!H10</f>
        <v>5.2380000000000004</v>
      </c>
      <c r="L6" s="94">
        <f>'CUOTA ARTESANAL'!I10</f>
        <v>-0.79400000000000048</v>
      </c>
      <c r="M6" s="95">
        <f>'CUOTA ARTESANAL'!J10</f>
        <v>1.1786678667866788</v>
      </c>
      <c r="N6" s="96" t="s">
        <v>46</v>
      </c>
      <c r="O6" s="96">
        <f>RESUMEN!$B$3</f>
        <v>44926</v>
      </c>
      <c r="P6" s="93">
        <v>2022</v>
      </c>
      <c r="Q6" s="93"/>
    </row>
    <row r="7" spans="1:17" x14ac:dyDescent="0.2">
      <c r="A7" s="93" t="s">
        <v>100</v>
      </c>
      <c r="B7" s="93" t="s">
        <v>101</v>
      </c>
      <c r="C7" s="93" t="s">
        <v>102</v>
      </c>
      <c r="D7" s="93" t="s">
        <v>103</v>
      </c>
      <c r="E7" s="93" t="str">
        <f>'CUOTA ARTESANAL'!C11</f>
        <v>CHILOE B</v>
      </c>
      <c r="F7" s="93" t="s">
        <v>51</v>
      </c>
      <c r="G7" s="93" t="s">
        <v>56</v>
      </c>
      <c r="H7" s="94">
        <f>'CUOTA ARTESANAL'!E11</f>
        <v>24.655000000000001</v>
      </c>
      <c r="I7" s="94">
        <f>'CUOTA ARTESANAL'!F11</f>
        <v>0</v>
      </c>
      <c r="J7" s="94">
        <f>'CUOTA ARTESANAL'!G11</f>
        <v>24.655000000000001</v>
      </c>
      <c r="K7" s="94">
        <f>'CUOTA ARTESANAL'!H11</f>
        <v>24.776</v>
      </c>
      <c r="L7" s="94">
        <f>'CUOTA ARTESANAL'!I11</f>
        <v>-0.12099999999999866</v>
      </c>
      <c r="M7" s="95">
        <f>'CUOTA ARTESANAL'!J11</f>
        <v>1.0049077266274589</v>
      </c>
      <c r="N7" s="96">
        <f>'CUOTA ARTESANAL'!K11</f>
        <v>44887</v>
      </c>
      <c r="O7" s="96">
        <f>RESUMEN!$B$3</f>
        <v>44926</v>
      </c>
      <c r="P7" s="93">
        <v>2022</v>
      </c>
      <c r="Q7" s="93"/>
    </row>
    <row r="8" spans="1:17" x14ac:dyDescent="0.2">
      <c r="A8" s="93" t="s">
        <v>100</v>
      </c>
      <c r="B8" s="93" t="s">
        <v>101</v>
      </c>
      <c r="C8" s="93" t="s">
        <v>102</v>
      </c>
      <c r="D8" s="93" t="s">
        <v>103</v>
      </c>
      <c r="E8" s="93" t="str">
        <f>'CUOTA ARTESANAL'!C12</f>
        <v>CHILOE C</v>
      </c>
      <c r="F8" s="93" t="s">
        <v>51</v>
      </c>
      <c r="G8" s="93" t="s">
        <v>56</v>
      </c>
      <c r="H8" s="94">
        <f>'CUOTA ARTESANAL'!E12</f>
        <v>46.073</v>
      </c>
      <c r="I8" s="94">
        <f>'CUOTA ARTESANAL'!F12</f>
        <v>0</v>
      </c>
      <c r="J8" s="94">
        <f>'CUOTA ARTESANAL'!G12</f>
        <v>46.073</v>
      </c>
      <c r="K8" s="94">
        <f>'CUOTA ARTESANAL'!H12</f>
        <v>51.387999999999998</v>
      </c>
      <c r="L8" s="94">
        <f>'CUOTA ARTESANAL'!I12</f>
        <v>-5.3149999999999977</v>
      </c>
      <c r="M8" s="95">
        <f>'CUOTA ARTESANAL'!J12</f>
        <v>1.1153604063117226</v>
      </c>
      <c r="N8" s="96">
        <f>'CUOTA ARTESANAL'!K12</f>
        <v>44832</v>
      </c>
      <c r="O8" s="96">
        <f>RESUMEN!$B$3</f>
        <v>44926</v>
      </c>
      <c r="P8" s="93">
        <v>2022</v>
      </c>
      <c r="Q8" s="93"/>
    </row>
    <row r="9" spans="1:17" x14ac:dyDescent="0.2">
      <c r="A9" s="93" t="s">
        <v>100</v>
      </c>
      <c r="B9" s="93" t="s">
        <v>101</v>
      </c>
      <c r="C9" s="93" t="s">
        <v>102</v>
      </c>
      <c r="D9" s="93" t="s">
        <v>103</v>
      </c>
      <c r="E9" s="93" t="str">
        <f>'CUOTA ARTESANAL'!C13</f>
        <v>CHILOE D</v>
      </c>
      <c r="F9" s="93" t="s">
        <v>51</v>
      </c>
      <c r="G9" s="93" t="s">
        <v>56</v>
      </c>
      <c r="H9" s="94">
        <f>'CUOTA ARTESANAL'!E13</f>
        <v>1.825</v>
      </c>
      <c r="I9" s="94">
        <f>'CUOTA ARTESANAL'!F13</f>
        <v>0</v>
      </c>
      <c r="J9" s="94">
        <f>'CUOTA ARTESANAL'!G13</f>
        <v>1.825</v>
      </c>
      <c r="K9" s="94">
        <f>'CUOTA ARTESANAL'!H13</f>
        <v>0.38900000000000001</v>
      </c>
      <c r="L9" s="94">
        <f>'CUOTA ARTESANAL'!I13</f>
        <v>1.4359999999999999</v>
      </c>
      <c r="M9" s="95">
        <f>'CUOTA ARTESANAL'!J13</f>
        <v>0.21315068493150685</v>
      </c>
      <c r="N9" s="96" t="str">
        <f>'CUOTA ARTESANAL'!K13</f>
        <v>-</v>
      </c>
      <c r="O9" s="96">
        <f>RESUMEN!$B$3</f>
        <v>44926</v>
      </c>
      <c r="P9" s="93">
        <v>2022</v>
      </c>
      <c r="Q9" s="93"/>
    </row>
    <row r="10" spans="1:17" x14ac:dyDescent="0.2">
      <c r="A10" s="93" t="s">
        <v>100</v>
      </c>
      <c r="B10" s="93" t="s">
        <v>101</v>
      </c>
      <c r="C10" s="93" t="s">
        <v>102</v>
      </c>
      <c r="D10" s="93" t="s">
        <v>103</v>
      </c>
      <c r="E10" s="93" t="str">
        <f>'CUOTA ARTESANAL'!C14</f>
        <v>HUALAIHUE</v>
      </c>
      <c r="F10" s="93" t="s">
        <v>51</v>
      </c>
      <c r="G10" s="93" t="s">
        <v>56</v>
      </c>
      <c r="H10" s="94">
        <f>'CUOTA ARTESANAL'!E14</f>
        <v>118.3</v>
      </c>
      <c r="I10" s="94">
        <f>'CUOTA ARTESANAL'!F14</f>
        <v>0</v>
      </c>
      <c r="J10" s="94">
        <f>'CUOTA ARTESANAL'!G14</f>
        <v>118.3</v>
      </c>
      <c r="K10" s="94">
        <f>'CUOTA ARTESANAL'!H14</f>
        <v>105.033</v>
      </c>
      <c r="L10" s="94">
        <f>'CUOTA ARTESANAL'!I14</f>
        <v>13.266999999999996</v>
      </c>
      <c r="M10" s="95">
        <f>'CUOTA ARTESANAL'!J14</f>
        <v>0.88785291631445484</v>
      </c>
      <c r="N10" s="96" t="str">
        <f>'CUOTA ARTESANAL'!K14</f>
        <v>-</v>
      </c>
      <c r="O10" s="96">
        <f>RESUMEN!$B$3</f>
        <v>44926</v>
      </c>
      <c r="P10" s="93">
        <v>2022</v>
      </c>
      <c r="Q10" s="93"/>
    </row>
    <row r="11" spans="1:17" x14ac:dyDescent="0.2">
      <c r="A11" s="93" t="s">
        <v>100</v>
      </c>
      <c r="B11" s="93" t="s">
        <v>101</v>
      </c>
      <c r="C11" s="93" t="s">
        <v>102</v>
      </c>
      <c r="D11" s="93" t="s">
        <v>103</v>
      </c>
      <c r="E11" s="93" t="str">
        <f>'CUOTA ARTESANAL'!C15</f>
        <v>PALENA</v>
      </c>
      <c r="F11" s="93" t="s">
        <v>51</v>
      </c>
      <c r="G11" s="93" t="s">
        <v>56</v>
      </c>
      <c r="H11" s="94">
        <f>'CUOTA ARTESANAL'!E15</f>
        <v>0.38600000000000001</v>
      </c>
      <c r="I11" s="94">
        <f>'CUOTA ARTESANAL'!F15</f>
        <v>0</v>
      </c>
      <c r="J11" s="94">
        <f>'CUOTA ARTESANAL'!G15</f>
        <v>0.38600000000000001</v>
      </c>
      <c r="K11" s="94">
        <f>'CUOTA ARTESANAL'!H15</f>
        <v>0</v>
      </c>
      <c r="L11" s="94">
        <f>'CUOTA ARTESANAL'!I15</f>
        <v>0.38600000000000001</v>
      </c>
      <c r="M11" s="95">
        <f>'CUOTA ARTESANAL'!J15</f>
        <v>0</v>
      </c>
      <c r="N11" s="96" t="str">
        <f>'CUOTA ARTESANAL'!K15</f>
        <v>-</v>
      </c>
      <c r="O11" s="96">
        <f>RESUMEN!$B$3</f>
        <v>44926</v>
      </c>
      <c r="P11" s="93">
        <v>2022</v>
      </c>
      <c r="Q11" s="93"/>
    </row>
    <row r="12" spans="1:17" x14ac:dyDescent="0.2">
      <c r="A12" s="93" t="s">
        <v>100</v>
      </c>
      <c r="B12" s="93" t="s">
        <v>101</v>
      </c>
      <c r="C12" s="93" t="s">
        <v>102</v>
      </c>
      <c r="D12" s="93" t="s">
        <v>103</v>
      </c>
      <c r="E12" s="93" t="str">
        <f>'CUOTA ARTESANAL'!C16</f>
        <v>PATAGONIA</v>
      </c>
      <c r="F12" s="93" t="s">
        <v>51</v>
      </c>
      <c r="G12" s="93" t="s">
        <v>56</v>
      </c>
      <c r="H12" s="94">
        <f>'CUOTA ARTESANAL'!E16</f>
        <v>2.0870000000000002</v>
      </c>
      <c r="I12" s="94">
        <f>'CUOTA ARTESANAL'!F16</f>
        <v>0</v>
      </c>
      <c r="J12" s="94">
        <f>'CUOTA ARTESANAL'!G16</f>
        <v>2.0870000000000002</v>
      </c>
      <c r="K12" s="94">
        <f>'CUOTA ARTESANAL'!H16</f>
        <v>0.66300000000000003</v>
      </c>
      <c r="L12" s="94">
        <f>'CUOTA ARTESANAL'!I16</f>
        <v>1.4240000000000002</v>
      </c>
      <c r="M12" s="95">
        <f>'CUOTA ARTESANAL'!J16</f>
        <v>0.317680881648299</v>
      </c>
      <c r="N12" s="96" t="str">
        <f>'CUOTA ARTESANAL'!K16</f>
        <v>-</v>
      </c>
      <c r="O12" s="96">
        <f>RESUMEN!$B$3</f>
        <v>44926</v>
      </c>
      <c r="P12" s="93">
        <v>2022</v>
      </c>
      <c r="Q12" s="93"/>
    </row>
    <row r="13" spans="1:17" x14ac:dyDescent="0.2">
      <c r="A13" s="93" t="s">
        <v>100</v>
      </c>
      <c r="B13" s="93" t="s">
        <v>101</v>
      </c>
      <c r="C13" s="93" t="s">
        <v>102</v>
      </c>
      <c r="D13" s="93" t="s">
        <v>103</v>
      </c>
      <c r="E13" s="93" t="str">
        <f>'CUOTA ARTESANAL'!C17</f>
        <v>PUERTO MONTT A</v>
      </c>
      <c r="F13" s="93" t="s">
        <v>51</v>
      </c>
      <c r="G13" s="93" t="s">
        <v>56</v>
      </c>
      <c r="H13" s="94">
        <f>'CUOTA ARTESANAL'!E17</f>
        <v>11.503</v>
      </c>
      <c r="I13" s="94">
        <f>'CUOTA ARTESANAL'!F17</f>
        <v>0</v>
      </c>
      <c r="J13" s="94">
        <f>'CUOTA ARTESANAL'!G17</f>
        <v>11.503</v>
      </c>
      <c r="K13" s="94">
        <f>'CUOTA ARTESANAL'!H17</f>
        <v>13.399999999999999</v>
      </c>
      <c r="L13" s="94">
        <f>'CUOTA ARTESANAL'!I17</f>
        <v>-1.8969999999999985</v>
      </c>
      <c r="M13" s="95">
        <f>'CUOTA ARTESANAL'!J17</f>
        <v>1.1649135008258713</v>
      </c>
      <c r="N13" s="96">
        <f>'CUOTA ARTESANAL'!K17</f>
        <v>44889</v>
      </c>
      <c r="O13" s="96">
        <f>RESUMEN!$B$3</f>
        <v>44926</v>
      </c>
      <c r="P13" s="93">
        <v>2022</v>
      </c>
      <c r="Q13" s="93"/>
    </row>
    <row r="14" spans="1:17" x14ac:dyDescent="0.2">
      <c r="A14" s="93" t="s">
        <v>100</v>
      </c>
      <c r="B14" s="93" t="s">
        <v>101</v>
      </c>
      <c r="C14" s="93" t="s">
        <v>102</v>
      </c>
      <c r="D14" s="93" t="s">
        <v>103</v>
      </c>
      <c r="E14" s="93" t="str">
        <f>'CUOTA ARTESANAL'!C18</f>
        <v>PUERTO MONTT B</v>
      </c>
      <c r="F14" s="93" t="s">
        <v>51</v>
      </c>
      <c r="G14" s="93" t="s">
        <v>56</v>
      </c>
      <c r="H14" s="94">
        <f>'CUOTA ARTESANAL'!E18</f>
        <v>9.532</v>
      </c>
      <c r="I14" s="94">
        <f>'CUOTA ARTESANAL'!F18</f>
        <v>0</v>
      </c>
      <c r="J14" s="94">
        <f>'CUOTA ARTESANAL'!G18</f>
        <v>9.532</v>
      </c>
      <c r="K14" s="94">
        <f>'CUOTA ARTESANAL'!H18</f>
        <v>4.8380000000000001</v>
      </c>
      <c r="L14" s="94">
        <f>'CUOTA ARTESANAL'!I18</f>
        <v>4.694</v>
      </c>
      <c r="M14" s="95">
        <f>'CUOTA ARTESANAL'!J18</f>
        <v>0.50755350398657151</v>
      </c>
      <c r="N14" s="96" t="str">
        <f>'CUOTA ARTESANAL'!K18</f>
        <v>-</v>
      </c>
      <c r="O14" s="96">
        <f>RESUMEN!$B$3</f>
        <v>44926</v>
      </c>
      <c r="P14" s="93">
        <v>2022</v>
      </c>
      <c r="Q14" s="93"/>
    </row>
    <row r="15" spans="1:17" x14ac:dyDescent="0.2">
      <c r="A15" s="93" t="s">
        <v>100</v>
      </c>
      <c r="B15" s="93" t="s">
        <v>101</v>
      </c>
      <c r="C15" s="93" t="s">
        <v>102</v>
      </c>
      <c r="D15" s="93" t="s">
        <v>103</v>
      </c>
      <c r="E15" s="93" t="str">
        <f>'CUOTA ARTESANAL'!C19</f>
        <v>PUERTO MONTT C</v>
      </c>
      <c r="F15" s="93" t="s">
        <v>51</v>
      </c>
      <c r="G15" s="93" t="s">
        <v>56</v>
      </c>
      <c r="H15" s="94">
        <f>'CUOTA ARTESANAL'!E19</f>
        <v>12.872</v>
      </c>
      <c r="I15" s="94">
        <f>'CUOTA ARTESANAL'!F19</f>
        <v>0</v>
      </c>
      <c r="J15" s="94">
        <f>'CUOTA ARTESANAL'!G19</f>
        <v>12.872</v>
      </c>
      <c r="K15" s="94">
        <f>'CUOTA ARTESANAL'!H19</f>
        <v>10.304</v>
      </c>
      <c r="L15" s="94">
        <f>'CUOTA ARTESANAL'!I19</f>
        <v>2.5679999999999996</v>
      </c>
      <c r="M15" s="95">
        <f>'CUOTA ARTESANAL'!J19</f>
        <v>0.80049720323182105</v>
      </c>
      <c r="N15" s="95" t="str">
        <f>'CUOTA ARTESANAL'!K19</f>
        <v>-</v>
      </c>
      <c r="O15" s="96">
        <f>RESUMEN!$B$3</f>
        <v>44926</v>
      </c>
      <c r="P15" s="93">
        <v>2022</v>
      </c>
      <c r="Q15" s="93"/>
    </row>
    <row r="16" spans="1:17" x14ac:dyDescent="0.2">
      <c r="A16" s="93" t="s">
        <v>100</v>
      </c>
      <c r="B16" s="93" t="s">
        <v>101</v>
      </c>
      <c r="C16" s="93" t="s">
        <v>102</v>
      </c>
      <c r="D16" s="93" t="s">
        <v>108</v>
      </c>
      <c r="E16" s="93" t="str">
        <f>'CUOTA ARTESANAL'!C20</f>
        <v>RESIDUAL</v>
      </c>
      <c r="F16" s="93" t="s">
        <v>51</v>
      </c>
      <c r="G16" s="93" t="s">
        <v>56</v>
      </c>
      <c r="H16" s="94">
        <f>'CUOTA ARTESANAL'!E20</f>
        <v>22.247</v>
      </c>
      <c r="I16" s="94">
        <f>'CUOTA ARTESANAL'!F20</f>
        <v>0</v>
      </c>
      <c r="J16" s="94">
        <f>'CUOTA ARTESANAL'!G20</f>
        <v>22.247</v>
      </c>
      <c r="K16" s="94">
        <f>'CUOTA ARTESANAL'!H20</f>
        <v>36.058999999999983</v>
      </c>
      <c r="L16" s="94">
        <f>'CUOTA ARTESANAL'!I20</f>
        <v>-13.811999999999983</v>
      </c>
      <c r="M16" s="95">
        <f>'CUOTA ARTESANAL'!J20</f>
        <v>1.6208477547534492</v>
      </c>
      <c r="N16" s="96">
        <f>'CUOTA ARTESANAL'!K20</f>
        <v>44575</v>
      </c>
      <c r="O16" s="96">
        <f>RESUMEN!$B$3</f>
        <v>44926</v>
      </c>
      <c r="P16" s="93">
        <v>2022</v>
      </c>
      <c r="Q16" s="93"/>
    </row>
    <row r="17" spans="1:17" x14ac:dyDescent="0.2">
      <c r="A17" s="93" t="s">
        <v>100</v>
      </c>
      <c r="B17" s="93" t="s">
        <v>101</v>
      </c>
      <c r="C17" s="93" t="s">
        <v>102</v>
      </c>
      <c r="D17" s="93" t="s">
        <v>110</v>
      </c>
      <c r="E17" s="93" t="str">
        <f>'CUOTA ARTESANAL'!C21</f>
        <v xml:space="preserve">FAUNA ACOMPAÑANTE </v>
      </c>
      <c r="F17" s="93" t="s">
        <v>51</v>
      </c>
      <c r="G17" s="93" t="s">
        <v>56</v>
      </c>
      <c r="H17" s="94">
        <f>'CUOTA ARTESANAL'!E21</f>
        <v>9</v>
      </c>
      <c r="I17" s="94">
        <f>'CUOTA ARTESANAL'!F21</f>
        <v>0</v>
      </c>
      <c r="J17" s="94">
        <f>'CUOTA ARTESANAL'!G21</f>
        <v>9</v>
      </c>
      <c r="K17" s="94">
        <f>'CUOTA ARTESANAL'!H21</f>
        <v>0</v>
      </c>
      <c r="L17" s="94">
        <f>'CUOTA ARTESANAL'!I21</f>
        <v>9</v>
      </c>
      <c r="M17" s="95">
        <f>'CUOTA ARTESANAL'!J21</f>
        <v>0</v>
      </c>
      <c r="N17" s="96" t="str">
        <f>'CUOTA ARTESANAL'!K21</f>
        <v>-</v>
      </c>
      <c r="O17" s="96">
        <f>RESUMEN!$B$3</f>
        <v>44926</v>
      </c>
      <c r="P17" s="93">
        <v>2022</v>
      </c>
      <c r="Q17" s="93"/>
    </row>
    <row r="18" spans="1:17" x14ac:dyDescent="0.2">
      <c r="A18" s="93" t="s">
        <v>100</v>
      </c>
      <c r="B18" s="93" t="s">
        <v>101</v>
      </c>
      <c r="C18" s="93" t="s">
        <v>102</v>
      </c>
      <c r="D18" s="93" t="s">
        <v>106</v>
      </c>
      <c r="E18" s="93" t="str">
        <f>'CUOTA ARTESANAL'!C22</f>
        <v>AG CHILOE</v>
      </c>
      <c r="F18" s="93" t="s">
        <v>51</v>
      </c>
      <c r="G18" s="93" t="s">
        <v>56</v>
      </c>
      <c r="H18" s="94">
        <f>'CUOTA ARTESANAL'!E22</f>
        <v>154.98599999999999</v>
      </c>
      <c r="I18" s="94">
        <f>'CUOTA ARTESANAL'!F22</f>
        <v>0</v>
      </c>
      <c r="J18" s="94">
        <f>'CUOTA ARTESANAL'!G22</f>
        <v>154.98599999999999</v>
      </c>
      <c r="K18" s="94">
        <f>'CUOTA ARTESANAL'!H22</f>
        <v>145.81400000000002</v>
      </c>
      <c r="L18" s="94">
        <f>'CUOTA ARTESANAL'!I22</f>
        <v>9.1719999999999686</v>
      </c>
      <c r="M18" s="95">
        <f>'CUOTA ARTESANAL'!J22</f>
        <v>0.9408204612029476</v>
      </c>
      <c r="N18" s="96" t="str">
        <f>'CUOTA ARTESANAL'!K22</f>
        <v>-</v>
      </c>
      <c r="O18" s="96">
        <f>RESUMEN!$B$3</f>
        <v>44926</v>
      </c>
      <c r="P18" s="93">
        <v>2022</v>
      </c>
      <c r="Q18" s="93"/>
    </row>
    <row r="19" spans="1:17" x14ac:dyDescent="0.2">
      <c r="A19" s="93" t="s">
        <v>100</v>
      </c>
      <c r="B19" s="93" t="s">
        <v>101</v>
      </c>
      <c r="C19" s="93" t="s">
        <v>102</v>
      </c>
      <c r="D19" s="93" t="s">
        <v>109</v>
      </c>
      <c r="E19" s="93" t="str">
        <f>'CUOTA ARTESANAL'!C23</f>
        <v>RESIDUAL</v>
      </c>
      <c r="F19" s="93" t="s">
        <v>51</v>
      </c>
      <c r="G19" s="93" t="s">
        <v>56</v>
      </c>
      <c r="H19" s="94">
        <f>'CUOTA ARTESANAL'!E23</f>
        <v>27.314</v>
      </c>
      <c r="I19" s="94">
        <f>'CUOTA ARTESANAL'!F23</f>
        <v>0</v>
      </c>
      <c r="J19" s="94">
        <f>'CUOTA ARTESANAL'!G23</f>
        <v>27.314</v>
      </c>
      <c r="K19" s="94">
        <f>'CUOTA ARTESANAL'!H23</f>
        <v>29.668000000000003</v>
      </c>
      <c r="L19" s="94">
        <f>'CUOTA ARTESANAL'!I23</f>
        <v>-2.3540000000000028</v>
      </c>
      <c r="M19" s="95">
        <f>'CUOTA ARTESANAL'!J23</f>
        <v>1.086182909863074</v>
      </c>
      <c r="N19" s="96">
        <f>'CUOTA ARTESANAL'!K20</f>
        <v>44575</v>
      </c>
      <c r="O19" s="96">
        <f>RESUMEN!$B$3</f>
        <v>44926</v>
      </c>
      <c r="P19" s="93">
        <v>2022</v>
      </c>
      <c r="Q19" s="93"/>
    </row>
    <row r="20" spans="1:17" x14ac:dyDescent="0.2">
      <c r="A20" s="93" t="s">
        <v>100</v>
      </c>
      <c r="B20" s="93" t="s">
        <v>101</v>
      </c>
      <c r="C20" s="93" t="s">
        <v>102</v>
      </c>
      <c r="D20" s="93" t="s">
        <v>111</v>
      </c>
      <c r="E20" s="93" t="str">
        <f>'CUOTA ARTESANAL'!C24</f>
        <v xml:space="preserve">FAUNA ACOMPAÑANTE </v>
      </c>
      <c r="F20" s="93" t="s">
        <v>51</v>
      </c>
      <c r="G20" s="93" t="s">
        <v>56</v>
      </c>
      <c r="H20" s="94">
        <f>'CUOTA ARTESANAL'!E24</f>
        <v>6</v>
      </c>
      <c r="I20" s="94">
        <f>'CUOTA ARTESANAL'!F24</f>
        <v>0</v>
      </c>
      <c r="J20" s="94">
        <f>'CUOTA ARTESANAL'!G24</f>
        <v>6</v>
      </c>
      <c r="K20" s="94">
        <f>'CUOTA ARTESANAL'!H24</f>
        <v>0</v>
      </c>
      <c r="L20" s="94">
        <f>'CUOTA ARTESANAL'!I24</f>
        <v>6</v>
      </c>
      <c r="M20" s="95">
        <f>'CUOTA ARTESANAL'!J24</f>
        <v>0</v>
      </c>
      <c r="N20" s="96" t="str">
        <f>'CUOTA ARTESANAL'!K24</f>
        <v>-</v>
      </c>
      <c r="O20" s="96">
        <f>RESUMEN!$B$3</f>
        <v>44926</v>
      </c>
      <c r="P20" s="93">
        <v>2022</v>
      </c>
      <c r="Q20" s="93"/>
    </row>
    <row r="21" spans="1:17" x14ac:dyDescent="0.2">
      <c r="A21" s="93" t="s">
        <v>104</v>
      </c>
      <c r="B21" s="93" t="s">
        <v>101</v>
      </c>
      <c r="C21" s="93" t="s">
        <v>105</v>
      </c>
      <c r="D21" s="93" t="s">
        <v>103</v>
      </c>
      <c r="E21" s="93" t="str">
        <f>'CUOTA ARTESANAL'!C25</f>
        <v>UNIDAD DE PESQUERIA NORTE</v>
      </c>
      <c r="F21" s="93" t="s">
        <v>51</v>
      </c>
      <c r="G21" s="93" t="s">
        <v>53</v>
      </c>
      <c r="H21" s="94">
        <f>'CUOTA ARTESANAL'!E25</f>
        <v>19.7</v>
      </c>
      <c r="I21" s="94">
        <f>'CUOTA ARTESANAL'!F25</f>
        <v>0</v>
      </c>
      <c r="J21" s="94">
        <f>'CUOTA ARTESANAL'!G25</f>
        <v>19.7</v>
      </c>
      <c r="K21" s="94">
        <f>'CUOTA ARTESANAL'!H25</f>
        <v>27.981999999999999</v>
      </c>
      <c r="L21" s="94">
        <f>'CUOTA ARTESANAL'!I25</f>
        <v>-8.282</v>
      </c>
      <c r="M21" s="95">
        <f>'CUOTA ARTESANAL'!J25</f>
        <v>1.4204060913705583</v>
      </c>
      <c r="N21" s="96">
        <f>'CUOTA ARTESANAL'!K25</f>
        <v>44580</v>
      </c>
      <c r="O21" s="96">
        <f>RESUMEN!$B$3</f>
        <v>44926</v>
      </c>
      <c r="P21" s="93">
        <v>2022</v>
      </c>
      <c r="Q21" s="93"/>
    </row>
    <row r="22" spans="1:17" x14ac:dyDescent="0.2">
      <c r="A22" s="93" t="s">
        <v>104</v>
      </c>
      <c r="B22" s="93" t="s">
        <v>101</v>
      </c>
      <c r="C22" s="93" t="s">
        <v>105</v>
      </c>
      <c r="D22" s="93" t="s">
        <v>103</v>
      </c>
      <c r="E22" s="93" t="str">
        <f>'CUOTA ARTESANAL'!C25</f>
        <v>UNIDAD DE PESQUERIA NORTE</v>
      </c>
      <c r="F22" s="93" t="s">
        <v>172</v>
      </c>
      <c r="G22" s="93" t="s">
        <v>173</v>
      </c>
      <c r="H22" s="94">
        <f>'CUOTA ARTESANAL'!E26</f>
        <v>59.1</v>
      </c>
      <c r="I22" s="94">
        <f>'CUOTA ARTESANAL'!F26</f>
        <v>0</v>
      </c>
      <c r="J22" s="94">
        <f>'CUOTA ARTESANAL'!G26</f>
        <v>59.1</v>
      </c>
      <c r="K22" s="94">
        <f>'CUOTA ARTESANAL'!H26</f>
        <v>69.061000000000007</v>
      </c>
      <c r="L22" s="94">
        <f>'CUOTA ARTESANAL'!I26</f>
        <v>-9.9610000000000056</v>
      </c>
      <c r="M22" s="95">
        <f>'CUOTA ARTESANAL'!J26</f>
        <v>1.1685448392554993</v>
      </c>
      <c r="N22" s="96">
        <f>'CUOTA ARTESANAL'!K26</f>
        <v>44698</v>
      </c>
      <c r="O22" s="96">
        <f>RESUMEN!$B$3</f>
        <v>44926</v>
      </c>
      <c r="P22" s="93">
        <v>2022</v>
      </c>
      <c r="Q22" s="93"/>
    </row>
    <row r="23" spans="1:17" x14ac:dyDescent="0.2">
      <c r="A23" s="93" t="s">
        <v>104</v>
      </c>
      <c r="B23" s="93" t="s">
        <v>101</v>
      </c>
      <c r="C23" s="93" t="s">
        <v>105</v>
      </c>
      <c r="D23" s="93" t="s">
        <v>103</v>
      </c>
      <c r="E23" s="93" t="str">
        <f>'CUOTA ARTESANAL'!C25</f>
        <v>UNIDAD DE PESQUERIA NORTE</v>
      </c>
      <c r="F23" s="93" t="s">
        <v>174</v>
      </c>
      <c r="G23" s="93" t="s">
        <v>56</v>
      </c>
      <c r="H23" s="94">
        <f>'CUOTA ARTESANAL'!E27</f>
        <v>118.45</v>
      </c>
      <c r="I23" s="94">
        <f>'CUOTA ARTESANAL'!F27</f>
        <v>0</v>
      </c>
      <c r="J23" s="94">
        <f>'CUOTA ARTESANAL'!G27</f>
        <v>110.16800000000001</v>
      </c>
      <c r="K23" s="94">
        <f>'CUOTA ARTESANAL'!H27</f>
        <v>125.986</v>
      </c>
      <c r="L23" s="94">
        <f>'CUOTA ARTESANAL'!I27</f>
        <v>-15.817999999999998</v>
      </c>
      <c r="M23" s="95">
        <f>'CUOTA ARTESANAL'!J27</f>
        <v>1.1435807130927311</v>
      </c>
      <c r="N23" s="96">
        <f>'CUOTA ARTESANAL'!K27</f>
        <v>44876</v>
      </c>
      <c r="O23" s="96">
        <f>RESUMEN!$B$3</f>
        <v>44926</v>
      </c>
      <c r="P23" s="93">
        <v>2022</v>
      </c>
      <c r="Q23" s="93"/>
    </row>
    <row r="24" spans="1:17" x14ac:dyDescent="0.2">
      <c r="A24" s="93" t="s">
        <v>104</v>
      </c>
      <c r="B24" s="93" t="s">
        <v>101</v>
      </c>
      <c r="C24" s="93" t="s">
        <v>105</v>
      </c>
      <c r="D24" s="93" t="s">
        <v>103</v>
      </c>
      <c r="E24" s="93" t="str">
        <f>'CUOTA ARTESANAL'!C25</f>
        <v>UNIDAD DE PESQUERIA NORTE</v>
      </c>
      <c r="F24" s="93" t="s">
        <v>51</v>
      </c>
      <c r="G24" s="93" t="s">
        <v>56</v>
      </c>
      <c r="H24" s="94">
        <f>'CUOTA ARTESANAL'!L25</f>
        <v>197.25</v>
      </c>
      <c r="I24" s="94">
        <f>'CUOTA ARTESANAL'!M25</f>
        <v>0</v>
      </c>
      <c r="J24" s="94">
        <f>'CUOTA ARTESANAL'!N25</f>
        <v>188.96800000000002</v>
      </c>
      <c r="K24" s="94">
        <f>'CUOTA ARTESANAL'!O25</f>
        <v>223.029</v>
      </c>
      <c r="L24" s="94">
        <f>'CUOTA ARTESANAL'!P25</f>
        <v>-34.061000000000007</v>
      </c>
      <c r="M24" s="95">
        <f>'CUOTA ARTESANAL'!Q25</f>
        <v>1.1802474493035857</v>
      </c>
      <c r="N24" s="96" t="s">
        <v>46</v>
      </c>
      <c r="O24" s="96">
        <f>RESUMEN!$B$3</f>
        <v>44926</v>
      </c>
      <c r="P24" s="93">
        <v>2022</v>
      </c>
      <c r="Q24" s="93"/>
    </row>
    <row r="25" spans="1:17" x14ac:dyDescent="0.2">
      <c r="A25" s="93" t="s">
        <v>104</v>
      </c>
      <c r="B25" s="93" t="s">
        <v>101</v>
      </c>
      <c r="C25" s="93" t="s">
        <v>105</v>
      </c>
      <c r="D25" s="93" t="s">
        <v>79</v>
      </c>
      <c r="E25" s="93" t="s">
        <v>23</v>
      </c>
      <c r="F25" s="93" t="s">
        <v>51</v>
      </c>
      <c r="G25" s="93" t="s">
        <v>56</v>
      </c>
      <c r="H25" s="94">
        <f>'CUOTA ARTESANAL'!E28</f>
        <v>4.5</v>
      </c>
      <c r="I25" s="94">
        <f>'CUOTA ARTESANAL'!F28</f>
        <v>0</v>
      </c>
      <c r="J25" s="94">
        <f>'CUOTA ARTESANAL'!G28</f>
        <v>4.5</v>
      </c>
      <c r="K25" s="94">
        <f>'CUOTA ARTESANAL'!H28</f>
        <v>5.4710000000000001</v>
      </c>
      <c r="L25" s="94">
        <f>'CUOTA ARTESANAL'!I28</f>
        <v>-0.97100000000000009</v>
      </c>
      <c r="M25" s="95">
        <f>'CUOTA ARTESANAL'!J28</f>
        <v>1.2157777777777778</v>
      </c>
      <c r="N25" s="96" t="str">
        <f>'CUOTA ARTESANAL'!K28</f>
        <v>-</v>
      </c>
      <c r="O25" s="96">
        <f>RESUMEN!$B$3</f>
        <v>44926</v>
      </c>
      <c r="P25" s="93">
        <v>2022</v>
      </c>
      <c r="Q25" s="93"/>
    </row>
    <row r="26" spans="1:17" x14ac:dyDescent="0.2">
      <c r="A26" s="93" t="s">
        <v>104</v>
      </c>
      <c r="B26" s="93" t="s">
        <v>101</v>
      </c>
      <c r="C26" s="93" t="s">
        <v>105</v>
      </c>
      <c r="D26" s="93" t="s">
        <v>103</v>
      </c>
      <c r="E26" s="93" t="str">
        <f>'CUOTA ARTESANAL'!C29</f>
        <v>UNIDAD DE PESQUERIA SUR</v>
      </c>
      <c r="F26" s="93" t="s">
        <v>51</v>
      </c>
      <c r="G26" s="93" t="s">
        <v>53</v>
      </c>
      <c r="H26" s="94">
        <f>'CUOTA ARTESANAL'!E29</f>
        <v>3.8</v>
      </c>
      <c r="I26" s="94">
        <f>'CUOTA ARTESANAL'!F29</f>
        <v>0</v>
      </c>
      <c r="J26" s="94">
        <f>'CUOTA ARTESANAL'!G29</f>
        <v>3.8</v>
      </c>
      <c r="K26" s="94">
        <f>'CUOTA ARTESANAL'!H29</f>
        <v>3.4420000000000002</v>
      </c>
      <c r="L26" s="94">
        <f>'CUOTA ARTESANAL'!I29</f>
        <v>0.35799999999999965</v>
      </c>
      <c r="M26" s="95">
        <f>'CUOTA ARTESANAL'!J29</f>
        <v>0.90578947368421059</v>
      </c>
      <c r="N26" s="96">
        <f>'CUOTA ARTESANAL'!K29</f>
        <v>44601</v>
      </c>
      <c r="O26" s="96">
        <f>RESUMEN!$B$3</f>
        <v>44926</v>
      </c>
      <c r="P26" s="93">
        <v>2022</v>
      </c>
      <c r="Q26" s="93"/>
    </row>
    <row r="27" spans="1:17" x14ac:dyDescent="0.2">
      <c r="A27" s="93" t="s">
        <v>104</v>
      </c>
      <c r="B27" s="93" t="s">
        <v>101</v>
      </c>
      <c r="C27" s="93" t="s">
        <v>105</v>
      </c>
      <c r="D27" s="93" t="s">
        <v>103</v>
      </c>
      <c r="E27" s="93" t="str">
        <f>'CUOTA ARTESANAL'!C29</f>
        <v>UNIDAD DE PESQUERIA SUR</v>
      </c>
      <c r="F27" s="93" t="s">
        <v>172</v>
      </c>
      <c r="G27" s="93" t="s">
        <v>173</v>
      </c>
      <c r="H27" s="94">
        <f>'CUOTA ARTESANAL'!E30</f>
        <v>11.4</v>
      </c>
      <c r="I27" s="94">
        <f>'CUOTA ARTESANAL'!F30</f>
        <v>0</v>
      </c>
      <c r="J27" s="94">
        <f>'CUOTA ARTESANAL'!G30</f>
        <v>11.4</v>
      </c>
      <c r="K27" s="94">
        <f>'CUOTA ARTESANAL'!H30</f>
        <v>13.641999999999999</v>
      </c>
      <c r="L27" s="94">
        <f>'CUOTA ARTESANAL'!I30</f>
        <v>-2.2419999999999991</v>
      </c>
      <c r="M27" s="95">
        <f>'CUOTA ARTESANAL'!J30</f>
        <v>1.1966666666666665</v>
      </c>
      <c r="N27" s="96">
        <f>'CUOTA ARTESANAL'!K30</f>
        <v>44784</v>
      </c>
      <c r="O27" s="96">
        <f>RESUMEN!$B$3</f>
        <v>44926</v>
      </c>
      <c r="P27" s="93">
        <v>2022</v>
      </c>
      <c r="Q27" s="93"/>
    </row>
    <row r="28" spans="1:17" x14ac:dyDescent="0.2">
      <c r="A28" s="93" t="s">
        <v>104</v>
      </c>
      <c r="B28" s="93" t="s">
        <v>101</v>
      </c>
      <c r="C28" s="93" t="s">
        <v>105</v>
      </c>
      <c r="D28" s="93" t="s">
        <v>103</v>
      </c>
      <c r="E28" s="93" t="str">
        <f>'CUOTA ARTESANAL'!C29</f>
        <v>UNIDAD DE PESQUERIA SUR</v>
      </c>
      <c r="F28" s="93" t="s">
        <v>174</v>
      </c>
      <c r="G28" s="93" t="s">
        <v>56</v>
      </c>
      <c r="H28" s="94">
        <f>'CUOTA ARTESANAL'!E31</f>
        <v>22.8</v>
      </c>
      <c r="I28" s="94">
        <f>'CUOTA ARTESANAL'!F31</f>
        <v>0</v>
      </c>
      <c r="J28" s="94">
        <f>'CUOTA ARTESANAL'!G31</f>
        <v>23.158000000000001</v>
      </c>
      <c r="K28" s="94">
        <f>'CUOTA ARTESANAL'!H31</f>
        <v>12.763999999999999</v>
      </c>
      <c r="L28" s="94">
        <f>'CUOTA ARTESANAL'!I31</f>
        <v>10.394000000000002</v>
      </c>
      <c r="M28" s="95">
        <f>'CUOTA ARTESANAL'!J31</f>
        <v>0.55117022195353649</v>
      </c>
      <c r="N28" s="96" t="str">
        <f>'CUOTA ARTESANAL'!K31</f>
        <v>-</v>
      </c>
      <c r="O28" s="96">
        <f>RESUMEN!$B$3</f>
        <v>44926</v>
      </c>
      <c r="P28" s="93">
        <v>2022</v>
      </c>
      <c r="Q28" s="93"/>
    </row>
    <row r="29" spans="1:17" x14ac:dyDescent="0.2">
      <c r="A29" s="93" t="s">
        <v>104</v>
      </c>
      <c r="B29" s="93" t="s">
        <v>101</v>
      </c>
      <c r="C29" s="93" t="s">
        <v>105</v>
      </c>
      <c r="D29" s="93" t="s">
        <v>103</v>
      </c>
      <c r="E29" s="93" t="str">
        <f>'CUOTA ARTESANAL'!C29</f>
        <v>UNIDAD DE PESQUERIA SUR</v>
      </c>
      <c r="F29" s="93" t="s">
        <v>51</v>
      </c>
      <c r="G29" s="93" t="s">
        <v>56</v>
      </c>
      <c r="H29" s="94">
        <f>'CUOTA ARTESANAL'!L29</f>
        <v>38</v>
      </c>
      <c r="I29" s="94">
        <f>'CUOTA ARTESANAL'!M29</f>
        <v>0</v>
      </c>
      <c r="J29" s="94">
        <f>'CUOTA ARTESANAL'!N29</f>
        <v>38.358000000000004</v>
      </c>
      <c r="K29" s="94">
        <f>'CUOTA ARTESANAL'!O29</f>
        <v>29.847999999999999</v>
      </c>
      <c r="L29" s="94">
        <f>'CUOTA ARTESANAL'!P29</f>
        <v>8.5100000000000016</v>
      </c>
      <c r="M29" s="95">
        <f>'CUOTA ARTESANAL'!Q29</f>
        <v>0.77814276031075647</v>
      </c>
      <c r="N29" s="96" t="s">
        <v>46</v>
      </c>
      <c r="O29" s="96">
        <f>RESUMEN!$B$3</f>
        <v>44926</v>
      </c>
      <c r="P29" s="93">
        <v>2022</v>
      </c>
      <c r="Q29" s="93"/>
    </row>
    <row r="30" spans="1:17" x14ac:dyDescent="0.2">
      <c r="A30" s="93" t="s">
        <v>113</v>
      </c>
      <c r="B30" s="93" t="s">
        <v>101</v>
      </c>
      <c r="C30" s="93" t="s">
        <v>105</v>
      </c>
      <c r="D30" s="93" t="s">
        <v>112</v>
      </c>
      <c r="E30" s="93" t="s">
        <v>23</v>
      </c>
      <c r="F30" s="93" t="s">
        <v>51</v>
      </c>
      <c r="G30" s="93" t="s">
        <v>56</v>
      </c>
      <c r="H30" s="94">
        <f>'CUOTA ARTESANAL'!E32</f>
        <v>2</v>
      </c>
      <c r="I30" s="94">
        <f>'CUOTA ARTESANAL'!F32</f>
        <v>0</v>
      </c>
      <c r="J30" s="94">
        <f>'CUOTA ARTESANAL'!G32</f>
        <v>2</v>
      </c>
      <c r="K30" s="94">
        <f>'CUOTA ARTESANAL'!H32</f>
        <v>0</v>
      </c>
      <c r="L30" s="94">
        <f>'CUOTA ARTESANAL'!I32</f>
        <v>2</v>
      </c>
      <c r="M30" s="95">
        <f>'CUOTA ARTESANAL'!J32</f>
        <v>0</v>
      </c>
      <c r="N30" s="96" t="str">
        <f>'CUOTA ARTESANAL'!K32</f>
        <v>-</v>
      </c>
      <c r="O30" s="96">
        <f>RESUMEN!$B$3</f>
        <v>44926</v>
      </c>
      <c r="P30" s="93">
        <v>2022</v>
      </c>
      <c r="Q30" s="93"/>
    </row>
    <row r="31" spans="1:17" x14ac:dyDescent="0.2">
      <c r="A31" s="93" t="s">
        <v>104</v>
      </c>
      <c r="B31" s="93" t="s">
        <v>101</v>
      </c>
      <c r="C31" s="93" t="s">
        <v>114</v>
      </c>
      <c r="D31" s="93" t="s">
        <v>107</v>
      </c>
      <c r="E31" s="93" t="s">
        <v>115</v>
      </c>
      <c r="F31" s="93" t="s">
        <v>51</v>
      </c>
      <c r="G31" s="93" t="s">
        <v>56</v>
      </c>
      <c r="H31" s="94">
        <f>'CUOTA ARTESANAL'!E33</f>
        <v>350</v>
      </c>
      <c r="I31" s="94">
        <f>'CUOTA ARTESANAL'!F33</f>
        <v>0</v>
      </c>
      <c r="J31" s="94">
        <f>'CUOTA ARTESANAL'!G33</f>
        <v>350</v>
      </c>
      <c r="K31" s="94">
        <f>'CUOTA ARTESANAL'!H33</f>
        <v>43.735999999999997</v>
      </c>
      <c r="L31" s="94">
        <f>'CUOTA ARTESANAL'!I33</f>
        <v>306.26400000000001</v>
      </c>
      <c r="M31" s="95">
        <f>'CUOTA ARTESANAL'!J33</f>
        <v>0.12495999999999999</v>
      </c>
      <c r="N31" s="96" t="str">
        <f>'CUOTA ARTESANAL'!K33</f>
        <v>-</v>
      </c>
      <c r="O31" s="96">
        <f>RESUMEN!$B$3</f>
        <v>44926</v>
      </c>
      <c r="P31" s="93">
        <v>2022</v>
      </c>
      <c r="Q31" s="93"/>
    </row>
    <row r="32" spans="1:17" x14ac:dyDescent="0.2">
      <c r="A32" s="93" t="s">
        <v>104</v>
      </c>
      <c r="B32" s="93" t="s">
        <v>101</v>
      </c>
      <c r="C32" s="93" t="s">
        <v>114</v>
      </c>
      <c r="D32" s="93" t="s">
        <v>107</v>
      </c>
      <c r="E32" s="93" t="s">
        <v>115</v>
      </c>
      <c r="F32" s="93" t="s">
        <v>51</v>
      </c>
      <c r="G32" s="93" t="s">
        <v>56</v>
      </c>
      <c r="H32" s="94">
        <f>'CUOTA ARTESANAL'!L33</f>
        <v>350</v>
      </c>
      <c r="I32" s="94">
        <f>'CUOTA ARTESANAL'!M33</f>
        <v>0</v>
      </c>
      <c r="J32" s="94">
        <f>'CUOTA ARTESANAL'!N33</f>
        <v>350</v>
      </c>
      <c r="K32" s="94">
        <f>'CUOTA ARTESANAL'!O33</f>
        <v>43.735999999999997</v>
      </c>
      <c r="L32" s="94">
        <f>'CUOTA ARTESANAL'!P33</f>
        <v>306.26400000000001</v>
      </c>
      <c r="M32" s="95">
        <f>'CUOTA ARTESANAL'!Q33</f>
        <v>0.12495999999999999</v>
      </c>
      <c r="N32" s="97" t="s">
        <v>46</v>
      </c>
      <c r="O32" s="96">
        <f>RESUMEN!$B$3</f>
        <v>44926</v>
      </c>
      <c r="P32" s="93">
        <v>2022</v>
      </c>
      <c r="Q32" s="93"/>
    </row>
    <row r="33" spans="1:17" x14ac:dyDescent="0.2">
      <c r="A33" s="93" t="s">
        <v>104</v>
      </c>
      <c r="B33" s="93" t="s">
        <v>101</v>
      </c>
      <c r="C33" s="93" t="s">
        <v>114</v>
      </c>
      <c r="D33" s="93" t="s">
        <v>158</v>
      </c>
      <c r="E33" s="93" t="s">
        <v>23</v>
      </c>
      <c r="F33" s="93" t="s">
        <v>51</v>
      </c>
      <c r="G33" s="93" t="s">
        <v>56</v>
      </c>
      <c r="H33" s="94">
        <f>'CUOTA ARTESANAL'!E34</f>
        <v>10</v>
      </c>
      <c r="I33" s="94">
        <f>'CUOTA ARTESANAL'!F34</f>
        <v>0</v>
      </c>
      <c r="J33" s="94">
        <f>'CUOTA ARTESANAL'!G34</f>
        <v>10</v>
      </c>
      <c r="K33" s="94">
        <f>'CUOTA ARTESANAL'!H34</f>
        <v>0</v>
      </c>
      <c r="L33" s="94">
        <f>'CUOTA ARTESANAL'!I34</f>
        <v>10</v>
      </c>
      <c r="M33" s="95">
        <f>'CUOTA ARTESANAL'!J34</f>
        <v>0</v>
      </c>
      <c r="N33" s="94" t="str">
        <f>'CUOTA ARTESANAL'!K34</f>
        <v>-</v>
      </c>
      <c r="O33" s="96">
        <f>RESUMEN!$B$3</f>
        <v>44926</v>
      </c>
      <c r="P33" s="93">
        <v>2022</v>
      </c>
      <c r="Q33" s="93"/>
    </row>
    <row r="34" spans="1:17" s="102" customFormat="1" x14ac:dyDescent="0.2">
      <c r="A34" s="98" t="s">
        <v>116</v>
      </c>
      <c r="B34" s="98" t="s">
        <v>101</v>
      </c>
      <c r="C34" s="98" t="s">
        <v>117</v>
      </c>
      <c r="D34" s="98" t="s">
        <v>118</v>
      </c>
      <c r="E34" s="98" t="s">
        <v>119</v>
      </c>
      <c r="F34" s="98" t="s">
        <v>51</v>
      </c>
      <c r="G34" s="98" t="s">
        <v>56</v>
      </c>
      <c r="H34" s="99">
        <f>'CUOTA ARTESANAL'!E35</f>
        <v>1072.5</v>
      </c>
      <c r="I34" s="99">
        <f>'CUOTA ARTESANAL'!F35</f>
        <v>0</v>
      </c>
      <c r="J34" s="99">
        <f>'CUOTA ARTESANAL'!G35</f>
        <v>1072.5</v>
      </c>
      <c r="K34" s="99">
        <f>'CUOTA ARTESANAL'!H35</f>
        <v>736.04600000000016</v>
      </c>
      <c r="L34" s="99">
        <f>'CUOTA ARTESANAL'!I35</f>
        <v>336.45399999999984</v>
      </c>
      <c r="M34" s="100">
        <f>'CUOTA ARTESANAL'!J35</f>
        <v>0.68628997668997682</v>
      </c>
      <c r="N34" s="101" t="s">
        <v>46</v>
      </c>
      <c r="O34" s="101">
        <f>RESUMEN!$B$3</f>
        <v>44926</v>
      </c>
      <c r="P34" s="93">
        <v>2022</v>
      </c>
      <c r="Q34" s="98"/>
    </row>
    <row r="35" spans="1:17" x14ac:dyDescent="0.2">
      <c r="A35" s="93" t="s">
        <v>120</v>
      </c>
      <c r="B35" s="93" t="s">
        <v>101</v>
      </c>
      <c r="C35" s="93" t="s">
        <v>121</v>
      </c>
      <c r="D35" s="93" t="s">
        <v>122</v>
      </c>
      <c r="E35" s="93" t="str">
        <f>'CUOTA INDUSTRIAL'!C6</f>
        <v>EMDEPES S.A.</v>
      </c>
      <c r="F35" s="93" t="s">
        <v>51</v>
      </c>
      <c r="G35" s="93" t="s">
        <v>52</v>
      </c>
      <c r="H35" s="94">
        <f>'CUOTA INDUSTRIAL'!E6</f>
        <v>17.629049999999999</v>
      </c>
      <c r="I35" s="94">
        <f>'CUOTA INDUSTRIAL'!F6</f>
        <v>0</v>
      </c>
      <c r="J35" s="94">
        <f>'CUOTA INDUSTRIAL'!G6</f>
        <v>17.629049999999999</v>
      </c>
      <c r="K35" s="94">
        <f>'CUOTA INDUSTRIAL'!H6</f>
        <v>0</v>
      </c>
      <c r="L35" s="94">
        <f>'CUOTA INDUSTRIAL'!I6</f>
        <v>17.629049999999999</v>
      </c>
      <c r="M35" s="95">
        <f>'CUOTA INDUSTRIAL'!J6</f>
        <v>0</v>
      </c>
      <c r="N35" s="96" t="s">
        <v>46</v>
      </c>
      <c r="O35" s="96">
        <f>RESUMEN!$B$3</f>
        <v>44926</v>
      </c>
      <c r="P35" s="93">
        <v>2022</v>
      </c>
      <c r="Q35" s="93"/>
    </row>
    <row r="36" spans="1:17" x14ac:dyDescent="0.2">
      <c r="A36" s="93" t="s">
        <v>120</v>
      </c>
      <c r="B36" s="93" t="s">
        <v>101</v>
      </c>
      <c r="C36" s="93" t="s">
        <v>121</v>
      </c>
      <c r="D36" s="93" t="s">
        <v>122</v>
      </c>
      <c r="E36" s="93" t="str">
        <f>'CUOTA INDUSTRIAL'!C6</f>
        <v>EMDEPES S.A.</v>
      </c>
      <c r="F36" s="93" t="s">
        <v>53</v>
      </c>
      <c r="G36" s="93" t="s">
        <v>56</v>
      </c>
      <c r="H36" s="94">
        <f>'CUOTA INDUSTRIAL'!E7</f>
        <v>17.655329999999999</v>
      </c>
      <c r="I36" s="94">
        <f>'CUOTA INDUSTRIAL'!F7</f>
        <v>0</v>
      </c>
      <c r="J36" s="94">
        <f>'CUOTA INDUSTRIAL'!G7</f>
        <v>35.284379999999999</v>
      </c>
      <c r="K36" s="94">
        <f>'CUOTA INDUSTRIAL'!H7</f>
        <v>21.504999999999999</v>
      </c>
      <c r="L36" s="94">
        <f>'CUOTA INDUSTRIAL'!I7</f>
        <v>13.77938</v>
      </c>
      <c r="M36" s="95">
        <f>'CUOTA INDUSTRIAL'!J7</f>
        <v>0.6094764878963439</v>
      </c>
      <c r="N36" s="96" t="s">
        <v>46</v>
      </c>
      <c r="O36" s="96">
        <f>RESUMEN!$B$3</f>
        <v>44926</v>
      </c>
      <c r="P36" s="93">
        <v>2022</v>
      </c>
      <c r="Q36" s="93"/>
    </row>
    <row r="37" spans="1:17" x14ac:dyDescent="0.2">
      <c r="A37" s="93" t="s">
        <v>120</v>
      </c>
      <c r="B37" s="93" t="s">
        <v>101</v>
      </c>
      <c r="C37" s="93" t="s">
        <v>121</v>
      </c>
      <c r="D37" s="93" t="s">
        <v>122</v>
      </c>
      <c r="E37" s="93" t="str">
        <f>'CUOTA INDUSTRIAL'!C6</f>
        <v>EMDEPES S.A.</v>
      </c>
      <c r="F37" s="93" t="s">
        <v>51</v>
      </c>
      <c r="G37" s="93" t="s">
        <v>56</v>
      </c>
      <c r="H37" s="94">
        <f>'CUOTA INDUSTRIAL'!K6</f>
        <v>35.284379999999999</v>
      </c>
      <c r="I37" s="94">
        <f>'CUOTA INDUSTRIAL'!L6</f>
        <v>0</v>
      </c>
      <c r="J37" s="94">
        <f>'CUOTA INDUSTRIAL'!M6</f>
        <v>35.284379999999999</v>
      </c>
      <c r="K37" s="94">
        <f>'CUOTA INDUSTRIAL'!N6</f>
        <v>21.504999999999999</v>
      </c>
      <c r="L37" s="94">
        <f>'CUOTA INDUSTRIAL'!O6</f>
        <v>13.77938</v>
      </c>
      <c r="M37" s="95">
        <f>'CUOTA INDUSTRIAL'!P6</f>
        <v>0.6094764878963439</v>
      </c>
      <c r="N37" s="96" t="s">
        <v>46</v>
      </c>
      <c r="O37" s="96">
        <f>RESUMEN!$B$3</f>
        <v>44926</v>
      </c>
      <c r="P37" s="93">
        <v>2022</v>
      </c>
      <c r="Q37" s="93"/>
    </row>
    <row r="38" spans="1:17" x14ac:dyDescent="0.2">
      <c r="A38" s="93" t="s">
        <v>120</v>
      </c>
      <c r="B38" s="93" t="s">
        <v>101</v>
      </c>
      <c r="C38" s="93" t="s">
        <v>121</v>
      </c>
      <c r="D38" s="93" t="s">
        <v>122</v>
      </c>
      <c r="E38" s="93" t="str">
        <f>'CUOTA INDUSTRIAL'!C8</f>
        <v>GRIMAR S.A. PESQ.</v>
      </c>
      <c r="F38" s="93" t="s">
        <v>51</v>
      </c>
      <c r="G38" s="93" t="s">
        <v>52</v>
      </c>
      <c r="H38" s="94">
        <f>'CUOTA INDUSTRIAL'!E8</f>
        <v>49.362260000000006</v>
      </c>
      <c r="I38" s="94">
        <f>'CUOTA INDUSTRIAL'!F8</f>
        <v>0</v>
      </c>
      <c r="J38" s="94">
        <f>'CUOTA INDUSTRIAL'!G8</f>
        <v>49.362260000000006</v>
      </c>
      <c r="K38" s="94">
        <f>'CUOTA INDUSTRIAL'!H8</f>
        <v>1.46</v>
      </c>
      <c r="L38" s="94">
        <f>'CUOTA INDUSTRIAL'!I8</f>
        <v>47.902260000000005</v>
      </c>
      <c r="M38" s="95">
        <f>'CUOTA INDUSTRIAL'!J8</f>
        <v>2.9577251932954442E-2</v>
      </c>
      <c r="N38" s="96" t="s">
        <v>46</v>
      </c>
      <c r="O38" s="96">
        <f>RESUMEN!$B$3</f>
        <v>44926</v>
      </c>
      <c r="P38" s="93">
        <v>2022</v>
      </c>
      <c r="Q38" s="93"/>
    </row>
    <row r="39" spans="1:17" x14ac:dyDescent="0.2">
      <c r="A39" s="93" t="s">
        <v>120</v>
      </c>
      <c r="B39" s="93" t="s">
        <v>101</v>
      </c>
      <c r="C39" s="93" t="s">
        <v>121</v>
      </c>
      <c r="D39" s="93" t="s">
        <v>122</v>
      </c>
      <c r="E39" s="93" t="str">
        <f>'CUOTA INDUSTRIAL'!C8</f>
        <v>GRIMAR S.A. PESQ.</v>
      </c>
      <c r="F39" s="93" t="s">
        <v>53</v>
      </c>
      <c r="G39" s="93" t="s">
        <v>56</v>
      </c>
      <c r="H39" s="94">
        <f>'CUOTA INDUSTRIAL'!E9</f>
        <v>49.435820000000007</v>
      </c>
      <c r="I39" s="94">
        <f>'CUOTA INDUSTRIAL'!F9</f>
        <v>-20</v>
      </c>
      <c r="J39" s="94">
        <f>'CUOTA INDUSTRIAL'!G9</f>
        <v>77.338080000000019</v>
      </c>
      <c r="K39" s="94">
        <f>'CUOTA INDUSTRIAL'!H9</f>
        <v>65.417000000000002</v>
      </c>
      <c r="L39" s="94">
        <f>'CUOTA INDUSTRIAL'!I9</f>
        <v>11.921080000000018</v>
      </c>
      <c r="M39" s="95">
        <f>'CUOTA INDUSTRIAL'!J9</f>
        <v>0.84585756460465511</v>
      </c>
      <c r="N39" s="96" t="s">
        <v>46</v>
      </c>
      <c r="O39" s="96">
        <f>RESUMEN!$B$3</f>
        <v>44926</v>
      </c>
      <c r="P39" s="93">
        <v>2022</v>
      </c>
      <c r="Q39" s="93"/>
    </row>
    <row r="40" spans="1:17" x14ac:dyDescent="0.2">
      <c r="A40" s="93" t="s">
        <v>120</v>
      </c>
      <c r="B40" s="93" t="s">
        <v>101</v>
      </c>
      <c r="C40" s="93" t="s">
        <v>121</v>
      </c>
      <c r="D40" s="93" t="s">
        <v>122</v>
      </c>
      <c r="E40" s="93" t="str">
        <f>'CUOTA INDUSTRIAL'!C8</f>
        <v>GRIMAR S.A. PESQ.</v>
      </c>
      <c r="F40" s="93" t="s">
        <v>51</v>
      </c>
      <c r="G40" s="93" t="s">
        <v>56</v>
      </c>
      <c r="H40" s="94">
        <f>'CUOTA INDUSTRIAL'!K8</f>
        <v>98.798080000000013</v>
      </c>
      <c r="I40" s="94">
        <f>'CUOTA INDUSTRIAL'!L8</f>
        <v>-20</v>
      </c>
      <c r="J40" s="94">
        <f>'CUOTA INDUSTRIAL'!M8</f>
        <v>78.798080000000013</v>
      </c>
      <c r="K40" s="94">
        <f>'CUOTA INDUSTRIAL'!N8</f>
        <v>66.876999999999995</v>
      </c>
      <c r="L40" s="94">
        <f>'CUOTA INDUSTRIAL'!O8</f>
        <v>11.921080000000018</v>
      </c>
      <c r="M40" s="95">
        <f>'CUOTA INDUSTRIAL'!P8</f>
        <v>0.84871357271649239</v>
      </c>
      <c r="N40" s="96" t="s">
        <v>46</v>
      </c>
      <c r="O40" s="96">
        <f>RESUMEN!$B$3</f>
        <v>44926</v>
      </c>
      <c r="P40" s="93">
        <v>2022</v>
      </c>
      <c r="Q40" s="93"/>
    </row>
    <row r="41" spans="1:17" x14ac:dyDescent="0.2">
      <c r="A41" s="93" t="s">
        <v>120</v>
      </c>
      <c r="B41" s="93" t="s">
        <v>101</v>
      </c>
      <c r="C41" s="93" t="s">
        <v>121</v>
      </c>
      <c r="D41" s="93" t="s">
        <v>122</v>
      </c>
      <c r="E41" s="93" t="str">
        <f>'CUOTA INDUSTRIAL'!C10</f>
        <v>PESCA CHILE S.A.</v>
      </c>
      <c r="F41" s="93" t="s">
        <v>51</v>
      </c>
      <c r="G41" s="93" t="s">
        <v>52</v>
      </c>
      <c r="H41" s="94">
        <f>'CUOTA INDUSTRIAL'!E10</f>
        <v>210.96929</v>
      </c>
      <c r="I41" s="94">
        <f>'CUOTA INDUSTRIAL'!F10</f>
        <v>0</v>
      </c>
      <c r="J41" s="94">
        <f>'CUOTA INDUSTRIAL'!G10</f>
        <v>210.96929</v>
      </c>
      <c r="K41" s="94">
        <f>'CUOTA INDUSTRIAL'!H10</f>
        <v>35.808999999999997</v>
      </c>
      <c r="L41" s="94">
        <f>'CUOTA INDUSTRIAL'!I10</f>
        <v>175.16029</v>
      </c>
      <c r="M41" s="95">
        <f>'CUOTA INDUSTRIAL'!J10</f>
        <v>0.16973560464653409</v>
      </c>
      <c r="N41" s="96" t="s">
        <v>46</v>
      </c>
      <c r="O41" s="96">
        <f>RESUMEN!$B$3</f>
        <v>44926</v>
      </c>
      <c r="P41" s="93">
        <v>2022</v>
      </c>
      <c r="Q41" s="93"/>
    </row>
    <row r="42" spans="1:17" x14ac:dyDescent="0.2">
      <c r="A42" s="93" t="s">
        <v>120</v>
      </c>
      <c r="B42" s="93" t="s">
        <v>101</v>
      </c>
      <c r="C42" s="93" t="s">
        <v>121</v>
      </c>
      <c r="D42" s="93" t="s">
        <v>122</v>
      </c>
      <c r="E42" s="93" t="str">
        <f>'CUOTA INDUSTRIAL'!C10</f>
        <v>PESCA CHILE S.A.</v>
      </c>
      <c r="F42" s="93" t="s">
        <v>53</v>
      </c>
      <c r="G42" s="93" t="s">
        <v>56</v>
      </c>
      <c r="H42" s="94">
        <f>'CUOTA INDUSTRIAL'!E11</f>
        <v>211.28324000000001</v>
      </c>
      <c r="I42" s="94">
        <f>'CUOTA INDUSTRIAL'!F11</f>
        <v>20</v>
      </c>
      <c r="J42" s="94">
        <f>'CUOTA INDUSTRIAL'!G11</f>
        <v>406.44353000000001</v>
      </c>
      <c r="K42" s="94">
        <f>'CUOTA INDUSTRIAL'!H11</f>
        <v>346.62700000000001</v>
      </c>
      <c r="L42" s="94">
        <f>'CUOTA INDUSTRIAL'!I11</f>
        <v>59.81653</v>
      </c>
      <c r="M42" s="95">
        <f>'CUOTA INDUSTRIAL'!J11</f>
        <v>0.85282942011649199</v>
      </c>
      <c r="N42" s="96" t="s">
        <v>46</v>
      </c>
      <c r="O42" s="96">
        <f>RESUMEN!$B$3</f>
        <v>44926</v>
      </c>
      <c r="P42" s="93">
        <v>2022</v>
      </c>
      <c r="Q42" s="93"/>
    </row>
    <row r="43" spans="1:17" x14ac:dyDescent="0.2">
      <c r="A43" s="93" t="s">
        <v>120</v>
      </c>
      <c r="B43" s="93" t="s">
        <v>101</v>
      </c>
      <c r="C43" s="93" t="s">
        <v>121</v>
      </c>
      <c r="D43" s="93" t="s">
        <v>122</v>
      </c>
      <c r="E43" s="93" t="str">
        <f>'CUOTA INDUSTRIAL'!C10</f>
        <v>PESCA CHILE S.A.</v>
      </c>
      <c r="F43" s="93" t="s">
        <v>51</v>
      </c>
      <c r="G43" s="93" t="s">
        <v>56</v>
      </c>
      <c r="H43" s="94">
        <f>'CUOTA INDUSTRIAL'!K10</f>
        <v>422.25252999999998</v>
      </c>
      <c r="I43" s="94">
        <f>'CUOTA INDUSTRIAL'!L10</f>
        <v>20</v>
      </c>
      <c r="J43" s="94">
        <f>'CUOTA INDUSTRIAL'!M10</f>
        <v>442.25252999999998</v>
      </c>
      <c r="K43" s="94">
        <f>'CUOTA INDUSTRIAL'!N10</f>
        <v>382.43600000000004</v>
      </c>
      <c r="L43" s="94">
        <f>'CUOTA INDUSTRIAL'!O10</f>
        <v>59.816529999999943</v>
      </c>
      <c r="M43" s="95">
        <f>'CUOTA INDUSTRIAL'!P10</f>
        <v>0.86474575962290157</v>
      </c>
      <c r="N43" s="96" t="s">
        <v>46</v>
      </c>
      <c r="O43" s="96">
        <f>RESUMEN!$B$3</f>
        <v>44926</v>
      </c>
      <c r="P43" s="93">
        <v>2022</v>
      </c>
      <c r="Q43" s="93"/>
    </row>
    <row r="44" spans="1:17" x14ac:dyDescent="0.2">
      <c r="A44" s="93" t="s">
        <v>120</v>
      </c>
      <c r="B44" s="93" t="s">
        <v>101</v>
      </c>
      <c r="C44" s="93" t="s">
        <v>121</v>
      </c>
      <c r="D44" s="93" t="s">
        <v>122</v>
      </c>
      <c r="E44" s="93" t="str">
        <f>'CUOTA INDUSTRIAL'!C12</f>
        <v>SUR AUSTRAL S.A. PESQ.</v>
      </c>
      <c r="F44" s="93" t="s">
        <v>51</v>
      </c>
      <c r="G44" s="93" t="s">
        <v>52</v>
      </c>
      <c r="H44" s="94">
        <f>'CUOTA INDUSTRIAL'!E12</f>
        <v>18.435649999999999</v>
      </c>
      <c r="I44" s="94">
        <f>'CUOTA INDUSTRIAL'!F12</f>
        <v>0</v>
      </c>
      <c r="J44" s="94">
        <f>'CUOTA INDUSTRIAL'!G12</f>
        <v>18.435649999999999</v>
      </c>
      <c r="K44" s="94">
        <f>'CUOTA INDUSTRIAL'!H12</f>
        <v>2.2989999999999999</v>
      </c>
      <c r="L44" s="94">
        <f>'CUOTA INDUSTRIAL'!I12</f>
        <v>16.136649999999999</v>
      </c>
      <c r="M44" s="95">
        <f>'CUOTA INDUSTRIAL'!J12</f>
        <v>0.12470403810009412</v>
      </c>
      <c r="N44" s="96" t="s">
        <v>46</v>
      </c>
      <c r="O44" s="96">
        <f>RESUMEN!$B$3</f>
        <v>44926</v>
      </c>
      <c r="P44" s="93">
        <v>2022</v>
      </c>
      <c r="Q44" s="93"/>
    </row>
    <row r="45" spans="1:17" x14ac:dyDescent="0.2">
      <c r="A45" s="93" t="s">
        <v>120</v>
      </c>
      <c r="B45" s="93" t="s">
        <v>101</v>
      </c>
      <c r="C45" s="93" t="s">
        <v>121</v>
      </c>
      <c r="D45" s="93" t="s">
        <v>122</v>
      </c>
      <c r="E45" s="93" t="str">
        <f>'CUOTA INDUSTRIAL'!C12</f>
        <v>SUR AUSTRAL S.A. PESQ.</v>
      </c>
      <c r="F45" s="93" t="s">
        <v>53</v>
      </c>
      <c r="G45" s="93" t="s">
        <v>56</v>
      </c>
      <c r="H45" s="94">
        <f>'CUOTA INDUSTRIAL'!E13</f>
        <v>18.463180000000001</v>
      </c>
      <c r="I45" s="94">
        <f>'CUOTA INDUSTRIAL'!F13</f>
        <v>0</v>
      </c>
      <c r="J45" s="94">
        <f>'CUOTA INDUSTRIAL'!G13</f>
        <v>34.599829999999997</v>
      </c>
      <c r="K45" s="94">
        <f>'CUOTA INDUSTRIAL'!H13</f>
        <v>13.074</v>
      </c>
      <c r="L45" s="94">
        <f>'CUOTA INDUSTRIAL'!I13</f>
        <v>21.525829999999999</v>
      </c>
      <c r="M45" s="95">
        <f>'CUOTA INDUSTRIAL'!J13</f>
        <v>0.37786312822924278</v>
      </c>
      <c r="N45" s="96" t="s">
        <v>46</v>
      </c>
      <c r="O45" s="96">
        <f>RESUMEN!$B$3</f>
        <v>44926</v>
      </c>
      <c r="P45" s="93">
        <v>2022</v>
      </c>
      <c r="Q45" s="93"/>
    </row>
    <row r="46" spans="1:17" x14ac:dyDescent="0.2">
      <c r="A46" s="93" t="s">
        <v>120</v>
      </c>
      <c r="B46" s="93" t="s">
        <v>101</v>
      </c>
      <c r="C46" s="93" t="s">
        <v>121</v>
      </c>
      <c r="D46" s="93" t="s">
        <v>122</v>
      </c>
      <c r="E46" s="93" t="str">
        <f>'CUOTA INDUSTRIAL'!C12</f>
        <v>SUR AUSTRAL S.A. PESQ.</v>
      </c>
      <c r="F46" s="93" t="s">
        <v>51</v>
      </c>
      <c r="G46" s="93" t="s">
        <v>56</v>
      </c>
      <c r="H46" s="94">
        <f>'CUOTA INDUSTRIAL'!K12</f>
        <v>36.898830000000004</v>
      </c>
      <c r="I46" s="94">
        <f>'CUOTA INDUSTRIAL'!L12</f>
        <v>0</v>
      </c>
      <c r="J46" s="94">
        <f>'CUOTA INDUSTRIAL'!M12</f>
        <v>36.898830000000004</v>
      </c>
      <c r="K46" s="94">
        <f>'CUOTA INDUSTRIAL'!N12</f>
        <v>15.372999999999999</v>
      </c>
      <c r="L46" s="94">
        <f>'CUOTA INDUSTRIAL'!O12</f>
        <v>21.525830000000006</v>
      </c>
      <c r="M46" s="95">
        <f>'CUOTA INDUSTRIAL'!P12</f>
        <v>0.41662567620707752</v>
      </c>
      <c r="N46" s="96" t="s">
        <v>46</v>
      </c>
      <c r="O46" s="96">
        <f>RESUMEN!$B$3</f>
        <v>44926</v>
      </c>
      <c r="P46" s="93">
        <v>2022</v>
      </c>
      <c r="Q46" s="93"/>
    </row>
    <row r="47" spans="1:17" x14ac:dyDescent="0.2">
      <c r="A47" s="93" t="s">
        <v>120</v>
      </c>
      <c r="B47" s="93" t="s">
        <v>101</v>
      </c>
      <c r="C47" s="93" t="s">
        <v>121</v>
      </c>
      <c r="D47" s="93" t="s">
        <v>122</v>
      </c>
      <c r="E47" s="93" t="str">
        <f>'CUOTA INDUSTRIAL'!C14</f>
        <v>ISLA QUIHUA S.A. PESQ.</v>
      </c>
      <c r="F47" s="93" t="s">
        <v>51</v>
      </c>
      <c r="G47" s="93" t="s">
        <v>52</v>
      </c>
      <c r="H47" s="94">
        <f>'CUOTA INDUSTRIAL'!E14</f>
        <v>2.8559999999999999E-2</v>
      </c>
      <c r="I47" s="94">
        <f>'CUOTA INDUSTRIAL'!F14</f>
        <v>0</v>
      </c>
      <c r="J47" s="94">
        <f>'CUOTA INDUSTRIAL'!G14</f>
        <v>2.8559999999999999E-2</v>
      </c>
      <c r="K47" s="94">
        <f>'CUOTA INDUSTRIAL'!H14</f>
        <v>0</v>
      </c>
      <c r="L47" s="94">
        <f>'CUOTA INDUSTRIAL'!I14</f>
        <v>2.8559999999999999E-2</v>
      </c>
      <c r="M47" s="95">
        <f>'CUOTA INDUSTRIAL'!J14</f>
        <v>0</v>
      </c>
      <c r="N47" s="96" t="s">
        <v>46</v>
      </c>
      <c r="O47" s="96">
        <f>RESUMEN!$B$3</f>
        <v>44926</v>
      </c>
      <c r="P47" s="93">
        <v>2022</v>
      </c>
      <c r="Q47" s="93"/>
    </row>
    <row r="48" spans="1:17" x14ac:dyDescent="0.2">
      <c r="A48" s="93" t="s">
        <v>120</v>
      </c>
      <c r="B48" s="93" t="s">
        <v>101</v>
      </c>
      <c r="C48" s="93" t="s">
        <v>121</v>
      </c>
      <c r="D48" s="93" t="s">
        <v>122</v>
      </c>
      <c r="E48" s="93" t="str">
        <f>'CUOTA INDUSTRIAL'!C14</f>
        <v>ISLA QUIHUA S.A. PESQ.</v>
      </c>
      <c r="F48" s="93" t="s">
        <v>53</v>
      </c>
      <c r="G48" s="93" t="s">
        <v>56</v>
      </c>
      <c r="H48" s="94">
        <f>'CUOTA INDUSTRIAL'!E15</f>
        <v>2.86E-2</v>
      </c>
      <c r="I48" s="94">
        <f>'CUOTA INDUSTRIAL'!F15</f>
        <v>0</v>
      </c>
      <c r="J48" s="94">
        <f>'CUOTA INDUSTRIAL'!G15</f>
        <v>5.7160000000000002E-2</v>
      </c>
      <c r="K48" s="94">
        <f>'CUOTA INDUSTRIAL'!H15</f>
        <v>0</v>
      </c>
      <c r="L48" s="94">
        <f>'CUOTA INDUSTRIAL'!I15</f>
        <v>5.7160000000000002E-2</v>
      </c>
      <c r="M48" s="95">
        <f>'CUOTA INDUSTRIAL'!J15</f>
        <v>0</v>
      </c>
      <c r="N48" s="96" t="s">
        <v>46</v>
      </c>
      <c r="O48" s="96">
        <f>RESUMEN!$B$3</f>
        <v>44926</v>
      </c>
      <c r="P48" s="93">
        <v>2022</v>
      </c>
      <c r="Q48" s="93"/>
    </row>
    <row r="49" spans="1:17" x14ac:dyDescent="0.2">
      <c r="A49" s="93" t="s">
        <v>120</v>
      </c>
      <c r="B49" s="93" t="s">
        <v>101</v>
      </c>
      <c r="C49" s="93" t="s">
        <v>121</v>
      </c>
      <c r="D49" s="93" t="s">
        <v>122</v>
      </c>
      <c r="E49" s="93" t="str">
        <f>'CUOTA INDUSTRIAL'!C14</f>
        <v>ISLA QUIHUA S.A. PESQ.</v>
      </c>
      <c r="F49" s="93" t="s">
        <v>51</v>
      </c>
      <c r="G49" s="93" t="s">
        <v>56</v>
      </c>
      <c r="H49" s="94">
        <f>'CUOTA INDUSTRIAL'!K14</f>
        <v>5.7160000000000002E-2</v>
      </c>
      <c r="I49" s="94">
        <f>'CUOTA INDUSTRIAL'!L14</f>
        <v>0</v>
      </c>
      <c r="J49" s="94">
        <f>'CUOTA INDUSTRIAL'!M14</f>
        <v>5.7160000000000002E-2</v>
      </c>
      <c r="K49" s="94">
        <f>'CUOTA INDUSTRIAL'!N14</f>
        <v>0</v>
      </c>
      <c r="L49" s="94">
        <f>'CUOTA INDUSTRIAL'!O14</f>
        <v>5.7160000000000002E-2</v>
      </c>
      <c r="M49" s="95">
        <f>'CUOTA INDUSTRIAL'!P14</f>
        <v>0</v>
      </c>
      <c r="N49" s="96" t="s">
        <v>46</v>
      </c>
      <c r="O49" s="96">
        <f>RESUMEN!$B$3</f>
        <v>44926</v>
      </c>
      <c r="P49" s="93">
        <v>2022</v>
      </c>
      <c r="Q49" s="93"/>
    </row>
    <row r="50" spans="1:17" x14ac:dyDescent="0.2">
      <c r="A50" s="93" t="s">
        <v>120</v>
      </c>
      <c r="B50" s="93" t="s">
        <v>101</v>
      </c>
      <c r="C50" s="93" t="s">
        <v>121</v>
      </c>
      <c r="D50" s="93" t="s">
        <v>122</v>
      </c>
      <c r="E50" s="93" t="str">
        <f>'CUOTA INDUSTRIAL'!C16</f>
        <v>CANAL AUSTRAL LTDA.</v>
      </c>
      <c r="F50" s="93" t="s">
        <v>51</v>
      </c>
      <c r="G50" s="93" t="s">
        <v>52</v>
      </c>
      <c r="H50" s="94">
        <f>'CUOTA INDUSTRIAL'!E16</f>
        <v>6.3000000000000007</v>
      </c>
      <c r="I50" s="94">
        <f>'CUOTA INDUSTRIAL'!F16</f>
        <v>0</v>
      </c>
      <c r="J50" s="94">
        <f>'CUOTA INDUSTRIAL'!G16</f>
        <v>6.3000000000000007</v>
      </c>
      <c r="K50" s="94">
        <f>'CUOTA INDUSTRIAL'!H16</f>
        <v>0</v>
      </c>
      <c r="L50" s="94">
        <f>'CUOTA INDUSTRIAL'!I16</f>
        <v>6.3000000000000007</v>
      </c>
      <c r="M50" s="95">
        <f>'CUOTA INDUSTRIAL'!J16</f>
        <v>0</v>
      </c>
      <c r="N50" s="96" t="s">
        <v>46</v>
      </c>
      <c r="O50" s="96">
        <f>RESUMEN!$B$3</f>
        <v>44926</v>
      </c>
      <c r="P50" s="93">
        <v>2022</v>
      </c>
      <c r="Q50" s="93"/>
    </row>
    <row r="51" spans="1:17" x14ac:dyDescent="0.2">
      <c r="A51" s="93" t="s">
        <v>120</v>
      </c>
      <c r="B51" s="93" t="s">
        <v>101</v>
      </c>
      <c r="C51" s="93" t="s">
        <v>121</v>
      </c>
      <c r="D51" s="93" t="s">
        <v>122</v>
      </c>
      <c r="E51" s="93" t="str">
        <f>'CUOTA INDUSTRIAL'!C16</f>
        <v>CANAL AUSTRAL LTDA.</v>
      </c>
      <c r="F51" s="93" t="s">
        <v>53</v>
      </c>
      <c r="G51" s="93" t="s">
        <v>56</v>
      </c>
      <c r="H51" s="94">
        <f>'CUOTA INDUSTRIAL'!E17</f>
        <v>6.3093000000000004</v>
      </c>
      <c r="I51" s="94">
        <f>'CUOTA INDUSTRIAL'!F17</f>
        <v>0</v>
      </c>
      <c r="J51" s="94">
        <f>'CUOTA INDUSTRIAL'!G17</f>
        <v>12.609300000000001</v>
      </c>
      <c r="K51" s="94">
        <f>'CUOTA INDUSTRIAL'!H17</f>
        <v>0</v>
      </c>
      <c r="L51" s="94">
        <f>'CUOTA INDUSTRIAL'!I17</f>
        <v>12.609300000000001</v>
      </c>
      <c r="M51" s="95">
        <v>0</v>
      </c>
      <c r="N51" s="96" t="s">
        <v>46</v>
      </c>
      <c r="O51" s="96">
        <f>RESUMEN!$B$3</f>
        <v>44926</v>
      </c>
      <c r="P51" s="93">
        <v>2022</v>
      </c>
      <c r="Q51" s="93"/>
    </row>
    <row r="52" spans="1:17" x14ac:dyDescent="0.2">
      <c r="A52" s="93" t="s">
        <v>120</v>
      </c>
      <c r="B52" s="93" t="s">
        <v>101</v>
      </c>
      <c r="C52" s="93" t="s">
        <v>121</v>
      </c>
      <c r="D52" s="93" t="s">
        <v>122</v>
      </c>
      <c r="E52" s="93" t="str">
        <f>'CUOTA INDUSTRIAL'!C16</f>
        <v>CANAL AUSTRAL LTDA.</v>
      </c>
      <c r="F52" s="93" t="s">
        <v>51</v>
      </c>
      <c r="G52" s="93" t="s">
        <v>56</v>
      </c>
      <c r="H52" s="94">
        <f>'CUOTA INDUSTRIAL'!K16</f>
        <v>12.609300000000001</v>
      </c>
      <c r="I52" s="94">
        <f>'CUOTA INDUSTRIAL'!L16</f>
        <v>0</v>
      </c>
      <c r="J52" s="94">
        <f>'CUOTA INDUSTRIAL'!M16</f>
        <v>12.609300000000001</v>
      </c>
      <c r="K52" s="94">
        <f>'CUOTA INDUSTRIAL'!N16</f>
        <v>0</v>
      </c>
      <c r="L52" s="94">
        <f>'CUOTA INDUSTRIAL'!O16</f>
        <v>12.609300000000001</v>
      </c>
      <c r="M52" s="95">
        <v>0</v>
      </c>
      <c r="N52" s="96" t="s">
        <v>46</v>
      </c>
      <c r="O52" s="96">
        <f>RESUMEN!$B$3</f>
        <v>44926</v>
      </c>
      <c r="P52" s="93">
        <v>2022</v>
      </c>
      <c r="Q52" s="93"/>
    </row>
    <row r="53" spans="1:17" x14ac:dyDescent="0.2">
      <c r="A53" s="93" t="s">
        <v>120</v>
      </c>
      <c r="B53" s="93" t="s">
        <v>101</v>
      </c>
      <c r="C53" s="93" t="s">
        <v>121</v>
      </c>
      <c r="D53" s="93" t="s">
        <v>122</v>
      </c>
      <c r="E53" s="93" t="str">
        <f>'CUOTA INDUSTRIAL'!C18</f>
        <v>MARCO SALINAS CARRASCO</v>
      </c>
      <c r="F53" s="93" t="s">
        <v>51</v>
      </c>
      <c r="G53" s="93" t="s">
        <v>52</v>
      </c>
      <c r="H53" s="94">
        <f>'CUOTA INDUSTRIAL'!E18</f>
        <v>2.1</v>
      </c>
      <c r="I53" s="94">
        <f>'CUOTA INDUSTRIAL'!F18</f>
        <v>0</v>
      </c>
      <c r="J53" s="94">
        <f>'CUOTA INDUSTRIAL'!G18</f>
        <v>2.1</v>
      </c>
      <c r="K53" s="94">
        <f>'CUOTA INDUSTRIAL'!H18</f>
        <v>0</v>
      </c>
      <c r="L53" s="94">
        <f>'CUOTA INDUSTRIAL'!I18</f>
        <v>2.1</v>
      </c>
      <c r="M53" s="95">
        <f>'CUOTA INDUSTRIAL'!J18</f>
        <v>0</v>
      </c>
      <c r="N53" s="96" t="s">
        <v>46</v>
      </c>
      <c r="O53" s="96">
        <f>RESUMEN!$B$3</f>
        <v>44926</v>
      </c>
      <c r="P53" s="93">
        <v>2022</v>
      </c>
      <c r="Q53" s="93"/>
    </row>
    <row r="54" spans="1:17" x14ac:dyDescent="0.2">
      <c r="A54" s="93" t="s">
        <v>120</v>
      </c>
      <c r="B54" s="93" t="s">
        <v>101</v>
      </c>
      <c r="C54" s="93" t="s">
        <v>121</v>
      </c>
      <c r="D54" s="93" t="s">
        <v>122</v>
      </c>
      <c r="E54" s="93" t="str">
        <f>'CUOTA INDUSTRIAL'!C18</f>
        <v>MARCO SALINAS CARRASCO</v>
      </c>
      <c r="F54" s="93" t="s">
        <v>53</v>
      </c>
      <c r="G54" s="93" t="s">
        <v>56</v>
      </c>
      <c r="H54" s="94">
        <f>'CUOTA INDUSTRIAL'!E19</f>
        <v>2.1031</v>
      </c>
      <c r="I54" s="94">
        <f>'CUOTA INDUSTRIAL'!F19</f>
        <v>0</v>
      </c>
      <c r="J54" s="94">
        <f>'CUOTA INDUSTRIAL'!G19</f>
        <v>4.2031000000000001</v>
      </c>
      <c r="K54" s="94">
        <f>'CUOTA INDUSTRIAL'!H19</f>
        <v>0</v>
      </c>
      <c r="L54" s="94">
        <f>'CUOTA INDUSTRIAL'!I19</f>
        <v>4.2031000000000001</v>
      </c>
      <c r="M54" s="95">
        <f>'CUOTA INDUSTRIAL'!J19</f>
        <v>0</v>
      </c>
      <c r="N54" s="96" t="s">
        <v>46</v>
      </c>
      <c r="O54" s="96">
        <f>RESUMEN!$B$3</f>
        <v>44926</v>
      </c>
      <c r="P54" s="93">
        <v>2022</v>
      </c>
      <c r="Q54" s="93"/>
    </row>
    <row r="55" spans="1:17" x14ac:dyDescent="0.2">
      <c r="A55" s="93" t="s">
        <v>120</v>
      </c>
      <c r="B55" s="93" t="s">
        <v>101</v>
      </c>
      <c r="C55" s="93" t="s">
        <v>121</v>
      </c>
      <c r="D55" s="93" t="s">
        <v>122</v>
      </c>
      <c r="E55" s="93" t="str">
        <f>'CUOTA INDUSTRIAL'!C18</f>
        <v>MARCO SALINAS CARRASCO</v>
      </c>
      <c r="F55" s="93" t="s">
        <v>51</v>
      </c>
      <c r="G55" s="93" t="s">
        <v>56</v>
      </c>
      <c r="H55" s="94">
        <f>'CUOTA INDUSTRIAL'!K18</f>
        <v>4.2031000000000001</v>
      </c>
      <c r="I55" s="94">
        <f>'CUOTA INDUSTRIAL'!L18</f>
        <v>0</v>
      </c>
      <c r="J55" s="94">
        <f>'CUOTA INDUSTRIAL'!M18</f>
        <v>4.2031000000000001</v>
      </c>
      <c r="K55" s="94">
        <f>'CUOTA INDUSTRIAL'!N18</f>
        <v>0</v>
      </c>
      <c r="L55" s="94">
        <f>'CUOTA INDUSTRIAL'!O18</f>
        <v>4.2031000000000001</v>
      </c>
      <c r="M55" s="95">
        <f>'CUOTA INDUSTRIAL'!P18</f>
        <v>0</v>
      </c>
      <c r="N55" s="96" t="s">
        <v>46</v>
      </c>
      <c r="O55" s="96">
        <f>RESUMEN!$B$3</f>
        <v>44926</v>
      </c>
      <c r="P55" s="93">
        <v>2022</v>
      </c>
      <c r="Q55" s="93"/>
    </row>
    <row r="56" spans="1:17" x14ac:dyDescent="0.2">
      <c r="A56" s="93" t="s">
        <v>120</v>
      </c>
      <c r="B56" s="93" t="s">
        <v>101</v>
      </c>
      <c r="C56" s="93" t="s">
        <v>121</v>
      </c>
      <c r="D56" s="93" t="s">
        <v>122</v>
      </c>
      <c r="E56" s="93" t="str">
        <f>+'CUOTA INDUSTRIAL'!C20</f>
        <v>PESCA CISNE</v>
      </c>
      <c r="F56" s="93" t="s">
        <v>51</v>
      </c>
      <c r="G56" s="93" t="s">
        <v>52</v>
      </c>
      <c r="H56" s="94">
        <f>+'CUOTA INDUSTRIAL'!E20</f>
        <v>31.175219999999996</v>
      </c>
      <c r="I56" s="94">
        <f>+'CUOTA INDUSTRIAL'!F20</f>
        <v>0</v>
      </c>
      <c r="J56" s="94">
        <f>+'CUOTA INDUSTRIAL'!G20</f>
        <v>31.175219999999996</v>
      </c>
      <c r="K56" s="94">
        <f>+'CUOTA INDUSTRIAL'!H20</f>
        <v>0</v>
      </c>
      <c r="L56" s="94">
        <f>+'CUOTA INDUSTRIAL'!I20</f>
        <v>31.175219999999996</v>
      </c>
      <c r="M56" s="95">
        <f>+'CUOTA INDUSTRIAL'!J20</f>
        <v>0</v>
      </c>
      <c r="N56" s="96" t="s">
        <v>46</v>
      </c>
      <c r="O56" s="96">
        <f>RESUMEN!$B$3</f>
        <v>44926</v>
      </c>
      <c r="P56" s="93">
        <v>2022</v>
      </c>
      <c r="Q56" s="93"/>
    </row>
    <row r="57" spans="1:17" x14ac:dyDescent="0.2">
      <c r="A57" s="93" t="s">
        <v>120</v>
      </c>
      <c r="B57" s="93" t="s">
        <v>101</v>
      </c>
      <c r="C57" s="93" t="s">
        <v>121</v>
      </c>
      <c r="D57" s="93" t="s">
        <v>122</v>
      </c>
      <c r="E57" s="93" t="str">
        <f>+'CUOTA INDUSTRIAL'!C20</f>
        <v>PESCA CISNE</v>
      </c>
      <c r="F57" s="93" t="s">
        <v>53</v>
      </c>
      <c r="G57" s="93" t="s">
        <v>56</v>
      </c>
      <c r="H57" s="94">
        <f>+'CUOTA INDUSTRIAL'!E21</f>
        <v>31.221659999999996</v>
      </c>
      <c r="I57" s="94">
        <f>+'CUOTA INDUSTRIAL'!F21</f>
        <v>0</v>
      </c>
      <c r="J57" s="94">
        <f>+'CUOTA INDUSTRIAL'!G21</f>
        <v>62.396879999999996</v>
      </c>
      <c r="K57" s="94">
        <f>+'CUOTA INDUSTRIAL'!H21</f>
        <v>5.7789999999999999</v>
      </c>
      <c r="L57" s="94">
        <f>+'CUOTA INDUSTRIAL'!I21</f>
        <v>56.61788</v>
      </c>
      <c r="M57" s="95">
        <f>+'CUOTA INDUSTRIAL'!J21</f>
        <v>9.2616810327695878E-2</v>
      </c>
      <c r="N57" s="96" t="s">
        <v>46</v>
      </c>
      <c r="O57" s="96">
        <f>RESUMEN!$B$3</f>
        <v>44926</v>
      </c>
      <c r="P57" s="93">
        <v>2022</v>
      </c>
      <c r="Q57" s="93"/>
    </row>
    <row r="58" spans="1:17" x14ac:dyDescent="0.2">
      <c r="A58" s="93" t="s">
        <v>120</v>
      </c>
      <c r="B58" s="93" t="s">
        <v>101</v>
      </c>
      <c r="C58" s="93" t="s">
        <v>121</v>
      </c>
      <c r="D58" s="93" t="s">
        <v>122</v>
      </c>
      <c r="E58" s="93" t="str">
        <f>+'CUOTA INDUSTRIAL'!C20</f>
        <v>PESCA CISNE</v>
      </c>
      <c r="F58" s="93" t="s">
        <v>51</v>
      </c>
      <c r="G58" s="93" t="s">
        <v>56</v>
      </c>
      <c r="H58" s="94">
        <f>+'CUOTA INDUSTRIAL'!K20</f>
        <v>62.396879999999996</v>
      </c>
      <c r="I58" s="94">
        <f>+'CUOTA INDUSTRIAL'!L20</f>
        <v>0</v>
      </c>
      <c r="J58" s="94">
        <f>+'CUOTA INDUSTRIAL'!M20</f>
        <v>62.396879999999996</v>
      </c>
      <c r="K58" s="94">
        <f>+'CUOTA INDUSTRIAL'!N20</f>
        <v>5.7789999999999999</v>
      </c>
      <c r="L58" s="94">
        <f>+'CUOTA INDUSTRIAL'!O20</f>
        <v>56.61788</v>
      </c>
      <c r="M58" s="95">
        <f>+'CUOTA INDUSTRIAL'!P20</f>
        <v>9.2616810327695878E-2</v>
      </c>
      <c r="N58" s="96" t="s">
        <v>46</v>
      </c>
      <c r="O58" s="96">
        <f>RESUMEN!$B$3</f>
        <v>44926</v>
      </c>
      <c r="P58" s="93">
        <v>2022</v>
      </c>
      <c r="Q58" s="93"/>
    </row>
    <row r="59" spans="1:17" x14ac:dyDescent="0.2">
      <c r="A59" s="93" t="s">
        <v>123</v>
      </c>
      <c r="B59" s="93" t="s">
        <v>101</v>
      </c>
      <c r="C59" s="93" t="s">
        <v>124</v>
      </c>
      <c r="D59" s="93" t="s">
        <v>122</v>
      </c>
      <c r="E59" s="93" t="str">
        <f>'CUOTA INDUSTRIAL'!C27</f>
        <v>EMDEPES S.A.</v>
      </c>
      <c r="F59" s="93" t="s">
        <v>51</v>
      </c>
      <c r="G59" s="93" t="s">
        <v>52</v>
      </c>
      <c r="H59" s="94">
        <f>'CUOTA INDUSTRIAL'!E27</f>
        <v>30.6081</v>
      </c>
      <c r="I59" s="94">
        <f>'CUOTA INDUSTRIAL'!F27</f>
        <v>0</v>
      </c>
      <c r="J59" s="94">
        <f>'CUOTA INDUSTRIAL'!G27</f>
        <v>30.6081</v>
      </c>
      <c r="K59" s="94">
        <f>'CUOTA INDUSTRIAL'!H27</f>
        <v>0</v>
      </c>
      <c r="L59" s="94">
        <f>'CUOTA INDUSTRIAL'!I27</f>
        <v>30.6081</v>
      </c>
      <c r="M59" s="95">
        <f>'CUOTA INDUSTRIAL'!J27</f>
        <v>0</v>
      </c>
      <c r="N59" s="96" t="s">
        <v>46</v>
      </c>
      <c r="O59" s="96">
        <f>RESUMEN!$B$3</f>
        <v>44926</v>
      </c>
      <c r="P59" s="93">
        <v>2022</v>
      </c>
      <c r="Q59" s="93"/>
    </row>
    <row r="60" spans="1:17" x14ac:dyDescent="0.2">
      <c r="A60" s="93" t="s">
        <v>123</v>
      </c>
      <c r="B60" s="93" t="s">
        <v>101</v>
      </c>
      <c r="C60" s="93" t="s">
        <v>124</v>
      </c>
      <c r="D60" s="93" t="s">
        <v>122</v>
      </c>
      <c r="E60" s="93" t="str">
        <f>'CUOTA INDUSTRIAL'!C27</f>
        <v>EMDEPES S.A.</v>
      </c>
      <c r="F60" s="93" t="s">
        <v>53</v>
      </c>
      <c r="G60" s="93" t="s">
        <v>56</v>
      </c>
      <c r="H60" s="94">
        <f>'CUOTA INDUSTRIAL'!E28</f>
        <v>30.6081</v>
      </c>
      <c r="I60" s="94">
        <f>'CUOTA INDUSTRIAL'!F28</f>
        <v>0</v>
      </c>
      <c r="J60" s="94">
        <f>'CUOTA INDUSTRIAL'!G28</f>
        <v>61.216200000000001</v>
      </c>
      <c r="K60" s="94">
        <f>'CUOTA INDUSTRIAL'!H28</f>
        <v>7.3650000000000002</v>
      </c>
      <c r="L60" s="94">
        <f>'CUOTA INDUSTRIAL'!I28</f>
        <v>53.851199999999999</v>
      </c>
      <c r="M60" s="95">
        <f>'CUOTA INDUSTRIAL'!J28</f>
        <v>0.12031129014868613</v>
      </c>
      <c r="N60" s="96" t="s">
        <v>46</v>
      </c>
      <c r="O60" s="96">
        <f>RESUMEN!$B$3</f>
        <v>44926</v>
      </c>
      <c r="P60" s="93">
        <v>2022</v>
      </c>
      <c r="Q60" s="93"/>
    </row>
    <row r="61" spans="1:17" x14ac:dyDescent="0.2">
      <c r="A61" s="93" t="s">
        <v>123</v>
      </c>
      <c r="B61" s="93" t="s">
        <v>101</v>
      </c>
      <c r="C61" s="93" t="s">
        <v>124</v>
      </c>
      <c r="D61" s="93" t="s">
        <v>122</v>
      </c>
      <c r="E61" s="93" t="str">
        <f>'CUOTA INDUSTRIAL'!C27</f>
        <v>EMDEPES S.A.</v>
      </c>
      <c r="F61" s="93" t="s">
        <v>51</v>
      </c>
      <c r="G61" s="93" t="s">
        <v>56</v>
      </c>
      <c r="H61" s="94">
        <f>'CUOTA INDUSTRIAL'!K27</f>
        <v>61.216200000000001</v>
      </c>
      <c r="I61" s="94">
        <f>'CUOTA INDUSTRIAL'!L27</f>
        <v>0</v>
      </c>
      <c r="J61" s="94">
        <f>'CUOTA INDUSTRIAL'!M27</f>
        <v>61.216200000000001</v>
      </c>
      <c r="K61" s="94">
        <f>'CUOTA INDUSTRIAL'!N27</f>
        <v>7.3650000000000002</v>
      </c>
      <c r="L61" s="94">
        <f>'CUOTA INDUSTRIAL'!O27</f>
        <v>53.851199999999999</v>
      </c>
      <c r="M61" s="95">
        <f>'CUOTA INDUSTRIAL'!P27</f>
        <v>0.12031129014868613</v>
      </c>
      <c r="N61" s="96" t="s">
        <v>46</v>
      </c>
      <c r="O61" s="96">
        <f>RESUMEN!$B$3</f>
        <v>44926</v>
      </c>
      <c r="P61" s="93">
        <v>2022</v>
      </c>
      <c r="Q61" s="93"/>
    </row>
    <row r="62" spans="1:17" x14ac:dyDescent="0.2">
      <c r="A62" s="93" t="s">
        <v>123</v>
      </c>
      <c r="B62" s="93" t="s">
        <v>101</v>
      </c>
      <c r="C62" s="93" t="s">
        <v>124</v>
      </c>
      <c r="D62" s="93" t="s">
        <v>122</v>
      </c>
      <c r="E62" s="93" t="str">
        <f>'CUOTA INDUSTRIAL'!C29</f>
        <v>GRIMAR S.A. PESQ.</v>
      </c>
      <c r="F62" s="93" t="s">
        <v>51</v>
      </c>
      <c r="G62" s="93" t="s">
        <v>52</v>
      </c>
      <c r="H62" s="94">
        <f>'CUOTA INDUSTRIAL'!E29</f>
        <v>0.55206</v>
      </c>
      <c r="I62" s="94">
        <f>'CUOTA INDUSTRIAL'!F29</f>
        <v>0</v>
      </c>
      <c r="J62" s="94">
        <f>'CUOTA INDUSTRIAL'!G29</f>
        <v>0.55206</v>
      </c>
      <c r="K62" s="94">
        <f>'CUOTA INDUSTRIAL'!H29</f>
        <v>0</v>
      </c>
      <c r="L62" s="94">
        <f>'CUOTA INDUSTRIAL'!I29</f>
        <v>0.55206</v>
      </c>
      <c r="M62" s="95">
        <f>'CUOTA INDUSTRIAL'!J29</f>
        <v>0</v>
      </c>
      <c r="N62" s="96" t="s">
        <v>46</v>
      </c>
      <c r="O62" s="96">
        <f>RESUMEN!$B$3</f>
        <v>44926</v>
      </c>
      <c r="P62" s="93">
        <v>2022</v>
      </c>
      <c r="Q62" s="93"/>
    </row>
    <row r="63" spans="1:17" x14ac:dyDescent="0.2">
      <c r="A63" s="93" t="s">
        <v>123</v>
      </c>
      <c r="B63" s="93" t="s">
        <v>101</v>
      </c>
      <c r="C63" s="93" t="s">
        <v>124</v>
      </c>
      <c r="D63" s="93" t="s">
        <v>122</v>
      </c>
      <c r="E63" s="93" t="str">
        <f>'CUOTA INDUSTRIAL'!C29</f>
        <v>GRIMAR S.A. PESQ.</v>
      </c>
      <c r="F63" s="93" t="s">
        <v>53</v>
      </c>
      <c r="G63" s="93" t="s">
        <v>56</v>
      </c>
      <c r="H63" s="94">
        <f>'CUOTA INDUSTRIAL'!E30</f>
        <v>0.55206</v>
      </c>
      <c r="I63" s="94">
        <f>'CUOTA INDUSTRIAL'!F30</f>
        <v>0</v>
      </c>
      <c r="J63" s="94">
        <f>'CUOTA INDUSTRIAL'!G30</f>
        <v>1.10412</v>
      </c>
      <c r="K63" s="94">
        <f>'CUOTA INDUSTRIAL'!H30</f>
        <v>0</v>
      </c>
      <c r="L63" s="94">
        <f>'CUOTA INDUSTRIAL'!I30</f>
        <v>1.10412</v>
      </c>
      <c r="M63" s="95">
        <f>'CUOTA INDUSTRIAL'!J30</f>
        <v>0</v>
      </c>
      <c r="N63" s="96" t="s">
        <v>46</v>
      </c>
      <c r="O63" s="96">
        <f>RESUMEN!$B$3</f>
        <v>44926</v>
      </c>
      <c r="P63" s="93">
        <v>2022</v>
      </c>
      <c r="Q63" s="93"/>
    </row>
    <row r="64" spans="1:17" x14ac:dyDescent="0.2">
      <c r="A64" s="93" t="s">
        <v>123</v>
      </c>
      <c r="B64" s="93" t="s">
        <v>101</v>
      </c>
      <c r="C64" s="93" t="s">
        <v>124</v>
      </c>
      <c r="D64" s="93" t="s">
        <v>122</v>
      </c>
      <c r="E64" s="93" t="str">
        <f>'CUOTA INDUSTRIAL'!C29</f>
        <v>GRIMAR S.A. PESQ.</v>
      </c>
      <c r="F64" s="93" t="s">
        <v>51</v>
      </c>
      <c r="G64" s="93" t="s">
        <v>56</v>
      </c>
      <c r="H64" s="94">
        <f>'CUOTA INDUSTRIAL'!K29</f>
        <v>1.10412</v>
      </c>
      <c r="I64" s="94">
        <f>'CUOTA INDUSTRIAL'!L29</f>
        <v>0</v>
      </c>
      <c r="J64" s="94">
        <f>'CUOTA INDUSTRIAL'!M29</f>
        <v>1.10412</v>
      </c>
      <c r="K64" s="94">
        <f>'CUOTA INDUSTRIAL'!N29</f>
        <v>0</v>
      </c>
      <c r="L64" s="94">
        <f>'CUOTA INDUSTRIAL'!O29</f>
        <v>1.10412</v>
      </c>
      <c r="M64" s="95">
        <f>'CUOTA INDUSTRIAL'!P29</f>
        <v>0</v>
      </c>
      <c r="N64" s="96" t="s">
        <v>46</v>
      </c>
      <c r="O64" s="96">
        <f>RESUMEN!$B$3</f>
        <v>44926</v>
      </c>
      <c r="P64" s="93">
        <v>2022</v>
      </c>
      <c r="Q64" s="93"/>
    </row>
    <row r="65" spans="1:17" x14ac:dyDescent="0.2">
      <c r="A65" s="93" t="s">
        <v>123</v>
      </c>
      <c r="B65" s="93" t="s">
        <v>101</v>
      </c>
      <c r="C65" s="93" t="s">
        <v>124</v>
      </c>
      <c r="D65" s="93" t="s">
        <v>122</v>
      </c>
      <c r="E65" s="93" t="str">
        <f>'CUOTA INDUSTRIAL'!C31</f>
        <v>PESCA CHILE S.A.</v>
      </c>
      <c r="F65" s="93" t="s">
        <v>51</v>
      </c>
      <c r="G65" s="93" t="s">
        <v>52</v>
      </c>
      <c r="H65" s="94">
        <f>'CUOTA INDUSTRIAL'!E31</f>
        <v>117.80408</v>
      </c>
      <c r="I65" s="94">
        <f>'CUOTA INDUSTRIAL'!F31</f>
        <v>0</v>
      </c>
      <c r="J65" s="94">
        <f>'CUOTA INDUSTRIAL'!G31</f>
        <v>117.80408</v>
      </c>
      <c r="K65" s="94">
        <f>'CUOTA INDUSTRIAL'!H31</f>
        <v>20.725000000000001</v>
      </c>
      <c r="L65" s="94">
        <f>'CUOTA INDUSTRIAL'!I31</f>
        <v>97.079080000000005</v>
      </c>
      <c r="M65" s="95">
        <f>'CUOTA INDUSTRIAL'!J31</f>
        <v>0.17592769282693776</v>
      </c>
      <c r="N65" s="96" t="s">
        <v>46</v>
      </c>
      <c r="O65" s="96">
        <f>RESUMEN!$B$3</f>
        <v>44926</v>
      </c>
      <c r="P65" s="93">
        <v>2022</v>
      </c>
      <c r="Q65" s="93"/>
    </row>
    <row r="66" spans="1:17" x14ac:dyDescent="0.2">
      <c r="A66" s="93" t="s">
        <v>123</v>
      </c>
      <c r="B66" s="93" t="s">
        <v>101</v>
      </c>
      <c r="C66" s="93" t="s">
        <v>124</v>
      </c>
      <c r="D66" s="93" t="s">
        <v>122</v>
      </c>
      <c r="E66" s="93" t="str">
        <f>'CUOTA INDUSTRIAL'!C31</f>
        <v>PESCA CHILE S.A.</v>
      </c>
      <c r="F66" s="93" t="s">
        <v>53</v>
      </c>
      <c r="G66" s="93" t="s">
        <v>56</v>
      </c>
      <c r="H66" s="94">
        <f>'CUOTA INDUSTRIAL'!E32</f>
        <v>117.80408</v>
      </c>
      <c r="I66" s="94">
        <f>'CUOTA INDUSTRIAL'!F32</f>
        <v>0</v>
      </c>
      <c r="J66" s="94">
        <f>'CUOTA INDUSTRIAL'!G32</f>
        <v>214.88316</v>
      </c>
      <c r="K66" s="94">
        <f>'CUOTA INDUSTRIAL'!H32</f>
        <v>176.99700000000001</v>
      </c>
      <c r="L66" s="94">
        <f>'CUOTA INDUSTRIAL'!I32</f>
        <v>37.88615999999999</v>
      </c>
      <c r="M66" s="95">
        <f>'CUOTA INDUSTRIAL'!J32</f>
        <v>0.82368948781281892</v>
      </c>
      <c r="N66" s="96" t="s">
        <v>46</v>
      </c>
      <c r="O66" s="96">
        <f>RESUMEN!$B$3</f>
        <v>44926</v>
      </c>
      <c r="P66" s="93">
        <v>2022</v>
      </c>
      <c r="Q66" s="93"/>
    </row>
    <row r="67" spans="1:17" x14ac:dyDescent="0.2">
      <c r="A67" s="93" t="s">
        <v>123</v>
      </c>
      <c r="B67" s="93" t="s">
        <v>101</v>
      </c>
      <c r="C67" s="93" t="s">
        <v>124</v>
      </c>
      <c r="D67" s="93" t="s">
        <v>122</v>
      </c>
      <c r="E67" s="93" t="str">
        <f>'CUOTA INDUSTRIAL'!C31</f>
        <v>PESCA CHILE S.A.</v>
      </c>
      <c r="F67" s="93" t="s">
        <v>51</v>
      </c>
      <c r="G67" s="93" t="s">
        <v>56</v>
      </c>
      <c r="H67" s="94">
        <f>'CUOTA INDUSTRIAL'!K31</f>
        <v>235.60816</v>
      </c>
      <c r="I67" s="94">
        <f>'CUOTA INDUSTRIAL'!L31</f>
        <v>0</v>
      </c>
      <c r="J67" s="94">
        <f>'CUOTA INDUSTRIAL'!M31</f>
        <v>235.60816</v>
      </c>
      <c r="K67" s="94">
        <f>'CUOTA INDUSTRIAL'!N31</f>
        <v>197.72200000000001</v>
      </c>
      <c r="L67" s="94">
        <f>'CUOTA INDUSTRIAL'!O31</f>
        <v>37.88615999999999</v>
      </c>
      <c r="M67" s="95">
        <f>'CUOTA INDUSTRIAL'!P31</f>
        <v>0.83919843862793209</v>
      </c>
      <c r="N67" s="96" t="s">
        <v>46</v>
      </c>
      <c r="O67" s="96">
        <f>RESUMEN!$B$3</f>
        <v>44926</v>
      </c>
      <c r="P67" s="93">
        <v>2022</v>
      </c>
      <c r="Q67" s="93"/>
    </row>
    <row r="68" spans="1:17" x14ac:dyDescent="0.2">
      <c r="A68" s="93" t="s">
        <v>123</v>
      </c>
      <c r="B68" s="93" t="s">
        <v>101</v>
      </c>
      <c r="C68" s="93" t="s">
        <v>124</v>
      </c>
      <c r="D68" s="93" t="s">
        <v>122</v>
      </c>
      <c r="E68" s="93" t="str">
        <f>'CUOTA INDUSTRIAL'!C33</f>
        <v>PESCA CISNE S.A.</v>
      </c>
      <c r="F68" s="93" t="s">
        <v>51</v>
      </c>
      <c r="G68" s="93" t="s">
        <v>52</v>
      </c>
      <c r="H68" s="94">
        <f>'CUOTA INDUSTRIAL'!E33</f>
        <v>45.764679999999998</v>
      </c>
      <c r="I68" s="94">
        <f>'CUOTA INDUSTRIAL'!F33</f>
        <v>0</v>
      </c>
      <c r="J68" s="94">
        <f>'CUOTA INDUSTRIAL'!G33</f>
        <v>45.764679999999998</v>
      </c>
      <c r="K68" s="94">
        <f>'CUOTA INDUSTRIAL'!H33</f>
        <v>0</v>
      </c>
      <c r="L68" s="94">
        <f>'CUOTA INDUSTRIAL'!I33</f>
        <v>45.764679999999998</v>
      </c>
      <c r="M68" s="95">
        <f>'CUOTA INDUSTRIAL'!J33</f>
        <v>0</v>
      </c>
      <c r="N68" s="96" t="s">
        <v>46</v>
      </c>
      <c r="O68" s="96">
        <f>RESUMEN!$B$3</f>
        <v>44926</v>
      </c>
      <c r="P68" s="93">
        <v>2022</v>
      </c>
      <c r="Q68" s="93"/>
    </row>
    <row r="69" spans="1:17" x14ac:dyDescent="0.2">
      <c r="A69" s="93" t="s">
        <v>123</v>
      </c>
      <c r="B69" s="93" t="s">
        <v>101</v>
      </c>
      <c r="C69" s="93" t="s">
        <v>124</v>
      </c>
      <c r="D69" s="93" t="s">
        <v>122</v>
      </c>
      <c r="E69" s="93" t="str">
        <f>'CUOTA INDUSTRIAL'!C33</f>
        <v>PESCA CISNE S.A.</v>
      </c>
      <c r="F69" s="93" t="s">
        <v>53</v>
      </c>
      <c r="G69" s="93" t="s">
        <v>56</v>
      </c>
      <c r="H69" s="94">
        <f>'CUOTA INDUSTRIAL'!E34</f>
        <v>45.764679999999998</v>
      </c>
      <c r="I69" s="94">
        <f>'CUOTA INDUSTRIAL'!F34</f>
        <v>0</v>
      </c>
      <c r="J69" s="94">
        <f>'CUOTA INDUSTRIAL'!G34</f>
        <v>91.529359999999997</v>
      </c>
      <c r="K69" s="94">
        <f>'CUOTA INDUSTRIAL'!H34</f>
        <v>16.172000000000001</v>
      </c>
      <c r="L69" s="94">
        <f>'CUOTA INDUSTRIAL'!I34</f>
        <v>75.35736</v>
      </c>
      <c r="M69" s="95">
        <f>'CUOTA INDUSTRIAL'!J34</f>
        <v>0.17668647524684977</v>
      </c>
      <c r="N69" s="96" t="s">
        <v>46</v>
      </c>
      <c r="O69" s="96">
        <f>RESUMEN!$B$3</f>
        <v>44926</v>
      </c>
      <c r="P69" s="93">
        <v>2022</v>
      </c>
      <c r="Q69" s="93"/>
    </row>
    <row r="70" spans="1:17" x14ac:dyDescent="0.2">
      <c r="A70" s="93" t="s">
        <v>123</v>
      </c>
      <c r="B70" s="93" t="s">
        <v>101</v>
      </c>
      <c r="C70" s="93" t="s">
        <v>124</v>
      </c>
      <c r="D70" s="93" t="s">
        <v>122</v>
      </c>
      <c r="E70" s="93" t="str">
        <f>'CUOTA INDUSTRIAL'!C33</f>
        <v>PESCA CISNE S.A.</v>
      </c>
      <c r="F70" s="93" t="s">
        <v>51</v>
      </c>
      <c r="G70" s="93" t="s">
        <v>56</v>
      </c>
      <c r="H70" s="94">
        <f>'CUOTA INDUSTRIAL'!K33</f>
        <v>91.529359999999997</v>
      </c>
      <c r="I70" s="94">
        <f>'CUOTA INDUSTRIAL'!L33</f>
        <v>0</v>
      </c>
      <c r="J70" s="94">
        <f>'CUOTA INDUSTRIAL'!M33</f>
        <v>91.529359999999997</v>
      </c>
      <c r="K70" s="94">
        <f>'CUOTA INDUSTRIAL'!N33</f>
        <v>16.172000000000001</v>
      </c>
      <c r="L70" s="94">
        <f>'CUOTA INDUSTRIAL'!O33</f>
        <v>75.35736</v>
      </c>
      <c r="M70" s="95">
        <f>'CUOTA INDUSTRIAL'!P33</f>
        <v>0.17668647524684977</v>
      </c>
      <c r="N70" s="96" t="s">
        <v>46</v>
      </c>
      <c r="O70" s="96">
        <f>RESUMEN!$B$3</f>
        <v>44926</v>
      </c>
      <c r="P70" s="93">
        <v>2022</v>
      </c>
      <c r="Q70" s="93"/>
    </row>
    <row r="71" spans="1:17" x14ac:dyDescent="0.2">
      <c r="A71" s="93" t="s">
        <v>123</v>
      </c>
      <c r="B71" s="93" t="s">
        <v>101</v>
      </c>
      <c r="C71" s="93" t="s">
        <v>124</v>
      </c>
      <c r="D71" s="93" t="s">
        <v>122</v>
      </c>
      <c r="E71" s="93" t="str">
        <f>'CUOTA INDUSTRIAL'!C35</f>
        <v>SUR AUSTRAL S.A. PESQ.</v>
      </c>
      <c r="F71" s="93" t="s">
        <v>51</v>
      </c>
      <c r="G71" s="93" t="s">
        <v>52</v>
      </c>
      <c r="H71" s="94">
        <f>'CUOTA INDUSTRIAL'!E35</f>
        <v>0.27113999999999999</v>
      </c>
      <c r="I71" s="94">
        <f>'CUOTA INDUSTRIAL'!F35</f>
        <v>0</v>
      </c>
      <c r="J71" s="94">
        <f>'CUOTA INDUSTRIAL'!G35</f>
        <v>0.27113999999999999</v>
      </c>
      <c r="K71" s="94">
        <f>'CUOTA INDUSTRIAL'!H35</f>
        <v>0</v>
      </c>
      <c r="L71" s="94">
        <f>'CUOTA INDUSTRIAL'!I35</f>
        <v>0.27113999999999999</v>
      </c>
      <c r="M71" s="95">
        <f>'CUOTA INDUSTRIAL'!J35</f>
        <v>0</v>
      </c>
      <c r="N71" s="96" t="s">
        <v>46</v>
      </c>
      <c r="O71" s="96">
        <f>RESUMEN!$B$3</f>
        <v>44926</v>
      </c>
      <c r="P71" s="93">
        <v>2022</v>
      </c>
      <c r="Q71" s="93"/>
    </row>
    <row r="72" spans="1:17" x14ac:dyDescent="0.2">
      <c r="A72" s="93" t="s">
        <v>123</v>
      </c>
      <c r="B72" s="93" t="s">
        <v>101</v>
      </c>
      <c r="C72" s="93" t="s">
        <v>124</v>
      </c>
      <c r="D72" s="93" t="s">
        <v>122</v>
      </c>
      <c r="E72" s="93" t="str">
        <f>'CUOTA INDUSTRIAL'!C35</f>
        <v>SUR AUSTRAL S.A. PESQ.</v>
      </c>
      <c r="F72" s="93" t="s">
        <v>53</v>
      </c>
      <c r="G72" s="93" t="s">
        <v>56</v>
      </c>
      <c r="H72" s="94">
        <f>'CUOTA INDUSTRIAL'!E36</f>
        <v>0.27113999999999999</v>
      </c>
      <c r="I72" s="94">
        <f>'CUOTA INDUSTRIAL'!F36</f>
        <v>0</v>
      </c>
      <c r="J72" s="94">
        <f>'CUOTA INDUSTRIAL'!G36</f>
        <v>0.54227999999999998</v>
      </c>
      <c r="K72" s="94">
        <f>'CUOTA INDUSTRIAL'!H36</f>
        <v>0</v>
      </c>
      <c r="L72" s="94">
        <f>'CUOTA INDUSTRIAL'!I36</f>
        <v>0.54227999999999998</v>
      </c>
      <c r="M72" s="95">
        <f>'CUOTA INDUSTRIAL'!J36</f>
        <v>0</v>
      </c>
      <c r="N72" s="96" t="s">
        <v>46</v>
      </c>
      <c r="O72" s="96">
        <f>RESUMEN!$B$3</f>
        <v>44926</v>
      </c>
      <c r="P72" s="93">
        <v>2022</v>
      </c>
      <c r="Q72" s="93"/>
    </row>
    <row r="73" spans="1:17" x14ac:dyDescent="0.2">
      <c r="A73" s="93" t="s">
        <v>123</v>
      </c>
      <c r="B73" s="93" t="s">
        <v>101</v>
      </c>
      <c r="C73" s="93" t="s">
        <v>124</v>
      </c>
      <c r="D73" s="93" t="s">
        <v>122</v>
      </c>
      <c r="E73" s="93" t="str">
        <f>'CUOTA INDUSTRIAL'!C35</f>
        <v>SUR AUSTRAL S.A. PESQ.</v>
      </c>
      <c r="F73" s="93" t="s">
        <v>51</v>
      </c>
      <c r="G73" s="93" t="s">
        <v>56</v>
      </c>
      <c r="H73" s="94">
        <f>'CUOTA INDUSTRIAL'!K35</f>
        <v>0.54227999999999998</v>
      </c>
      <c r="I73" s="94">
        <f>'CUOTA INDUSTRIAL'!L35</f>
        <v>0</v>
      </c>
      <c r="J73" s="94">
        <f>'CUOTA INDUSTRIAL'!M35</f>
        <v>0.54227999999999998</v>
      </c>
      <c r="K73" s="94">
        <f>'CUOTA INDUSTRIAL'!N35</f>
        <v>0</v>
      </c>
      <c r="L73" s="94">
        <f>'CUOTA INDUSTRIAL'!O35</f>
        <v>0.54227999999999998</v>
      </c>
      <c r="M73" s="95">
        <f>'CUOTA INDUSTRIAL'!P35</f>
        <v>0</v>
      </c>
      <c r="N73" s="96" t="s">
        <v>46</v>
      </c>
      <c r="O73" s="96">
        <f>RESUMEN!$B$3</f>
        <v>44926</v>
      </c>
      <c r="P73" s="93">
        <v>2022</v>
      </c>
      <c r="Q73" s="93"/>
    </row>
    <row r="74" spans="1:17" x14ac:dyDescent="0.2">
      <c r="A74" s="93" t="s">
        <v>123</v>
      </c>
      <c r="B74" s="93" t="s">
        <v>101</v>
      </c>
      <c r="C74" s="93" t="s">
        <v>124</v>
      </c>
      <c r="D74" s="93" t="s">
        <v>122</v>
      </c>
      <c r="E74" s="93" t="str">
        <f>'CUOTA INDUSTRIAL'!C37</f>
        <v>CANAL AUSTRAL LTDA.</v>
      </c>
      <c r="F74" s="93" t="s">
        <v>51</v>
      </c>
      <c r="G74" s="93" t="s">
        <v>52</v>
      </c>
      <c r="H74" s="94">
        <f>'CUOTA INDUSTRIAL'!E37</f>
        <v>2.5</v>
      </c>
      <c r="I74" s="94">
        <f>'CUOTA INDUSTRIAL'!F37</f>
        <v>0</v>
      </c>
      <c r="J74" s="94">
        <f>'CUOTA INDUSTRIAL'!G37</f>
        <v>2.5</v>
      </c>
      <c r="K74" s="94">
        <f>'CUOTA INDUSTRIAL'!H37</f>
        <v>0</v>
      </c>
      <c r="L74" s="94">
        <f>'CUOTA INDUSTRIAL'!I37</f>
        <v>2.5</v>
      </c>
      <c r="M74" s="95">
        <f>'CUOTA INDUSTRIAL'!J37</f>
        <v>0</v>
      </c>
      <c r="N74" s="96" t="s">
        <v>46</v>
      </c>
      <c r="O74" s="96">
        <f>RESUMEN!$B$3</f>
        <v>44926</v>
      </c>
      <c r="P74" s="93">
        <v>2022</v>
      </c>
      <c r="Q74" s="93"/>
    </row>
    <row r="75" spans="1:17" x14ac:dyDescent="0.2">
      <c r="A75" s="93" t="s">
        <v>123</v>
      </c>
      <c r="B75" s="93" t="s">
        <v>101</v>
      </c>
      <c r="C75" s="93" t="s">
        <v>124</v>
      </c>
      <c r="D75" s="93" t="s">
        <v>122</v>
      </c>
      <c r="E75" s="93" t="str">
        <f>'CUOTA INDUSTRIAL'!C37</f>
        <v>CANAL AUSTRAL LTDA.</v>
      </c>
      <c r="F75" s="93" t="s">
        <v>53</v>
      </c>
      <c r="G75" s="93" t="s">
        <v>56</v>
      </c>
      <c r="H75" s="94">
        <f>'CUOTA INDUSTRIAL'!E38</f>
        <v>2.5</v>
      </c>
      <c r="I75" s="94">
        <f>'CUOTA INDUSTRIAL'!F38</f>
        <v>0</v>
      </c>
      <c r="J75" s="94">
        <f>'CUOTA INDUSTRIAL'!G38</f>
        <v>5</v>
      </c>
      <c r="K75" s="94">
        <f>'CUOTA INDUSTRIAL'!H38</f>
        <v>0</v>
      </c>
      <c r="L75" s="94">
        <f>'CUOTA INDUSTRIAL'!I38</f>
        <v>5</v>
      </c>
      <c r="M75" s="95">
        <f>'CUOTA INDUSTRIAL'!J38</f>
        <v>0</v>
      </c>
      <c r="N75" s="96" t="s">
        <v>46</v>
      </c>
      <c r="O75" s="96">
        <f>RESUMEN!$B$3</f>
        <v>44926</v>
      </c>
      <c r="P75" s="93">
        <v>2022</v>
      </c>
      <c r="Q75" s="93"/>
    </row>
    <row r="76" spans="1:17" x14ac:dyDescent="0.2">
      <c r="A76" s="93" t="s">
        <v>123</v>
      </c>
      <c r="B76" s="93" t="s">
        <v>101</v>
      </c>
      <c r="C76" s="93" t="s">
        <v>124</v>
      </c>
      <c r="D76" s="93" t="s">
        <v>122</v>
      </c>
      <c r="E76" s="93" t="str">
        <f>'CUOTA INDUSTRIAL'!C37</f>
        <v>CANAL AUSTRAL LTDA.</v>
      </c>
      <c r="F76" s="93" t="s">
        <v>51</v>
      </c>
      <c r="G76" s="93" t="s">
        <v>56</v>
      </c>
      <c r="H76" s="94">
        <f>'CUOTA INDUSTRIAL'!K37</f>
        <v>5</v>
      </c>
      <c r="I76" s="94">
        <f>'CUOTA INDUSTRIAL'!L37</f>
        <v>0</v>
      </c>
      <c r="J76" s="94">
        <f>'CUOTA INDUSTRIAL'!M37</f>
        <v>5</v>
      </c>
      <c r="K76" s="94">
        <f>'CUOTA INDUSTRIAL'!N37</f>
        <v>0</v>
      </c>
      <c r="L76" s="94">
        <f>'CUOTA INDUSTRIAL'!O37</f>
        <v>5</v>
      </c>
      <c r="M76" s="95">
        <f>'CUOTA INDUSTRIAL'!P37</f>
        <v>0</v>
      </c>
      <c r="N76" s="96" t="s">
        <v>46</v>
      </c>
      <c r="O76" s="96">
        <f>RESUMEN!$B$3</f>
        <v>44926</v>
      </c>
      <c r="P76" s="93">
        <v>2022</v>
      </c>
      <c r="Q76" s="93"/>
    </row>
    <row r="77" spans="1:17" x14ac:dyDescent="0.2">
      <c r="A77" s="93" t="s">
        <v>123</v>
      </c>
      <c r="B77" s="93" t="s">
        <v>101</v>
      </c>
      <c r="C77" s="93" t="s">
        <v>124</v>
      </c>
      <c r="D77" s="93" t="s">
        <v>122</v>
      </c>
      <c r="E77" s="93" t="str">
        <f>'CUOTA INDUSTRIAL'!C39</f>
        <v>MARCO SALINAS CARRASCO</v>
      </c>
      <c r="F77" s="93" t="s">
        <v>51</v>
      </c>
      <c r="G77" s="93" t="s">
        <v>52</v>
      </c>
      <c r="H77" s="94">
        <f>'CUOTA INDUSTRIAL'!E39</f>
        <v>2.5</v>
      </c>
      <c r="I77" s="94">
        <f>'CUOTA INDUSTRIAL'!F39</f>
        <v>0</v>
      </c>
      <c r="J77" s="94">
        <f>'CUOTA INDUSTRIAL'!G39</f>
        <v>2.5</v>
      </c>
      <c r="K77" s="94">
        <f>'CUOTA INDUSTRIAL'!H39</f>
        <v>0</v>
      </c>
      <c r="L77" s="94">
        <f>'CUOTA INDUSTRIAL'!I39</f>
        <v>2.5</v>
      </c>
      <c r="M77" s="95">
        <f>'CUOTA INDUSTRIAL'!J39</f>
        <v>0</v>
      </c>
      <c r="N77" s="96" t="s">
        <v>46</v>
      </c>
      <c r="O77" s="96">
        <f>RESUMEN!$B$3</f>
        <v>44926</v>
      </c>
      <c r="P77" s="93">
        <v>2022</v>
      </c>
      <c r="Q77" s="93"/>
    </row>
    <row r="78" spans="1:17" x14ac:dyDescent="0.2">
      <c r="A78" s="93" t="s">
        <v>123</v>
      </c>
      <c r="B78" s="93" t="s">
        <v>101</v>
      </c>
      <c r="C78" s="93" t="s">
        <v>124</v>
      </c>
      <c r="D78" s="93" t="s">
        <v>122</v>
      </c>
      <c r="E78" s="93" t="str">
        <f>'CUOTA INDUSTRIAL'!C39</f>
        <v>MARCO SALINAS CARRASCO</v>
      </c>
      <c r="F78" s="93" t="s">
        <v>53</v>
      </c>
      <c r="G78" s="93" t="s">
        <v>56</v>
      </c>
      <c r="H78" s="94">
        <f>'CUOTA INDUSTRIAL'!E40</f>
        <v>2.5</v>
      </c>
      <c r="I78" s="94">
        <f>'CUOTA INDUSTRIAL'!F40</f>
        <v>0</v>
      </c>
      <c r="J78" s="94">
        <f>'CUOTA INDUSTRIAL'!G40</f>
        <v>5</v>
      </c>
      <c r="K78" s="94">
        <f>'CUOTA INDUSTRIAL'!H40</f>
        <v>0</v>
      </c>
      <c r="L78" s="94">
        <f>'CUOTA INDUSTRIAL'!I40</f>
        <v>5</v>
      </c>
      <c r="M78" s="95">
        <f>'CUOTA INDUSTRIAL'!J40</f>
        <v>0</v>
      </c>
      <c r="N78" s="96" t="s">
        <v>46</v>
      </c>
      <c r="O78" s="96">
        <f>RESUMEN!$B$3</f>
        <v>44926</v>
      </c>
      <c r="P78" s="93">
        <v>2022</v>
      </c>
      <c r="Q78" s="93"/>
    </row>
    <row r="79" spans="1:17" x14ac:dyDescent="0.2">
      <c r="A79" s="93" t="s">
        <v>123</v>
      </c>
      <c r="B79" s="93" t="s">
        <v>101</v>
      </c>
      <c r="C79" s="93" t="s">
        <v>124</v>
      </c>
      <c r="D79" s="93" t="s">
        <v>122</v>
      </c>
      <c r="E79" s="93" t="str">
        <f>'CUOTA INDUSTRIAL'!C39</f>
        <v>MARCO SALINAS CARRASCO</v>
      </c>
      <c r="F79" s="93" t="s">
        <v>51</v>
      </c>
      <c r="G79" s="93" t="s">
        <v>56</v>
      </c>
      <c r="H79" s="94">
        <f>'CUOTA INDUSTRIAL'!K39</f>
        <v>5</v>
      </c>
      <c r="I79" s="94">
        <f>'CUOTA INDUSTRIAL'!L39</f>
        <v>0</v>
      </c>
      <c r="J79" s="94">
        <f>'CUOTA INDUSTRIAL'!M39</f>
        <v>5</v>
      </c>
      <c r="K79" s="94">
        <f>'CUOTA INDUSTRIAL'!N39</f>
        <v>0</v>
      </c>
      <c r="L79" s="94">
        <f>'CUOTA INDUSTRIAL'!O39</f>
        <v>5</v>
      </c>
      <c r="M79" s="95">
        <f>'CUOTA INDUSTRIAL'!P39</f>
        <v>0</v>
      </c>
      <c r="N79" s="96" t="s">
        <v>46</v>
      </c>
      <c r="O79" s="96">
        <f>RESUMEN!$B$3</f>
        <v>44926</v>
      </c>
      <c r="P79" s="93">
        <v>2022</v>
      </c>
      <c r="Q79" s="93"/>
    </row>
    <row r="80" spans="1:17" s="102" customFormat="1" x14ac:dyDescent="0.2">
      <c r="A80" s="98" t="s">
        <v>123</v>
      </c>
      <c r="B80" s="98" t="s">
        <v>101</v>
      </c>
      <c r="C80" s="98" t="s">
        <v>125</v>
      </c>
      <c r="D80" s="98" t="s">
        <v>127</v>
      </c>
      <c r="E80" s="98" t="s">
        <v>126</v>
      </c>
      <c r="F80" s="98" t="s">
        <v>51</v>
      </c>
      <c r="G80" s="98" t="s">
        <v>56</v>
      </c>
      <c r="H80" s="99">
        <f>'CUOTA INDUSTRIAL'!E22+'CUOTA INDUSTRIAL'!E41</f>
        <v>1072.50038</v>
      </c>
      <c r="I80" s="99">
        <f>'CUOTA INDUSTRIAL'!F22+'CUOTA INDUSTRIAL'!F41</f>
        <v>0</v>
      </c>
      <c r="J80" s="99">
        <f>'CUOTA INDUSTRIAL'!G22+'CUOTA INDUSTRIAL'!G41</f>
        <v>1072.50038</v>
      </c>
      <c r="K80" s="99">
        <f>'CUOTA INDUSTRIAL'!H22+'CUOTA INDUSTRIAL'!H41</f>
        <v>713.22900000000004</v>
      </c>
      <c r="L80" s="99">
        <f>'CUOTA INDUSTRIAL'!I22+'CUOTA INDUSTRIAL'!I41</f>
        <v>359.27138000000002</v>
      </c>
      <c r="M80" s="100">
        <f>'CUOTA INDUSTRIAL'!J22+'CUOTA INDUSTRIAL'!J41</f>
        <v>1.2847009545703851</v>
      </c>
      <c r="N80" s="101" t="s">
        <v>46</v>
      </c>
      <c r="O80" s="101">
        <f>RESUMEN!$B$3</f>
        <v>44926</v>
      </c>
      <c r="P80" s="93">
        <v>2022</v>
      </c>
      <c r="Q80" s="98"/>
    </row>
    <row r="81" spans="1:17" x14ac:dyDescent="0.2">
      <c r="A81" s="93" t="s">
        <v>131</v>
      </c>
      <c r="B81" s="93" t="s">
        <v>101</v>
      </c>
      <c r="C81" s="93" t="s">
        <v>132</v>
      </c>
      <c r="D81" s="93" t="s">
        <v>133</v>
      </c>
      <c r="E81" s="93" t="s">
        <v>133</v>
      </c>
      <c r="F81" s="93" t="s">
        <v>51</v>
      </c>
      <c r="G81" s="93" t="s">
        <v>54</v>
      </c>
      <c r="H81" s="94">
        <f>'FUERA UNIDAD DE PESQUERIA'!F7</f>
        <v>1.6</v>
      </c>
      <c r="I81" s="94">
        <v>0</v>
      </c>
      <c r="J81" s="94">
        <f>'FUERA UNIDAD DE PESQUERIA'!G7</f>
        <v>1.6</v>
      </c>
      <c r="K81" s="94">
        <f>'FUERA UNIDAD DE PESQUERIA'!J7</f>
        <v>0.23699999999999999</v>
      </c>
      <c r="L81" s="94">
        <f>'FUERA UNIDAD DE PESQUERIA'!K7</f>
        <v>1.363</v>
      </c>
      <c r="M81" s="95">
        <f>'FUERA UNIDAD DE PESQUERIA'!L7</f>
        <v>0.14812499999999998</v>
      </c>
      <c r="N81" s="96" t="str">
        <f>'FUERA UNIDAD DE PESQUERIA'!M7</f>
        <v>-</v>
      </c>
      <c r="O81" s="96">
        <f>RESUMEN!$B$3</f>
        <v>44926</v>
      </c>
      <c r="P81" s="93">
        <v>2022</v>
      </c>
      <c r="Q81" s="93"/>
    </row>
    <row r="82" spans="1:17" x14ac:dyDescent="0.2">
      <c r="A82" s="93" t="s">
        <v>131</v>
      </c>
      <c r="B82" s="93" t="s">
        <v>101</v>
      </c>
      <c r="C82" s="93" t="s">
        <v>132</v>
      </c>
      <c r="D82" s="93" t="s">
        <v>133</v>
      </c>
      <c r="E82" s="93" t="s">
        <v>133</v>
      </c>
      <c r="F82" s="93" t="s">
        <v>55</v>
      </c>
      <c r="G82" s="93" t="s">
        <v>56</v>
      </c>
      <c r="H82" s="94">
        <f>'FUERA UNIDAD DE PESQUERIA'!F8</f>
        <v>1.7</v>
      </c>
      <c r="I82" s="94">
        <v>0</v>
      </c>
      <c r="J82" s="94">
        <f>'FUERA UNIDAD DE PESQUERIA'!G8</f>
        <v>3.0629999999999997</v>
      </c>
      <c r="K82" s="94">
        <f>'FUERA UNIDAD DE PESQUERIA'!J8</f>
        <v>1.179</v>
      </c>
      <c r="L82" s="94">
        <f>'FUERA UNIDAD DE PESQUERIA'!K8</f>
        <v>1.8839999999999997</v>
      </c>
      <c r="M82" s="95">
        <f>'FUERA UNIDAD DE PESQUERIA'!L8</f>
        <v>0.38491674828599415</v>
      </c>
      <c r="N82" s="96" t="str">
        <f>'FUERA UNIDAD DE PESQUERIA'!M8</f>
        <v>-</v>
      </c>
      <c r="O82" s="96">
        <f>RESUMEN!$B$3</f>
        <v>44926</v>
      </c>
      <c r="P82" s="93">
        <v>2022</v>
      </c>
      <c r="Q82" s="93"/>
    </row>
    <row r="83" spans="1:17" x14ac:dyDescent="0.2">
      <c r="A83" s="93" t="s">
        <v>131</v>
      </c>
      <c r="B83" s="93" t="s">
        <v>101</v>
      </c>
      <c r="C83" s="93" t="s">
        <v>132</v>
      </c>
      <c r="D83" s="93" t="s">
        <v>133</v>
      </c>
      <c r="E83" s="93" t="s">
        <v>133</v>
      </c>
      <c r="F83" s="93" t="s">
        <v>51</v>
      </c>
      <c r="G83" s="93" t="s">
        <v>56</v>
      </c>
      <c r="H83" s="94">
        <f>RESUMEN!D26</f>
        <v>110</v>
      </c>
      <c r="I83" s="94">
        <v>0</v>
      </c>
      <c r="J83" s="94">
        <f>RESUMEN!F26</f>
        <v>110</v>
      </c>
      <c r="K83" s="94">
        <f>RESUMEN!G26</f>
        <v>108.167</v>
      </c>
      <c r="L83" s="94">
        <f>RESUMEN!H26</f>
        <v>1.8329999999999984</v>
      </c>
      <c r="M83" s="95">
        <f>RESUMEN!I26</f>
        <v>0.98333636363636368</v>
      </c>
      <c r="N83" s="96" t="s">
        <v>46</v>
      </c>
      <c r="O83" s="96">
        <f>RESUMEN!$B$3</f>
        <v>44926</v>
      </c>
      <c r="P83" s="93">
        <v>2022</v>
      </c>
      <c r="Q83" s="93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65"/>
  <sheetViews>
    <sheetView topLeftCell="A13" zoomScaleNormal="100" workbookViewId="0">
      <selection activeCell="I30" sqref="I30"/>
    </sheetView>
  </sheetViews>
  <sheetFormatPr baseColWidth="10" defaultColWidth="11.42578125" defaultRowHeight="15" x14ac:dyDescent="0.25"/>
  <cols>
    <col min="2" max="2" width="41.140625" customWidth="1"/>
    <col min="3" max="3" width="14.5703125" customWidth="1"/>
    <col min="4" max="4" width="11.5703125" bestFit="1" customWidth="1"/>
    <col min="6" max="6" width="13.28515625" bestFit="1" customWidth="1"/>
    <col min="7" max="7" width="5.85546875" customWidth="1"/>
    <col min="8" max="8" width="3.85546875" customWidth="1"/>
    <col min="9" max="9" width="42.28515625" bestFit="1" customWidth="1"/>
    <col min="10" max="10" width="11.5703125" bestFit="1" customWidth="1"/>
    <col min="11" max="12" width="12.5703125" bestFit="1" customWidth="1"/>
    <col min="13" max="13" width="13.42578125" bestFit="1" customWidth="1"/>
  </cols>
  <sheetData>
    <row r="2" spans="1:13" x14ac:dyDescent="0.25">
      <c r="A2" s="48"/>
      <c r="B2" s="49" t="s">
        <v>29</v>
      </c>
      <c r="C2" s="49" t="s">
        <v>135</v>
      </c>
      <c r="D2" s="48"/>
    </row>
    <row r="3" spans="1:13" x14ac:dyDescent="0.25">
      <c r="A3" s="172" t="s">
        <v>136</v>
      </c>
      <c r="B3" s="50" t="s">
        <v>137</v>
      </c>
      <c r="C3" s="51">
        <f>'CUOTA INDUSTRIAL'!E6+'CUOTA INDUSTRIAL'!E8+'CUOTA INDUSTRIAL'!E10+'CUOTA INDUSTRIAL'!E12+'CUOTA INDUSTRIAL'!E14+'CUOTA INDUSTRIAL'!E16+'CUOTA INDUSTRIAL'!E18+'CUOTA INDUSTRIAL'!E20</f>
        <v>336.00003000000004</v>
      </c>
      <c r="D3" s="173">
        <f>C3+C4</f>
        <v>672.50026000000003</v>
      </c>
    </row>
    <row r="4" spans="1:13" x14ac:dyDescent="0.25">
      <c r="A4" s="172"/>
      <c r="B4" s="50" t="s">
        <v>138</v>
      </c>
      <c r="C4" s="51">
        <f>'CUOTA INDUSTRIAL'!E7+'CUOTA INDUSTRIAL'!E9+'CUOTA INDUSTRIAL'!E11+'CUOTA INDUSTRIAL'!E13+'CUOTA INDUSTRIAL'!E15+'CUOTA INDUSTRIAL'!E17+'CUOTA INDUSTRIAL'!E19+'CUOTA INDUSTRIAL'!E21</f>
        <v>336.50022999999999</v>
      </c>
      <c r="D4" s="174"/>
      <c r="F4" s="47">
        <f>0.01*D5</f>
        <v>4.0000011999999998</v>
      </c>
    </row>
    <row r="5" spans="1:13" x14ac:dyDescent="0.25">
      <c r="A5" s="172" t="s">
        <v>139</v>
      </c>
      <c r="B5" s="50" t="s">
        <v>137</v>
      </c>
      <c r="C5" s="51">
        <f>'CUOTA INDUSTRIAL'!E27+'CUOTA INDUSTRIAL'!E29+'CUOTA INDUSTRIAL'!E31+'CUOTA INDUSTRIAL'!E33+'CUOTA INDUSTRIAL'!E35+'CUOTA INDUSTRIAL'!E37+'CUOTA INDUSTRIAL'!E39</f>
        <v>200.00005999999999</v>
      </c>
      <c r="D5" s="173">
        <f>C5+C6</f>
        <v>400.00011999999998</v>
      </c>
    </row>
    <row r="6" spans="1:13" x14ac:dyDescent="0.25">
      <c r="A6" s="172"/>
      <c r="B6" s="50" t="s">
        <v>138</v>
      </c>
      <c r="C6" s="51">
        <f>'CUOTA INDUSTRIAL'!E28+'CUOTA INDUSTRIAL'!E30+'CUOTA INDUSTRIAL'!E32+'CUOTA INDUSTRIAL'!E34+'CUOTA INDUSTRIAL'!E36+'CUOTA INDUSTRIAL'!E38+'CUOTA INDUSTRIAL'!E40</f>
        <v>200.00005999999999</v>
      </c>
      <c r="D6" s="174"/>
    </row>
    <row r="7" spans="1:13" x14ac:dyDescent="0.25">
      <c r="A7" s="48"/>
      <c r="B7" s="48"/>
      <c r="C7" s="52">
        <f>SUM(C3:C6)</f>
        <v>1072.50038</v>
      </c>
      <c r="D7" s="53"/>
    </row>
    <row r="10" spans="1:13" x14ac:dyDescent="0.25">
      <c r="B10" s="171" t="s">
        <v>140</v>
      </c>
      <c r="C10" s="171"/>
      <c r="D10" s="171"/>
      <c r="E10" s="171"/>
      <c r="F10" s="171"/>
      <c r="I10" s="171" t="s">
        <v>141</v>
      </c>
      <c r="J10" s="171"/>
      <c r="K10" s="171"/>
      <c r="L10" s="171"/>
      <c r="M10" s="171"/>
    </row>
    <row r="12" spans="1:13" x14ac:dyDescent="0.25">
      <c r="B12" s="54" t="s">
        <v>142</v>
      </c>
      <c r="C12" s="54" t="s">
        <v>143</v>
      </c>
      <c r="D12" s="54" t="s">
        <v>64</v>
      </c>
      <c r="E12" s="54" t="s">
        <v>65</v>
      </c>
      <c r="F12" s="54" t="s">
        <v>144</v>
      </c>
      <c r="I12" s="54" t="s">
        <v>142</v>
      </c>
      <c r="J12" s="54" t="s">
        <v>143</v>
      </c>
      <c r="K12" s="54" t="s">
        <v>64</v>
      </c>
      <c r="L12" s="54" t="s">
        <v>65</v>
      </c>
      <c r="M12" s="54" t="s">
        <v>144</v>
      </c>
    </row>
    <row r="13" spans="1:13" x14ac:dyDescent="0.25">
      <c r="B13" s="48" t="s">
        <v>145</v>
      </c>
      <c r="C13" s="48">
        <v>1.99674E-2</v>
      </c>
      <c r="D13" s="55">
        <f>$C$3*C13</f>
        <v>6.709046999022001</v>
      </c>
      <c r="E13" s="55">
        <f>$C$4*C13</f>
        <v>6.7190346925019995</v>
      </c>
      <c r="F13" s="55">
        <f>D13+E13</f>
        <v>13.428081691524</v>
      </c>
      <c r="I13" s="48" t="s">
        <v>145</v>
      </c>
      <c r="J13" s="48">
        <f>+C13+C29+C33</f>
        <v>5.2467399999999997E-2</v>
      </c>
      <c r="K13" s="48">
        <f>+C$3*J13</f>
        <v>17.629047974022001</v>
      </c>
      <c r="L13" s="48">
        <f>+C$4*J13</f>
        <v>17.655292167501997</v>
      </c>
      <c r="M13" s="48">
        <f>+K13+L13</f>
        <v>35.284340141523998</v>
      </c>
    </row>
    <row r="14" spans="1:13" x14ac:dyDescent="0.25">
      <c r="B14" s="81" t="s">
        <v>146</v>
      </c>
      <c r="C14" s="48">
        <v>7.3264800000000005E-2</v>
      </c>
      <c r="D14" s="55">
        <f t="shared" ref="D14:D19" si="0">$C$3*C14</f>
        <v>24.616974997944006</v>
      </c>
      <c r="E14" s="55">
        <f t="shared" ref="E14:E19" si="1">$C$4*C14</f>
        <v>24.653622050904001</v>
      </c>
      <c r="F14" s="55">
        <f t="shared" ref="F14:F19" si="2">D14+E14</f>
        <v>49.270597048848003</v>
      </c>
      <c r="I14" s="81" t="s">
        <v>146</v>
      </c>
      <c r="J14" s="48">
        <f>+C14+C18+C31+C32+C37</f>
        <v>0.1469115</v>
      </c>
      <c r="K14" s="48">
        <f>+C$3*J14</f>
        <v>49.362268407345006</v>
      </c>
      <c r="L14" s="48">
        <f>+C$4*J14</f>
        <v>49.435753539644999</v>
      </c>
      <c r="M14" s="48">
        <f t="shared" ref="M14:M19" si="3">+K14+L14</f>
        <v>98.798021946990005</v>
      </c>
    </row>
    <row r="15" spans="1:13" x14ac:dyDescent="0.25">
      <c r="B15" s="48" t="s">
        <v>147</v>
      </c>
      <c r="C15" s="48">
        <v>0.62788480000000002</v>
      </c>
      <c r="D15" s="55">
        <f t="shared" si="0"/>
        <v>210.96931163654403</v>
      </c>
      <c r="E15" s="55">
        <f t="shared" si="1"/>
        <v>211.283379613504</v>
      </c>
      <c r="F15" s="55">
        <f t="shared" si="2"/>
        <v>422.25269125004803</v>
      </c>
      <c r="I15" s="48" t="s">
        <v>147</v>
      </c>
      <c r="J15" s="48">
        <f>+C15</f>
        <v>0.62788480000000002</v>
      </c>
      <c r="K15" s="48">
        <f t="shared" ref="K15:K19" si="4">+C$3*J15</f>
        <v>210.96931163654403</v>
      </c>
      <c r="L15" s="48">
        <f t="shared" ref="L15:L19" si="5">+C$4*J15</f>
        <v>211.283379613504</v>
      </c>
      <c r="M15" s="48">
        <f t="shared" si="3"/>
        <v>422.25269125004803</v>
      </c>
    </row>
    <row r="16" spans="1:13" x14ac:dyDescent="0.25">
      <c r="B16" s="48" t="s">
        <v>155</v>
      </c>
      <c r="C16" s="48">
        <v>5.0283399999999999E-2</v>
      </c>
      <c r="D16" s="55">
        <f t="shared" si="0"/>
        <v>16.895223908502</v>
      </c>
      <c r="E16" s="55">
        <f t="shared" si="1"/>
        <v>16.920375665182</v>
      </c>
      <c r="F16" s="55">
        <f t="shared" si="2"/>
        <v>33.815599573683997</v>
      </c>
      <c r="I16" s="48" t="s">
        <v>148</v>
      </c>
      <c r="J16" s="48">
        <f>+C17+C35+C36</f>
        <v>5.4868E-2</v>
      </c>
      <c r="K16" s="48">
        <f t="shared" si="4"/>
        <v>18.435649646040002</v>
      </c>
      <c r="L16" s="48">
        <f t="shared" si="5"/>
        <v>18.46309461964</v>
      </c>
      <c r="M16" s="48">
        <f t="shared" si="3"/>
        <v>36.898744265680001</v>
      </c>
    </row>
    <row r="17" spans="2:13" x14ac:dyDescent="0.25">
      <c r="B17" s="48" t="s">
        <v>148</v>
      </c>
      <c r="C17" s="48">
        <v>3.9868000000000001E-2</v>
      </c>
      <c r="D17" s="55">
        <f t="shared" si="0"/>
        <v>13.395649196040003</v>
      </c>
      <c r="E17" s="55">
        <f t="shared" si="1"/>
        <v>13.415591169639999</v>
      </c>
      <c r="F17" s="55">
        <f t="shared" si="2"/>
        <v>26.81124036568</v>
      </c>
      <c r="I17" s="48" t="s">
        <v>149</v>
      </c>
      <c r="J17" s="48">
        <f>+C19</f>
        <v>8.5000000000000006E-5</v>
      </c>
      <c r="K17" s="48">
        <f t="shared" si="4"/>
        <v>2.8560002550000005E-2</v>
      </c>
      <c r="L17" s="48">
        <f>+C$4*J17</f>
        <v>2.860251955E-2</v>
      </c>
      <c r="M17" s="48">
        <f t="shared" si="3"/>
        <v>5.7162522100000002E-2</v>
      </c>
    </row>
    <row r="18" spans="2:13" x14ac:dyDescent="0.25">
      <c r="B18" s="81" t="s">
        <v>146</v>
      </c>
      <c r="C18" s="48">
        <v>3.8646699999999999E-2</v>
      </c>
      <c r="D18" s="55">
        <f t="shared" si="0"/>
        <v>12.985292359401001</v>
      </c>
      <c r="E18" s="55">
        <f t="shared" si="1"/>
        <v>13.004623438741</v>
      </c>
      <c r="F18" s="55">
        <f t="shared" si="2"/>
        <v>25.989915798142</v>
      </c>
      <c r="I18" s="48" t="s">
        <v>150</v>
      </c>
      <c r="J18" s="48">
        <f>+C25+C26+C27</f>
        <v>1.8750000000000003E-2</v>
      </c>
      <c r="K18" s="48">
        <f t="shared" si="4"/>
        <v>6.300000562500002</v>
      </c>
      <c r="L18" s="48">
        <f t="shared" si="5"/>
        <v>6.3093793125000008</v>
      </c>
      <c r="M18" s="48">
        <f t="shared" si="3"/>
        <v>12.609379875000002</v>
      </c>
    </row>
    <row r="19" spans="2:13" x14ac:dyDescent="0.25">
      <c r="B19" s="48" t="s">
        <v>149</v>
      </c>
      <c r="C19" s="48">
        <v>8.5000000000000006E-5</v>
      </c>
      <c r="D19" s="55">
        <f t="shared" si="0"/>
        <v>2.8560002550000005E-2</v>
      </c>
      <c r="E19" s="55">
        <f t="shared" si="1"/>
        <v>2.860251955E-2</v>
      </c>
      <c r="F19" s="55">
        <f t="shared" si="2"/>
        <v>5.7162522100000002E-2</v>
      </c>
      <c r="I19" s="48" t="s">
        <v>151</v>
      </c>
      <c r="J19" s="48">
        <f>+C28</f>
        <v>6.2500000000000003E-3</v>
      </c>
      <c r="K19" s="48">
        <f t="shared" si="4"/>
        <v>2.1000001875000005</v>
      </c>
      <c r="L19" s="48">
        <f t="shared" si="5"/>
        <v>2.1031264374999998</v>
      </c>
      <c r="M19" s="48">
        <f t="shared" si="3"/>
        <v>4.2031266250000003</v>
      </c>
    </row>
    <row r="20" spans="2:13" x14ac:dyDescent="0.25">
      <c r="C20" s="56">
        <f>SUM(C13:C19)</f>
        <v>0.85000010000000004</v>
      </c>
      <c r="D20" s="57">
        <f>SUM(D13:D19)</f>
        <v>285.60005910000302</v>
      </c>
      <c r="E20" s="57">
        <f>SUM(E13:E19)</f>
        <v>286.02522915002299</v>
      </c>
      <c r="F20" s="57">
        <f>SUM(F13:F19)</f>
        <v>571.62528825002607</v>
      </c>
      <c r="I20" s="48" t="s">
        <v>159</v>
      </c>
      <c r="J20" s="48">
        <f>+C38+C34+C30+C16</f>
        <v>9.2783399999999988E-2</v>
      </c>
      <c r="K20" s="48">
        <f t="shared" ref="K20" si="6">+C$3*J20</f>
        <v>31.175225183502</v>
      </c>
      <c r="L20" s="48">
        <f t="shared" ref="L20" si="7">+C$4*J20</f>
        <v>31.221635440181995</v>
      </c>
      <c r="M20" s="48">
        <f t="shared" ref="M20" si="8">+K20+L20</f>
        <v>62.396860623683992</v>
      </c>
    </row>
    <row r="21" spans="2:13" x14ac:dyDescent="0.25">
      <c r="I21" s="58"/>
      <c r="J21" s="59">
        <f>SUM(J13:J20)</f>
        <v>1.0000001000000001</v>
      </c>
      <c r="K21" s="59">
        <f>SUM(K13:K20)</f>
        <v>336.00006360000305</v>
      </c>
      <c r="L21" s="59">
        <f>SUM(L13:L20)</f>
        <v>336.50026365002304</v>
      </c>
      <c r="M21" s="59">
        <f>+K21+L21</f>
        <v>672.50032725002609</v>
      </c>
    </row>
    <row r="22" spans="2:13" x14ac:dyDescent="0.25">
      <c r="B22" s="171" t="s">
        <v>152</v>
      </c>
      <c r="C22" s="171"/>
      <c r="D22" s="171"/>
      <c r="E22" s="171"/>
      <c r="F22" s="171"/>
    </row>
    <row r="23" spans="2:13" x14ac:dyDescent="0.25">
      <c r="J23" s="60"/>
      <c r="K23" s="60"/>
      <c r="L23" s="60"/>
      <c r="M23" s="60"/>
    </row>
    <row r="24" spans="2:13" x14ac:dyDescent="0.25">
      <c r="B24" s="54" t="s">
        <v>142</v>
      </c>
      <c r="C24" s="54" t="s">
        <v>143</v>
      </c>
      <c r="D24" s="54" t="s">
        <v>64</v>
      </c>
      <c r="E24" s="54" t="s">
        <v>65</v>
      </c>
      <c r="F24" s="54" t="s">
        <v>144</v>
      </c>
    </row>
    <row r="25" spans="2:13" x14ac:dyDescent="0.25">
      <c r="B25" s="48" t="s">
        <v>150</v>
      </c>
      <c r="C25" s="48">
        <v>6.2500000000000003E-3</v>
      </c>
      <c r="D25" s="61">
        <f>$C$3*C25</f>
        <v>2.1000001875000005</v>
      </c>
      <c r="E25" s="61">
        <f>$C$4*C25</f>
        <v>2.1031264374999998</v>
      </c>
      <c r="F25" s="61">
        <f>D25+E25</f>
        <v>4.2031266250000003</v>
      </c>
    </row>
    <row r="26" spans="2:13" x14ac:dyDescent="0.25">
      <c r="B26" s="48" t="s">
        <v>150</v>
      </c>
      <c r="C26" s="48">
        <v>6.2500000000000003E-3</v>
      </c>
      <c r="D26" s="61">
        <f t="shared" ref="D26:D38" si="9">$C$3*C26</f>
        <v>2.1000001875000005</v>
      </c>
      <c r="E26" s="61">
        <f t="shared" ref="E26:E38" si="10">$C$4*C26</f>
        <v>2.1031264374999998</v>
      </c>
      <c r="F26" s="61">
        <f t="shared" ref="F26:F38" si="11">D26+E26</f>
        <v>4.2031266250000003</v>
      </c>
    </row>
    <row r="27" spans="2:13" x14ac:dyDescent="0.25">
      <c r="B27" s="48" t="s">
        <v>150</v>
      </c>
      <c r="C27" s="48">
        <v>6.2500000000000003E-3</v>
      </c>
      <c r="D27" s="61">
        <f t="shared" si="9"/>
        <v>2.1000001875000005</v>
      </c>
      <c r="E27" s="61">
        <f t="shared" si="10"/>
        <v>2.1031264374999998</v>
      </c>
      <c r="F27" s="61">
        <f t="shared" si="11"/>
        <v>4.2031266250000003</v>
      </c>
    </row>
    <row r="28" spans="2:13" x14ac:dyDescent="0.25">
      <c r="B28" s="48" t="s">
        <v>151</v>
      </c>
      <c r="C28" s="48">
        <v>6.2500000000000003E-3</v>
      </c>
      <c r="D28" s="61">
        <f t="shared" si="9"/>
        <v>2.1000001875000005</v>
      </c>
      <c r="E28" s="61">
        <f t="shared" si="10"/>
        <v>2.1031264374999998</v>
      </c>
      <c r="F28" s="61">
        <f t="shared" si="11"/>
        <v>4.2031266250000003</v>
      </c>
    </row>
    <row r="29" spans="2:13" x14ac:dyDescent="0.25">
      <c r="B29" s="48" t="s">
        <v>145</v>
      </c>
      <c r="C29" s="48">
        <v>1.2500000000000001E-2</v>
      </c>
      <c r="D29" s="61">
        <f t="shared" si="9"/>
        <v>4.200000375000001</v>
      </c>
      <c r="E29" s="61">
        <f t="shared" si="10"/>
        <v>4.2062528749999997</v>
      </c>
      <c r="F29" s="61">
        <f t="shared" si="11"/>
        <v>8.4062532500000007</v>
      </c>
    </row>
    <row r="30" spans="2:13" x14ac:dyDescent="0.25">
      <c r="B30" s="48" t="s">
        <v>155</v>
      </c>
      <c r="C30" s="48">
        <v>1.2500000000000001E-2</v>
      </c>
      <c r="D30" s="61">
        <f t="shared" si="9"/>
        <v>4.200000375000001</v>
      </c>
      <c r="E30" s="61">
        <f t="shared" si="10"/>
        <v>4.2062528749999997</v>
      </c>
      <c r="F30" s="61">
        <f t="shared" si="11"/>
        <v>8.4062532500000007</v>
      </c>
    </row>
    <row r="31" spans="2:13" x14ac:dyDescent="0.25">
      <c r="B31" s="81" t="s">
        <v>146</v>
      </c>
      <c r="C31" s="48">
        <v>7.4999999999999997E-3</v>
      </c>
      <c r="D31" s="61">
        <f t="shared" si="9"/>
        <v>2.520000225</v>
      </c>
      <c r="E31" s="61">
        <f t="shared" si="10"/>
        <v>2.5237517249999999</v>
      </c>
      <c r="F31" s="61">
        <f t="shared" si="11"/>
        <v>5.0437519499999999</v>
      </c>
    </row>
    <row r="32" spans="2:13" x14ac:dyDescent="0.25">
      <c r="B32" s="81" t="s">
        <v>146</v>
      </c>
      <c r="C32" s="48">
        <v>7.4999999999999997E-3</v>
      </c>
      <c r="D32" s="61">
        <f t="shared" si="9"/>
        <v>2.520000225</v>
      </c>
      <c r="E32" s="61">
        <f t="shared" si="10"/>
        <v>2.5237517249999999</v>
      </c>
      <c r="F32" s="61">
        <f t="shared" si="11"/>
        <v>5.0437519499999999</v>
      </c>
    </row>
    <row r="33" spans="2:13" x14ac:dyDescent="0.25">
      <c r="B33" s="48" t="s">
        <v>145</v>
      </c>
      <c r="C33" s="48">
        <v>0.02</v>
      </c>
      <c r="D33" s="61">
        <f t="shared" si="9"/>
        <v>6.7200006000000005</v>
      </c>
      <c r="E33" s="61">
        <f t="shared" si="10"/>
        <v>6.7300046</v>
      </c>
      <c r="F33" s="61">
        <f t="shared" si="11"/>
        <v>13.4500052</v>
      </c>
    </row>
    <row r="34" spans="2:13" x14ac:dyDescent="0.25">
      <c r="B34" s="48" t="s">
        <v>155</v>
      </c>
      <c r="C34" s="48">
        <v>1.4999999999999999E-2</v>
      </c>
      <c r="D34" s="61">
        <f t="shared" si="9"/>
        <v>5.04000045</v>
      </c>
      <c r="E34" s="61">
        <f t="shared" si="10"/>
        <v>5.0475034499999998</v>
      </c>
      <c r="F34" s="61">
        <f t="shared" si="11"/>
        <v>10.0875039</v>
      </c>
    </row>
    <row r="35" spans="2:13" x14ac:dyDescent="0.25">
      <c r="B35" s="48" t="s">
        <v>62</v>
      </c>
      <c r="C35" s="48">
        <v>7.4999999999999997E-3</v>
      </c>
      <c r="D35" s="61">
        <f t="shared" si="9"/>
        <v>2.520000225</v>
      </c>
      <c r="E35" s="61">
        <f t="shared" si="10"/>
        <v>2.5237517249999999</v>
      </c>
      <c r="F35" s="61">
        <f t="shared" si="11"/>
        <v>5.0437519499999999</v>
      </c>
    </row>
    <row r="36" spans="2:13" x14ac:dyDescent="0.25">
      <c r="B36" s="48" t="s">
        <v>62</v>
      </c>
      <c r="C36" s="48">
        <v>7.4999999999999997E-3</v>
      </c>
      <c r="D36" s="61">
        <f t="shared" si="9"/>
        <v>2.520000225</v>
      </c>
      <c r="E36" s="61">
        <f t="shared" si="10"/>
        <v>2.5237517249999999</v>
      </c>
      <c r="F36" s="61">
        <f t="shared" si="11"/>
        <v>5.0437519499999999</v>
      </c>
    </row>
    <row r="37" spans="2:13" x14ac:dyDescent="0.25">
      <c r="B37" s="81" t="s">
        <v>146</v>
      </c>
      <c r="C37" s="48">
        <v>0.02</v>
      </c>
      <c r="D37" s="61">
        <f t="shared" si="9"/>
        <v>6.7200006000000005</v>
      </c>
      <c r="E37" s="61">
        <f t="shared" si="10"/>
        <v>6.7300046</v>
      </c>
      <c r="F37" s="61">
        <f t="shared" si="11"/>
        <v>13.4500052</v>
      </c>
    </row>
    <row r="38" spans="2:13" x14ac:dyDescent="0.25">
      <c r="B38" s="48" t="s">
        <v>159</v>
      </c>
      <c r="C38" s="48">
        <v>1.4999999999999999E-2</v>
      </c>
      <c r="D38" s="61">
        <f t="shared" si="9"/>
        <v>5.04000045</v>
      </c>
      <c r="E38" s="61">
        <f t="shared" si="10"/>
        <v>5.0475034499999998</v>
      </c>
      <c r="F38" s="61">
        <f t="shared" si="11"/>
        <v>10.0875039</v>
      </c>
    </row>
    <row r="39" spans="2:13" x14ac:dyDescent="0.25">
      <c r="C39" s="62">
        <f>SUM(C25:C38)</f>
        <v>0.15000000000000002</v>
      </c>
      <c r="D39" s="62">
        <f>SUM(D25:D38)</f>
        <v>50.400004500000001</v>
      </c>
      <c r="E39" s="62">
        <f>SUM(E25:E38)</f>
        <v>50.475034499999992</v>
      </c>
      <c r="F39" s="64">
        <f>SUM(F25:F38)</f>
        <v>100.87503900000002</v>
      </c>
    </row>
    <row r="41" spans="2:13" x14ac:dyDescent="0.25">
      <c r="B41" s="171" t="s">
        <v>153</v>
      </c>
      <c r="C41" s="171"/>
      <c r="D41" s="171"/>
      <c r="E41" s="171"/>
      <c r="F41" s="171"/>
      <c r="I41" s="171" t="s">
        <v>154</v>
      </c>
      <c r="J41" s="171"/>
      <c r="K41" s="171"/>
      <c r="L41" s="171"/>
      <c r="M41" s="171"/>
    </row>
    <row r="43" spans="2:13" x14ac:dyDescent="0.25">
      <c r="B43" s="54" t="s">
        <v>142</v>
      </c>
      <c r="C43" s="54" t="s">
        <v>143</v>
      </c>
      <c r="D43" s="54" t="s">
        <v>64</v>
      </c>
      <c r="E43" s="54" t="s">
        <v>65</v>
      </c>
      <c r="F43" s="54" t="s">
        <v>144</v>
      </c>
      <c r="I43" s="54" t="s">
        <v>142</v>
      </c>
      <c r="J43" s="54" t="s">
        <v>143</v>
      </c>
      <c r="K43" s="54" t="s">
        <v>64</v>
      </c>
      <c r="L43" s="54" t="s">
        <v>65</v>
      </c>
      <c r="M43" s="54" t="s">
        <v>144</v>
      </c>
    </row>
    <row r="44" spans="2:13" x14ac:dyDescent="0.25">
      <c r="B44" s="48" t="s">
        <v>145</v>
      </c>
      <c r="C44" s="48">
        <v>0.1005405</v>
      </c>
      <c r="D44" s="55">
        <f>$C$5*C44</f>
        <v>20.108106032430001</v>
      </c>
      <c r="E44" s="55">
        <f>$C$6*C55</f>
        <v>2.5000007499999999</v>
      </c>
      <c r="F44" s="55">
        <f>D44+E44</f>
        <v>22.608106782429999</v>
      </c>
      <c r="I44" s="65" t="s">
        <v>145</v>
      </c>
      <c r="J44" s="48">
        <f>+C44+C57+C60+C64</f>
        <v>0.1530405</v>
      </c>
      <c r="K44" s="48">
        <f t="shared" ref="K44:K50" si="12">+C$5*J44</f>
        <v>30.608109182429999</v>
      </c>
      <c r="L44" s="48">
        <f>+C$6*J44</f>
        <v>30.608109182429999</v>
      </c>
      <c r="M44" s="48">
        <f>+K44+L44</f>
        <v>61.216218364859998</v>
      </c>
    </row>
    <row r="45" spans="2:13" x14ac:dyDescent="0.25">
      <c r="B45" s="48" t="s">
        <v>146</v>
      </c>
      <c r="C45" s="48">
        <v>2.7602999999999998E-3</v>
      </c>
      <c r="D45" s="55">
        <f>$C$5*C45</f>
        <v>0.55206016561799998</v>
      </c>
      <c r="E45" s="55">
        <f>$C$6*C45</f>
        <v>0.55206016561799998</v>
      </c>
      <c r="F45" s="55">
        <f t="shared" ref="F45:F48" si="13">D45+E45</f>
        <v>1.104120331236</v>
      </c>
      <c r="I45" s="65" t="s">
        <v>146</v>
      </c>
      <c r="J45" s="48">
        <f>+C45</f>
        <v>2.7602999999999998E-3</v>
      </c>
      <c r="K45" s="48">
        <f t="shared" si="12"/>
        <v>0.55206016561799998</v>
      </c>
      <c r="L45" s="48">
        <f>+C$6*J45</f>
        <v>0.55206016561799998</v>
      </c>
      <c r="M45" s="48">
        <f t="shared" ref="M45:M50" si="14">+K45+L45</f>
        <v>1.104120331236</v>
      </c>
    </row>
    <row r="46" spans="2:13" x14ac:dyDescent="0.25">
      <c r="B46" s="48" t="s">
        <v>147</v>
      </c>
      <c r="C46" s="48">
        <v>0.54902039999999996</v>
      </c>
      <c r="D46" s="55">
        <f>$C$5*C46</f>
        <v>109.80411294122399</v>
      </c>
      <c r="E46" s="55">
        <f>$C$6*C46</f>
        <v>109.80411294122399</v>
      </c>
      <c r="F46" s="55">
        <f t="shared" si="13"/>
        <v>219.60822588244798</v>
      </c>
      <c r="I46" s="65" t="s">
        <v>147</v>
      </c>
      <c r="J46" s="48">
        <f>+C46+C59+C62+C63</f>
        <v>0.5890204</v>
      </c>
      <c r="K46" s="48">
        <f t="shared" si="12"/>
        <v>117.80411534122399</v>
      </c>
      <c r="L46" s="48">
        <f>+C$6*J46</f>
        <v>117.80411534122399</v>
      </c>
      <c r="M46" s="48">
        <f>+K46+L46</f>
        <v>235.60823068244798</v>
      </c>
    </row>
    <row r="47" spans="2:13" x14ac:dyDescent="0.25">
      <c r="B47" s="48" t="s">
        <v>155</v>
      </c>
      <c r="C47" s="48">
        <v>0.19632340000000001</v>
      </c>
      <c r="D47" s="55">
        <f>$C$5*C47</f>
        <v>39.264691779403996</v>
      </c>
      <c r="E47" s="55">
        <f>$C$6*C47</f>
        <v>39.264691779403996</v>
      </c>
      <c r="F47" s="55">
        <f t="shared" si="13"/>
        <v>78.529383558807993</v>
      </c>
      <c r="I47" s="65" t="s">
        <v>155</v>
      </c>
      <c r="J47" s="48">
        <f>+C47+C58+C61</f>
        <v>0.22882340000000001</v>
      </c>
      <c r="K47" s="48">
        <f t="shared" si="12"/>
        <v>45.764693729404001</v>
      </c>
      <c r="L47" s="48">
        <f t="shared" ref="L47:L50" si="15">+C$6*J47</f>
        <v>45.764693729404001</v>
      </c>
      <c r="M47" s="48">
        <f t="shared" si="14"/>
        <v>91.529387458808003</v>
      </c>
    </row>
    <row r="48" spans="2:13" x14ac:dyDescent="0.25">
      <c r="B48" s="48" t="s">
        <v>148</v>
      </c>
      <c r="C48" s="48">
        <v>1.3557E-3</v>
      </c>
      <c r="D48" s="55">
        <f>$C$5*C48</f>
        <v>0.27114008134200002</v>
      </c>
      <c r="E48" s="55">
        <f>$C$6*C48</f>
        <v>0.27114008134200002</v>
      </c>
      <c r="F48" s="55">
        <f t="shared" si="13"/>
        <v>0.54228016268400003</v>
      </c>
      <c r="I48" s="65" t="s">
        <v>156</v>
      </c>
      <c r="J48" s="48">
        <f>+C48</f>
        <v>1.3557E-3</v>
      </c>
      <c r="K48" s="48">
        <f t="shared" si="12"/>
        <v>0.27114008134200002</v>
      </c>
      <c r="L48" s="48">
        <f t="shared" si="15"/>
        <v>0.27114008134200002</v>
      </c>
      <c r="M48" s="48">
        <f t="shared" si="14"/>
        <v>0.54228016268400003</v>
      </c>
    </row>
    <row r="49" spans="2:13" x14ac:dyDescent="0.25">
      <c r="C49" s="62">
        <f>SUM(C44:C48)</f>
        <v>0.85000029999999993</v>
      </c>
      <c r="D49" s="63">
        <f t="shared" ref="D49" si="16">$C$5*C49</f>
        <v>170.00011100001797</v>
      </c>
      <c r="E49" s="63">
        <f t="shared" ref="E49" si="17">$C$6*C49</f>
        <v>170.00011100001797</v>
      </c>
      <c r="F49" s="64">
        <f>SUM(F44:F48)</f>
        <v>322.39211671760597</v>
      </c>
      <c r="I49" s="65" t="s">
        <v>151</v>
      </c>
      <c r="J49" s="48">
        <f>+C56</f>
        <v>1.2500000000000001E-2</v>
      </c>
      <c r="K49" s="48">
        <f t="shared" si="12"/>
        <v>2.5000007499999999</v>
      </c>
      <c r="L49" s="48">
        <f t="shared" si="15"/>
        <v>2.5000007499999999</v>
      </c>
      <c r="M49" s="48">
        <f t="shared" si="14"/>
        <v>5.0000014999999998</v>
      </c>
    </row>
    <row r="50" spans="2:13" x14ac:dyDescent="0.25">
      <c r="C50" s="66"/>
      <c r="D50" s="47"/>
      <c r="E50" s="47"/>
      <c r="F50" s="67"/>
      <c r="I50" s="65" t="s">
        <v>150</v>
      </c>
      <c r="J50" s="48">
        <f>+C55</f>
        <v>1.2500000000000001E-2</v>
      </c>
      <c r="K50" s="48">
        <f t="shared" si="12"/>
        <v>2.5000007499999999</v>
      </c>
      <c r="L50" s="48">
        <f t="shared" si="15"/>
        <v>2.5000007499999999</v>
      </c>
      <c r="M50" s="48">
        <f t="shared" si="14"/>
        <v>5.0000014999999998</v>
      </c>
    </row>
    <row r="51" spans="2:13" x14ac:dyDescent="0.25">
      <c r="J51" s="68">
        <f>SUM(J44:J50)</f>
        <v>1.0000003</v>
      </c>
      <c r="K51" s="68">
        <f>SUM(K44:K50)</f>
        <v>200.00012000001797</v>
      </c>
      <c r="L51" s="68">
        <f>SUM(L44:L50)</f>
        <v>200.00012000001797</v>
      </c>
      <c r="M51" s="68">
        <f>SUM(M44:M50)</f>
        <v>400.00024000003594</v>
      </c>
    </row>
    <row r="52" spans="2:13" x14ac:dyDescent="0.25">
      <c r="B52" s="171" t="s">
        <v>157</v>
      </c>
      <c r="C52" s="171"/>
      <c r="D52" s="171"/>
      <c r="E52" s="171"/>
      <c r="F52" s="171"/>
    </row>
    <row r="54" spans="2:13" x14ac:dyDescent="0.25">
      <c r="B54" s="54" t="s">
        <v>142</v>
      </c>
      <c r="C54" s="54" t="s">
        <v>143</v>
      </c>
      <c r="D54" s="54" t="s">
        <v>64</v>
      </c>
      <c r="E54" s="54" t="s">
        <v>65</v>
      </c>
      <c r="F54" s="54" t="s">
        <v>144</v>
      </c>
    </row>
    <row r="55" spans="2:13" x14ac:dyDescent="0.25">
      <c r="B55" s="48" t="s">
        <v>150</v>
      </c>
      <c r="C55" s="48">
        <v>1.2500000000000001E-2</v>
      </c>
      <c r="D55" s="61">
        <f t="shared" ref="D55:D64" si="18">$C$5*C55</f>
        <v>2.5000007499999999</v>
      </c>
      <c r="E55" s="61">
        <f t="shared" ref="E55:E64" si="19">$C$6*C55</f>
        <v>2.5000007499999999</v>
      </c>
      <c r="F55" s="61">
        <f>D55+E55</f>
        <v>5.0000014999999998</v>
      </c>
    </row>
    <row r="56" spans="2:13" x14ac:dyDescent="0.25">
      <c r="B56" s="48" t="s">
        <v>151</v>
      </c>
      <c r="C56" s="48">
        <v>1.2500000000000001E-2</v>
      </c>
      <c r="D56" s="61">
        <f t="shared" si="18"/>
        <v>2.5000007499999999</v>
      </c>
      <c r="E56" s="61">
        <f t="shared" si="19"/>
        <v>2.5000007499999999</v>
      </c>
      <c r="F56" s="61">
        <f t="shared" ref="F56:F64" si="20">D56+E56</f>
        <v>5.0000014999999998</v>
      </c>
    </row>
    <row r="57" spans="2:13" x14ac:dyDescent="0.25">
      <c r="B57" s="81" t="s">
        <v>171</v>
      </c>
      <c r="C57" s="48">
        <v>1.2500000000000001E-2</v>
      </c>
      <c r="D57" s="61">
        <f t="shared" si="18"/>
        <v>2.5000007499999999</v>
      </c>
      <c r="E57" s="61">
        <f t="shared" si="19"/>
        <v>2.5000007499999999</v>
      </c>
      <c r="F57" s="61">
        <f t="shared" si="20"/>
        <v>5.0000014999999998</v>
      </c>
    </row>
    <row r="58" spans="2:13" x14ac:dyDescent="0.25">
      <c r="B58" s="48" t="s">
        <v>155</v>
      </c>
      <c r="C58" s="48">
        <v>1.2500000000000001E-2</v>
      </c>
      <c r="D58" s="61">
        <f t="shared" si="18"/>
        <v>2.5000007499999999</v>
      </c>
      <c r="E58" s="61">
        <f t="shared" si="19"/>
        <v>2.5000007499999999</v>
      </c>
      <c r="F58" s="61">
        <f t="shared" si="20"/>
        <v>5.0000014999999998</v>
      </c>
    </row>
    <row r="59" spans="2:13" x14ac:dyDescent="0.25">
      <c r="B59" s="48" t="s">
        <v>147</v>
      </c>
      <c r="C59" s="48">
        <v>0.01</v>
      </c>
      <c r="D59" s="61">
        <f t="shared" si="18"/>
        <v>2.0000005999999999</v>
      </c>
      <c r="E59" s="61">
        <f t="shared" si="19"/>
        <v>2.0000005999999999</v>
      </c>
      <c r="F59" s="61">
        <f t="shared" si="20"/>
        <v>4.0000011999999998</v>
      </c>
    </row>
    <row r="60" spans="2:13" x14ac:dyDescent="0.25">
      <c r="B60" s="48" t="s">
        <v>171</v>
      </c>
      <c r="C60" s="48">
        <v>0.02</v>
      </c>
      <c r="D60" s="61">
        <f t="shared" si="18"/>
        <v>4.0000011999999998</v>
      </c>
      <c r="E60" s="61">
        <f t="shared" si="19"/>
        <v>4.0000011999999998</v>
      </c>
      <c r="F60" s="61">
        <f t="shared" si="20"/>
        <v>8.0000023999999996</v>
      </c>
    </row>
    <row r="61" spans="2:13" x14ac:dyDescent="0.25">
      <c r="B61" s="48" t="s">
        <v>155</v>
      </c>
      <c r="C61" s="48">
        <v>0.02</v>
      </c>
      <c r="D61" s="61">
        <f t="shared" si="18"/>
        <v>4.0000011999999998</v>
      </c>
      <c r="E61" s="61">
        <f t="shared" si="19"/>
        <v>4.0000011999999998</v>
      </c>
      <c r="F61" s="61">
        <f t="shared" si="20"/>
        <v>8.0000023999999996</v>
      </c>
    </row>
    <row r="62" spans="2:13" x14ac:dyDescent="0.25">
      <c r="B62" s="48" t="s">
        <v>147</v>
      </c>
      <c r="C62" s="48">
        <v>0.01</v>
      </c>
      <c r="D62" s="61">
        <f t="shared" si="18"/>
        <v>2.0000005999999999</v>
      </c>
      <c r="E62" s="61">
        <f t="shared" si="19"/>
        <v>2.0000005999999999</v>
      </c>
      <c r="F62" s="61">
        <f t="shared" si="20"/>
        <v>4.0000011999999998</v>
      </c>
    </row>
    <row r="63" spans="2:13" x14ac:dyDescent="0.25">
      <c r="B63" s="48" t="s">
        <v>147</v>
      </c>
      <c r="C63" s="48">
        <v>0.02</v>
      </c>
      <c r="D63" s="61">
        <f t="shared" si="18"/>
        <v>4.0000011999999998</v>
      </c>
      <c r="E63" s="61">
        <f t="shared" si="19"/>
        <v>4.0000011999999998</v>
      </c>
      <c r="F63" s="61">
        <f t="shared" si="20"/>
        <v>8.0000023999999996</v>
      </c>
    </row>
    <row r="64" spans="2:13" x14ac:dyDescent="0.25">
      <c r="B64" s="81" t="s">
        <v>171</v>
      </c>
      <c r="C64" s="48">
        <v>0.02</v>
      </c>
      <c r="D64" s="61">
        <f t="shared" si="18"/>
        <v>4.0000011999999998</v>
      </c>
      <c r="E64" s="61">
        <f t="shared" si="19"/>
        <v>4.0000011999999998</v>
      </c>
      <c r="F64" s="61">
        <f t="shared" si="20"/>
        <v>8.0000023999999996</v>
      </c>
    </row>
    <row r="65" spans="3:6" x14ac:dyDescent="0.25">
      <c r="C65" s="58">
        <f>SUM(C55:C64)</f>
        <v>0.15</v>
      </c>
      <c r="D65" s="69">
        <f>SUM(D55:D64)</f>
        <v>30.000008999999999</v>
      </c>
      <c r="E65" s="69">
        <f>SUM(E55:E64)</f>
        <v>30.000008999999999</v>
      </c>
      <c r="F65" s="69">
        <f>SUM(F55:F64)</f>
        <v>60.000017999999997</v>
      </c>
    </row>
  </sheetData>
  <mergeCells count="10">
    <mergeCell ref="B22:F22"/>
    <mergeCell ref="B41:F41"/>
    <mergeCell ref="I41:M41"/>
    <mergeCell ref="B52:F52"/>
    <mergeCell ref="A3:A4"/>
    <mergeCell ref="D3:D4"/>
    <mergeCell ref="A5:A6"/>
    <mergeCell ref="D5:D6"/>
    <mergeCell ref="B10:F10"/>
    <mergeCell ref="I10:M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RESUMEN</vt:lpstr>
      <vt:lpstr>CUOTA ARTESANAL</vt:lpstr>
      <vt:lpstr>FUERA UNIDAD DE PESQUERIA</vt:lpstr>
      <vt:lpstr>CUOTA INDUSTRIAL</vt:lpstr>
      <vt:lpstr>PAG. WEB</vt:lpstr>
      <vt:lpstr>COEFICIENTES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CEA TELLO, MARIO ANDRES</dc:creator>
  <cp:lastModifiedBy>CEA TELLO, MARIO ANDRES</cp:lastModifiedBy>
  <dcterms:created xsi:type="dcterms:W3CDTF">2019-10-04T13:28:19Z</dcterms:created>
  <dcterms:modified xsi:type="dcterms:W3CDTF">2023-01-05T11:32:01Z</dcterms:modified>
</cp:coreProperties>
</file>